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las.klutzke\Desktop\Gear Spreadsheets\"/>
    </mc:Choice>
  </mc:AlternateContent>
  <xr:revisionPtr revIDLastSave="0" documentId="13_ncr:1_{95D6B653-EA86-4EAC-9EC3-70CE29D124FA}" xr6:coauthVersionLast="46" xr6:coauthVersionMax="46" xr10:uidLastSave="{00000000-0000-0000-0000-000000000000}"/>
  <bookViews>
    <workbookView xWindow="-96" yWindow="-96" windowWidth="23232" windowHeight="13152" tabRatio="694" activeTab="7" xr2:uid="{2A1D5453-C3E9-4E9B-BB53-F46C281493D2}"/>
  </bookViews>
  <sheets>
    <sheet name="CAD Design Inputs" sheetId="6" r:id="rId1"/>
    <sheet name="Worksheet Inputs" sheetId="1" r:id="rId2"/>
    <sheet name="Tire Selection" sheetId="2" r:id="rId3"/>
    <sheet name="Brake Stack Sizing" sheetId="8" r:id="rId4"/>
    <sheet name="Gear Geom" sheetId="4" r:id="rId5"/>
    <sheet name="Brake Stack Sizing (2)" sheetId="10" state="hidden" r:id="rId6"/>
    <sheet name="Turning Radius" sheetId="7" r:id="rId7"/>
    <sheet name="Oleo Sizing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5" l="1"/>
  <c r="L36" i="4"/>
  <c r="B5" i="5"/>
  <c r="T14" i="5"/>
  <c r="T13" i="5"/>
  <c r="F63" i="8"/>
  <c r="F62" i="8"/>
  <c r="C59" i="8"/>
  <c r="C56" i="8"/>
  <c r="C57" i="8" s="1"/>
  <c r="E5" i="8"/>
  <c r="C18" i="8"/>
  <c r="J13" i="5"/>
  <c r="U25" i="5"/>
  <c r="U23" i="5"/>
  <c r="V15" i="2"/>
  <c r="V14" i="2"/>
  <c r="V11" i="2"/>
  <c r="Y18" i="2"/>
  <c r="P9" i="5"/>
  <c r="V21" i="5"/>
  <c r="U21" i="5"/>
  <c r="C11" i="8"/>
  <c r="H13" i="10"/>
  <c r="H12" i="10"/>
  <c r="C8" i="10"/>
  <c r="E8" i="10" s="1"/>
  <c r="C5" i="10"/>
  <c r="E5" i="10" s="1"/>
  <c r="C32" i="10"/>
  <c r="C31" i="10"/>
  <c r="C30" i="10"/>
  <c r="C29" i="10"/>
  <c r="C28" i="10"/>
  <c r="C27" i="10"/>
  <c r="E10" i="10"/>
  <c r="E7" i="10"/>
  <c r="BC170" i="10"/>
  <c r="BB170" i="10"/>
  <c r="BA170" i="10"/>
  <c r="AZ170" i="10"/>
  <c r="AY170" i="10"/>
  <c r="AX170" i="10"/>
  <c r="AW170" i="10"/>
  <c r="AV170" i="10"/>
  <c r="AU170" i="10"/>
  <c r="AT170" i="10"/>
  <c r="AS170" i="10"/>
  <c r="AR170" i="10"/>
  <c r="AQ170" i="10"/>
  <c r="AP170" i="10"/>
  <c r="AO170" i="10"/>
  <c r="AN170" i="10"/>
  <c r="AM170" i="10"/>
  <c r="AL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G170" i="10"/>
  <c r="F170" i="10"/>
  <c r="E170" i="10"/>
  <c r="D170" i="10"/>
  <c r="C170" i="10"/>
  <c r="BC168" i="10"/>
  <c r="BB168" i="10"/>
  <c r="AZ168" i="10"/>
  <c r="BA168" i="10" s="1"/>
  <c r="AY168" i="10"/>
  <c r="AW168" i="10"/>
  <c r="AX168" i="10" s="1"/>
  <c r="AV168" i="10"/>
  <c r="AT168" i="10"/>
  <c r="AU168" i="10" s="1"/>
  <c r="AS168" i="10"/>
  <c r="AR168" i="10"/>
  <c r="AP168" i="10"/>
  <c r="AQ168" i="10" s="1"/>
  <c r="AO168" i="10"/>
  <c r="AM168" i="10"/>
  <c r="AN168" i="10" s="1"/>
  <c r="AL168" i="10"/>
  <c r="AJ168" i="10"/>
  <c r="AK168" i="10" s="1"/>
  <c r="AI168" i="10"/>
  <c r="AG168" i="10"/>
  <c r="AH168" i="10" s="1"/>
  <c r="AE168" i="10"/>
  <c r="AF168" i="10" s="1"/>
  <c r="AC168" i="10"/>
  <c r="AD168" i="10" s="1"/>
  <c r="AA168" i="10"/>
  <c r="AB168" i="10" s="1"/>
  <c r="Y168" i="10"/>
  <c r="Z168" i="10" s="1"/>
  <c r="X168" i="10"/>
  <c r="G168" i="10"/>
  <c r="E168" i="10"/>
  <c r="F168" i="10" s="1"/>
  <c r="C168" i="10"/>
  <c r="D168" i="10" s="1"/>
  <c r="D165" i="10"/>
  <c r="E165" i="10" s="1"/>
  <c r="F165" i="10" s="1"/>
  <c r="G165" i="10" s="1"/>
  <c r="X165" i="10" s="1"/>
  <c r="Y165" i="10" s="1"/>
  <c r="Z165" i="10" s="1"/>
  <c r="AA165" i="10" s="1"/>
  <c r="AB165" i="10" s="1"/>
  <c r="AC165" i="10" s="1"/>
  <c r="AD165" i="10" s="1"/>
  <c r="AE165" i="10" s="1"/>
  <c r="AF165" i="10" s="1"/>
  <c r="AG165" i="10" s="1"/>
  <c r="AH165" i="10" s="1"/>
  <c r="AI165" i="10" s="1"/>
  <c r="AJ165" i="10" s="1"/>
  <c r="AK165" i="10" s="1"/>
  <c r="AL165" i="10" s="1"/>
  <c r="AM165" i="10" s="1"/>
  <c r="AN165" i="10" s="1"/>
  <c r="AO165" i="10" s="1"/>
  <c r="AP165" i="10" s="1"/>
  <c r="AQ165" i="10" s="1"/>
  <c r="AR165" i="10" s="1"/>
  <c r="AS165" i="10" s="1"/>
  <c r="AT165" i="10" s="1"/>
  <c r="AU165" i="10" s="1"/>
  <c r="AV165" i="10" s="1"/>
  <c r="AW165" i="10" s="1"/>
  <c r="AX165" i="10" s="1"/>
  <c r="AY165" i="10" s="1"/>
  <c r="AZ165" i="10" s="1"/>
  <c r="BA165" i="10" s="1"/>
  <c r="BB165" i="10" s="1"/>
  <c r="BC165" i="10" s="1"/>
  <c r="C159" i="10"/>
  <c r="D159" i="10" s="1"/>
  <c r="E159" i="10" s="1"/>
  <c r="F159" i="10" s="1"/>
  <c r="G159" i="10" s="1"/>
  <c r="X159" i="10" s="1"/>
  <c r="Y159" i="10" s="1"/>
  <c r="Z159" i="10" s="1"/>
  <c r="AA159" i="10" s="1"/>
  <c r="AB159" i="10" s="1"/>
  <c r="AC159" i="10" s="1"/>
  <c r="AD159" i="10" s="1"/>
  <c r="AE159" i="10" s="1"/>
  <c r="AF159" i="10" s="1"/>
  <c r="AG159" i="10" s="1"/>
  <c r="AH159" i="10" s="1"/>
  <c r="AI159" i="10" s="1"/>
  <c r="AJ159" i="10" s="1"/>
  <c r="AK159" i="10" s="1"/>
  <c r="AL159" i="10" s="1"/>
  <c r="AM159" i="10" s="1"/>
  <c r="AN159" i="10" s="1"/>
  <c r="AO159" i="10" s="1"/>
  <c r="AP159" i="10" s="1"/>
  <c r="AQ159" i="10" s="1"/>
  <c r="AR159" i="10" s="1"/>
  <c r="AS159" i="10" s="1"/>
  <c r="AT159" i="10" s="1"/>
  <c r="AU159" i="10" s="1"/>
  <c r="AV159" i="10" s="1"/>
  <c r="AW159" i="10" s="1"/>
  <c r="AX159" i="10" s="1"/>
  <c r="AY159" i="10" s="1"/>
  <c r="AZ159" i="10" s="1"/>
  <c r="BA159" i="10" s="1"/>
  <c r="BB159" i="10" s="1"/>
  <c r="BC159" i="10" s="1"/>
  <c r="C157" i="10"/>
  <c r="D157" i="10" s="1"/>
  <c r="E157" i="10" s="1"/>
  <c r="F157" i="10" s="1"/>
  <c r="G157" i="10" s="1"/>
  <c r="X157" i="10" s="1"/>
  <c r="Y157" i="10" s="1"/>
  <c r="Z157" i="10" s="1"/>
  <c r="AA157" i="10" s="1"/>
  <c r="AB157" i="10" s="1"/>
  <c r="AC157" i="10" s="1"/>
  <c r="AD157" i="10" s="1"/>
  <c r="AE157" i="10" s="1"/>
  <c r="AF157" i="10" s="1"/>
  <c r="AG157" i="10" s="1"/>
  <c r="AH157" i="10" s="1"/>
  <c r="AI157" i="10" s="1"/>
  <c r="AJ157" i="10" s="1"/>
  <c r="AK157" i="10" s="1"/>
  <c r="AL157" i="10" s="1"/>
  <c r="AM157" i="10" s="1"/>
  <c r="AN157" i="10" s="1"/>
  <c r="AO157" i="10" s="1"/>
  <c r="AP157" i="10" s="1"/>
  <c r="AQ157" i="10" s="1"/>
  <c r="AR157" i="10" s="1"/>
  <c r="AS157" i="10" s="1"/>
  <c r="AT157" i="10" s="1"/>
  <c r="AU157" i="10" s="1"/>
  <c r="AV157" i="10" s="1"/>
  <c r="AW157" i="10" s="1"/>
  <c r="AX157" i="10" s="1"/>
  <c r="AY157" i="10" s="1"/>
  <c r="AZ157" i="10" s="1"/>
  <c r="BA157" i="10" s="1"/>
  <c r="BB157" i="10" s="1"/>
  <c r="BC157" i="10" s="1"/>
  <c r="D154" i="10"/>
  <c r="E154" i="10" s="1"/>
  <c r="F154" i="10" s="1"/>
  <c r="G154" i="10" s="1"/>
  <c r="X154" i="10" s="1"/>
  <c r="Y154" i="10" s="1"/>
  <c r="Z154" i="10" s="1"/>
  <c r="AA154" i="10" s="1"/>
  <c r="AB154" i="10" s="1"/>
  <c r="AC154" i="10" s="1"/>
  <c r="AD154" i="10" s="1"/>
  <c r="AE154" i="10" s="1"/>
  <c r="AF154" i="10" s="1"/>
  <c r="AG154" i="10" s="1"/>
  <c r="AH154" i="10" s="1"/>
  <c r="AI154" i="10" s="1"/>
  <c r="AJ154" i="10" s="1"/>
  <c r="AK154" i="10" s="1"/>
  <c r="AL154" i="10" s="1"/>
  <c r="AM154" i="10" s="1"/>
  <c r="AN154" i="10" s="1"/>
  <c r="AO154" i="10" s="1"/>
  <c r="AP154" i="10" s="1"/>
  <c r="AQ154" i="10" s="1"/>
  <c r="AR154" i="10" s="1"/>
  <c r="AS154" i="10" s="1"/>
  <c r="AT154" i="10" s="1"/>
  <c r="AU154" i="10" s="1"/>
  <c r="AV154" i="10" s="1"/>
  <c r="AW154" i="10" s="1"/>
  <c r="AX154" i="10" s="1"/>
  <c r="AY154" i="10" s="1"/>
  <c r="AZ154" i="10" s="1"/>
  <c r="BA154" i="10" s="1"/>
  <c r="BB154" i="10" s="1"/>
  <c r="BC154" i="10" s="1"/>
  <c r="C9" i="10"/>
  <c r="C6" i="10"/>
  <c r="AR178" i="8"/>
  <c r="AS178" i="8" s="1"/>
  <c r="AT178" i="8"/>
  <c r="AU178" i="8"/>
  <c r="AV178" i="8"/>
  <c r="AW178" i="8"/>
  <c r="AX178" i="8"/>
  <c r="AY178" i="8" s="1"/>
  <c r="AZ178" i="8"/>
  <c r="BA178" i="8"/>
  <c r="AR180" i="8"/>
  <c r="AS180" i="8"/>
  <c r="AT180" i="8"/>
  <c r="AU180" i="8"/>
  <c r="AV180" i="8"/>
  <c r="AW180" i="8"/>
  <c r="AX180" i="8"/>
  <c r="AY180" i="8"/>
  <c r="AZ180" i="8"/>
  <c r="BA180" i="8"/>
  <c r="AH178" i="8"/>
  <c r="AI178" i="8" s="1"/>
  <c r="AJ178" i="8"/>
  <c r="AK178" i="8"/>
  <c r="AL178" i="8"/>
  <c r="AM178" i="8"/>
  <c r="AN178" i="8"/>
  <c r="AO178" i="8" s="1"/>
  <c r="AP178" i="8"/>
  <c r="AQ178" i="8"/>
  <c r="AH180" i="8"/>
  <c r="AI180" i="8"/>
  <c r="AJ180" i="8"/>
  <c r="AK180" i="8"/>
  <c r="AL180" i="8"/>
  <c r="AM180" i="8"/>
  <c r="AN180" i="8"/>
  <c r="AO180" i="8"/>
  <c r="AP180" i="8"/>
  <c r="AQ180" i="8"/>
  <c r="E178" i="8"/>
  <c r="F178" i="8" s="1"/>
  <c r="G178" i="8"/>
  <c r="H178" i="8" s="1"/>
  <c r="I178" i="8"/>
  <c r="J178" i="8" s="1"/>
  <c r="K178" i="8"/>
  <c r="L178" i="8" s="1"/>
  <c r="M178" i="8"/>
  <c r="N178" i="8" s="1"/>
  <c r="O178" i="8"/>
  <c r="P178" i="8" s="1"/>
  <c r="Q178" i="8"/>
  <c r="R178" i="8" s="1"/>
  <c r="S178" i="8"/>
  <c r="T178" i="8" s="1"/>
  <c r="U178" i="8"/>
  <c r="V178" i="8" s="1"/>
  <c r="W178" i="8"/>
  <c r="X178" i="8" s="1"/>
  <c r="Y178" i="8"/>
  <c r="Z178" i="8" s="1"/>
  <c r="AA178" i="8"/>
  <c r="AB178" i="8" s="1"/>
  <c r="AC178" i="8"/>
  <c r="AD178" i="8" s="1"/>
  <c r="AE178" i="8"/>
  <c r="AF178" i="8" s="1"/>
  <c r="AG178" i="8"/>
  <c r="C167" i="8"/>
  <c r="D167" i="8" s="1"/>
  <c r="E167" i="8" s="1"/>
  <c r="F167" i="8" s="1"/>
  <c r="G167" i="8" s="1"/>
  <c r="H167" i="8" s="1"/>
  <c r="I167" i="8" s="1"/>
  <c r="J167" i="8" s="1"/>
  <c r="K167" i="8" s="1"/>
  <c r="L167" i="8" s="1"/>
  <c r="M167" i="8" s="1"/>
  <c r="N167" i="8" s="1"/>
  <c r="O167" i="8" s="1"/>
  <c r="P167" i="8" s="1"/>
  <c r="Q167" i="8" s="1"/>
  <c r="R167" i="8" s="1"/>
  <c r="S167" i="8" s="1"/>
  <c r="AG180" i="8"/>
  <c r="S169" i="8"/>
  <c r="T169" i="8"/>
  <c r="U169" i="8" s="1"/>
  <c r="V169" i="8" s="1"/>
  <c r="W169" i="8" s="1"/>
  <c r="X169" i="8" s="1"/>
  <c r="Y169" i="8" s="1"/>
  <c r="Z169" i="8" s="1"/>
  <c r="AA169" i="8" s="1"/>
  <c r="AB169" i="8" s="1"/>
  <c r="AC169" i="8" s="1"/>
  <c r="AD169" i="8" s="1"/>
  <c r="AE169" i="8" s="1"/>
  <c r="AF169" i="8" s="1"/>
  <c r="AG169" i="8" s="1"/>
  <c r="AH169" i="8" s="1"/>
  <c r="AI169" i="8" s="1"/>
  <c r="AJ169" i="8" s="1"/>
  <c r="AK169" i="8" s="1"/>
  <c r="AL169" i="8" s="1"/>
  <c r="AM169" i="8" s="1"/>
  <c r="AN169" i="8" s="1"/>
  <c r="AO169" i="8" s="1"/>
  <c r="AP169" i="8" s="1"/>
  <c r="AQ169" i="8" s="1"/>
  <c r="AR169" i="8" s="1"/>
  <c r="AS169" i="8" s="1"/>
  <c r="AT169" i="8" s="1"/>
  <c r="AU169" i="8" s="1"/>
  <c r="AV169" i="8" s="1"/>
  <c r="AW169" i="8" s="1"/>
  <c r="AX169" i="8" s="1"/>
  <c r="AY169" i="8" s="1"/>
  <c r="AZ169" i="8" s="1"/>
  <c r="BA169" i="8" s="1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AF180" i="8"/>
  <c r="C178" i="8"/>
  <c r="D178" i="8" s="1"/>
  <c r="R180" i="8"/>
  <c r="Q180" i="8"/>
  <c r="P180" i="8"/>
  <c r="O180" i="8"/>
  <c r="N180" i="8"/>
  <c r="M180" i="8"/>
  <c r="L180" i="8"/>
  <c r="K180" i="8"/>
  <c r="J180" i="8"/>
  <c r="I180" i="8"/>
  <c r="H180" i="8"/>
  <c r="G180" i="8"/>
  <c r="F180" i="8"/>
  <c r="E180" i="8"/>
  <c r="D180" i="8"/>
  <c r="C180" i="8"/>
  <c r="D175" i="8"/>
  <c r="E175" i="8" s="1"/>
  <c r="F175" i="8" s="1"/>
  <c r="G175" i="8" s="1"/>
  <c r="H175" i="8" s="1"/>
  <c r="I175" i="8" s="1"/>
  <c r="J175" i="8" s="1"/>
  <c r="K175" i="8" s="1"/>
  <c r="L175" i="8" s="1"/>
  <c r="M175" i="8" s="1"/>
  <c r="N175" i="8" s="1"/>
  <c r="O175" i="8" s="1"/>
  <c r="P175" i="8" s="1"/>
  <c r="Q175" i="8" s="1"/>
  <c r="R175" i="8" s="1"/>
  <c r="S175" i="8" s="1"/>
  <c r="T175" i="8" s="1"/>
  <c r="U175" i="8" s="1"/>
  <c r="V175" i="8" s="1"/>
  <c r="W175" i="8" s="1"/>
  <c r="X175" i="8" s="1"/>
  <c r="Y175" i="8" s="1"/>
  <c r="Z175" i="8" s="1"/>
  <c r="AA175" i="8" s="1"/>
  <c r="AB175" i="8" s="1"/>
  <c r="AC175" i="8" s="1"/>
  <c r="AD175" i="8" s="1"/>
  <c r="AE175" i="8" s="1"/>
  <c r="AF175" i="8" s="1"/>
  <c r="AG175" i="8" s="1"/>
  <c r="AH175" i="8" s="1"/>
  <c r="AI175" i="8" s="1"/>
  <c r="AJ175" i="8" s="1"/>
  <c r="AK175" i="8" s="1"/>
  <c r="AL175" i="8" s="1"/>
  <c r="AM175" i="8" s="1"/>
  <c r="AN175" i="8" s="1"/>
  <c r="AO175" i="8" s="1"/>
  <c r="AP175" i="8" s="1"/>
  <c r="AQ175" i="8" s="1"/>
  <c r="AR175" i="8" s="1"/>
  <c r="AS175" i="8" s="1"/>
  <c r="AT175" i="8" s="1"/>
  <c r="AU175" i="8" s="1"/>
  <c r="AV175" i="8" s="1"/>
  <c r="AW175" i="8" s="1"/>
  <c r="AX175" i="8" s="1"/>
  <c r="AY175" i="8" s="1"/>
  <c r="AZ175" i="8" s="1"/>
  <c r="BA175" i="8" s="1"/>
  <c r="C169" i="8"/>
  <c r="D169" i="8" s="1"/>
  <c r="E169" i="8" s="1"/>
  <c r="F169" i="8" s="1"/>
  <c r="G169" i="8" s="1"/>
  <c r="H169" i="8" s="1"/>
  <c r="I169" i="8" s="1"/>
  <c r="J169" i="8" s="1"/>
  <c r="K169" i="8" s="1"/>
  <c r="L169" i="8" s="1"/>
  <c r="M169" i="8" s="1"/>
  <c r="N169" i="8" s="1"/>
  <c r="O169" i="8" s="1"/>
  <c r="P169" i="8" s="1"/>
  <c r="Q169" i="8" s="1"/>
  <c r="R169" i="8" s="1"/>
  <c r="D164" i="8"/>
  <c r="E164" i="8" s="1"/>
  <c r="F164" i="8" s="1"/>
  <c r="G164" i="8" s="1"/>
  <c r="H164" i="8" s="1"/>
  <c r="I164" i="8" s="1"/>
  <c r="J164" i="8" s="1"/>
  <c r="K164" i="8" s="1"/>
  <c r="L164" i="8" s="1"/>
  <c r="M164" i="8" s="1"/>
  <c r="N164" i="8" s="1"/>
  <c r="O164" i="8" s="1"/>
  <c r="P164" i="8" s="1"/>
  <c r="Q164" i="8" s="1"/>
  <c r="R164" i="8" s="1"/>
  <c r="S164" i="8" s="1"/>
  <c r="T164" i="8" s="1"/>
  <c r="U164" i="8" s="1"/>
  <c r="V164" i="8" s="1"/>
  <c r="W164" i="8" s="1"/>
  <c r="X164" i="8" s="1"/>
  <c r="Y164" i="8" s="1"/>
  <c r="Z164" i="8" s="1"/>
  <c r="AA164" i="8" s="1"/>
  <c r="AB164" i="8" s="1"/>
  <c r="AC164" i="8" s="1"/>
  <c r="AD164" i="8" s="1"/>
  <c r="AE164" i="8" s="1"/>
  <c r="AF164" i="8" s="1"/>
  <c r="AG164" i="8" s="1"/>
  <c r="AH164" i="8" s="1"/>
  <c r="AI164" i="8" s="1"/>
  <c r="AJ164" i="8" s="1"/>
  <c r="AK164" i="8" s="1"/>
  <c r="AL164" i="8" s="1"/>
  <c r="AM164" i="8" s="1"/>
  <c r="AN164" i="8" s="1"/>
  <c r="AO164" i="8" s="1"/>
  <c r="AP164" i="8" s="1"/>
  <c r="AQ164" i="8" s="1"/>
  <c r="AR164" i="8" s="1"/>
  <c r="AS164" i="8" s="1"/>
  <c r="AT164" i="8" s="1"/>
  <c r="AU164" i="8" s="1"/>
  <c r="AV164" i="8" s="1"/>
  <c r="AW164" i="8" s="1"/>
  <c r="AX164" i="8" s="1"/>
  <c r="AY164" i="8" s="1"/>
  <c r="AZ164" i="8" s="1"/>
  <c r="BA164" i="8" s="1"/>
  <c r="D22" i="5"/>
  <c r="D7" i="5"/>
  <c r="C5" i="8"/>
  <c r="C14" i="8" s="1"/>
  <c r="E14" i="8" s="1"/>
  <c r="C9" i="8"/>
  <c r="C6" i="8"/>
  <c r="C34" i="2"/>
  <c r="C35" i="2" s="1"/>
  <c r="C92" i="8"/>
  <c r="D92" i="8" s="1"/>
  <c r="E92" i="8" s="1"/>
  <c r="F92" i="8" s="1"/>
  <c r="G92" i="8" s="1"/>
  <c r="H92" i="8" s="1"/>
  <c r="I92" i="8" s="1"/>
  <c r="J92" i="8" s="1"/>
  <c r="K92" i="8" s="1"/>
  <c r="L92" i="8" s="1"/>
  <c r="M92" i="8" s="1"/>
  <c r="N92" i="8" s="1"/>
  <c r="O92" i="8" s="1"/>
  <c r="P92" i="8" s="1"/>
  <c r="Q92" i="8" s="1"/>
  <c r="R92" i="8" s="1"/>
  <c r="D90" i="8"/>
  <c r="E90" i="8" s="1"/>
  <c r="F90" i="8" s="1"/>
  <c r="G90" i="8" s="1"/>
  <c r="H90" i="8" s="1"/>
  <c r="I90" i="8" s="1"/>
  <c r="J90" i="8" s="1"/>
  <c r="K90" i="8" s="1"/>
  <c r="L90" i="8" s="1"/>
  <c r="M90" i="8" s="1"/>
  <c r="N90" i="8" s="1"/>
  <c r="O90" i="8" s="1"/>
  <c r="P90" i="8" s="1"/>
  <c r="Q90" i="8" s="1"/>
  <c r="R90" i="8" s="1"/>
  <c r="D87" i="8"/>
  <c r="E87" i="8" s="1"/>
  <c r="F87" i="8" s="1"/>
  <c r="G87" i="8" s="1"/>
  <c r="H87" i="8" s="1"/>
  <c r="I87" i="8" s="1"/>
  <c r="J87" i="8" s="1"/>
  <c r="K87" i="8" s="1"/>
  <c r="L87" i="8" s="1"/>
  <c r="M87" i="8" s="1"/>
  <c r="N87" i="8" s="1"/>
  <c r="O87" i="8" s="1"/>
  <c r="P87" i="8" s="1"/>
  <c r="Q87" i="8" s="1"/>
  <c r="R87" i="8" s="1"/>
  <c r="F112" i="8"/>
  <c r="H112" i="8"/>
  <c r="J112" i="8"/>
  <c r="L112" i="8"/>
  <c r="N112" i="8"/>
  <c r="P112" i="8"/>
  <c r="R112" i="8"/>
  <c r="D112" i="8"/>
  <c r="R114" i="8"/>
  <c r="Q114" i="8"/>
  <c r="P114" i="8"/>
  <c r="O114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D109" i="8"/>
  <c r="E109" i="8" s="1"/>
  <c r="F109" i="8" s="1"/>
  <c r="G109" i="8" s="1"/>
  <c r="H109" i="8" s="1"/>
  <c r="I109" i="8" s="1"/>
  <c r="J109" i="8" s="1"/>
  <c r="K109" i="8" s="1"/>
  <c r="L109" i="8" s="1"/>
  <c r="M109" i="8" s="1"/>
  <c r="N109" i="8" s="1"/>
  <c r="O109" i="8" s="1"/>
  <c r="P109" i="8" s="1"/>
  <c r="Q109" i="8" s="1"/>
  <c r="R109" i="8" s="1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D101" i="8"/>
  <c r="D103" i="8"/>
  <c r="D98" i="8"/>
  <c r="E98" i="8" s="1"/>
  <c r="F98" i="8" s="1"/>
  <c r="G98" i="8" s="1"/>
  <c r="H98" i="8" s="1"/>
  <c r="I98" i="8" s="1"/>
  <c r="J98" i="8" s="1"/>
  <c r="K98" i="8" s="1"/>
  <c r="L98" i="8" s="1"/>
  <c r="M98" i="8" s="1"/>
  <c r="N98" i="8" s="1"/>
  <c r="O98" i="8" s="1"/>
  <c r="P98" i="8" s="1"/>
  <c r="Q98" i="8" s="1"/>
  <c r="R98" i="8" s="1"/>
  <c r="C101" i="8"/>
  <c r="C103" i="8"/>
  <c r="D75" i="8"/>
  <c r="E75" i="8" s="1"/>
  <c r="F75" i="8" s="1"/>
  <c r="G75" i="8" s="1"/>
  <c r="H75" i="8" s="1"/>
  <c r="I75" i="8" s="1"/>
  <c r="J75" i="8" s="1"/>
  <c r="K75" i="8" s="1"/>
  <c r="L75" i="8" s="1"/>
  <c r="M75" i="8" s="1"/>
  <c r="N75" i="8" s="1"/>
  <c r="O75" i="8" s="1"/>
  <c r="P75" i="8" s="1"/>
  <c r="Q75" i="8" s="1"/>
  <c r="R75" i="8" s="1"/>
  <c r="C80" i="8"/>
  <c r="D80" i="8" s="1"/>
  <c r="E80" i="8" s="1"/>
  <c r="F80" i="8" s="1"/>
  <c r="G80" i="8" s="1"/>
  <c r="H80" i="8" s="1"/>
  <c r="I80" i="8" s="1"/>
  <c r="J80" i="8" s="1"/>
  <c r="K80" i="8" s="1"/>
  <c r="L80" i="8" s="1"/>
  <c r="M80" i="8" s="1"/>
  <c r="N80" i="8" s="1"/>
  <c r="O80" i="8" s="1"/>
  <c r="P80" i="8" s="1"/>
  <c r="Q80" i="8" s="1"/>
  <c r="R80" i="8" s="1"/>
  <c r="C78" i="8"/>
  <c r="D78" i="8" s="1"/>
  <c r="E78" i="8" s="1"/>
  <c r="F78" i="8" s="1"/>
  <c r="G78" i="8" s="1"/>
  <c r="H78" i="8" s="1"/>
  <c r="I78" i="8" s="1"/>
  <c r="J78" i="8" s="1"/>
  <c r="K78" i="8" s="1"/>
  <c r="L78" i="8" s="1"/>
  <c r="M78" i="8" s="1"/>
  <c r="N78" i="8" s="1"/>
  <c r="O78" i="8" s="1"/>
  <c r="P78" i="8" s="1"/>
  <c r="Q78" i="8" s="1"/>
  <c r="R78" i="8" s="1"/>
  <c r="C8" i="8" l="1"/>
  <c r="C34" i="10"/>
  <c r="C12" i="10"/>
  <c r="C13" i="10"/>
  <c r="T167" i="8"/>
  <c r="U167" i="8" s="1"/>
  <c r="V167" i="8" s="1"/>
  <c r="W167" i="8" s="1"/>
  <c r="X167" i="8" s="1"/>
  <c r="Y167" i="8" s="1"/>
  <c r="Z167" i="8" s="1"/>
  <c r="AA167" i="8" s="1"/>
  <c r="AB167" i="8" s="1"/>
  <c r="AC167" i="8" s="1"/>
  <c r="AD167" i="8" s="1"/>
  <c r="AE167" i="8" s="1"/>
  <c r="AF167" i="8" s="1"/>
  <c r="AG167" i="8" s="1"/>
  <c r="AH167" i="8" s="1"/>
  <c r="AI167" i="8" s="1"/>
  <c r="AJ167" i="8" s="1"/>
  <c r="AK167" i="8" s="1"/>
  <c r="AL167" i="8" s="1"/>
  <c r="AM167" i="8" s="1"/>
  <c r="AN167" i="8" s="1"/>
  <c r="AO167" i="8" s="1"/>
  <c r="AP167" i="8" s="1"/>
  <c r="AQ167" i="8" s="1"/>
  <c r="AR167" i="8" s="1"/>
  <c r="AS167" i="8" s="1"/>
  <c r="AT167" i="8" s="1"/>
  <c r="AU167" i="8" s="1"/>
  <c r="AV167" i="8" s="1"/>
  <c r="AW167" i="8" s="1"/>
  <c r="AX167" i="8" s="1"/>
  <c r="AY167" i="8" s="1"/>
  <c r="AZ167" i="8" s="1"/>
  <c r="BA167" i="8" s="1"/>
  <c r="E18" i="8"/>
  <c r="X10" i="2"/>
  <c r="W10" i="2"/>
  <c r="I15" i="2"/>
  <c r="I14" i="2"/>
  <c r="I13" i="2"/>
  <c r="I12" i="2"/>
  <c r="I11" i="2"/>
  <c r="I10" i="2"/>
  <c r="I9" i="2"/>
  <c r="I8" i="2"/>
  <c r="I7" i="2"/>
  <c r="C17" i="10" l="1"/>
  <c r="C21" i="10" s="1"/>
  <c r="H17" i="10"/>
  <c r="F17" i="10"/>
  <c r="F21" i="10" s="1"/>
  <c r="R36" i="8"/>
  <c r="R37" i="8" s="1"/>
  <c r="C16" i="8"/>
  <c r="E16" i="8" s="1"/>
  <c r="F6" i="4"/>
  <c r="F7" i="4"/>
  <c r="H21" i="10" l="1"/>
  <c r="H18" i="10"/>
  <c r="H19" i="10" s="1"/>
  <c r="F18" i="10"/>
  <c r="F19" i="10" s="1"/>
  <c r="F22" i="10"/>
  <c r="F23" i="10" s="1"/>
  <c r="F37" i="10" s="1"/>
  <c r="F38" i="10" s="1"/>
  <c r="C18" i="10"/>
  <c r="C19" i="10" s="1"/>
  <c r="C22" i="10"/>
  <c r="C23" i="10" s="1"/>
  <c r="C37" i="10" s="1"/>
  <c r="C38" i="10" s="1"/>
  <c r="AX167" i="10"/>
  <c r="AN167" i="10"/>
  <c r="AE167" i="10"/>
  <c r="AZ167" i="10"/>
  <c r="D167" i="10"/>
  <c r="AQ167" i="10"/>
  <c r="AG167" i="10"/>
  <c r="AU167" i="10"/>
  <c r="AB167" i="10"/>
  <c r="AK167" i="10"/>
  <c r="BC167" i="10"/>
  <c r="Y167" i="10"/>
  <c r="AP167" i="10"/>
  <c r="AC167" i="10"/>
  <c r="AF167" i="10"/>
  <c r="AO167" i="10"/>
  <c r="AR167" i="10"/>
  <c r="AH167" i="10"/>
  <c r="BA167" i="10"/>
  <c r="C156" i="10"/>
  <c r="D156" i="10" s="1"/>
  <c r="E156" i="10" s="1"/>
  <c r="F156" i="10" s="1"/>
  <c r="G156" i="10" s="1"/>
  <c r="X156" i="10" s="1"/>
  <c r="Y156" i="10" s="1"/>
  <c r="Z156" i="10" s="1"/>
  <c r="AA156" i="10" s="1"/>
  <c r="AB156" i="10" s="1"/>
  <c r="AC156" i="10" s="1"/>
  <c r="AD156" i="10" s="1"/>
  <c r="AE156" i="10" s="1"/>
  <c r="AF156" i="10" s="1"/>
  <c r="AG156" i="10" s="1"/>
  <c r="AH156" i="10" s="1"/>
  <c r="AI156" i="10" s="1"/>
  <c r="AJ156" i="10" s="1"/>
  <c r="AK156" i="10" s="1"/>
  <c r="AL156" i="10" s="1"/>
  <c r="AM156" i="10" s="1"/>
  <c r="AN156" i="10" s="1"/>
  <c r="AO156" i="10" s="1"/>
  <c r="AP156" i="10" s="1"/>
  <c r="AQ156" i="10" s="1"/>
  <c r="AR156" i="10" s="1"/>
  <c r="AS156" i="10" s="1"/>
  <c r="AT156" i="10" s="1"/>
  <c r="AU156" i="10" s="1"/>
  <c r="AV156" i="10" s="1"/>
  <c r="AW156" i="10" s="1"/>
  <c r="AX156" i="10" s="1"/>
  <c r="AY156" i="10" s="1"/>
  <c r="AZ156" i="10" s="1"/>
  <c r="BA156" i="10" s="1"/>
  <c r="BB156" i="10" s="1"/>
  <c r="BC156" i="10" s="1"/>
  <c r="AT167" i="10"/>
  <c r="AW167" i="10"/>
  <c r="AI167" i="10"/>
  <c r="Z167" i="10"/>
  <c r="E167" i="10"/>
  <c r="AL167" i="10"/>
  <c r="G167" i="10"/>
  <c r="AS167" i="10"/>
  <c r="AD167" i="10"/>
  <c r="X167" i="10"/>
  <c r="AA167" i="10"/>
  <c r="AJ167" i="10"/>
  <c r="AM167" i="10"/>
  <c r="C167" i="10"/>
  <c r="C171" i="10" s="1"/>
  <c r="BB167" i="10"/>
  <c r="F167" i="10"/>
  <c r="AV167" i="10"/>
  <c r="AY167" i="10"/>
  <c r="B29" i="1"/>
  <c r="B28" i="1"/>
  <c r="B27" i="1"/>
  <c r="P5" i="7"/>
  <c r="C16" i="7"/>
  <c r="C14" i="7"/>
  <c r="B53" i="6"/>
  <c r="B51" i="6"/>
  <c r="B48" i="6"/>
  <c r="B43" i="6"/>
  <c r="B41" i="6"/>
  <c r="B42" i="6" s="1"/>
  <c r="B20" i="6"/>
  <c r="B21" i="6"/>
  <c r="B10" i="6"/>
  <c r="B8" i="6"/>
  <c r="B6" i="6"/>
  <c r="B7" i="6" s="1"/>
  <c r="B19" i="5"/>
  <c r="I19" i="5"/>
  <c r="C16" i="5"/>
  <c r="B45" i="6" s="1"/>
  <c r="O7" i="5"/>
  <c r="B18" i="1"/>
  <c r="B19" i="1"/>
  <c r="Q5" i="5" s="1"/>
  <c r="B17" i="1"/>
  <c r="O6" i="5" s="1"/>
  <c r="B12" i="1"/>
  <c r="B10" i="1"/>
  <c r="I5" i="5" s="1"/>
  <c r="B5" i="1"/>
  <c r="B6" i="1"/>
  <c r="G3" i="4" s="1"/>
  <c r="B4" i="1"/>
  <c r="H22" i="10" l="1"/>
  <c r="H23" i="10" s="1"/>
  <c r="H37" i="10" s="1"/>
  <c r="H38" i="10" s="1"/>
  <c r="C160" i="10"/>
  <c r="C19" i="8"/>
  <c r="G4" i="4"/>
  <c r="K9" i="5"/>
  <c r="B27" i="6" s="1"/>
  <c r="D14" i="5"/>
  <c r="B49" i="6" s="1"/>
  <c r="D17" i="5"/>
  <c r="K17" i="5"/>
  <c r="J6" i="5"/>
  <c r="L37" i="4"/>
  <c r="I6" i="5"/>
  <c r="J14" i="5"/>
  <c r="B15" i="6" s="1"/>
  <c r="S21" i="4"/>
  <c r="B6" i="5"/>
  <c r="B14" i="5" s="1"/>
  <c r="B47" i="6" s="1"/>
  <c r="B7" i="5"/>
  <c r="B24" i="5"/>
  <c r="I24" i="5"/>
  <c r="N10" i="4"/>
  <c r="C18" i="4"/>
  <c r="L13" i="4"/>
  <c r="C15" i="7"/>
  <c r="N15" i="2"/>
  <c r="I33" i="2"/>
  <c r="B38" i="6" s="1"/>
  <c r="I34" i="2"/>
  <c r="I35" i="2"/>
  <c r="I36" i="2"/>
  <c r="I37" i="2"/>
  <c r="I38" i="2"/>
  <c r="I39" i="2"/>
  <c r="I40" i="2"/>
  <c r="N40" i="2" s="1"/>
  <c r="I32" i="2"/>
  <c r="B36" i="6" s="1"/>
  <c r="E19" i="8" l="1"/>
  <c r="C22" i="8"/>
  <c r="AZ169" i="10"/>
  <c r="AN169" i="10"/>
  <c r="AB169" i="10"/>
  <c r="AY169" i="10"/>
  <c r="AM169" i="10"/>
  <c r="AA169" i="10"/>
  <c r="AX169" i="10"/>
  <c r="AL169" i="10"/>
  <c r="Z169" i="10"/>
  <c r="AW169" i="10"/>
  <c r="AK169" i="10"/>
  <c r="Y169" i="10"/>
  <c r="AV169" i="10"/>
  <c r="AJ169" i="10"/>
  <c r="X169" i="10"/>
  <c r="AU169" i="10"/>
  <c r="AI169" i="10"/>
  <c r="AT169" i="10"/>
  <c r="AH169" i="10"/>
  <c r="AS169" i="10"/>
  <c r="AG169" i="10"/>
  <c r="G169" i="10"/>
  <c r="AR169" i="10"/>
  <c r="AF169" i="10"/>
  <c r="F169" i="10"/>
  <c r="BB169" i="10"/>
  <c r="AP169" i="10"/>
  <c r="AD169" i="10"/>
  <c r="D169" i="10"/>
  <c r="BA169" i="10"/>
  <c r="AO169" i="10"/>
  <c r="AC169" i="10"/>
  <c r="C169" i="10"/>
  <c r="C172" i="10" s="1"/>
  <c r="D166" i="10" s="1"/>
  <c r="AQ169" i="10"/>
  <c r="AE169" i="10"/>
  <c r="E169" i="10"/>
  <c r="BC169" i="10"/>
  <c r="C158" i="10"/>
  <c r="C17" i="8"/>
  <c r="C15" i="8"/>
  <c r="C20" i="8" s="1"/>
  <c r="N36" i="2"/>
  <c r="N43" i="2" s="1"/>
  <c r="B37" i="6"/>
  <c r="C17" i="7"/>
  <c r="K8" i="5"/>
  <c r="B24" i="6" s="1"/>
  <c r="K14" i="5"/>
  <c r="B16" i="6" s="1"/>
  <c r="J7" i="5"/>
  <c r="J9" i="5"/>
  <c r="B26" i="6" s="1"/>
  <c r="J8" i="5"/>
  <c r="B23" i="6" s="1"/>
  <c r="I7" i="5"/>
  <c r="I29" i="5" s="1"/>
  <c r="I8" i="5"/>
  <c r="B22" i="6" s="1"/>
  <c r="I9" i="5"/>
  <c r="B25" i="6" s="1"/>
  <c r="B3" i="6"/>
  <c r="J15" i="5"/>
  <c r="B18" i="6" s="1"/>
  <c r="N11" i="2"/>
  <c r="N18" i="2" s="1"/>
  <c r="B2" i="6"/>
  <c r="I26" i="5"/>
  <c r="B1" i="6"/>
  <c r="N31" i="2"/>
  <c r="N32" i="2" s="1"/>
  <c r="N33" i="2" s="1"/>
  <c r="N38" i="2"/>
  <c r="I43" i="2"/>
  <c r="B27" i="5" s="1"/>
  <c r="B26" i="5"/>
  <c r="I18" i="2"/>
  <c r="I27" i="5" s="1"/>
  <c r="B25" i="5"/>
  <c r="I22" i="5"/>
  <c r="B29" i="5"/>
  <c r="I25" i="5"/>
  <c r="B22" i="5"/>
  <c r="N13" i="2"/>
  <c r="N6" i="2"/>
  <c r="N7" i="2" s="1"/>
  <c r="B30" i="5" l="1"/>
  <c r="B32" i="5" s="1"/>
  <c r="D32" i="5" s="1"/>
  <c r="E22" i="5"/>
  <c r="E22" i="8"/>
  <c r="F22" i="8" s="1"/>
  <c r="G22" i="8" s="1"/>
  <c r="E17" i="8"/>
  <c r="C21" i="8"/>
  <c r="C23" i="8" s="1"/>
  <c r="C24" i="8" s="1"/>
  <c r="K7" i="5"/>
  <c r="I30" i="5" s="1"/>
  <c r="K19" i="5" s="1"/>
  <c r="K22" i="5" s="1"/>
  <c r="N25" i="5"/>
  <c r="D171" i="10"/>
  <c r="D172" i="10" s="1"/>
  <c r="E166" i="10" s="1"/>
  <c r="D158" i="10"/>
  <c r="E158" i="10" s="1"/>
  <c r="F158" i="10" s="1"/>
  <c r="G158" i="10" s="1"/>
  <c r="X158" i="10" s="1"/>
  <c r="Y158" i="10" s="1"/>
  <c r="Z158" i="10" s="1"/>
  <c r="AA158" i="10" s="1"/>
  <c r="AB158" i="10" s="1"/>
  <c r="AC158" i="10" s="1"/>
  <c r="AD158" i="10" s="1"/>
  <c r="AE158" i="10" s="1"/>
  <c r="AF158" i="10" s="1"/>
  <c r="AG158" i="10" s="1"/>
  <c r="AH158" i="10" s="1"/>
  <c r="AI158" i="10" s="1"/>
  <c r="AJ158" i="10" s="1"/>
  <c r="AK158" i="10" s="1"/>
  <c r="AL158" i="10" s="1"/>
  <c r="AM158" i="10" s="1"/>
  <c r="AN158" i="10" s="1"/>
  <c r="AO158" i="10" s="1"/>
  <c r="AP158" i="10" s="1"/>
  <c r="AQ158" i="10" s="1"/>
  <c r="AR158" i="10" s="1"/>
  <c r="AS158" i="10" s="1"/>
  <c r="AT158" i="10" s="1"/>
  <c r="AU158" i="10" s="1"/>
  <c r="AV158" i="10" s="1"/>
  <c r="AW158" i="10" s="1"/>
  <c r="AX158" i="10" s="1"/>
  <c r="AY158" i="10" s="1"/>
  <c r="AZ158" i="10" s="1"/>
  <c r="BA158" i="10" s="1"/>
  <c r="BB158" i="10" s="1"/>
  <c r="BC158" i="10" s="1"/>
  <c r="C161" i="10"/>
  <c r="D155" i="10" s="1"/>
  <c r="E15" i="8"/>
  <c r="N46" i="2"/>
  <c r="N50" i="2" s="1"/>
  <c r="B39" i="6" s="1"/>
  <c r="N42" i="2"/>
  <c r="N47" i="2" s="1"/>
  <c r="C29" i="8"/>
  <c r="C28" i="8"/>
  <c r="F58" i="8" s="1"/>
  <c r="C27" i="8"/>
  <c r="J16" i="5"/>
  <c r="N23" i="5" s="1"/>
  <c r="N17" i="2"/>
  <c r="N22" i="2" s="1"/>
  <c r="N39" i="2"/>
  <c r="N35" i="2"/>
  <c r="N8" i="2"/>
  <c r="N14" i="2" s="1"/>
  <c r="N21" i="2"/>
  <c r="N25" i="2" s="1"/>
  <c r="I32" i="5" l="1"/>
  <c r="K32" i="5" s="1"/>
  <c r="I31" i="5"/>
  <c r="B31" i="5"/>
  <c r="E21" i="8"/>
  <c r="F21" i="8" s="1"/>
  <c r="G21" i="8" s="1"/>
  <c r="E171" i="10"/>
  <c r="E172" i="10" s="1"/>
  <c r="F166" i="10" s="1"/>
  <c r="D160" i="10"/>
  <c r="D161" i="10" s="1"/>
  <c r="E155" i="10" s="1"/>
  <c r="C89" i="8"/>
  <c r="D89" i="8" s="1"/>
  <c r="E89" i="8" s="1"/>
  <c r="F89" i="8" s="1"/>
  <c r="G89" i="8" s="1"/>
  <c r="H89" i="8" s="1"/>
  <c r="I89" i="8" s="1"/>
  <c r="J89" i="8" s="1"/>
  <c r="K89" i="8" s="1"/>
  <c r="L89" i="8" s="1"/>
  <c r="M89" i="8" s="1"/>
  <c r="N89" i="8" s="1"/>
  <c r="O89" i="8" s="1"/>
  <c r="P89" i="8" s="1"/>
  <c r="Q89" i="8" s="1"/>
  <c r="R89" i="8" s="1"/>
  <c r="AZ177" i="8"/>
  <c r="BA177" i="8"/>
  <c r="AO177" i="8"/>
  <c r="AP177" i="8"/>
  <c r="AB177" i="8"/>
  <c r="L177" i="8"/>
  <c r="AQ177" i="8"/>
  <c r="AC177" i="8"/>
  <c r="K177" i="8"/>
  <c r="AD177" i="8"/>
  <c r="J177" i="8"/>
  <c r="C166" i="8"/>
  <c r="S177" i="8"/>
  <c r="AE177" i="8"/>
  <c r="I177" i="8"/>
  <c r="AU177" i="8"/>
  <c r="AH177" i="8"/>
  <c r="AG177" i="8"/>
  <c r="T177" i="8"/>
  <c r="AF177" i="8"/>
  <c r="H177" i="8"/>
  <c r="AV177" i="8"/>
  <c r="AI177" i="8"/>
  <c r="U177" i="8"/>
  <c r="G177" i="8"/>
  <c r="AR177" i="8"/>
  <c r="AS177" i="8"/>
  <c r="AT177" i="8"/>
  <c r="AW177" i="8"/>
  <c r="AJ177" i="8"/>
  <c r="V177" i="8"/>
  <c r="R177" i="8"/>
  <c r="F177" i="8"/>
  <c r="AK177" i="8"/>
  <c r="W177" i="8"/>
  <c r="Q177" i="8"/>
  <c r="E177" i="8"/>
  <c r="AL177" i="8"/>
  <c r="X177" i="8"/>
  <c r="P177" i="8"/>
  <c r="D177" i="8"/>
  <c r="AM177" i="8"/>
  <c r="Y177" i="8"/>
  <c r="O177" i="8"/>
  <c r="C177" i="8"/>
  <c r="C181" i="8" s="1"/>
  <c r="AN177" i="8"/>
  <c r="Z177" i="8"/>
  <c r="N177" i="8"/>
  <c r="AA177" i="8"/>
  <c r="M177" i="8"/>
  <c r="AX177" i="8"/>
  <c r="AY177" i="8"/>
  <c r="C13" i="7"/>
  <c r="B12" i="6"/>
  <c r="C31" i="8"/>
  <c r="D40" i="8" s="1"/>
  <c r="E20" i="8"/>
  <c r="F20" i="8" s="1"/>
  <c r="G20" i="8" s="1"/>
  <c r="G111" i="8"/>
  <c r="H100" i="8"/>
  <c r="N100" i="8"/>
  <c r="R100" i="8"/>
  <c r="H111" i="8"/>
  <c r="R111" i="8"/>
  <c r="F111" i="8"/>
  <c r="I100" i="8"/>
  <c r="N111" i="8"/>
  <c r="M100" i="8"/>
  <c r="D100" i="8"/>
  <c r="E100" i="8"/>
  <c r="G100" i="8"/>
  <c r="Q111" i="8"/>
  <c r="E111" i="8"/>
  <c r="J100" i="8"/>
  <c r="F100" i="8"/>
  <c r="P111" i="8"/>
  <c r="D111" i="8"/>
  <c r="K100" i="8"/>
  <c r="Q100" i="8"/>
  <c r="O111" i="8"/>
  <c r="C111" i="8"/>
  <c r="L100" i="8"/>
  <c r="I111" i="8"/>
  <c r="C100" i="8"/>
  <c r="M111" i="8"/>
  <c r="C77" i="8"/>
  <c r="D77" i="8" s="1"/>
  <c r="E77" i="8" s="1"/>
  <c r="F77" i="8" s="1"/>
  <c r="G77" i="8" s="1"/>
  <c r="H77" i="8" s="1"/>
  <c r="I77" i="8" s="1"/>
  <c r="J77" i="8" s="1"/>
  <c r="K77" i="8" s="1"/>
  <c r="L77" i="8" s="1"/>
  <c r="M77" i="8" s="1"/>
  <c r="N77" i="8" s="1"/>
  <c r="O77" i="8" s="1"/>
  <c r="P77" i="8" s="1"/>
  <c r="Q77" i="8" s="1"/>
  <c r="R77" i="8" s="1"/>
  <c r="L111" i="8"/>
  <c r="O100" i="8"/>
  <c r="K111" i="8"/>
  <c r="P100" i="8"/>
  <c r="J111" i="8"/>
  <c r="B4" i="6"/>
  <c r="O25" i="2"/>
  <c r="N45" i="2"/>
  <c r="N49" i="2" s="1"/>
  <c r="B40" i="6" s="1"/>
  <c r="D8" i="4"/>
  <c r="B38" i="5"/>
  <c r="C38" i="5"/>
  <c r="N10" i="2"/>
  <c r="N20" i="2" s="1"/>
  <c r="N24" i="2" s="1"/>
  <c r="J38" i="5" l="1"/>
  <c r="Q38" i="5" s="1"/>
  <c r="K38" i="5"/>
  <c r="R38" i="5" s="1"/>
  <c r="F171" i="10"/>
  <c r="F172" i="10" s="1"/>
  <c r="G166" i="10" s="1"/>
  <c r="E160" i="10"/>
  <c r="E161" i="10" s="1"/>
  <c r="F155" i="10" s="1"/>
  <c r="D166" i="8"/>
  <c r="E166" i="8" s="1"/>
  <c r="F166" i="8" s="1"/>
  <c r="G166" i="8" s="1"/>
  <c r="H166" i="8" s="1"/>
  <c r="I166" i="8" s="1"/>
  <c r="J166" i="8" s="1"/>
  <c r="K166" i="8" s="1"/>
  <c r="L166" i="8" s="1"/>
  <c r="M166" i="8" s="1"/>
  <c r="N166" i="8" s="1"/>
  <c r="O166" i="8" s="1"/>
  <c r="P166" i="8" s="1"/>
  <c r="Q166" i="8" s="1"/>
  <c r="R166" i="8" s="1"/>
  <c r="S166" i="8" s="1"/>
  <c r="T166" i="8" s="1"/>
  <c r="U166" i="8" s="1"/>
  <c r="V166" i="8" s="1"/>
  <c r="W166" i="8" s="1"/>
  <c r="X166" i="8" s="1"/>
  <c r="Y166" i="8" s="1"/>
  <c r="Z166" i="8" s="1"/>
  <c r="AA166" i="8" s="1"/>
  <c r="AB166" i="8" s="1"/>
  <c r="AC166" i="8" s="1"/>
  <c r="AD166" i="8" s="1"/>
  <c r="AE166" i="8" s="1"/>
  <c r="AF166" i="8" s="1"/>
  <c r="AG166" i="8" s="1"/>
  <c r="AH166" i="8" s="1"/>
  <c r="AI166" i="8" s="1"/>
  <c r="AJ166" i="8" s="1"/>
  <c r="AK166" i="8" s="1"/>
  <c r="AL166" i="8" s="1"/>
  <c r="AM166" i="8" s="1"/>
  <c r="AN166" i="8" s="1"/>
  <c r="AO166" i="8" s="1"/>
  <c r="AP166" i="8" s="1"/>
  <c r="AQ166" i="8" s="1"/>
  <c r="AR166" i="8" s="1"/>
  <c r="AS166" i="8" s="1"/>
  <c r="AT166" i="8" s="1"/>
  <c r="AU166" i="8" s="1"/>
  <c r="AV166" i="8" s="1"/>
  <c r="AW166" i="8" s="1"/>
  <c r="AX166" i="8" s="1"/>
  <c r="AY166" i="8" s="1"/>
  <c r="AZ166" i="8" s="1"/>
  <c r="BA166" i="8" s="1"/>
  <c r="C170" i="8"/>
  <c r="D39" i="8"/>
  <c r="E39" i="8"/>
  <c r="E43" i="8" s="1"/>
  <c r="E45" i="8" s="1"/>
  <c r="C39" i="8"/>
  <c r="C40" i="8"/>
  <c r="E40" i="8"/>
  <c r="B5" i="6"/>
  <c r="P19" i="4"/>
  <c r="P16" i="4"/>
  <c r="C91" i="8" l="1"/>
  <c r="D91" i="8" s="1"/>
  <c r="E91" i="8" s="1"/>
  <c r="F91" i="8" s="1"/>
  <c r="G91" i="8" s="1"/>
  <c r="H91" i="8" s="1"/>
  <c r="I91" i="8" s="1"/>
  <c r="J91" i="8" s="1"/>
  <c r="K91" i="8" s="1"/>
  <c r="L91" i="8" s="1"/>
  <c r="M91" i="8" s="1"/>
  <c r="N91" i="8" s="1"/>
  <c r="O91" i="8" s="1"/>
  <c r="P91" i="8" s="1"/>
  <c r="Q91" i="8" s="1"/>
  <c r="R91" i="8" s="1"/>
  <c r="C168" i="8"/>
  <c r="D168" i="8" s="1"/>
  <c r="E168" i="8" s="1"/>
  <c r="F168" i="8" s="1"/>
  <c r="G168" i="8" s="1"/>
  <c r="H168" i="8" s="1"/>
  <c r="I168" i="8" s="1"/>
  <c r="J168" i="8" s="1"/>
  <c r="K168" i="8" s="1"/>
  <c r="L168" i="8" s="1"/>
  <c r="M168" i="8" s="1"/>
  <c r="N168" i="8" s="1"/>
  <c r="O168" i="8" s="1"/>
  <c r="P168" i="8" s="1"/>
  <c r="Q168" i="8" s="1"/>
  <c r="R168" i="8" s="1"/>
  <c r="S168" i="8" s="1"/>
  <c r="T168" i="8" s="1"/>
  <c r="U168" i="8" s="1"/>
  <c r="V168" i="8" s="1"/>
  <c r="W168" i="8" s="1"/>
  <c r="X168" i="8" s="1"/>
  <c r="Y168" i="8" s="1"/>
  <c r="Z168" i="8" s="1"/>
  <c r="AA168" i="8" s="1"/>
  <c r="AB168" i="8" s="1"/>
  <c r="AC168" i="8" s="1"/>
  <c r="AD168" i="8" s="1"/>
  <c r="AE168" i="8" s="1"/>
  <c r="AF168" i="8" s="1"/>
  <c r="AG168" i="8" s="1"/>
  <c r="AH168" i="8" s="1"/>
  <c r="AI168" i="8" s="1"/>
  <c r="AJ168" i="8" s="1"/>
  <c r="AK168" i="8" s="1"/>
  <c r="AL168" i="8" s="1"/>
  <c r="AM168" i="8" s="1"/>
  <c r="AN168" i="8" s="1"/>
  <c r="AO168" i="8" s="1"/>
  <c r="AP168" i="8" s="1"/>
  <c r="AQ168" i="8" s="1"/>
  <c r="AR168" i="8" s="1"/>
  <c r="AS168" i="8" s="1"/>
  <c r="AT168" i="8" s="1"/>
  <c r="AU168" i="8" s="1"/>
  <c r="AV168" i="8" s="1"/>
  <c r="AW168" i="8" s="1"/>
  <c r="AX168" i="8" s="1"/>
  <c r="AY168" i="8" s="1"/>
  <c r="AZ168" i="8" s="1"/>
  <c r="BA168" i="8" s="1"/>
  <c r="N102" i="8"/>
  <c r="BA179" i="8"/>
  <c r="AQ179" i="8"/>
  <c r="AC179" i="8"/>
  <c r="Q179" i="8"/>
  <c r="E179" i="8"/>
  <c r="N179" i="8"/>
  <c r="F179" i="8"/>
  <c r="AR179" i="8"/>
  <c r="AD179" i="8"/>
  <c r="P179" i="8"/>
  <c r="D179" i="8"/>
  <c r="AT179" i="8"/>
  <c r="T179" i="8"/>
  <c r="AS179" i="8"/>
  <c r="AH179" i="8"/>
  <c r="S179" i="8"/>
  <c r="AE179" i="8"/>
  <c r="O179" i="8"/>
  <c r="C179" i="8"/>
  <c r="C182" i="8" s="1"/>
  <c r="D176" i="8" s="1"/>
  <c r="D181" i="8" s="1"/>
  <c r="AI179" i="8"/>
  <c r="R179" i="8"/>
  <c r="AF179" i="8"/>
  <c r="AU179" i="8"/>
  <c r="AJ179" i="8"/>
  <c r="U179" i="8"/>
  <c r="M179" i="8"/>
  <c r="AV179" i="8"/>
  <c r="AK179" i="8"/>
  <c r="V179" i="8"/>
  <c r="L179" i="8"/>
  <c r="AW179" i="8"/>
  <c r="AL179" i="8"/>
  <c r="AG179" i="8"/>
  <c r="W179" i="8"/>
  <c r="K179" i="8"/>
  <c r="AX179" i="8"/>
  <c r="AM179" i="8"/>
  <c r="X179" i="8"/>
  <c r="J179" i="8"/>
  <c r="AB179" i="8"/>
  <c r="AY179" i="8"/>
  <c r="AN179" i="8"/>
  <c r="Y179" i="8"/>
  <c r="I179" i="8"/>
  <c r="AO179" i="8"/>
  <c r="Z179" i="8"/>
  <c r="H179" i="8"/>
  <c r="AZ179" i="8"/>
  <c r="AP179" i="8"/>
  <c r="AA179" i="8"/>
  <c r="G179" i="8"/>
  <c r="F160" i="10"/>
  <c r="F161" i="10" s="1"/>
  <c r="G155" i="10" s="1"/>
  <c r="G171" i="10"/>
  <c r="G172" i="10" s="1"/>
  <c r="G102" i="8"/>
  <c r="H113" i="8"/>
  <c r="R102" i="8"/>
  <c r="M113" i="8"/>
  <c r="D102" i="8"/>
  <c r="M102" i="8"/>
  <c r="C79" i="8"/>
  <c r="D79" i="8" s="1"/>
  <c r="E79" i="8" s="1"/>
  <c r="F79" i="8" s="1"/>
  <c r="G79" i="8" s="1"/>
  <c r="H79" i="8" s="1"/>
  <c r="I79" i="8" s="1"/>
  <c r="J79" i="8" s="1"/>
  <c r="K79" i="8" s="1"/>
  <c r="L79" i="8" s="1"/>
  <c r="M79" i="8" s="1"/>
  <c r="N79" i="8" s="1"/>
  <c r="O79" i="8" s="1"/>
  <c r="P79" i="8" s="1"/>
  <c r="Q79" i="8" s="1"/>
  <c r="R79" i="8" s="1"/>
  <c r="E42" i="8"/>
  <c r="E44" i="8" s="1"/>
  <c r="E113" i="8"/>
  <c r="Q102" i="8"/>
  <c r="L102" i="8"/>
  <c r="F113" i="8"/>
  <c r="E102" i="8"/>
  <c r="D113" i="8"/>
  <c r="F102" i="8"/>
  <c r="N113" i="8"/>
  <c r="K102" i="8"/>
  <c r="C113" i="8"/>
  <c r="I113" i="8"/>
  <c r="J113" i="8"/>
  <c r="O113" i="8"/>
  <c r="D43" i="8"/>
  <c r="D45" i="8" s="1"/>
  <c r="P113" i="8"/>
  <c r="P102" i="8"/>
  <c r="J102" i="8"/>
  <c r="D42" i="8"/>
  <c r="D44" i="8" s="1"/>
  <c r="Q113" i="8"/>
  <c r="K113" i="8"/>
  <c r="C43" i="8"/>
  <c r="C45" i="8" s="1"/>
  <c r="H102" i="8"/>
  <c r="O102" i="8"/>
  <c r="I102" i="8"/>
  <c r="C42" i="8"/>
  <c r="C44" i="8" s="1"/>
  <c r="G113" i="8"/>
  <c r="L113" i="8"/>
  <c r="R113" i="8"/>
  <c r="C102" i="8"/>
  <c r="T38" i="5"/>
  <c r="S38" i="5"/>
  <c r="U38" i="5" s="1"/>
  <c r="C99" i="8" l="1"/>
  <c r="C104" i="8" s="1"/>
  <c r="C110" i="8"/>
  <c r="C115" i="8" s="1"/>
  <c r="C116" i="8" s="1"/>
  <c r="D110" i="8" s="1"/>
  <c r="D115" i="8" s="1"/>
  <c r="D182" i="8"/>
  <c r="E176" i="8" s="1"/>
  <c r="E181" i="8" s="1"/>
  <c r="E182" i="8" s="1"/>
  <c r="F176" i="8" s="1"/>
  <c r="F181" i="8" s="1"/>
  <c r="F182" i="8" s="1"/>
  <c r="G176" i="8" s="1"/>
  <c r="G181" i="8" s="1"/>
  <c r="G182" i="8" s="1"/>
  <c r="H176" i="8" s="1"/>
  <c r="H181" i="8" s="1"/>
  <c r="H182" i="8" s="1"/>
  <c r="I176" i="8" s="1"/>
  <c r="I181" i="8" s="1"/>
  <c r="I182" i="8" s="1"/>
  <c r="J176" i="8" s="1"/>
  <c r="J181" i="8" s="1"/>
  <c r="J182" i="8" s="1"/>
  <c r="K176" i="8" s="1"/>
  <c r="K181" i="8" s="1"/>
  <c r="K182" i="8" s="1"/>
  <c r="L176" i="8" s="1"/>
  <c r="L181" i="8" s="1"/>
  <c r="L182" i="8" s="1"/>
  <c r="M176" i="8" s="1"/>
  <c r="C76" i="8"/>
  <c r="C81" i="8" s="1"/>
  <c r="C82" i="8" s="1"/>
  <c r="D76" i="8" s="1"/>
  <c r="D81" i="8" s="1"/>
  <c r="C88" i="8"/>
  <c r="C93" i="8" s="1"/>
  <c r="C94" i="8" s="1"/>
  <c r="D88" i="8" s="1"/>
  <c r="D93" i="8" s="1"/>
  <c r="D94" i="8" s="1"/>
  <c r="E88" i="8" s="1"/>
  <c r="E93" i="8" s="1"/>
  <c r="E94" i="8" s="1"/>
  <c r="F88" i="8" s="1"/>
  <c r="F93" i="8" s="1"/>
  <c r="F94" i="8" s="1"/>
  <c r="G88" i="8" s="1"/>
  <c r="G93" i="8" s="1"/>
  <c r="G94" i="8" s="1"/>
  <c r="H88" i="8" s="1"/>
  <c r="H93" i="8" s="1"/>
  <c r="H94" i="8" s="1"/>
  <c r="I88" i="8" s="1"/>
  <c r="C171" i="8"/>
  <c r="D165" i="8" s="1"/>
  <c r="D170" i="8" s="1"/>
  <c r="D171" i="8" s="1"/>
  <c r="E165" i="8" s="1"/>
  <c r="E170" i="8" s="1"/>
  <c r="E171" i="8" s="1"/>
  <c r="F165" i="8" s="1"/>
  <c r="F170" i="8" s="1"/>
  <c r="F171" i="8" s="1"/>
  <c r="G165" i="8" s="1"/>
  <c r="G170" i="8" s="1"/>
  <c r="G171" i="8" s="1"/>
  <c r="H165" i="8" s="1"/>
  <c r="H170" i="8" s="1"/>
  <c r="H171" i="8" s="1"/>
  <c r="I165" i="8" s="1"/>
  <c r="I170" i="8" s="1"/>
  <c r="I171" i="8" s="1"/>
  <c r="J165" i="8" s="1"/>
  <c r="J170" i="8" s="1"/>
  <c r="J171" i="8" s="1"/>
  <c r="K165" i="8" s="1"/>
  <c r="K170" i="8" s="1"/>
  <c r="K171" i="8" s="1"/>
  <c r="L165" i="8" s="1"/>
  <c r="L170" i="8" s="1"/>
  <c r="L171" i="8" s="1"/>
  <c r="M165" i="8" s="1"/>
  <c r="G160" i="10"/>
  <c r="G161" i="10" s="1"/>
  <c r="V38" i="5"/>
  <c r="Y38" i="5" s="1"/>
  <c r="M181" i="8" l="1"/>
  <c r="M182" i="8" s="1"/>
  <c r="N176" i="8" s="1"/>
  <c r="M170" i="8"/>
  <c r="M171" i="8" s="1"/>
  <c r="N165" i="8" s="1"/>
  <c r="I93" i="8"/>
  <c r="I94" i="8" s="1"/>
  <c r="J88" i="8" s="1"/>
  <c r="D116" i="8"/>
  <c r="E110" i="8" s="1"/>
  <c r="D82" i="8"/>
  <c r="E76" i="8" s="1"/>
  <c r="E81" i="8" s="1"/>
  <c r="E82" i="8" s="1"/>
  <c r="F76" i="8" s="1"/>
  <c r="C105" i="8"/>
  <c r="D99" i="8" s="1"/>
  <c r="D104" i="8" s="1"/>
  <c r="W38" i="5"/>
  <c r="X38" i="5"/>
  <c r="Z38" i="5"/>
  <c r="N181" i="8" l="1"/>
  <c r="N182" i="8" s="1"/>
  <c r="O176" i="8" s="1"/>
  <c r="N170" i="8"/>
  <c r="N171" i="8" s="1"/>
  <c r="O165" i="8" s="1"/>
  <c r="J93" i="8"/>
  <c r="J94" i="8" s="1"/>
  <c r="K88" i="8" s="1"/>
  <c r="E115" i="8"/>
  <c r="E116" i="8" s="1"/>
  <c r="F110" i="8" s="1"/>
  <c r="D105" i="8"/>
  <c r="E99" i="8" s="1"/>
  <c r="E104" i="8" s="1"/>
  <c r="F81" i="8"/>
  <c r="M38" i="5"/>
  <c r="L38" i="5" s="1"/>
  <c r="O181" i="8" l="1"/>
  <c r="O182" i="8" s="1"/>
  <c r="P176" i="8" s="1"/>
  <c r="O170" i="8"/>
  <c r="O171" i="8" s="1"/>
  <c r="P165" i="8" s="1"/>
  <c r="K93" i="8"/>
  <c r="K94" i="8" s="1"/>
  <c r="L88" i="8" s="1"/>
  <c r="F115" i="8"/>
  <c r="F116" i="8" s="1"/>
  <c r="G110" i="8" s="1"/>
  <c r="G115" i="8" s="1"/>
  <c r="G116" i="8" s="1"/>
  <c r="H110" i="8" s="1"/>
  <c r="H115" i="8" s="1"/>
  <c r="H116" i="8" s="1"/>
  <c r="I110" i="8" s="1"/>
  <c r="I115" i="8" s="1"/>
  <c r="E105" i="8"/>
  <c r="F99" i="8" s="1"/>
  <c r="F104" i="8" s="1"/>
  <c r="F82" i="8"/>
  <c r="G76" i="8" s="1"/>
  <c r="E38" i="5"/>
  <c r="F38" i="5" s="1"/>
  <c r="N38" i="5"/>
  <c r="O38" i="5" s="1"/>
  <c r="P38" i="5" s="1"/>
  <c r="I39" i="5" s="1"/>
  <c r="J39" i="5" s="1"/>
  <c r="P181" i="8" l="1"/>
  <c r="P182" i="8" s="1"/>
  <c r="Q176" i="8" s="1"/>
  <c r="P170" i="8"/>
  <c r="P171" i="8" s="1"/>
  <c r="Q165" i="8" s="1"/>
  <c r="L93" i="8"/>
  <c r="L94" i="8" s="1"/>
  <c r="M88" i="8" s="1"/>
  <c r="I116" i="8"/>
  <c r="J110" i="8" s="1"/>
  <c r="J115" i="8" s="1"/>
  <c r="F105" i="8"/>
  <c r="G99" i="8" s="1"/>
  <c r="G104" i="8" s="1"/>
  <c r="G81" i="8"/>
  <c r="D38" i="5"/>
  <c r="G42" i="5"/>
  <c r="H42" i="5" s="1"/>
  <c r="G38" i="5"/>
  <c r="H38" i="5" s="1"/>
  <c r="A39" i="5" s="1"/>
  <c r="C39" i="5" s="1"/>
  <c r="G41" i="5"/>
  <c r="H41" i="5" s="1"/>
  <c r="G40" i="5"/>
  <c r="H40" i="5" s="1"/>
  <c r="G39" i="5"/>
  <c r="H39" i="5" s="1"/>
  <c r="G43" i="5"/>
  <c r="H43" i="5" s="1"/>
  <c r="D18" i="5" s="1"/>
  <c r="K39" i="5"/>
  <c r="Q181" i="8" l="1"/>
  <c r="Q182" i="8" s="1"/>
  <c r="R176" i="8" s="1"/>
  <c r="Q170" i="8"/>
  <c r="Q171" i="8" s="1"/>
  <c r="R165" i="8" s="1"/>
  <c r="M93" i="8"/>
  <c r="M94" i="8" s="1"/>
  <c r="N88" i="8" s="1"/>
  <c r="N93" i="8" s="1"/>
  <c r="N94" i="8" s="1"/>
  <c r="O88" i="8" s="1"/>
  <c r="J116" i="8"/>
  <c r="K110" i="8" s="1"/>
  <c r="K115" i="8" s="1"/>
  <c r="G105" i="8"/>
  <c r="H99" i="8" s="1"/>
  <c r="H104" i="8" s="1"/>
  <c r="G82" i="8"/>
  <c r="H76" i="8" s="1"/>
  <c r="B39" i="5"/>
  <c r="Q39" i="5" s="1"/>
  <c r="R39" i="5"/>
  <c r="R181" i="8" l="1"/>
  <c r="R182" i="8" s="1"/>
  <c r="S176" i="8" s="1"/>
  <c r="S181" i="8" s="1"/>
  <c r="S182" i="8" s="1"/>
  <c r="T176" i="8" s="1"/>
  <c r="T181" i="8" s="1"/>
  <c r="T182" i="8" s="1"/>
  <c r="U176" i="8" s="1"/>
  <c r="U181" i="8" s="1"/>
  <c r="U182" i="8" s="1"/>
  <c r="V176" i="8" s="1"/>
  <c r="V181" i="8" s="1"/>
  <c r="V182" i="8" s="1"/>
  <c r="W176" i="8" s="1"/>
  <c r="W181" i="8" s="1"/>
  <c r="W182" i="8" s="1"/>
  <c r="X176" i="8" s="1"/>
  <c r="R170" i="8"/>
  <c r="R171" i="8" s="1"/>
  <c r="S165" i="8" s="1"/>
  <c r="S170" i="8" s="1"/>
  <c r="S171" i="8" s="1"/>
  <c r="T165" i="8" s="1"/>
  <c r="O93" i="8"/>
  <c r="O94" i="8" s="1"/>
  <c r="P88" i="8" s="1"/>
  <c r="K116" i="8"/>
  <c r="L110" i="8" s="1"/>
  <c r="L115" i="8" s="1"/>
  <c r="H105" i="8"/>
  <c r="I99" i="8" s="1"/>
  <c r="I104" i="8" s="1"/>
  <c r="H81" i="8"/>
  <c r="T39" i="5"/>
  <c r="S39" i="5"/>
  <c r="U39" i="5" s="1"/>
  <c r="X181" i="8" l="1"/>
  <c r="X182" i="8" s="1"/>
  <c r="Y176" i="8" s="1"/>
  <c r="T170" i="8"/>
  <c r="T171" i="8" s="1"/>
  <c r="U165" i="8" s="1"/>
  <c r="P93" i="8"/>
  <c r="P94" i="8" s="1"/>
  <c r="Q88" i="8" s="1"/>
  <c r="L116" i="8"/>
  <c r="M110" i="8" s="1"/>
  <c r="M115" i="8" s="1"/>
  <c r="I105" i="8"/>
  <c r="J99" i="8" s="1"/>
  <c r="J104" i="8" s="1"/>
  <c r="H82" i="8"/>
  <c r="I76" i="8" s="1"/>
  <c r="V39" i="5"/>
  <c r="X39" i="5" s="1"/>
  <c r="Y181" i="8" l="1"/>
  <c r="Y182" i="8" s="1"/>
  <c r="Z176" i="8" s="1"/>
  <c r="Z181" i="8" s="1"/>
  <c r="Z182" i="8" s="1"/>
  <c r="AA176" i="8" s="1"/>
  <c r="AA181" i="8" s="1"/>
  <c r="AA182" i="8" s="1"/>
  <c r="AB176" i="8" s="1"/>
  <c r="AB181" i="8" s="1"/>
  <c r="AB182" i="8" s="1"/>
  <c r="AC176" i="8" s="1"/>
  <c r="U170" i="8"/>
  <c r="U171" i="8" s="1"/>
  <c r="V165" i="8" s="1"/>
  <c r="V170" i="8" s="1"/>
  <c r="V171" i="8" s="1"/>
  <c r="W165" i="8" s="1"/>
  <c r="Q93" i="8"/>
  <c r="Q94" i="8" s="1"/>
  <c r="R88" i="8" s="1"/>
  <c r="R93" i="8" s="1"/>
  <c r="R94" i="8" s="1"/>
  <c r="M116" i="8"/>
  <c r="N110" i="8" s="1"/>
  <c r="N115" i="8" s="1"/>
  <c r="J105" i="8"/>
  <c r="K99" i="8" s="1"/>
  <c r="K104" i="8" s="1"/>
  <c r="I81" i="8"/>
  <c r="Z39" i="5"/>
  <c r="W39" i="5"/>
  <c r="M39" i="5" s="1"/>
  <c r="L39" i="5" s="1"/>
  <c r="Y39" i="5"/>
  <c r="AC181" i="8" l="1"/>
  <c r="AC182" i="8" s="1"/>
  <c r="AD176" i="8" s="1"/>
  <c r="W170" i="8"/>
  <c r="W171" i="8" s="1"/>
  <c r="X165" i="8" s="1"/>
  <c r="N116" i="8"/>
  <c r="O110" i="8" s="1"/>
  <c r="O115" i="8" s="1"/>
  <c r="K105" i="8"/>
  <c r="L99" i="8" s="1"/>
  <c r="L104" i="8" s="1"/>
  <c r="I82" i="8"/>
  <c r="J76" i="8" s="1"/>
  <c r="E39" i="5"/>
  <c r="D39" i="5" s="1"/>
  <c r="N39" i="5"/>
  <c r="O39" i="5" s="1"/>
  <c r="P39" i="5" s="1"/>
  <c r="I40" i="5" s="1"/>
  <c r="K40" i="5" s="1"/>
  <c r="A40" i="5"/>
  <c r="B40" i="5" s="1"/>
  <c r="AD181" i="8" l="1"/>
  <c r="AD182" i="8" s="1"/>
  <c r="AE176" i="8" s="1"/>
  <c r="AE181" i="8" s="1"/>
  <c r="AE182" i="8" s="1"/>
  <c r="AF176" i="8" s="1"/>
  <c r="X170" i="8"/>
  <c r="X171" i="8" s="1"/>
  <c r="Y165" i="8" s="1"/>
  <c r="Y170" i="8" s="1"/>
  <c r="Y171" i="8" s="1"/>
  <c r="Z165" i="8" s="1"/>
  <c r="Z170" i="8" s="1"/>
  <c r="Z171" i="8" s="1"/>
  <c r="AA165" i="8" s="1"/>
  <c r="AA170" i="8" s="1"/>
  <c r="AA171" i="8" s="1"/>
  <c r="AB165" i="8" s="1"/>
  <c r="AB170" i="8" s="1"/>
  <c r="AB171" i="8" s="1"/>
  <c r="AC165" i="8" s="1"/>
  <c r="AC170" i="8" s="1"/>
  <c r="AC171" i="8" s="1"/>
  <c r="AD165" i="8" s="1"/>
  <c r="AD170" i="8" s="1"/>
  <c r="AD171" i="8" s="1"/>
  <c r="AE165" i="8" s="1"/>
  <c r="AE170" i="8" s="1"/>
  <c r="AE171" i="8" s="1"/>
  <c r="AF165" i="8" s="1"/>
  <c r="O116" i="8"/>
  <c r="P110" i="8" s="1"/>
  <c r="P115" i="8" s="1"/>
  <c r="L105" i="8"/>
  <c r="M99" i="8" s="1"/>
  <c r="M104" i="8" s="1"/>
  <c r="J81" i="8"/>
  <c r="F39" i="5"/>
  <c r="C40" i="5"/>
  <c r="R40" i="5" s="1"/>
  <c r="J40" i="5"/>
  <c r="Q40" i="5" s="1"/>
  <c r="AF181" i="8" l="1"/>
  <c r="AF182" i="8" s="1"/>
  <c r="AG176" i="8" s="1"/>
  <c r="AF170" i="8"/>
  <c r="AF171" i="8" s="1"/>
  <c r="AG165" i="8" s="1"/>
  <c r="P116" i="8"/>
  <c r="Q110" i="8" s="1"/>
  <c r="Q115" i="8" s="1"/>
  <c r="M105" i="8"/>
  <c r="N99" i="8" s="1"/>
  <c r="N104" i="8" s="1"/>
  <c r="J82" i="8"/>
  <c r="K76" i="8" s="1"/>
  <c r="K81" i="8" s="1"/>
  <c r="T40" i="5"/>
  <c r="S40" i="5"/>
  <c r="U40" i="5" s="1"/>
  <c r="AG170" i="8" l="1"/>
  <c r="AG171" i="8" s="1"/>
  <c r="AH165" i="8" s="1"/>
  <c r="AG181" i="8"/>
  <c r="AG182" i="8" s="1"/>
  <c r="AH176" i="8" s="1"/>
  <c r="Q116" i="8"/>
  <c r="R110" i="8" s="1"/>
  <c r="R115" i="8" s="1"/>
  <c r="N105" i="8"/>
  <c r="O99" i="8" s="1"/>
  <c r="O104" i="8" s="1"/>
  <c r="K82" i="8"/>
  <c r="L76" i="8" s="1"/>
  <c r="L81" i="8" s="1"/>
  <c r="V40" i="5"/>
  <c r="Y40" i="5" s="1"/>
  <c r="X166" i="10" l="1"/>
  <c r="AH181" i="8"/>
  <c r="AH182" i="8" s="1"/>
  <c r="AI176" i="8" s="1"/>
  <c r="AI181" i="8" s="1"/>
  <c r="AI182" i="8" s="1"/>
  <c r="AJ176" i="8" s="1"/>
  <c r="AJ181" i="8" s="1"/>
  <c r="AJ182" i="8" s="1"/>
  <c r="AK176" i="8" s="1"/>
  <c r="AK181" i="8" s="1"/>
  <c r="AK182" i="8" s="1"/>
  <c r="AL176" i="8" s="1"/>
  <c r="AL181" i="8" s="1"/>
  <c r="AL182" i="8" s="1"/>
  <c r="AM176" i="8" s="1"/>
  <c r="AH170" i="8"/>
  <c r="AH171" i="8" s="1"/>
  <c r="AI165" i="8" s="1"/>
  <c r="AI170" i="8" s="1"/>
  <c r="AI171" i="8" s="1"/>
  <c r="AJ165" i="8" s="1"/>
  <c r="AJ170" i="8" s="1"/>
  <c r="AJ171" i="8" s="1"/>
  <c r="AK165" i="8" s="1"/>
  <c r="AK170" i="8" s="1"/>
  <c r="AK171" i="8" s="1"/>
  <c r="AL165" i="8" s="1"/>
  <c r="AL170" i="8" s="1"/>
  <c r="AL171" i="8" s="1"/>
  <c r="AM165" i="8" s="1"/>
  <c r="AM170" i="8" s="1"/>
  <c r="AM171" i="8" s="1"/>
  <c r="AN165" i="8" s="1"/>
  <c r="R116" i="8"/>
  <c r="O105" i="8"/>
  <c r="P99" i="8" s="1"/>
  <c r="P104" i="8" s="1"/>
  <c r="L82" i="8"/>
  <c r="M76" i="8" s="1"/>
  <c r="M81" i="8" s="1"/>
  <c r="Z40" i="5"/>
  <c r="W40" i="5"/>
  <c r="X40" i="5"/>
  <c r="X155" i="10" l="1"/>
  <c r="X171" i="10"/>
  <c r="X172" i="10" s="1"/>
  <c r="Y166" i="10" s="1"/>
  <c r="AN170" i="8"/>
  <c r="AN171" i="8" s="1"/>
  <c r="AO165" i="8" s="1"/>
  <c r="AO170" i="8" s="1"/>
  <c r="AO171" i="8" s="1"/>
  <c r="AP165" i="8" s="1"/>
  <c r="AP170" i="8" s="1"/>
  <c r="AP171" i="8" s="1"/>
  <c r="AQ165" i="8" s="1"/>
  <c r="AM181" i="8"/>
  <c r="AM182" i="8" s="1"/>
  <c r="AN176" i="8" s="1"/>
  <c r="AN181" i="8" s="1"/>
  <c r="AN182" i="8" s="1"/>
  <c r="AO176" i="8" s="1"/>
  <c r="AO181" i="8" s="1"/>
  <c r="AO182" i="8" s="1"/>
  <c r="AP176" i="8" s="1"/>
  <c r="AP181" i="8" s="1"/>
  <c r="AP182" i="8" s="1"/>
  <c r="AQ176" i="8" s="1"/>
  <c r="P105" i="8"/>
  <c r="Q99" i="8" s="1"/>
  <c r="Q104" i="8" s="1"/>
  <c r="M82" i="8"/>
  <c r="N76" i="8" s="1"/>
  <c r="M40" i="5"/>
  <c r="L40" i="5" s="1"/>
  <c r="Y171" i="10" l="1"/>
  <c r="Y172" i="10" s="1"/>
  <c r="Z166" i="10" s="1"/>
  <c r="X160" i="10"/>
  <c r="X161" i="10" s="1"/>
  <c r="Y155" i="10" s="1"/>
  <c r="AQ181" i="8"/>
  <c r="AQ182" i="8" s="1"/>
  <c r="AR176" i="8" s="1"/>
  <c r="AR181" i="8" s="1"/>
  <c r="AR182" i="8" s="1"/>
  <c r="AS176" i="8" s="1"/>
  <c r="AS181" i="8" s="1"/>
  <c r="AS182" i="8" s="1"/>
  <c r="AT176" i="8" s="1"/>
  <c r="AT181" i="8" s="1"/>
  <c r="AT182" i="8" s="1"/>
  <c r="AU176" i="8" s="1"/>
  <c r="AU181" i="8" s="1"/>
  <c r="AU182" i="8" s="1"/>
  <c r="AV176" i="8" s="1"/>
  <c r="AV181" i="8" s="1"/>
  <c r="AV182" i="8" s="1"/>
  <c r="AW176" i="8" s="1"/>
  <c r="AW181" i="8" s="1"/>
  <c r="AW182" i="8" s="1"/>
  <c r="AX176" i="8" s="1"/>
  <c r="AQ170" i="8"/>
  <c r="AQ171" i="8" s="1"/>
  <c r="AR165" i="8" s="1"/>
  <c r="AR170" i="8" s="1"/>
  <c r="AR171" i="8" s="1"/>
  <c r="AS165" i="8" s="1"/>
  <c r="AS170" i="8" s="1"/>
  <c r="AS171" i="8" s="1"/>
  <c r="AT165" i="8" s="1"/>
  <c r="AT170" i="8" s="1"/>
  <c r="AT171" i="8" s="1"/>
  <c r="AU165" i="8" s="1"/>
  <c r="AU170" i="8" s="1"/>
  <c r="AU171" i="8" s="1"/>
  <c r="AV165" i="8" s="1"/>
  <c r="Q105" i="8"/>
  <c r="R99" i="8" s="1"/>
  <c r="R104" i="8" s="1"/>
  <c r="N81" i="8"/>
  <c r="E40" i="5"/>
  <c r="N40" i="5"/>
  <c r="O40" i="5" s="1"/>
  <c r="A41" i="5"/>
  <c r="Y160" i="10" l="1"/>
  <c r="Y161" i="10" s="1"/>
  <c r="Z155" i="10" s="1"/>
  <c r="Z171" i="10"/>
  <c r="Z172" i="10" s="1"/>
  <c r="AA166" i="10" s="1"/>
  <c r="AX181" i="8"/>
  <c r="AX182" i="8" s="1"/>
  <c r="AY176" i="8" s="1"/>
  <c r="AV170" i="8"/>
  <c r="AV171" i="8" s="1"/>
  <c r="AW165" i="8" s="1"/>
  <c r="AW170" i="8" s="1"/>
  <c r="AW171" i="8" s="1"/>
  <c r="AX165" i="8" s="1"/>
  <c r="R105" i="8"/>
  <c r="N82" i="8"/>
  <c r="O76" i="8" s="1"/>
  <c r="O81" i="8" s="1"/>
  <c r="F40" i="5"/>
  <c r="D40" i="5"/>
  <c r="P40" i="5"/>
  <c r="I41" i="5" s="1"/>
  <c r="C41" i="5"/>
  <c r="B41" i="5"/>
  <c r="Z160" i="10" l="1"/>
  <c r="Z161" i="10" s="1"/>
  <c r="AA155" i="10" s="1"/>
  <c r="AA171" i="10"/>
  <c r="AA172" i="10" s="1"/>
  <c r="AB166" i="10" s="1"/>
  <c r="AY181" i="8"/>
  <c r="AY182" i="8" s="1"/>
  <c r="AZ176" i="8" s="1"/>
  <c r="AZ181" i="8" s="1"/>
  <c r="AZ182" i="8" s="1"/>
  <c r="BA176" i="8" s="1"/>
  <c r="BA181" i="8" s="1"/>
  <c r="BA182" i="8" s="1"/>
  <c r="AX170" i="8"/>
  <c r="AX171" i="8" s="1"/>
  <c r="AY165" i="8" s="1"/>
  <c r="AY170" i="8" s="1"/>
  <c r="AY171" i="8" s="1"/>
  <c r="AZ165" i="8" s="1"/>
  <c r="O82" i="8"/>
  <c r="P76" i="8" s="1"/>
  <c r="P81" i="8" s="1"/>
  <c r="J41" i="5"/>
  <c r="Q41" i="5" s="1"/>
  <c r="K41" i="5"/>
  <c r="R41" i="5" s="1"/>
  <c r="AA160" i="10" l="1"/>
  <c r="AA161" i="10" s="1"/>
  <c r="AB155" i="10" s="1"/>
  <c r="AB171" i="10"/>
  <c r="AB172" i="10" s="1"/>
  <c r="AC166" i="10" s="1"/>
  <c r="AZ170" i="8"/>
  <c r="AZ171" i="8" s="1"/>
  <c r="BA165" i="8" s="1"/>
  <c r="BA170" i="8" s="1"/>
  <c r="BA171" i="8" s="1"/>
  <c r="P82" i="8"/>
  <c r="Q76" i="8" s="1"/>
  <c r="Q81" i="8" s="1"/>
  <c r="S41" i="5"/>
  <c r="U41" i="5" s="1"/>
  <c r="T41" i="5"/>
  <c r="AB160" i="10" l="1"/>
  <c r="AB161" i="10" s="1"/>
  <c r="AC155" i="10" s="1"/>
  <c r="AC171" i="10"/>
  <c r="AC172" i="10" s="1"/>
  <c r="AD166" i="10" s="1"/>
  <c r="Q82" i="8"/>
  <c r="R76" i="8" s="1"/>
  <c r="V41" i="5"/>
  <c r="W41" i="5" s="1"/>
  <c r="AD171" i="10" l="1"/>
  <c r="AD172" i="10" s="1"/>
  <c r="AE166" i="10" s="1"/>
  <c r="AC160" i="10"/>
  <c r="AC161" i="10" s="1"/>
  <c r="AD155" i="10" s="1"/>
  <c r="R81" i="8"/>
  <c r="Y41" i="5"/>
  <c r="X41" i="5"/>
  <c r="M41" i="5" s="1"/>
  <c r="L41" i="5" s="1"/>
  <c r="Z41" i="5"/>
  <c r="AE171" i="10" l="1"/>
  <c r="AE172" i="10" s="1"/>
  <c r="AF166" i="10" s="1"/>
  <c r="AD160" i="10"/>
  <c r="AD161" i="10" s="1"/>
  <c r="AE155" i="10" s="1"/>
  <c r="R82" i="8"/>
  <c r="E41" i="5"/>
  <c r="N41" i="5"/>
  <c r="O41" i="5" s="1"/>
  <c r="AE160" i="10" l="1"/>
  <c r="AE161" i="10" s="1"/>
  <c r="AF155" i="10" s="1"/>
  <c r="AF171" i="10"/>
  <c r="AF172" i="10" s="1"/>
  <c r="AG166" i="10" s="1"/>
  <c r="F41" i="5"/>
  <c r="D41" i="5"/>
  <c r="P41" i="5"/>
  <c r="I42" i="5" s="1"/>
  <c r="A42" i="5"/>
  <c r="AF160" i="10" l="1"/>
  <c r="AF161" i="10" s="1"/>
  <c r="AG155" i="10" s="1"/>
  <c r="AG171" i="10"/>
  <c r="AG172" i="10" s="1"/>
  <c r="AH166" i="10" s="1"/>
  <c r="K42" i="5"/>
  <c r="J42" i="5"/>
  <c r="C42" i="5"/>
  <c r="B42" i="5"/>
  <c r="AG160" i="10" l="1"/>
  <c r="AG161" i="10" s="1"/>
  <c r="AH155" i="10" s="1"/>
  <c r="AH171" i="10"/>
  <c r="AH172" i="10" s="1"/>
  <c r="AI166" i="10" s="1"/>
  <c r="Q42" i="5"/>
  <c r="R42" i="5"/>
  <c r="AI171" i="10" l="1"/>
  <c r="AI172" i="10" s="1"/>
  <c r="AJ166" i="10" s="1"/>
  <c r="AH160" i="10"/>
  <c r="AH161" i="10" s="1"/>
  <c r="AI155" i="10" s="1"/>
  <c r="T42" i="5"/>
  <c r="S42" i="5"/>
  <c r="U42" i="5" s="1"/>
  <c r="AI160" i="10" l="1"/>
  <c r="AI161" i="10" s="1"/>
  <c r="AJ155" i="10" s="1"/>
  <c r="AJ171" i="10"/>
  <c r="AJ172" i="10" s="1"/>
  <c r="AK166" i="10" s="1"/>
  <c r="V42" i="5"/>
  <c r="Y42" i="5" s="1"/>
  <c r="AK171" i="10" l="1"/>
  <c r="AK172" i="10" s="1"/>
  <c r="AL166" i="10" s="1"/>
  <c r="AJ160" i="10"/>
  <c r="AJ161" i="10" s="1"/>
  <c r="AK155" i="10" s="1"/>
  <c r="W42" i="5"/>
  <c r="Z42" i="5"/>
  <c r="X42" i="5"/>
  <c r="AK160" i="10" l="1"/>
  <c r="AK161" i="10" s="1"/>
  <c r="AL155" i="10" s="1"/>
  <c r="AL171" i="10"/>
  <c r="AL172" i="10" s="1"/>
  <c r="AM166" i="10" s="1"/>
  <c r="M42" i="5"/>
  <c r="L42" i="5" s="1"/>
  <c r="AL160" i="10" l="1"/>
  <c r="AL161" i="10" s="1"/>
  <c r="AM155" i="10" s="1"/>
  <c r="AM171" i="10"/>
  <c r="AM172" i="10" s="1"/>
  <c r="AN166" i="10" s="1"/>
  <c r="N42" i="5"/>
  <c r="O42" i="5" s="1"/>
  <c r="P42" i="5" s="1"/>
  <c r="E42" i="5"/>
  <c r="AM160" i="10" l="1"/>
  <c r="AM161" i="10" s="1"/>
  <c r="AN155" i="10" s="1"/>
  <c r="AN171" i="10"/>
  <c r="AN172" i="10" s="1"/>
  <c r="AO166" i="10" s="1"/>
  <c r="F42" i="5"/>
  <c r="D42" i="5"/>
  <c r="A43" i="5"/>
  <c r="I43" i="5"/>
  <c r="AN160" i="10" l="1"/>
  <c r="AN161" i="10" s="1"/>
  <c r="AO155" i="10" s="1"/>
  <c r="AO171" i="10"/>
  <c r="AO172" i="10" s="1"/>
  <c r="AP166" i="10" s="1"/>
  <c r="J43" i="5"/>
  <c r="I13" i="5" s="1"/>
  <c r="K43" i="5"/>
  <c r="K13" i="5" s="1"/>
  <c r="B43" i="5"/>
  <c r="B13" i="5" s="1"/>
  <c r="C43" i="5"/>
  <c r="D13" i="5" s="1"/>
  <c r="AO160" i="10" l="1"/>
  <c r="AO161" i="10" s="1"/>
  <c r="AP155" i="10" s="1"/>
  <c r="AP171" i="10"/>
  <c r="AP172" i="10" s="1"/>
  <c r="AQ166" i="10" s="1"/>
  <c r="D15" i="5"/>
  <c r="B52" i="6" s="1"/>
  <c r="D23" i="5"/>
  <c r="K15" i="5"/>
  <c r="B19" i="6" s="1"/>
  <c r="N26" i="5"/>
  <c r="I14" i="5"/>
  <c r="I16" i="5"/>
  <c r="B15" i="5"/>
  <c r="B50" i="6" s="1"/>
  <c r="B16" i="5"/>
  <c r="C11" i="7" s="1"/>
  <c r="R43" i="5"/>
  <c r="Q43" i="5"/>
  <c r="AQ171" i="10" l="1"/>
  <c r="AQ172" i="10" s="1"/>
  <c r="AR166" i="10" s="1"/>
  <c r="AP160" i="10"/>
  <c r="AP161" i="10" s="1"/>
  <c r="AQ155" i="10" s="1"/>
  <c r="B11" i="6"/>
  <c r="C12" i="7"/>
  <c r="D3" i="4"/>
  <c r="E36" i="4" s="1"/>
  <c r="H39" i="4" s="1"/>
  <c r="B44" i="6"/>
  <c r="I15" i="5"/>
  <c r="B17" i="6" s="1"/>
  <c r="B14" i="6"/>
  <c r="T43" i="5"/>
  <c r="D4" i="4"/>
  <c r="M26" i="4" s="1"/>
  <c r="O36" i="4"/>
  <c r="M39" i="4" s="1"/>
  <c r="S43" i="5"/>
  <c r="U43" i="5" s="1"/>
  <c r="AQ160" i="10" l="1"/>
  <c r="AQ161" i="10" s="1"/>
  <c r="AR155" i="10" s="1"/>
  <c r="AR171" i="10"/>
  <c r="AR172" i="10" s="1"/>
  <c r="AS166" i="10" s="1"/>
  <c r="C18" i="7"/>
  <c r="D22" i="4"/>
  <c r="G16" i="4" s="1"/>
  <c r="V43" i="5"/>
  <c r="AS171" i="10" l="1"/>
  <c r="AS172" i="10" s="1"/>
  <c r="AT166" i="10" s="1"/>
  <c r="AR160" i="10"/>
  <c r="AR161" i="10" s="1"/>
  <c r="AS155" i="10" s="1"/>
  <c r="P20" i="7"/>
  <c r="C19" i="7"/>
  <c r="I14" i="4"/>
  <c r="G19" i="4" s="1"/>
  <c r="D16" i="4" s="1"/>
  <c r="J22" i="4" s="1"/>
  <c r="S25" i="4" s="1"/>
  <c r="X43" i="5"/>
  <c r="N14" i="5"/>
  <c r="E49" i="4" s="1"/>
  <c r="Z43" i="5"/>
  <c r="Y43" i="5"/>
  <c r="W43" i="5"/>
  <c r="AS160" i="10" l="1"/>
  <c r="AS161" i="10" s="1"/>
  <c r="AT155" i="10" s="1"/>
  <c r="AT171" i="10"/>
  <c r="AT172" i="10" s="1"/>
  <c r="AU166" i="10" s="1"/>
  <c r="C28" i="7"/>
  <c r="E28" i="7" s="1"/>
  <c r="C24" i="7"/>
  <c r="C20" i="7"/>
  <c r="E20" i="7" s="1"/>
  <c r="L25" i="7" s="1"/>
  <c r="E19" i="7"/>
  <c r="P34" i="7" s="1"/>
  <c r="C21" i="7"/>
  <c r="E21" i="7" s="1"/>
  <c r="C22" i="7"/>
  <c r="C23" i="7"/>
  <c r="E23" i="7" s="1"/>
  <c r="M9" i="7" s="1"/>
  <c r="N4" i="4"/>
  <c r="J4" i="4"/>
  <c r="M43" i="5"/>
  <c r="L43" i="5" s="1"/>
  <c r="O25" i="5" l="1"/>
  <c r="P25" i="5" s="1"/>
  <c r="C58" i="8"/>
  <c r="C60" i="8" s="1"/>
  <c r="C62" i="8" s="1"/>
  <c r="C63" i="8" s="1"/>
  <c r="AU171" i="10"/>
  <c r="AU172" i="10" s="1"/>
  <c r="AV166" i="10" s="1"/>
  <c r="AT160" i="10"/>
  <c r="AT161" i="10" s="1"/>
  <c r="AU155" i="10" s="1"/>
  <c r="E22" i="7"/>
  <c r="K5" i="7" s="1"/>
  <c r="E24" i="7"/>
  <c r="N3" i="7" s="1"/>
  <c r="B28" i="6"/>
  <c r="K16" i="5"/>
  <c r="C29" i="7"/>
  <c r="E29" i="7" s="1"/>
  <c r="C25" i="7"/>
  <c r="N43" i="5"/>
  <c r="E43" i="5"/>
  <c r="D43" i="5" l="1"/>
  <c r="D16" i="5" s="1"/>
  <c r="B46" i="6" s="1"/>
  <c r="O18" i="5"/>
  <c r="AU160" i="10"/>
  <c r="AU161" i="10" s="1"/>
  <c r="AV155" i="10" s="1"/>
  <c r="AV171" i="10"/>
  <c r="AV172" i="10" s="1"/>
  <c r="AW166" i="10" s="1"/>
  <c r="E25" i="7"/>
  <c r="N47" i="7" s="1"/>
  <c r="M49" i="4"/>
  <c r="B13" i="6"/>
  <c r="O17" i="5"/>
  <c r="O43" i="5"/>
  <c r="P43" i="5" s="1"/>
  <c r="K18" i="5" s="1"/>
  <c r="K20" i="5" s="1"/>
  <c r="F43" i="5"/>
  <c r="C27" i="2" s="1"/>
  <c r="C26" i="2"/>
  <c r="C28" i="2" l="1"/>
  <c r="AW171" i="10"/>
  <c r="AW172" i="10" s="1"/>
  <c r="AX166" i="10" s="1"/>
  <c r="AV160" i="10"/>
  <c r="AV161" i="10" s="1"/>
  <c r="AW155" i="10" s="1"/>
  <c r="B9" i="6"/>
  <c r="L46" i="4"/>
  <c r="J3" i="4" s="1"/>
  <c r="R47" i="4"/>
  <c r="D27" i="2"/>
  <c r="E27" i="2" s="1"/>
  <c r="F27" i="2" s="1"/>
  <c r="D26" i="2"/>
  <c r="AW160" i="10" l="1"/>
  <c r="AW161" i="10" s="1"/>
  <c r="AX155" i="10" s="1"/>
  <c r="AX171" i="10"/>
  <c r="AX172" i="10" s="1"/>
  <c r="AY166" i="10" s="1"/>
  <c r="N3" i="4"/>
  <c r="E26" i="2"/>
  <c r="F26" i="2" s="1"/>
  <c r="AY171" i="10" l="1"/>
  <c r="AY172" i="10" s="1"/>
  <c r="AZ166" i="10" s="1"/>
  <c r="AX160" i="10"/>
  <c r="AX161" i="10" s="1"/>
  <c r="AY155" i="10" s="1"/>
  <c r="AZ171" i="10" l="1"/>
  <c r="AZ172" i="10" s="1"/>
  <c r="BA166" i="10" s="1"/>
  <c r="AY160" i="10"/>
  <c r="AY161" i="10" s="1"/>
  <c r="AZ155" i="10" s="1"/>
  <c r="BA171" i="10" l="1"/>
  <c r="BA172" i="10" s="1"/>
  <c r="BB166" i="10" s="1"/>
  <c r="AZ160" i="10"/>
  <c r="AZ161" i="10" s="1"/>
  <c r="BA155" i="10" s="1"/>
  <c r="BB171" i="10" l="1"/>
  <c r="BB172" i="10" s="1"/>
  <c r="BC166" i="10" s="1"/>
  <c r="BC171" i="10" s="1"/>
  <c r="BC172" i="10" s="1"/>
  <c r="BA160" i="10"/>
  <c r="BA161" i="10" s="1"/>
  <c r="BB155" i="10" s="1"/>
  <c r="BB160" i="10" l="1"/>
  <c r="BB161" i="10" s="1"/>
  <c r="BC155" i="10" s="1"/>
  <c r="BC160" i="10" s="1"/>
  <c r="BC161" i="10" s="1"/>
</calcChain>
</file>

<file path=xl/sharedStrings.xml><?xml version="1.0" encoding="utf-8"?>
<sst xmlns="http://schemas.openxmlformats.org/spreadsheetml/2006/main" count="777" uniqueCount="393">
  <si>
    <t>Main Gear:</t>
  </si>
  <si>
    <t>Tire Selection</t>
  </si>
  <si>
    <t>Number of Tires</t>
  </si>
  <si>
    <t>Outer Diameter</t>
  </si>
  <si>
    <t>Rim Diameter</t>
  </si>
  <si>
    <t>Cross Section Width</t>
  </si>
  <si>
    <t>Max Speed</t>
  </si>
  <si>
    <t>Static Loaded Radius</t>
  </si>
  <si>
    <t>Rated Load</t>
  </si>
  <si>
    <t>Rated Pressure</t>
  </si>
  <si>
    <t>Shoulder Diameter</t>
  </si>
  <si>
    <t>Shoulder Width</t>
  </si>
  <si>
    <t>Tire Options</t>
  </si>
  <si>
    <t>Tire</t>
  </si>
  <si>
    <t xml:space="preserve">Rated Load </t>
  </si>
  <si>
    <t>Nose Gear:</t>
  </si>
  <si>
    <t>Section Height</t>
  </si>
  <si>
    <t>Aspect Ratio</t>
  </si>
  <si>
    <t>Grown Height</t>
  </si>
  <si>
    <t>Grown Width</t>
  </si>
  <si>
    <t>Max Static Grown Diameter</t>
  </si>
  <si>
    <t>Lateral Clearance from Axle Centerline</t>
  </si>
  <si>
    <t>Min Clearance Allowables</t>
  </si>
  <si>
    <t>Radial Clearance from Axle Centerline</t>
  </si>
  <si>
    <t>H</t>
  </si>
  <si>
    <t>AR</t>
  </si>
  <si>
    <t>GH</t>
  </si>
  <si>
    <t>GW</t>
  </si>
  <si>
    <t>DG</t>
  </si>
  <si>
    <t>WG</t>
  </si>
  <si>
    <t>CR</t>
  </si>
  <si>
    <t>CW</t>
  </si>
  <si>
    <t>Dynamic Spinning Envelope</t>
  </si>
  <si>
    <t>Radial Distance from Centerline of Axle</t>
  </si>
  <si>
    <t>Distance from Shoulder to Adjacent</t>
  </si>
  <si>
    <t>Lateral Distance from Cenerline of Tire</t>
  </si>
  <si>
    <t>Tire Clearance Envelope</t>
  </si>
  <si>
    <t>Radial Envelope</t>
  </si>
  <si>
    <t>Envelope Width (Tire CL)</t>
  </si>
  <si>
    <t>Renv</t>
  </si>
  <si>
    <t>Wenv</t>
  </si>
  <si>
    <t>Rx min</t>
  </si>
  <si>
    <t>Wx min</t>
  </si>
  <si>
    <t>Sx min</t>
  </si>
  <si>
    <t>BIAS Tire Calculations</t>
  </si>
  <si>
    <t>MPH</t>
  </si>
  <si>
    <t>in</t>
  </si>
  <si>
    <t>psi</t>
  </si>
  <si>
    <t>lbs</t>
  </si>
  <si>
    <t>Shoulder Geom</t>
  </si>
  <si>
    <t>Shoulder Section Height</t>
  </si>
  <si>
    <t>HS</t>
  </si>
  <si>
    <t>Shoulder Max Static Grown Diameter</t>
  </si>
  <si>
    <t>Shoulder Lateral Clearance from Axle Centerline</t>
  </si>
  <si>
    <t>Goodyear Tire Book</t>
  </si>
  <si>
    <t>Radial Tolerance</t>
  </si>
  <si>
    <t>Width Tolerance</t>
  </si>
  <si>
    <t>Gear Location</t>
  </si>
  <si>
    <t>Nose Landing Gear Tire Spacing</t>
  </si>
  <si>
    <t>Main Landing Gear Tire Spacing Lateral</t>
  </si>
  <si>
    <t>Main Landing Gear Tire Spacing Fore/Aft</t>
  </si>
  <si>
    <t>X=</t>
  </si>
  <si>
    <t>Y=</t>
  </si>
  <si>
    <t>Main Landing Gear Truck Center Spacing</t>
  </si>
  <si>
    <t>Nose Landing Gear</t>
  </si>
  <si>
    <t>Main Landing Gear</t>
  </si>
  <si>
    <t>Z=</t>
  </si>
  <si>
    <t>46x16</t>
  </si>
  <si>
    <t>44x16</t>
  </si>
  <si>
    <t>Concorde 47x15.75-22.1</t>
  </si>
  <si>
    <t>Centerline</t>
  </si>
  <si>
    <t>NLG CL</t>
  </si>
  <si>
    <t>MLG CL</t>
  </si>
  <si>
    <t>Wheel Base</t>
  </si>
  <si>
    <t>Axle</t>
  </si>
  <si>
    <t>Upper Strut</t>
  </si>
  <si>
    <t>Lower Strut</t>
  </si>
  <si>
    <t>FS</t>
  </si>
  <si>
    <t>BL</t>
  </si>
  <si>
    <t>WL</t>
  </si>
  <si>
    <t>Oleo Diam</t>
  </si>
  <si>
    <t>MLG Ground Contact Point</t>
  </si>
  <si>
    <t xml:space="preserve">FS </t>
  </si>
  <si>
    <t>IN</t>
  </si>
  <si>
    <t>Piston Area</t>
  </si>
  <si>
    <t>Nitrogen Pressure</t>
  </si>
  <si>
    <t>Oleo Stroke</t>
  </si>
  <si>
    <t>End Cap Ratio</t>
  </si>
  <si>
    <t>Piston Vol</t>
  </si>
  <si>
    <t>in3</t>
  </si>
  <si>
    <t>in2</t>
  </si>
  <si>
    <t>Tire Radius</t>
  </si>
  <si>
    <t>Tire Stiff</t>
  </si>
  <si>
    <t>Oleo L1</t>
  </si>
  <si>
    <t>Oleo L2</t>
  </si>
  <si>
    <t>Rad</t>
  </si>
  <si>
    <t>angle</t>
  </si>
  <si>
    <t>Deg</t>
  </si>
  <si>
    <t>Kinematic</t>
  </si>
  <si>
    <t>NLG</t>
  </si>
  <si>
    <t>Stroke</t>
  </si>
  <si>
    <t>Axle(X)</t>
  </si>
  <si>
    <t>Axle(Z)</t>
  </si>
  <si>
    <t>Tire Rad</t>
  </si>
  <si>
    <t>Force</t>
  </si>
  <si>
    <t>Pressure</t>
  </si>
  <si>
    <t>MLG</t>
  </si>
  <si>
    <t>Aircraft</t>
  </si>
  <si>
    <t>DeltaX</t>
  </si>
  <si>
    <t>DeltaZ</t>
  </si>
  <si>
    <t>Dist</t>
  </si>
  <si>
    <t>Angle Axle</t>
  </si>
  <si>
    <t>Angle Tire</t>
  </si>
  <si>
    <t>Total Angle</t>
  </si>
  <si>
    <t>Resulting Geom</t>
  </si>
  <si>
    <t>NLG G(X)</t>
  </si>
  <si>
    <t>NLG G(Z)</t>
  </si>
  <si>
    <t>MLG G(X)</t>
  </si>
  <si>
    <t>MLG G(Z)</t>
  </si>
  <si>
    <t>Aircraft info</t>
  </si>
  <si>
    <t>Weight</t>
  </si>
  <si>
    <t>CG</t>
  </si>
  <si>
    <t>Nz</t>
  </si>
  <si>
    <t>mu</t>
  </si>
  <si>
    <t>Force Strut</t>
  </si>
  <si>
    <t>Stroke init</t>
  </si>
  <si>
    <t>atm</t>
  </si>
  <si>
    <t>Overturn Angle</t>
  </si>
  <si>
    <t>CG Height</t>
  </si>
  <si>
    <t>FT</t>
  </si>
  <si>
    <t>Design Gross Weight</t>
  </si>
  <si>
    <t>LB</t>
  </si>
  <si>
    <t>Aft CG Subsonic</t>
  </si>
  <si>
    <t>Keel Width</t>
  </si>
  <si>
    <t>CG (in)</t>
  </si>
  <si>
    <t>Static MLG Gear Height</t>
  </si>
  <si>
    <t>Static NLG Height</t>
  </si>
  <si>
    <t>Number of Gear</t>
  </si>
  <si>
    <t>CG FS</t>
  </si>
  <si>
    <t>MLG FS</t>
  </si>
  <si>
    <t>NLG FS</t>
  </si>
  <si>
    <t>MLG WL</t>
  </si>
  <si>
    <t>Nose Gear Data Unloaded</t>
  </si>
  <si>
    <t>Main Gear Data Unloaded</t>
  </si>
  <si>
    <t>Nose Gear Data Static Compressed (result)</t>
  </si>
  <si>
    <t>Ground Contact</t>
  </si>
  <si>
    <t>Resulting Aircraft Attitude</t>
  </si>
  <si>
    <t>(Negative is nose up)</t>
  </si>
  <si>
    <t>Degrees</t>
  </si>
  <si>
    <t>% Load</t>
  </si>
  <si>
    <t xml:space="preserve">MLG = </t>
  </si>
  <si>
    <t xml:space="preserve">NLG = </t>
  </si>
  <si>
    <t>Tire Check (MLG)</t>
  </si>
  <si>
    <t>Tire Check (NLG)</t>
  </si>
  <si>
    <t>Strut Load</t>
  </si>
  <si>
    <t>Tire Load</t>
  </si>
  <si>
    <t>CG WL</t>
  </si>
  <si>
    <t>Tip Back</t>
  </si>
  <si>
    <t>Layout Checks</t>
  </si>
  <si>
    <t>Tires per Gear</t>
  </si>
  <si>
    <t>FAR 25.733 7% factor</t>
  </si>
  <si>
    <t>32x11.5-15</t>
  </si>
  <si>
    <t>34.5x9.75-18</t>
  </si>
  <si>
    <t>40x15.5-16</t>
  </si>
  <si>
    <t>H43.5x16.0-21</t>
  </si>
  <si>
    <t>MLG Tire Width</t>
  </si>
  <si>
    <t>NLG Tire Diameter</t>
  </si>
  <si>
    <t>NLG Tire Width</t>
  </si>
  <si>
    <t>NLG Rim Diameter</t>
  </si>
  <si>
    <t>NLG Envelope Width</t>
  </si>
  <si>
    <t>NLG Oleo Diameter</t>
  </si>
  <si>
    <t>NLG Oleo Outer Diameter</t>
  </si>
  <si>
    <t>NLG Stroke</t>
  </si>
  <si>
    <t>NLG Ground X</t>
  </si>
  <si>
    <t>NLG Ground Y</t>
  </si>
  <si>
    <t>NLG Ground Z</t>
  </si>
  <si>
    <t>NLG Upper Oleo X</t>
  </si>
  <si>
    <t>NLG Upper Oleo Y</t>
  </si>
  <si>
    <t>NLG Upper Oleo Z</t>
  </si>
  <si>
    <t>NLG Lower Oleo X</t>
  </si>
  <si>
    <t>NLG Lower Oleo Y</t>
  </si>
  <si>
    <t>NLG Lower Oleo Z</t>
  </si>
  <si>
    <t>NLG Truck Lateral Spacing</t>
  </si>
  <si>
    <t>Assumed Oleo Retract distance</t>
  </si>
  <si>
    <t>NLG Envelope Radius</t>
  </si>
  <si>
    <t>MLG_Tire_Width_IN</t>
  </si>
  <si>
    <t>MLG_Tire_Diameter_IN</t>
  </si>
  <si>
    <t>MLG_Side_Brace_Attach_Oleo_X_IN</t>
  </si>
  <si>
    <t>MLG_Side_Brace_Attach_Oleo_Y_IN</t>
  </si>
  <si>
    <t>MLG_Side_Brace_Attach_Oleo_Z_IN</t>
  </si>
  <si>
    <t>MLG_Side_Brace_Attach_Airframe_X_IN</t>
  </si>
  <si>
    <t>MLG_Side_Brace_Attach_Airframe_Y_IN</t>
  </si>
  <si>
    <t>MLG_Side_Brace_Attach_Airframe_Z_IN</t>
  </si>
  <si>
    <t>Steering Angle</t>
  </si>
  <si>
    <t>degrees</t>
  </si>
  <si>
    <t>MLG BL</t>
  </si>
  <si>
    <t>MLG Truck Width</t>
  </si>
  <si>
    <t>NLG Truck Width</t>
  </si>
  <si>
    <t>Delta FS</t>
  </si>
  <si>
    <t>Turn Center BL</t>
  </si>
  <si>
    <t>NLG Radius</t>
  </si>
  <si>
    <t>MLG Opp Radius</t>
  </si>
  <si>
    <t>Wingtip Radius</t>
  </si>
  <si>
    <t>Nose Radius</t>
  </si>
  <si>
    <t>Wingtip FS</t>
  </si>
  <si>
    <t>Wingtip BL</t>
  </si>
  <si>
    <t>Nose FS</t>
  </si>
  <si>
    <t>Min 180 Tarmac</t>
  </si>
  <si>
    <t>DEG</t>
  </si>
  <si>
    <t>1st order brake sizing</t>
  </si>
  <si>
    <t>KE = CWV^2</t>
  </si>
  <si>
    <t>C</t>
  </si>
  <si>
    <t>tricycle LG</t>
  </si>
  <si>
    <t>V1</t>
  </si>
  <si>
    <t>KEAS</t>
  </si>
  <si>
    <t>Lbs</t>
  </si>
  <si>
    <t>KE RTO</t>
  </si>
  <si>
    <t>KE/Wheel</t>
  </si>
  <si>
    <t># Wheels</t>
  </si>
  <si>
    <t>ft-lb</t>
  </si>
  <si>
    <t>Target NLG Ground Contact Point</t>
  </si>
  <si>
    <t>Target</t>
  </si>
  <si>
    <t>BL Required</t>
  </si>
  <si>
    <t>Rim Diam</t>
  </si>
  <si>
    <t>Tail Strike Eval</t>
  </si>
  <si>
    <t>Rim Diam - IN</t>
  </si>
  <si>
    <t>Vol/In</t>
  </si>
  <si>
    <t>Brake ID</t>
  </si>
  <si>
    <t>Brake OD</t>
  </si>
  <si>
    <t>ID (IN)</t>
  </si>
  <si>
    <t>OD (IN)</t>
  </si>
  <si>
    <t>Fwd Trunnion</t>
  </si>
  <si>
    <t>Aft Trunnion</t>
  </si>
  <si>
    <t>MLG_Rim_Diameter_IN</t>
  </si>
  <si>
    <t>MLG_Ground_Contact_X_IN</t>
  </si>
  <si>
    <t>MLG_Ground_Contact_Y_IN</t>
  </si>
  <si>
    <t>MLG_Ground_Contact_Z_IN</t>
  </si>
  <si>
    <t>MLG_OLEO_Upper_X_IN</t>
  </si>
  <si>
    <t>MLG_OLEO_Upper_Y_IN</t>
  </si>
  <si>
    <t>MLG_OLEO_Upper_Z_IN</t>
  </si>
  <si>
    <t>Trunnion_Fwd_X_IN</t>
  </si>
  <si>
    <t>Trunnion_Fwd_Y_IN</t>
  </si>
  <si>
    <t>Trunnion_Fwd_Z_IN</t>
  </si>
  <si>
    <t>Trunnion_Aft_X_IN</t>
  </si>
  <si>
    <t>Trunnion_Aft_Y_IN</t>
  </si>
  <si>
    <t>Trunnion_Aft_Z_IN</t>
  </si>
  <si>
    <t>MLG_Tire_Spacing_Lateral_IN</t>
  </si>
  <si>
    <t>MLG_Tire_Spacing_X_IN</t>
  </si>
  <si>
    <t>MLG_OLEO_Post_OD_IN</t>
  </si>
  <si>
    <t>MLG_Static_Stroke_IN</t>
  </si>
  <si>
    <t>MLG_Retraction_IN</t>
  </si>
  <si>
    <t>MLG_Envelope_Width</t>
  </si>
  <si>
    <t>MLG_Envelope_Radius</t>
  </si>
  <si>
    <t>MLG_OLEO_Diameter_IN</t>
  </si>
  <si>
    <t>MLG_OLEO_Lower_Static_X_IN</t>
  </si>
  <si>
    <t>MLG_OLEO_Lower_Static_Y_IN</t>
  </si>
  <si>
    <t>MLG_OLEO_Lower_Static_Z_IN</t>
  </si>
  <si>
    <t>MLG_Static_Radius_IN</t>
  </si>
  <si>
    <t>Engine Inlet FS</t>
  </si>
  <si>
    <t>Engine Inlet BL</t>
  </si>
  <si>
    <t>(203knot)</t>
  </si>
  <si>
    <t>787 has 70 deg steering angle</t>
  </si>
  <si>
    <t>Engine Radius</t>
  </si>
  <si>
    <t>Min 180 Tarmac Engine</t>
  </si>
  <si>
    <t>MLG_Total_Stroke_IN</t>
  </si>
  <si>
    <t>Static % Stroke</t>
  </si>
  <si>
    <t>Vapp</t>
  </si>
  <si>
    <t>Keas</t>
  </si>
  <si>
    <t>KE Landing</t>
  </si>
  <si>
    <t>W(TO)</t>
  </si>
  <si>
    <t>W(MLW)</t>
  </si>
  <si>
    <t>Currey Heat Sink Face Width</t>
  </si>
  <si>
    <t>x10^6</t>
  </si>
  <si>
    <t>RTO</t>
  </si>
  <si>
    <t>Brake Assy Weight (RTO)</t>
  </si>
  <si>
    <t>Brake Assy Weight (100 Stop)</t>
  </si>
  <si>
    <t>slope</t>
  </si>
  <si>
    <t>b</t>
  </si>
  <si>
    <t>OD step</t>
  </si>
  <si>
    <t>OD Step</t>
  </si>
  <si>
    <t>torque plate width</t>
  </si>
  <si>
    <t>(assumed .75" each)</t>
  </si>
  <si>
    <t>piston housing</t>
  </si>
  <si>
    <t>curry</t>
  </si>
  <si>
    <t>Req Heat Sink Width (steel)</t>
  </si>
  <si>
    <t>Carb+Carb</t>
  </si>
  <si>
    <t>Beryllium</t>
  </si>
  <si>
    <t>Max Weight</t>
  </si>
  <si>
    <t>ft-lb to BTU</t>
  </si>
  <si>
    <t>Deg F</t>
  </si>
  <si>
    <t>lb</t>
  </si>
  <si>
    <t>Steel</t>
  </si>
  <si>
    <t>Carbon</t>
  </si>
  <si>
    <t>vol</t>
  </si>
  <si>
    <t>weight</t>
  </si>
  <si>
    <t>Cp (btu/lb degF)</t>
  </si>
  <si>
    <t>Stackup (in)</t>
  </si>
  <si>
    <t>Weight (lb)</t>
  </si>
  <si>
    <t>Heat Rise RTO (Deg C)</t>
  </si>
  <si>
    <t>Heat Rise Landing (Deg C)</t>
  </si>
  <si>
    <t>Volume</t>
  </si>
  <si>
    <t>weight to vol</t>
  </si>
  <si>
    <t>Thermal Conductivity (BTU/h*ft^2*degF)</t>
  </si>
  <si>
    <t>36x11.0-18</t>
  </si>
  <si>
    <t>H40x14.5-19</t>
  </si>
  <si>
    <t>H40x14.5-19V2</t>
  </si>
  <si>
    <t>+2ply</t>
  </si>
  <si>
    <t>F-15</t>
  </si>
  <si>
    <t>F-15E</t>
  </si>
  <si>
    <t>vol/in (surface area)</t>
  </si>
  <si>
    <t xml:space="preserve">outdoor air </t>
  </si>
  <si>
    <t>T0 (deg F)</t>
  </si>
  <si>
    <t>Area (ft2)</t>
  </si>
  <si>
    <t>Hc</t>
  </si>
  <si>
    <t>Cp</t>
  </si>
  <si>
    <t>Heat Trans (BTU/hr)</t>
  </si>
  <si>
    <t>dT/hr</t>
  </si>
  <si>
    <t xml:space="preserve">Time </t>
  </si>
  <si>
    <t>Cooling Steel</t>
  </si>
  <si>
    <t>Cooling Carbon</t>
  </si>
  <si>
    <t>Forced Air Carbon</t>
  </si>
  <si>
    <t>Typical</t>
  </si>
  <si>
    <t>limit (Deg F)</t>
  </si>
  <si>
    <t>KTAS</t>
  </si>
  <si>
    <t>3000ft 100def F</t>
  </si>
  <si>
    <t>Retractable Gear</t>
  </si>
  <si>
    <t>Gear Retract Limit</t>
  </si>
  <si>
    <t>Safran</t>
  </si>
  <si>
    <t>H38x12-19</t>
  </si>
  <si>
    <t>Brake Assy Weight 250 Stop</t>
  </si>
  <si>
    <t>W(250 stop)</t>
  </si>
  <si>
    <t>HT Tip FS</t>
  </si>
  <si>
    <t>HT Tip BL</t>
  </si>
  <si>
    <t>HT Radius</t>
  </si>
  <si>
    <t>35x11.5-17</t>
  </si>
  <si>
    <t>https://www.smartcockpit.com/docs/Brake_Energy_Consideration_In_Flight_Operation.pdf</t>
  </si>
  <si>
    <t>slide 40 retracted gear cooling 1/3 effectiveness</t>
  </si>
  <si>
    <t>E =.5mV2</t>
  </si>
  <si>
    <t>E RTO</t>
  </si>
  <si>
    <t>m/s</t>
  </si>
  <si>
    <t>kg</t>
  </si>
  <si>
    <t>E norm</t>
  </si>
  <si>
    <t>Joules</t>
  </si>
  <si>
    <t>mRTO</t>
  </si>
  <si>
    <t>Temp init</t>
  </si>
  <si>
    <t>max temp</t>
  </si>
  <si>
    <t>Carbon c</t>
  </si>
  <si>
    <t>lbs/wheel</t>
  </si>
  <si>
    <t>Stator OD</t>
  </si>
  <si>
    <t>Stator ID</t>
  </si>
  <si>
    <t>stator drive keys</t>
  </si>
  <si>
    <t>rotor OD</t>
  </si>
  <si>
    <t>rotor ID</t>
  </si>
  <si>
    <t>Rotor drive keys</t>
  </si>
  <si>
    <t>cm3</t>
  </si>
  <si>
    <t>in3/tire</t>
  </si>
  <si>
    <t>table 4</t>
  </si>
  <si>
    <t>area</t>
  </si>
  <si>
    <t>inch 2</t>
  </si>
  <si>
    <t>New</t>
  </si>
  <si>
    <t>Full Worn</t>
  </si>
  <si>
    <t>Stack Height</t>
  </si>
  <si>
    <t>dT eval</t>
  </si>
  <si>
    <t>Total Disk Stack</t>
  </si>
  <si>
    <t>30x11.5-14.5</t>
  </si>
  <si>
    <t>shortening required</t>
  </si>
  <si>
    <t>39x13.0R19</t>
  </si>
  <si>
    <t>Suggested</t>
  </si>
  <si>
    <t>DSG</t>
  </si>
  <si>
    <t>WSG</t>
  </si>
  <si>
    <t>Rotor Sizing</t>
  </si>
  <si>
    <t>Assumed Stopping G</t>
  </si>
  <si>
    <t>G</t>
  </si>
  <si>
    <t>F = ma</t>
  </si>
  <si>
    <t>per tire</t>
  </si>
  <si>
    <t>N</t>
  </si>
  <si>
    <t>Torque - F*r</t>
  </si>
  <si>
    <t>N*m</t>
  </si>
  <si>
    <t>m/s2</t>
  </si>
  <si>
    <t>ground friction req</t>
  </si>
  <si>
    <t>&lt;.45 means non friction limited</t>
  </si>
  <si>
    <t>brake eff</t>
  </si>
  <si>
    <t>Rotors assumed</t>
  </si>
  <si>
    <t>F = t/(2Nxeff=r)</t>
  </si>
  <si>
    <t>frictional R</t>
  </si>
  <si>
    <t>m</t>
  </si>
  <si>
    <t>Hyd Press</t>
  </si>
  <si>
    <t>Eff</t>
  </si>
  <si>
    <t>N/mm2</t>
  </si>
  <si>
    <t>mm2</t>
  </si>
  <si>
    <t>32 diam mm piston</t>
  </si>
  <si>
    <t># pistons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</si>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</sst>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3" fillId="0" borderId="0" xfId="0" applyFont="1"/>
    <xf numFmtId="0" fontId="4" fillId="0" borderId="0" xfId="0" applyFont="1"/>
    <xf numFmtId="0" fontId="0" fillId="3" borderId="0" xfId="0" applyFill="1"/>
    <xf numFmtId="2" fontId="0" fillId="3" borderId="0" xfId="0" applyNumberFormat="1" applyFill="1"/>
    <xf numFmtId="164" fontId="0" fillId="3" borderId="0" xfId="0" applyNumberForma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165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165" fontId="0" fillId="3" borderId="0" xfId="0" applyNumberFormat="1" applyFill="1"/>
    <xf numFmtId="3" fontId="2" fillId="0" borderId="0" xfId="0" applyNumberFormat="1" applyFont="1"/>
    <xf numFmtId="0" fontId="0" fillId="4" borderId="0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5" xfId="0" applyFill="1" applyBorder="1"/>
    <xf numFmtId="164" fontId="0" fillId="0" borderId="0" xfId="0" applyNumberFormat="1"/>
    <xf numFmtId="0" fontId="0" fillId="0" borderId="0" xfId="0" applyAlignment="1">
      <alignment horizontal="right" wrapText="1"/>
    </xf>
    <xf numFmtId="0" fontId="5" fillId="0" borderId="0" xfId="0" applyFont="1" applyFill="1" applyAlignment="1">
      <alignment horizontal="right" wrapText="1"/>
    </xf>
    <xf numFmtId="0" fontId="5" fillId="0" borderId="0" xfId="0" applyFont="1" applyFill="1"/>
    <xf numFmtId="0" fontId="0" fillId="0" borderId="0" xfId="0" quotePrefix="1"/>
    <xf numFmtId="11" fontId="0" fillId="0" borderId="0" xfId="0" applyNumberFormat="1"/>
    <xf numFmtId="0" fontId="0" fillId="0" borderId="0" xfId="0" applyNumberFormat="1"/>
    <xf numFmtId="0" fontId="7" fillId="0" borderId="0" xfId="0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839658994383203E-2"/>
          <c:y val="2.0748289974060925E-2"/>
          <c:w val="0.89079813256040175"/>
          <c:h val="0.84833222251964535"/>
        </c:manualLayout>
      </c:layout>
      <c:scatterChart>
        <c:scatterStyle val="smoothMarker"/>
        <c:varyColors val="0"/>
        <c:ser>
          <c:idx val="0"/>
          <c:order val="0"/>
          <c:tx>
            <c:v>Steel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'Brake Stack Sizing'!$C$74:$AG$74</c:f>
              <c:numCache>
                <c:formatCode>General</c:formatCode>
                <c:ptCount val="3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</c:numCache>
            </c:numRef>
          </c:xVal>
          <c:yVal>
            <c:numRef>
              <c:f>'Brake Stack Sizing'!$C$76:$AG$76</c:f>
              <c:numCache>
                <c:formatCode>General</c:formatCode>
                <c:ptCount val="31"/>
                <c:pt idx="0">
                  <c:v>1387.3626373626371</c:v>
                </c:pt>
                <c:pt idx="1">
                  <c:v>1309.8090999433916</c:v>
                </c:pt>
                <c:pt idx="2">
                  <c:v>1236.9275570280104</c:v>
                </c:pt>
                <c:pt idx="3">
                  <c:v>1168.4365574619683</c:v>
                </c:pt>
                <c:pt idx="4">
                  <c:v>1104.0716053230974</c:v>
                </c:pt>
                <c:pt idx="5">
                  <c:v>1043.5841385013523</c:v>
                </c:pt>
                <c:pt idx="6">
                  <c:v>986.74056881116132</c:v>
                </c:pt>
                <c:pt idx="7">
                  <c:v>933.32137992950697</c:v>
                </c:pt>
                <c:pt idx="8">
                  <c:v>883.1202796761869</c:v>
                </c:pt>
                <c:pt idx="9">
                  <c:v>835.94340336256346</c:v>
                </c:pt>
                <c:pt idx="10">
                  <c:v>791.60856513232511</c:v>
                </c:pt>
                <c:pt idx="11">
                  <c:v>749.94455440311549</c:v>
                </c:pt>
                <c:pt idx="12">
                  <c:v>710.79047469205568</c:v>
                </c:pt>
                <c:pt idx="13">
                  <c:v>673.99512227186131</c:v>
                </c:pt>
                <c:pt idx="14">
                  <c:v>639.41640225807259</c:v>
                </c:pt>
                <c:pt idx="15">
                  <c:v>606.92077987246489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F0-4568-8EFF-F3FB22FAB325}"/>
            </c:ext>
          </c:extLst>
        </c:ser>
        <c:ser>
          <c:idx val="3"/>
          <c:order val="1"/>
          <c:tx>
            <c:v>Steel Forced Cooling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'Brake Stack Sizing'!$C$74:$R$74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</c:numCache>
            </c:numRef>
          </c:xVal>
          <c:yVal>
            <c:numRef>
              <c:f>'Brake Stack Sizing'!$C$88:$R$88</c:f>
              <c:numCache>
                <c:formatCode>General</c:formatCode>
                <c:ptCount val="16"/>
                <c:pt idx="0">
                  <c:v>1387.3626373626371</c:v>
                </c:pt>
                <c:pt idx="1">
                  <c:v>1232.2555625241462</c:v>
                </c:pt>
                <c:pt idx="2">
                  <c:v>1095.8364657011118</c:v>
                </c:pt>
                <c:pt idx="3">
                  <c:v>975.85373765733482</c:v>
                </c:pt>
                <c:pt idx="4">
                  <c:v>870.32705287432725</c:v>
                </c:pt>
                <c:pt idx="5">
                  <c:v>777.51468410380551</c:v>
                </c:pt>
                <c:pt idx="6">
                  <c:v>695.88475500569734</c:v>
                </c:pt>
                <c:pt idx="7">
                  <c:v>624.08995639391424</c:v>
                </c:pt>
                <c:pt idx="8">
                  <c:v>560.94530877929367</c:v>
                </c:pt>
                <c:pt idx="9">
                  <c:v>505.40860417852036</c:v>
                </c:pt>
                <c:pt idx="10">
                  <c:v>456.563204379355</c:v>
                </c:pt>
                <c:pt idx="11">
                  <c:v>413.60291174602003</c:v>
                </c:pt>
                <c:pt idx="12">
                  <c:v>375.81866285604963</c:v>
                </c:pt>
                <c:pt idx="13">
                  <c:v>342.58682534590548</c:v>
                </c:pt>
                <c:pt idx="14">
                  <c:v>313.35890480376207</c:v>
                </c:pt>
                <c:pt idx="15">
                  <c:v>287.65249182081834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F0-4568-8EFF-F3FB22FAB325}"/>
            </c:ext>
          </c:extLst>
        </c:ser>
        <c:ser>
          <c:idx val="1"/>
          <c:order val="2"/>
          <c:tx>
            <c:v>Carbon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'Brake Stack Sizing'!$C$74:$AG$74</c:f>
              <c:numCache>
                <c:formatCode>General</c:formatCode>
                <c:ptCount val="3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</c:numCache>
            </c:numRef>
          </c:xVal>
          <c:yVal>
            <c:numRef>
              <c:f>'Brake Stack Sizing'!$C$99:$AG$99</c:f>
              <c:numCache>
                <c:formatCode>General</c:formatCode>
                <c:ptCount val="31"/>
                <c:pt idx="0">
                  <c:v>983.78234668557229</c:v>
                </c:pt>
                <c:pt idx="1">
                  <c:v>840.66143507589345</c:v>
                </c:pt>
                <c:pt idx="2">
                  <c:v>720.71771796076939</c:v>
                </c:pt>
                <c:pt idx="3">
                  <c:v>620.19784903603852</c:v>
                </c:pt>
                <c:pt idx="4">
                  <c:v>535.95630398748165</c:v>
                </c:pt>
                <c:pt idx="5">
                  <c:v>465.35694897357905</c:v>
                </c:pt>
                <c:pt idx="6">
                  <c:v>406.19054924164021</c:v>
                </c:pt>
                <c:pt idx="7">
                  <c:v>356.60563651049392</c:v>
                </c:pt>
                <c:pt idx="8">
                  <c:v>315.05057178296795</c:v>
                </c:pt>
                <c:pt idx="9">
                  <c:v>280.22499058507697</c:v>
                </c:pt>
                <c:pt idx="10">
                  <c:v>251.0391112290155</c:v>
                </c:pt>
                <c:pt idx="11">
                  <c:v>226.57963275121884</c:v>
                </c:pt>
                <c:pt idx="12">
                  <c:v>206.08115538457588</c:v>
                </c:pt>
                <c:pt idx="13">
                  <c:v>188.90222923812502</c:v>
                </c:pt>
                <c:pt idx="14">
                  <c:v>174.50528168603739</c:v>
                </c:pt>
                <c:pt idx="15">
                  <c:v>162.43979534244639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F0-4568-8EFF-F3FB22FAB325}"/>
            </c:ext>
          </c:extLst>
        </c:ser>
        <c:ser>
          <c:idx val="2"/>
          <c:order val="3"/>
          <c:tx>
            <c:v>Carbon Forced Cooling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'Brake Stack Sizing'!$C$74:$AG$74</c:f>
              <c:numCache>
                <c:formatCode>General</c:formatCode>
                <c:ptCount val="3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</c:numCache>
            </c:numRef>
          </c:xVal>
          <c:yVal>
            <c:numRef>
              <c:f>'Brake Stack Sizing'!$C$110:$AG$110</c:f>
              <c:numCache>
                <c:formatCode>General</c:formatCode>
                <c:ptCount val="31"/>
                <c:pt idx="0">
                  <c:v>983.78234668557229</c:v>
                </c:pt>
                <c:pt idx="1">
                  <c:v>697.54052346621461</c:v>
                </c:pt>
                <c:pt idx="2">
                  <c:v>504.00747822507583</c:v>
                </c:pt>
                <c:pt idx="3">
                  <c:v>372.50218534038265</c:v>
                </c:pt>
                <c:pt idx="4">
                  <c:v>283.80214480563359</c:v>
                </c:pt>
                <c:pt idx="5">
                  <c:v>223.67650431226667</c:v>
                </c:pt>
                <c:pt idx="6">
                  <c:v>183.21925587471867</c:v>
                </c:pt>
                <c:pt idx="7">
                  <c:v>155.86167842124215</c:v>
                </c:pt>
                <c:pt idx="8">
                  <c:v>137.49765704149081</c:v>
                </c:pt>
                <c:pt idx="9">
                  <c:v>125.10991732997813</c:v>
                </c:pt>
                <c:pt idx="10">
                  <c:v>116.81459584583338</c:v>
                </c:pt>
                <c:pt idx="11">
                  <c:v>111.23249002034403</c:v>
                </c:pt>
                <c:pt idx="12">
                  <c:v>107.50353045734326</c:v>
                </c:pt>
                <c:pt idx="13">
                  <c:v>105.00035874979642</c:v>
                </c:pt>
                <c:pt idx="14">
                  <c:v>103.33224310460366</c:v>
                </c:pt>
                <c:pt idx="15">
                  <c:v>102.21521321332702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F0-4568-8EFF-F3FB22FAB325}"/>
            </c:ext>
          </c:extLst>
        </c:ser>
        <c:ser>
          <c:idx val="4"/>
          <c:order val="4"/>
          <c:tx>
            <c:v>Gear Retract Temp Limit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'Brake Stack Sizing'!$C$108:$R$108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</c:numCache>
            </c:numRef>
          </c:xVal>
          <c:yVal>
            <c:numRef>
              <c:f>'Brake Stack Sizing'!$C$118:$R$118</c:f>
              <c:numCache>
                <c:formatCode>General</c:formatCode>
                <c:ptCount val="1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F0-4568-8EFF-F3FB22FAB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44079"/>
        <c:axId val="962636591"/>
      </c:scatterChart>
      <c:valAx>
        <c:axId val="96264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36591"/>
        <c:crosses val="autoZero"/>
        <c:crossBetween val="midCat"/>
      </c:valAx>
      <c:valAx>
        <c:axId val="9626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4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95872608104155"/>
          <c:y val="0.93775105793933733"/>
          <c:w val="0.68929613464774464"/>
          <c:h val="4.5977438276807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Steel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'Brake Stack Sizing'!$C$163:$BA$163</c:f>
              <c:numCache>
                <c:formatCode>General</c:formatCode>
                <c:ptCount val="5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</c:numCache>
            </c:numRef>
          </c:xVal>
          <c:yVal>
            <c:numRef>
              <c:f>'Brake Stack Sizing'!$C$165:$BA$165</c:f>
              <c:numCache>
                <c:formatCode>General</c:formatCode>
                <c:ptCount val="51"/>
                <c:pt idx="0">
                  <c:v>400</c:v>
                </c:pt>
                <c:pt idx="1">
                  <c:v>396.02401582808375</c:v>
                </c:pt>
                <c:pt idx="2">
                  <c:v>392.12707390684415</c:v>
                </c:pt>
                <c:pt idx="3">
                  <c:v>388.30760288259319</c:v>
                </c:pt>
                <c:pt idx="4">
                  <c:v>384.56406264002976</c:v>
                </c:pt>
                <c:pt idx="5">
                  <c:v>380.8949436812232</c:v>
                </c:pt>
                <c:pt idx="6">
                  <c:v>377.29876651694207</c:v>
                </c:pt>
                <c:pt idx="7">
                  <c:v>373.77408107008387</c:v>
                </c:pt>
                <c:pt idx="8">
                  <c:v>370.31946609096417</c:v>
                </c:pt>
                <c:pt idx="9">
                  <c:v>366.93352858422969</c:v>
                </c:pt>
                <c:pt idx="10">
                  <c:v>363.61490324716453</c:v>
                </c:pt>
                <c:pt idx="11">
                  <c:v>360.36225191916287</c:v>
                </c:pt>
                <c:pt idx="12">
                  <c:v>357.1742630421457</c:v>
                </c:pt>
                <c:pt idx="13">
                  <c:v>354.04965113170482</c:v>
                </c:pt>
                <c:pt idx="14">
                  <c:v>350.98715625876042</c:v>
                </c:pt>
                <c:pt idx="15">
                  <c:v>347.98554354152304</c:v>
                </c:pt>
                <c:pt idx="16">
                  <c:v>345.04360264755547</c:v>
                </c:pt>
                <c:pt idx="17">
                  <c:v>342.16014730573352</c:v>
                </c:pt>
                <c:pt idx="18">
                  <c:v>339.33401482790913</c:v>
                </c:pt>
                <c:pt idx="19">
                  <c:v>336.56406564008256</c:v>
                </c:pt>
                <c:pt idx="20">
                  <c:v>333.84918282289505</c:v>
                </c:pt>
                <c:pt idx="21">
                  <c:v>331.18827166125629</c:v>
                </c:pt>
                <c:pt idx="22">
                  <c:v>328.58025920292528</c:v>
                </c:pt>
                <c:pt idx="23">
                  <c:v>326.02409382586666</c:v>
                </c:pt>
                <c:pt idx="24">
                  <c:v>323.51874481420799</c:v>
                </c:pt>
                <c:pt idx="25">
                  <c:v>321.06320194262673</c:v>
                </c:pt>
                <c:pt idx="26">
                  <c:v>318.65647506899984</c:v>
                </c:pt>
                <c:pt idx="27">
                  <c:v>316.29759373515122</c:v>
                </c:pt>
                <c:pt idx="28">
                  <c:v>313.98560677553667</c:v>
                </c:pt>
                <c:pt idx="29">
                  <c:v>311.71958193370767</c:v>
                </c:pt>
                <c:pt idx="30">
                  <c:v>309.49860548640004</c:v>
                </c:pt>
                <c:pt idx="31">
                  <c:v>307.32178187509589</c:v>
                </c:pt>
                <c:pt idx="32">
                  <c:v>305.18823334490975</c:v>
                </c:pt>
                <c:pt idx="33">
                  <c:v>303.09709959065378</c:v>
                </c:pt>
                <c:pt idx="34">
                  <c:v>301.0475374099392</c:v>
                </c:pt>
                <c:pt idx="35">
                  <c:v>299.03872036317404</c:v>
                </c:pt>
                <c:pt idx="36">
                  <c:v>297.06983844031993</c:v>
                </c:pt>
                <c:pt idx="37">
                  <c:v>295.14009773427404</c:v>
                </c:pt>
                <c:pt idx="38">
                  <c:v>293.24872012074383</c:v>
                </c:pt>
                <c:pt idx="39">
                  <c:v>291.39494294448622</c:v>
                </c:pt>
                <c:pt idx="40">
                  <c:v>289.5780187117839</c:v>
                </c:pt>
                <c:pt idx="41">
                  <c:v>287.79721478903554</c:v>
                </c:pt>
                <c:pt idx="42">
                  <c:v>286.05181310733786</c:v>
                </c:pt>
                <c:pt idx="43">
                  <c:v>284.34110987294054</c:v>
                </c:pt>
                <c:pt idx="44">
                  <c:v>282.66441528345723</c:v>
                </c:pt>
                <c:pt idx="45">
                  <c:v>281.02105324971853</c:v>
                </c:pt>
                <c:pt idx="46">
                  <c:v>279.41036112315419</c:v>
                </c:pt>
                <c:pt idx="47">
                  <c:v>277.8316894285951</c:v>
                </c:pt>
                <c:pt idx="48">
                  <c:v>276.28440160238711</c:v>
                </c:pt>
                <c:pt idx="49">
                  <c:v>274.76787373571113</c:v>
                </c:pt>
                <c:pt idx="50">
                  <c:v>273.28149432300603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B-40C0-9936-D79C31C1A993}"/>
            </c:ext>
          </c:extLst>
        </c:ser>
        <c:ser>
          <c:idx val="1"/>
          <c:order val="1"/>
          <c:tx>
            <c:v>Carbon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'Brake Stack Sizing'!$C$163:$BA$163</c:f>
              <c:numCache>
                <c:formatCode>General</c:formatCode>
                <c:ptCount val="5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</c:numCache>
            </c:numRef>
          </c:xVal>
          <c:yVal>
            <c:numRef>
              <c:f>'Brake Stack Sizing'!$C$176:$BA$176</c:f>
              <c:numCache>
                <c:formatCode>General</c:formatCode>
                <c:ptCount val="51"/>
                <c:pt idx="0">
                  <c:v>400</c:v>
                </c:pt>
                <c:pt idx="1">
                  <c:v>390.28351864145588</c:v>
                </c:pt>
                <c:pt idx="2">
                  <c:v>381.03908733286647</c:v>
                </c:pt>
                <c:pt idx="3">
                  <c:v>372.2437727466783</c:v>
                </c:pt>
                <c:pt idx="4">
                  <c:v>363.87575571158629</c:v>
                </c:pt>
                <c:pt idx="5">
                  <c:v>355.91427708414153</c:v>
                </c:pt>
                <c:pt idx="6">
                  <c:v>348.33958625004681</c:v>
                </c:pt>
                <c:pt idx="7">
                  <c:v>341.13289212738317</c:v>
                </c:pt>
                <c:pt idx="8">
                  <c:v>334.27631655021747</c:v>
                </c:pt>
                <c:pt idx="9">
                  <c:v>327.75284991694667</c:v>
                </c:pt>
                <c:pt idx="10">
                  <c:v>321.54630899335217</c:v>
                </c:pt>
                <c:pt idx="11">
                  <c:v>315.64129676568342</c:v>
                </c:pt>
                <c:pt idx="12">
                  <c:v>310.02316424417529</c:v>
                </c:pt>
                <c:pt idx="13">
                  <c:v>304.67797412224246</c:v>
                </c:pt>
                <c:pt idx="14">
                  <c:v>299.59246620119779</c:v>
                </c:pt>
                <c:pt idx="15">
                  <c:v>294.75402449472091</c:v>
                </c:pt>
                <c:pt idx="16">
                  <c:v>290.15064593147099</c:v>
                </c:pt>
                <c:pt idx="17">
                  <c:v>285.77091057820172</c:v>
                </c:pt>
                <c:pt idx="18">
                  <c:v>281.60395330950945</c:v>
                </c:pt>
                <c:pt idx="19">
                  <c:v>277.63943685393269</c:v>
                </c:pt>
                <c:pt idx="20">
                  <c:v>273.86752614953718</c:v>
                </c:pt>
                <c:pt idx="21">
                  <c:v>270.27886394536847</c:v>
                </c:pt>
                <c:pt idx="22">
                  <c:v>266.86454758824431</c:v>
                </c:pt>
                <c:pt idx="23">
                  <c:v>263.61610693730103</c:v>
                </c:pt>
                <c:pt idx="24">
                  <c:v>260.52548335150385</c:v>
                </c:pt>
                <c:pt idx="25">
                  <c:v>257.58500969799508</c:v>
                </c:pt>
                <c:pt idx="26">
                  <c:v>254.78739133168432</c:v>
                </c:pt>
                <c:pt idx="27">
                  <c:v>252.12568799889647</c:v>
                </c:pt>
                <c:pt idx="28">
                  <c:v>249.59329662018365</c:v>
                </c:pt>
                <c:pt idx="29">
                  <c:v>247.18393490958982</c:v>
                </c:pt>
                <c:pt idx="30">
                  <c:v>244.89162578973088</c:v>
                </c:pt>
                <c:pt idx="31">
                  <c:v>242.71068256402759</c:v>
                </c:pt>
                <c:pt idx="32">
                  <c:v>240.63569480930724</c:v>
                </c:pt>
                <c:pt idx="33">
                  <c:v>238.66151495377665</c:v>
                </c:pt>
                <c:pt idx="34">
                  <c:v>236.78324550706941</c:v>
                </c:pt>
                <c:pt idx="35">
                  <c:v>234.99622691068845</c:v>
                </c:pt>
                <c:pt idx="36">
                  <c:v>233.29602597870303</c:v>
                </c:pt>
                <c:pt idx="37">
                  <c:v>231.67842490002468</c:v>
                </c:pt>
                <c:pt idx="38">
                  <c:v>230.13941077497904</c:v>
                </c:pt>
                <c:pt idx="39">
                  <c:v>228.67516566021609</c:v>
                </c:pt>
                <c:pt idx="40">
                  <c:v>227.28205709726282</c:v>
                </c:pt>
                <c:pt idx="41">
                  <c:v>225.95662910122138</c:v>
                </c:pt>
                <c:pt idx="42">
                  <c:v>224.69559358725809</c:v>
                </c:pt>
                <c:pt idx="43">
                  <c:v>223.49582221361422</c:v>
                </c:pt>
                <c:pt idx="44">
                  <c:v>222.35433862090298</c:v>
                </c:pt>
                <c:pt idx="45">
                  <c:v>221.26831104844004</c:v>
                </c:pt>
                <c:pt idx="46">
                  <c:v>220.23504530929063</c:v>
                </c:pt>
                <c:pt idx="47">
                  <c:v>219.25197810660555</c:v>
                </c:pt>
                <c:pt idx="48">
                  <c:v>218.31667067466589</c:v>
                </c:pt>
                <c:pt idx="49">
                  <c:v>217.42680272886096</c:v>
                </c:pt>
                <c:pt idx="50">
                  <c:v>216.58016670959094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B-40C0-9936-D79C31C1A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12576"/>
        <c:axId val="415598432"/>
      </c:scatterChart>
      <c:valAx>
        <c:axId val="41561257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98432"/>
        <c:crosses val="autoZero"/>
        <c:crossBetween val="midCat"/>
      </c:valAx>
      <c:valAx>
        <c:axId val="4155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1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839658994383203E-2"/>
          <c:y val="2.0748289974060925E-2"/>
          <c:w val="0.89079813256040175"/>
          <c:h val="0.84833222251964535"/>
        </c:manualLayout>
      </c:layout>
      <c:scatterChart>
        <c:scatterStyle val="smoothMarker"/>
        <c:varyColors val="0"/>
        <c:ser>
          <c:idx val="0"/>
          <c:order val="0"/>
          <c:tx>
            <c:v>Steel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'Brake Stack Sizing (2)'!$C$64:$AI$64</c:f>
              <c:numCache>
                <c:formatCode>General</c:formatCode>
                <c:ptCount val="33"/>
              </c:numCache>
            </c:numRef>
          </c:xVal>
          <c:yVal>
            <c:numRef>
              <c:f>'Brake Stack Sizing (2)'!$C$66:$AI$66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6-4EF2-B3F1-6CC188F19C08}"/>
            </c:ext>
          </c:extLst>
        </c:ser>
        <c:ser>
          <c:idx val="3"/>
          <c:order val="1"/>
          <c:tx>
            <c:v>Steel Forced Cooling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'Brake Stack Sizing (2)'!$C$64:$T$64</c:f>
              <c:numCache>
                <c:formatCode>General</c:formatCode>
                <c:ptCount val="18"/>
              </c:numCache>
            </c:numRef>
          </c:xVal>
          <c:yVal>
            <c:numRef>
              <c:f>'Brake Stack Sizing (2)'!$C$78:$T$78</c:f>
              <c:numCache>
                <c:formatCode>General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6-4EF2-B3F1-6CC188F19C08}"/>
            </c:ext>
          </c:extLst>
        </c:ser>
        <c:ser>
          <c:idx val="1"/>
          <c:order val="2"/>
          <c:tx>
            <c:v>Carbon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'Brake Stack Sizing (2)'!$C$64:$AI$64</c:f>
              <c:numCache>
                <c:formatCode>General</c:formatCode>
                <c:ptCount val="33"/>
              </c:numCache>
            </c:numRef>
          </c:xVal>
          <c:yVal>
            <c:numRef>
              <c:f>'Brake Stack Sizing (2)'!$C$89:$AI$89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6-4EF2-B3F1-6CC188F19C08}"/>
            </c:ext>
          </c:extLst>
        </c:ser>
        <c:ser>
          <c:idx val="2"/>
          <c:order val="3"/>
          <c:tx>
            <c:v>Carbon Forced Cooling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'Brake Stack Sizing (2)'!$C$64:$AI$64</c:f>
              <c:numCache>
                <c:formatCode>General</c:formatCode>
                <c:ptCount val="33"/>
              </c:numCache>
            </c:numRef>
          </c:xVal>
          <c:yVal>
            <c:numRef>
              <c:f>'Brake Stack Sizing (2)'!$C$100:$AI$100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6-4EF2-B3F1-6CC188F19C08}"/>
            </c:ext>
          </c:extLst>
        </c:ser>
        <c:ser>
          <c:idx val="4"/>
          <c:order val="4"/>
          <c:tx>
            <c:v>Gear Retract Temp Limit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'Brake Stack Sizing (2)'!$C$98:$T$98</c:f>
              <c:numCache>
                <c:formatCode>General</c:formatCode>
                <c:ptCount val="18"/>
              </c:numCache>
            </c:numRef>
          </c:xVal>
          <c:yVal>
            <c:numRef>
              <c:f>'Brake Stack Sizing (2)'!$C$108:$T$108</c:f>
              <c:numCache>
                <c:formatCode>General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6-4EF2-B3F1-6CC188F19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44079"/>
        <c:axId val="962636591"/>
      </c:scatterChart>
      <c:valAx>
        <c:axId val="96264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36591"/>
        <c:crosses val="autoZero"/>
        <c:crossBetween val="midCat"/>
      </c:valAx>
      <c:valAx>
        <c:axId val="9626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4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95872608104155"/>
          <c:y val="0.93775105793933733"/>
          <c:w val="0.68929613464774464"/>
          <c:h val="4.5977438276807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 Cooling in 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'Brake Stack Sizing (2)'!$C$153:$BC$153</c:f>
              <c:numCache>
                <c:formatCode>General</c:formatCode>
                <c:ptCount val="53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21">
                  <c:v>114</c:v>
                </c:pt>
                <c:pt idx="22">
                  <c:v>120</c:v>
                </c:pt>
                <c:pt idx="23">
                  <c:v>126</c:v>
                </c:pt>
                <c:pt idx="24">
                  <c:v>132</c:v>
                </c:pt>
                <c:pt idx="25">
                  <c:v>138</c:v>
                </c:pt>
                <c:pt idx="26">
                  <c:v>144</c:v>
                </c:pt>
                <c:pt idx="27">
                  <c:v>150</c:v>
                </c:pt>
                <c:pt idx="28">
                  <c:v>156</c:v>
                </c:pt>
                <c:pt idx="29">
                  <c:v>162</c:v>
                </c:pt>
                <c:pt idx="30">
                  <c:v>168</c:v>
                </c:pt>
                <c:pt idx="31">
                  <c:v>174</c:v>
                </c:pt>
                <c:pt idx="32">
                  <c:v>180</c:v>
                </c:pt>
                <c:pt idx="33">
                  <c:v>186</c:v>
                </c:pt>
                <c:pt idx="34">
                  <c:v>192</c:v>
                </c:pt>
                <c:pt idx="35">
                  <c:v>198</c:v>
                </c:pt>
                <c:pt idx="36">
                  <c:v>204</c:v>
                </c:pt>
                <c:pt idx="37">
                  <c:v>210</c:v>
                </c:pt>
                <c:pt idx="38">
                  <c:v>216</c:v>
                </c:pt>
                <c:pt idx="39">
                  <c:v>222</c:v>
                </c:pt>
                <c:pt idx="40">
                  <c:v>228</c:v>
                </c:pt>
                <c:pt idx="41">
                  <c:v>234</c:v>
                </c:pt>
                <c:pt idx="42">
                  <c:v>240</c:v>
                </c:pt>
                <c:pt idx="43">
                  <c:v>246</c:v>
                </c:pt>
                <c:pt idx="44">
                  <c:v>252</c:v>
                </c:pt>
                <c:pt idx="45">
                  <c:v>258</c:v>
                </c:pt>
                <c:pt idx="46">
                  <c:v>264</c:v>
                </c:pt>
                <c:pt idx="47">
                  <c:v>270</c:v>
                </c:pt>
                <c:pt idx="48">
                  <c:v>276</c:v>
                </c:pt>
                <c:pt idx="49">
                  <c:v>282</c:v>
                </c:pt>
                <c:pt idx="50">
                  <c:v>288</c:v>
                </c:pt>
                <c:pt idx="51">
                  <c:v>294</c:v>
                </c:pt>
                <c:pt idx="52">
                  <c:v>300</c:v>
                </c:pt>
              </c:numCache>
            </c:numRef>
          </c:xVal>
          <c:yVal>
            <c:numRef>
              <c:f>'Brake Stack Sizing (2)'!$C$155:$BC$155</c:f>
              <c:numCache>
                <c:formatCode>General</c:formatCode>
                <c:ptCount val="53"/>
                <c:pt idx="0">
                  <c:v>400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C-446B-8C25-64F23C2298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'Brake Stack Sizing (2)'!$C$153:$BC$153</c:f>
              <c:numCache>
                <c:formatCode>General</c:formatCode>
                <c:ptCount val="53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21">
                  <c:v>114</c:v>
                </c:pt>
                <c:pt idx="22">
                  <c:v>120</c:v>
                </c:pt>
                <c:pt idx="23">
                  <c:v>126</c:v>
                </c:pt>
                <c:pt idx="24">
                  <c:v>132</c:v>
                </c:pt>
                <c:pt idx="25">
                  <c:v>138</c:v>
                </c:pt>
                <c:pt idx="26">
                  <c:v>144</c:v>
                </c:pt>
                <c:pt idx="27">
                  <c:v>150</c:v>
                </c:pt>
                <c:pt idx="28">
                  <c:v>156</c:v>
                </c:pt>
                <c:pt idx="29">
                  <c:v>162</c:v>
                </c:pt>
                <c:pt idx="30">
                  <c:v>168</c:v>
                </c:pt>
                <c:pt idx="31">
                  <c:v>174</c:v>
                </c:pt>
                <c:pt idx="32">
                  <c:v>180</c:v>
                </c:pt>
                <c:pt idx="33">
                  <c:v>186</c:v>
                </c:pt>
                <c:pt idx="34">
                  <c:v>192</c:v>
                </c:pt>
                <c:pt idx="35">
                  <c:v>198</c:v>
                </c:pt>
                <c:pt idx="36">
                  <c:v>204</c:v>
                </c:pt>
                <c:pt idx="37">
                  <c:v>210</c:v>
                </c:pt>
                <c:pt idx="38">
                  <c:v>216</c:v>
                </c:pt>
                <c:pt idx="39">
                  <c:v>222</c:v>
                </c:pt>
                <c:pt idx="40">
                  <c:v>228</c:v>
                </c:pt>
                <c:pt idx="41">
                  <c:v>234</c:v>
                </c:pt>
                <c:pt idx="42">
                  <c:v>240</c:v>
                </c:pt>
                <c:pt idx="43">
                  <c:v>246</c:v>
                </c:pt>
                <c:pt idx="44">
                  <c:v>252</c:v>
                </c:pt>
                <c:pt idx="45">
                  <c:v>258</c:v>
                </c:pt>
                <c:pt idx="46">
                  <c:v>264</c:v>
                </c:pt>
                <c:pt idx="47">
                  <c:v>270</c:v>
                </c:pt>
                <c:pt idx="48">
                  <c:v>276</c:v>
                </c:pt>
                <c:pt idx="49">
                  <c:v>282</c:v>
                </c:pt>
                <c:pt idx="50">
                  <c:v>288</c:v>
                </c:pt>
                <c:pt idx="51">
                  <c:v>294</c:v>
                </c:pt>
                <c:pt idx="52">
                  <c:v>300</c:v>
                </c:pt>
              </c:numCache>
            </c:numRef>
          </c:xVal>
          <c:yVal>
            <c:numRef>
              <c:f>'Brake Stack Sizing (2)'!$C$166:$BC$166</c:f>
              <c:numCache>
                <c:formatCode>General</c:formatCode>
                <c:ptCount val="53"/>
                <c:pt idx="0">
                  <c:v>400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3C-446B-8C25-64F23C229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12576"/>
        <c:axId val="415598432"/>
      </c:scatterChart>
      <c:valAx>
        <c:axId val="4156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98432"/>
        <c:crosses val="autoZero"/>
        <c:crossBetween val="midCat"/>
      </c:valAx>
      <c:valAx>
        <c:axId val="4155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1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</xdr:colOff>
      <xdr:row>3</xdr:row>
      <xdr:rowOff>74296</xdr:rowOff>
    </xdr:from>
    <xdr:to>
      <xdr:col>4</xdr:col>
      <xdr:colOff>1065697</xdr:colOff>
      <xdr:row>18</xdr:row>
      <xdr:rowOff>150495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340E1F-8B85-4C43-A9DD-DE7D4F8A13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64" t="28106" r="51572" b="15625"/>
        <a:stretch/>
      </xdr:blipFill>
      <xdr:spPr>
        <a:xfrm>
          <a:off x="45719" y="436246"/>
          <a:ext cx="4239353" cy="28022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227848</xdr:colOff>
      <xdr:row>20</xdr:row>
      <xdr:rowOff>7983</xdr:rowOff>
    </xdr:from>
    <xdr:to>
      <xdr:col>13</xdr:col>
      <xdr:colOff>180975</xdr:colOff>
      <xdr:row>30</xdr:row>
      <xdr:rowOff>170465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F7DD6E-3E95-45E9-A0AB-720EDE1C8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8123" y="3627483"/>
          <a:ext cx="3953627" cy="1972232"/>
        </a:xfrm>
        <a:prstGeom prst="rect">
          <a:avLst/>
        </a:prstGeom>
      </xdr:spPr>
    </xdr:pic>
    <xdr:clientData/>
  </xdr:twoCellAnchor>
  <xdr:twoCellAnchor editAs="oneCell">
    <xdr:from>
      <xdr:col>13</xdr:col>
      <xdr:colOff>225047</xdr:colOff>
      <xdr:row>1</xdr:row>
      <xdr:rowOff>111691</xdr:rowOff>
    </xdr:from>
    <xdr:to>
      <xdr:col>18</xdr:col>
      <xdr:colOff>477174</xdr:colOff>
      <xdr:row>15</xdr:row>
      <xdr:rowOff>160570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F39760-E67F-44CF-A601-BFC533001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40729" y="296418"/>
          <a:ext cx="3452180" cy="2636966"/>
        </a:xfrm>
        <a:prstGeom prst="rect">
          <a:avLst/>
        </a:prstGeom>
      </xdr:spPr>
    </xdr:pic>
    <xdr:clientData/>
  </xdr:twoCellAnchor>
  <xdr:twoCellAnchor editAs="oneCell">
    <xdr:from>
      <xdr:col>12</xdr:col>
      <xdr:colOff>600158</xdr:colOff>
      <xdr:row>38</xdr:row>
      <xdr:rowOff>105768</xdr:rowOff>
    </xdr:from>
    <xdr:to>
      <xdr:col>20</xdr:col>
      <xdr:colOff>495043</xdr:colOff>
      <xdr:row>53</xdr:row>
      <xdr:rowOff>55386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8C78813-1E18-4BD3-850A-A542DDB1B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36484" y="6665594"/>
          <a:ext cx="4993162" cy="2682879"/>
        </a:xfrm>
        <a:prstGeom prst="rect">
          <a:avLst/>
        </a:prstGeom>
      </xdr:spPr>
    </xdr:pic>
    <xdr:clientData/>
  </xdr:twoCellAnchor>
  <xdr:twoCellAnchor editAs="oneCell">
    <xdr:from>
      <xdr:col>7</xdr:col>
      <xdr:colOff>533745</xdr:colOff>
      <xdr:row>32</xdr:row>
      <xdr:rowOff>74543</xdr:rowOff>
    </xdr:from>
    <xdr:to>
      <xdr:col>11</xdr:col>
      <xdr:colOff>495817</xdr:colOff>
      <xdr:row>43</xdr:row>
      <xdr:rowOff>38709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14AD4E-C4C3-42BB-AC0C-4F3EEEB43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38636" y="5541065"/>
          <a:ext cx="2679908" cy="1964747"/>
        </a:xfrm>
        <a:prstGeom prst="rect">
          <a:avLst/>
        </a:prstGeom>
      </xdr:spPr>
    </xdr:pic>
    <xdr:clientData/>
  </xdr:twoCellAnchor>
  <xdr:twoCellAnchor>
    <xdr:from>
      <xdr:col>3</xdr:col>
      <xdr:colOff>750570</xdr:colOff>
      <xdr:row>119</xdr:row>
      <xdr:rowOff>95251</xdr:rowOff>
    </xdr:from>
    <xdr:to>
      <xdr:col>18</xdr:col>
      <xdr:colOff>114300</xdr:colOff>
      <xdr:row>155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742A7-08FB-4CE6-8351-C2130138A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784860</xdr:colOff>
      <xdr:row>183</xdr:row>
      <xdr:rowOff>24764</xdr:rowOff>
    </xdr:from>
    <xdr:to>
      <xdr:col>11</xdr:col>
      <xdr:colOff>461010</xdr:colOff>
      <xdr:row>203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C505D6-19FA-4E67-880B-475263C99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2226364</xdr:colOff>
      <xdr:row>36</xdr:row>
      <xdr:rowOff>9941</xdr:rowOff>
    </xdr:from>
    <xdr:to>
      <xdr:col>19</xdr:col>
      <xdr:colOff>529930</xdr:colOff>
      <xdr:row>46</xdr:row>
      <xdr:rowOff>31887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3691EE6-8E54-4F19-A418-6A81334B14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929"/>
        <a:stretch/>
      </xdr:blipFill>
      <xdr:spPr>
        <a:xfrm>
          <a:off x="2865781" y="6576393"/>
          <a:ext cx="11277445" cy="1844120"/>
        </a:xfrm>
        <a:prstGeom prst="rect">
          <a:avLst/>
        </a:prstGeom>
      </xdr:spPr>
    </xdr:pic>
    <xdr:clientData/>
  </xdr:twoCellAnchor>
  <xdr:twoCellAnchor>
    <xdr:from>
      <xdr:col>3</xdr:col>
      <xdr:colOff>438150</xdr:colOff>
      <xdr:row>16</xdr:row>
      <xdr:rowOff>3810</xdr:rowOff>
    </xdr:from>
    <xdr:to>
      <xdr:col>4</xdr:col>
      <xdr:colOff>198120</xdr:colOff>
      <xdr:row>17</xdr:row>
      <xdr:rowOff>22860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7930990F-6D86-4F6D-BFFE-C5CC4C96E208}"/>
            </a:ext>
          </a:extLst>
        </xdr:cNvPr>
        <xdr:cNvSpPr/>
      </xdr:nvSpPr>
      <xdr:spPr>
        <a:xfrm>
          <a:off x="3821430" y="2564130"/>
          <a:ext cx="400050" cy="20193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441960</xdr:colOff>
      <xdr:row>17</xdr:row>
      <xdr:rowOff>156210</xdr:rowOff>
    </xdr:from>
    <xdr:to>
      <xdr:col>4</xdr:col>
      <xdr:colOff>201930</xdr:colOff>
      <xdr:row>18</xdr:row>
      <xdr:rowOff>175260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0DCD714-DA56-49C0-8ABB-0767DFB3AC61}"/>
            </a:ext>
          </a:extLst>
        </xdr:cNvPr>
        <xdr:cNvSpPr/>
      </xdr:nvSpPr>
      <xdr:spPr>
        <a:xfrm>
          <a:off x="3825240" y="2899410"/>
          <a:ext cx="400050" cy="20193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</xdr:colOff>
      <xdr:row>17</xdr:row>
      <xdr:rowOff>83820</xdr:rowOff>
    </xdr:from>
    <xdr:to>
      <xdr:col>16</xdr:col>
      <xdr:colOff>422910</xdr:colOff>
      <xdr:row>17</xdr:row>
      <xdr:rowOff>91440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65E8A34-5526-4190-BFFE-721A9F224CCC}"/>
            </a:ext>
          </a:extLst>
        </xdr:cNvPr>
        <xdr:cNvCxnSpPr/>
      </xdr:nvCxnSpPr>
      <xdr:spPr>
        <a:xfrm flipV="1">
          <a:off x="3421380" y="2827020"/>
          <a:ext cx="8705850" cy="7620"/>
        </a:xfrm>
        <a:prstGeom prst="line">
          <a:avLst/>
        </a:prstGeom>
        <a:ln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594357</xdr:colOff>
      <xdr:row>22</xdr:row>
      <xdr:rowOff>83820</xdr:rowOff>
    </xdr:from>
    <xdr:to>
      <xdr:col>12</xdr:col>
      <xdr:colOff>352150</xdr:colOff>
      <xdr:row>23</xdr:row>
      <xdr:rowOff>102870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33181B71-C93F-4DDC-9610-F69DECA579F7}"/>
            </a:ext>
          </a:extLst>
        </xdr:cNvPr>
        <xdr:cNvSpPr/>
      </xdr:nvSpPr>
      <xdr:spPr>
        <a:xfrm>
          <a:off x="9123314" y="3784963"/>
          <a:ext cx="400050" cy="20410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594357</xdr:colOff>
      <xdr:row>21</xdr:row>
      <xdr:rowOff>7620</xdr:rowOff>
    </xdr:from>
    <xdr:to>
      <xdr:col>12</xdr:col>
      <xdr:colOff>352150</xdr:colOff>
      <xdr:row>22</xdr:row>
      <xdr:rowOff>26670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29850623-2963-439D-A468-7FA7E1497B87}"/>
            </a:ext>
          </a:extLst>
        </xdr:cNvPr>
        <xdr:cNvSpPr/>
      </xdr:nvSpPr>
      <xdr:spPr>
        <a:xfrm>
          <a:off x="9123314" y="3523706"/>
          <a:ext cx="400050" cy="20410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499107</xdr:colOff>
      <xdr:row>22</xdr:row>
      <xdr:rowOff>87630</xdr:rowOff>
    </xdr:from>
    <xdr:to>
      <xdr:col>13</xdr:col>
      <xdr:colOff>256900</xdr:colOff>
      <xdr:row>23</xdr:row>
      <xdr:rowOff>106680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65F76C51-DEB3-4E7D-B082-AED4916282CF}"/>
            </a:ext>
          </a:extLst>
        </xdr:cNvPr>
        <xdr:cNvSpPr/>
      </xdr:nvSpPr>
      <xdr:spPr>
        <a:xfrm>
          <a:off x="9670321" y="3788773"/>
          <a:ext cx="400050" cy="20410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499107</xdr:colOff>
      <xdr:row>21</xdr:row>
      <xdr:rowOff>11430</xdr:rowOff>
    </xdr:from>
    <xdr:to>
      <xdr:col>13</xdr:col>
      <xdr:colOff>256900</xdr:colOff>
      <xdr:row>22</xdr:row>
      <xdr:rowOff>30480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5C958CAD-CA09-41F0-AEDA-24508FB3A8A5}"/>
            </a:ext>
          </a:extLst>
        </xdr:cNvPr>
        <xdr:cNvSpPr/>
      </xdr:nvSpPr>
      <xdr:spPr>
        <a:xfrm>
          <a:off x="9670321" y="3527516"/>
          <a:ext cx="400050" cy="20410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3810</xdr:colOff>
      <xdr:row>14</xdr:row>
      <xdr:rowOff>102870</xdr:rowOff>
    </xdr:from>
    <xdr:to>
      <xdr:col>4</xdr:col>
      <xdr:colOff>7620</xdr:colOff>
      <xdr:row>20</xdr:row>
      <xdr:rowOff>80010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64B8A051-FFE5-40C8-8238-1566B646EB22}"/>
            </a:ext>
          </a:extLst>
        </xdr:cNvPr>
        <xdr:cNvCxnSpPr/>
      </xdr:nvCxnSpPr>
      <xdr:spPr>
        <a:xfrm>
          <a:off x="4027170" y="2297430"/>
          <a:ext cx="3810" cy="107442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45720</xdr:colOff>
      <xdr:row>10</xdr:row>
      <xdr:rowOff>19050</xdr:rowOff>
    </xdr:from>
    <xdr:to>
      <xdr:col>13</xdr:col>
      <xdr:colOff>60960</xdr:colOff>
      <xdr:row>24</xdr:row>
      <xdr:rowOff>148590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6AD37809-6286-41C5-8921-581C5046110D}"/>
            </a:ext>
          </a:extLst>
        </xdr:cNvPr>
        <xdr:cNvCxnSpPr/>
      </xdr:nvCxnSpPr>
      <xdr:spPr>
        <a:xfrm flipH="1">
          <a:off x="9829800" y="1482090"/>
          <a:ext cx="15240" cy="2689860"/>
        </a:xfrm>
        <a:prstGeom prst="line">
          <a:avLst/>
        </a:prstGeom>
        <a:ln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11</xdr:row>
      <xdr:rowOff>129540</xdr:rowOff>
    </xdr:from>
    <xdr:to>
      <xdr:col>12</xdr:col>
      <xdr:colOff>57150</xdr:colOff>
      <xdr:row>13</xdr:row>
      <xdr:rowOff>95250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5DBF3B4-65E0-4C85-93A5-ABC1918C5824}"/>
            </a:ext>
          </a:extLst>
        </xdr:cNvPr>
        <xdr:cNvCxnSpPr/>
      </xdr:nvCxnSpPr>
      <xdr:spPr>
        <a:xfrm>
          <a:off x="9201150" y="1775460"/>
          <a:ext cx="0" cy="33147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426720</xdr:colOff>
      <xdr:row>11</xdr:row>
      <xdr:rowOff>125730</xdr:rowOff>
    </xdr:from>
    <xdr:to>
      <xdr:col>12</xdr:col>
      <xdr:colOff>308610</xdr:colOff>
      <xdr:row>11</xdr:row>
      <xdr:rowOff>125730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6415D1F6-132C-4552-9AFF-D273FA2C80FA}"/>
            </a:ext>
          </a:extLst>
        </xdr:cNvPr>
        <xdr:cNvCxnSpPr/>
      </xdr:nvCxnSpPr>
      <xdr:spPr>
        <a:xfrm>
          <a:off x="8930640" y="1771650"/>
          <a:ext cx="52197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476250</xdr:colOff>
      <xdr:row>13</xdr:row>
      <xdr:rowOff>80010</xdr:rowOff>
    </xdr:from>
    <xdr:to>
      <xdr:col>12</xdr:col>
      <xdr:colOff>358140</xdr:colOff>
      <xdr:row>13</xdr:row>
      <xdr:rowOff>80010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28A79BB9-C5EB-4D88-BC1C-CE49F05AA8C5}"/>
            </a:ext>
          </a:extLst>
        </xdr:cNvPr>
        <xdr:cNvCxnSpPr/>
      </xdr:nvCxnSpPr>
      <xdr:spPr>
        <a:xfrm>
          <a:off x="8980170" y="2091690"/>
          <a:ext cx="52197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16</xdr:row>
      <xdr:rowOff>91440</xdr:rowOff>
    </xdr:from>
    <xdr:to>
      <xdr:col>3</xdr:col>
      <xdr:colOff>102870</xdr:colOff>
      <xdr:row>18</xdr:row>
      <xdr:rowOff>125730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02DE88D-AEE8-40AD-A36F-7EF2FCD00A66}"/>
            </a:ext>
          </a:extLst>
        </xdr:cNvPr>
        <xdr:cNvCxnSpPr/>
      </xdr:nvCxnSpPr>
      <xdr:spPr>
        <a:xfrm flipH="1">
          <a:off x="3474720" y="2651760"/>
          <a:ext cx="11430" cy="400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2442210</xdr:colOff>
      <xdr:row>16</xdr:row>
      <xdr:rowOff>99060</xdr:rowOff>
    </xdr:from>
    <xdr:to>
      <xdr:col>3</xdr:col>
      <xdr:colOff>220980</xdr:colOff>
      <xdr:row>16</xdr:row>
      <xdr:rowOff>99060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D913A4B5-B3CD-4AD5-96F4-AF39F616CCBE}"/>
            </a:ext>
          </a:extLst>
        </xdr:cNvPr>
        <xdr:cNvCxnSpPr/>
      </xdr:nvCxnSpPr>
      <xdr:spPr>
        <a:xfrm>
          <a:off x="3082290" y="2659380"/>
          <a:ext cx="52197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2453640</xdr:colOff>
      <xdr:row>18</xdr:row>
      <xdr:rowOff>114300</xdr:rowOff>
    </xdr:from>
    <xdr:to>
      <xdr:col>3</xdr:col>
      <xdr:colOff>232410</xdr:colOff>
      <xdr:row>18</xdr:row>
      <xdr:rowOff>114300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E986D4C9-F55B-4776-9137-2128D1679161}"/>
            </a:ext>
          </a:extLst>
        </xdr:cNvPr>
        <xdr:cNvCxnSpPr/>
      </xdr:nvCxnSpPr>
      <xdr:spPr>
        <a:xfrm>
          <a:off x="3093720" y="3040380"/>
          <a:ext cx="52197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14</xdr:row>
      <xdr:rowOff>3810</xdr:rowOff>
    </xdr:from>
    <xdr:to>
      <xdr:col>13</xdr:col>
      <xdr:colOff>30480</xdr:colOff>
      <xdr:row>14</xdr:row>
      <xdr:rowOff>15240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106A686-98A7-4145-ADF4-987DC99B2956}"/>
            </a:ext>
          </a:extLst>
        </xdr:cNvPr>
        <xdr:cNvCxnSpPr/>
      </xdr:nvCxnSpPr>
      <xdr:spPr>
        <a:xfrm>
          <a:off x="4046220" y="2198370"/>
          <a:ext cx="5768340" cy="1143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1089</xdr:colOff>
      <xdr:row>10</xdr:row>
      <xdr:rowOff>81643</xdr:rowOff>
    </xdr:from>
    <xdr:to>
      <xdr:col>13</xdr:col>
      <xdr:colOff>616676</xdr:colOff>
      <xdr:row>10</xdr:row>
      <xdr:rowOff>81643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EA64B525-643D-42A0-8C76-F4BD0B303FAF}"/>
            </a:ext>
          </a:extLst>
        </xdr:cNvPr>
        <xdr:cNvCxnSpPr/>
      </xdr:nvCxnSpPr>
      <xdr:spPr>
        <a:xfrm>
          <a:off x="9814560" y="1562100"/>
          <a:ext cx="61558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</xdr:colOff>
      <xdr:row>22</xdr:row>
      <xdr:rowOff>60960</xdr:rowOff>
    </xdr:from>
    <xdr:to>
      <xdr:col>15</xdr:col>
      <xdr:colOff>361950</xdr:colOff>
      <xdr:row>22</xdr:row>
      <xdr:rowOff>60960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A055A5A-2B5F-4680-BD27-C01227C25BAB}"/>
            </a:ext>
          </a:extLst>
        </xdr:cNvPr>
        <xdr:cNvCxnSpPr/>
      </xdr:nvCxnSpPr>
      <xdr:spPr>
        <a:xfrm>
          <a:off x="9147810" y="3718560"/>
          <a:ext cx="2278380" cy="0"/>
        </a:xfrm>
        <a:prstGeom prst="line">
          <a:avLst/>
        </a:prstGeom>
        <a:ln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99060</xdr:colOff>
      <xdr:row>12</xdr:row>
      <xdr:rowOff>110490</xdr:rowOff>
    </xdr:from>
    <xdr:to>
      <xdr:col>15</xdr:col>
      <xdr:colOff>457200</xdr:colOff>
      <xdr:row>12</xdr:row>
      <xdr:rowOff>110490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8D72117-7954-4964-AE4F-C9C36FBD602D}"/>
            </a:ext>
          </a:extLst>
        </xdr:cNvPr>
        <xdr:cNvCxnSpPr/>
      </xdr:nvCxnSpPr>
      <xdr:spPr>
        <a:xfrm>
          <a:off x="9243060" y="1939290"/>
          <a:ext cx="2278380" cy="0"/>
        </a:xfrm>
        <a:prstGeom prst="line">
          <a:avLst/>
        </a:prstGeom>
        <a:ln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262890</xdr:colOff>
      <xdr:row>12</xdr:row>
      <xdr:rowOff>133350</xdr:rowOff>
    </xdr:from>
    <xdr:to>
      <xdr:col>15</xdr:col>
      <xdr:colOff>274320</xdr:colOff>
      <xdr:row>22</xdr:row>
      <xdr:rowOff>53340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A4F1F84-FF2F-4770-B4AC-E873934CA184}"/>
            </a:ext>
          </a:extLst>
        </xdr:cNvPr>
        <xdr:cNvCxnSpPr/>
      </xdr:nvCxnSpPr>
      <xdr:spPr>
        <a:xfrm flipH="1">
          <a:off x="11327130" y="1962150"/>
          <a:ext cx="11430" cy="174879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499110</xdr:colOff>
      <xdr:row>45</xdr:row>
      <xdr:rowOff>121920</xdr:rowOff>
    </xdr:from>
    <xdr:to>
      <xdr:col>4</xdr:col>
      <xdr:colOff>83820</xdr:colOff>
      <xdr:row>46</xdr:row>
      <xdr:rowOff>148590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16B2106-45B6-4F3B-B060-7E0C52180F23}"/>
            </a:ext>
          </a:extLst>
        </xdr:cNvPr>
        <xdr:cNvSpPr/>
      </xdr:nvSpPr>
      <xdr:spPr>
        <a:xfrm>
          <a:off x="3882390" y="7985760"/>
          <a:ext cx="224790" cy="2095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288732</xdr:colOff>
      <xdr:row>46</xdr:row>
      <xdr:rowOff>130203</xdr:rowOff>
    </xdr:from>
    <xdr:to>
      <xdr:col>12</xdr:col>
      <xdr:colOff>512859</xdr:colOff>
      <xdr:row>47</xdr:row>
      <xdr:rowOff>156873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B81083CD-08B5-497C-9627-6E8C1E987E22}"/>
            </a:ext>
          </a:extLst>
        </xdr:cNvPr>
        <xdr:cNvSpPr/>
      </xdr:nvSpPr>
      <xdr:spPr>
        <a:xfrm>
          <a:off x="9426106" y="8518829"/>
          <a:ext cx="224127" cy="20888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604299</xdr:colOff>
      <xdr:row>46</xdr:row>
      <xdr:rowOff>122583</xdr:rowOff>
    </xdr:from>
    <xdr:to>
      <xdr:col>13</xdr:col>
      <xdr:colOff>189672</xdr:colOff>
      <xdr:row>47</xdr:row>
      <xdr:rowOff>149253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C6BAC42E-B84B-49C7-A5B1-FDA299C8DF7E}"/>
            </a:ext>
          </a:extLst>
        </xdr:cNvPr>
        <xdr:cNvSpPr/>
      </xdr:nvSpPr>
      <xdr:spPr>
        <a:xfrm>
          <a:off x="9741673" y="8511209"/>
          <a:ext cx="224790" cy="20888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262890</xdr:colOff>
      <xdr:row>41</xdr:row>
      <xdr:rowOff>129540</xdr:rowOff>
    </xdr:from>
    <xdr:to>
      <xdr:col>11</xdr:col>
      <xdr:colOff>453390</xdr:colOff>
      <xdr:row>42</xdr:row>
      <xdr:rowOff>110490</xdr:rowOff>
    </xdr:to>
    <xdr:sp macro="" textlink="">
      <xdr:nvSpPr>
        <xdr:cNvPr id="41" name="Flowchart: Or 40">
          <a:extLst>
            <a:ext uri="{FF2B5EF4-FFF2-40B4-BE49-F238E27FC236}">
              <a16:creationId xmlns:a16="http://schemas.microsoft.com/office/drawing/2014/main" id="{CAD464A9-5FC2-4E97-B45B-41A3F1EA3EB0}"/>
            </a:ext>
          </a:extLst>
        </xdr:cNvPr>
        <xdr:cNvSpPr/>
      </xdr:nvSpPr>
      <xdr:spPr>
        <a:xfrm>
          <a:off x="8766810" y="5981700"/>
          <a:ext cx="190500" cy="163830"/>
        </a:xfrm>
        <a:prstGeom prst="flowChartOr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611505</xdr:colOff>
      <xdr:row>36</xdr:row>
      <xdr:rowOff>118110</xdr:rowOff>
    </xdr:from>
    <xdr:to>
      <xdr:col>3</xdr:col>
      <xdr:colOff>621030</xdr:colOff>
      <xdr:row>45</xdr:row>
      <xdr:rowOff>121920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573901D9-BDE8-4E9E-AF1A-7E734E2EF3DA}"/>
            </a:ext>
          </a:extLst>
        </xdr:cNvPr>
        <xdr:cNvCxnSpPr>
          <a:endCxn id="38" idx="0"/>
        </xdr:cNvCxnSpPr>
      </xdr:nvCxnSpPr>
      <xdr:spPr>
        <a:xfrm flipH="1">
          <a:off x="3994785" y="6336030"/>
          <a:ext cx="9525" cy="1649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83820</xdr:colOff>
      <xdr:row>36</xdr:row>
      <xdr:rowOff>152400</xdr:rowOff>
    </xdr:from>
    <xdr:to>
      <xdr:col>13</xdr:col>
      <xdr:colOff>91440</xdr:colOff>
      <xdr:row>47</xdr:row>
      <xdr:rowOff>91440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631FB667-52A0-4B83-A68F-412BAED3127E}"/>
            </a:ext>
          </a:extLst>
        </xdr:cNvPr>
        <xdr:cNvCxnSpPr/>
      </xdr:nvCxnSpPr>
      <xdr:spPr>
        <a:xfrm flipV="1">
          <a:off x="9867900" y="5090160"/>
          <a:ext cx="7620" cy="1950720"/>
        </a:xfrm>
        <a:prstGeom prst="line">
          <a:avLst/>
        </a:prstGeom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354330</xdr:colOff>
      <xdr:row>36</xdr:row>
      <xdr:rowOff>167640</xdr:rowOff>
    </xdr:from>
    <xdr:to>
      <xdr:col>11</xdr:col>
      <xdr:colOff>358140</xdr:colOff>
      <xdr:row>41</xdr:row>
      <xdr:rowOff>129540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36375C2-9D2F-480D-97BE-AAC4ADEC455D}"/>
            </a:ext>
          </a:extLst>
        </xdr:cNvPr>
        <xdr:cNvCxnSpPr>
          <a:stCxn id="41" idx="0"/>
        </xdr:cNvCxnSpPr>
      </xdr:nvCxnSpPr>
      <xdr:spPr>
        <a:xfrm flipH="1" flipV="1">
          <a:off x="8858250" y="5105400"/>
          <a:ext cx="3810" cy="87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628650</xdr:colOff>
      <xdr:row>37</xdr:row>
      <xdr:rowOff>83820</xdr:rowOff>
    </xdr:from>
    <xdr:to>
      <xdr:col>11</xdr:col>
      <xdr:colOff>361950</xdr:colOff>
      <xdr:row>37</xdr:row>
      <xdr:rowOff>91440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38BEF75B-BF6A-4A5B-B78D-619195F000D1}"/>
            </a:ext>
          </a:extLst>
        </xdr:cNvPr>
        <xdr:cNvCxnSpPr/>
      </xdr:nvCxnSpPr>
      <xdr:spPr>
        <a:xfrm>
          <a:off x="4011930" y="5204460"/>
          <a:ext cx="4853940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392430</xdr:colOff>
      <xdr:row>37</xdr:row>
      <xdr:rowOff>102870</xdr:rowOff>
    </xdr:from>
    <xdr:to>
      <xdr:col>13</xdr:col>
      <xdr:colOff>72390</xdr:colOff>
      <xdr:row>37</xdr:row>
      <xdr:rowOff>102870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120466C2-227A-4434-902A-F84DD9B16FD0}"/>
            </a:ext>
          </a:extLst>
        </xdr:cNvPr>
        <xdr:cNvCxnSpPr/>
      </xdr:nvCxnSpPr>
      <xdr:spPr>
        <a:xfrm flipH="1">
          <a:off x="8896350" y="5223510"/>
          <a:ext cx="96012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425492</xdr:colOff>
      <xdr:row>42</xdr:row>
      <xdr:rowOff>86498</xdr:rowOff>
    </xdr:from>
    <xdr:to>
      <xdr:col>13</xdr:col>
      <xdr:colOff>102870</xdr:colOff>
      <xdr:row>47</xdr:row>
      <xdr:rowOff>99060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4523F829-88E1-48D6-92DB-62487E81D803}"/>
            </a:ext>
          </a:extLst>
        </xdr:cNvPr>
        <xdr:cNvCxnSpPr>
          <a:stCxn id="41" idx="5"/>
        </xdr:cNvCxnSpPr>
      </xdr:nvCxnSpPr>
      <xdr:spPr>
        <a:xfrm>
          <a:off x="8929412" y="6121538"/>
          <a:ext cx="957538" cy="9269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259080</xdr:colOff>
      <xdr:row>43</xdr:row>
      <xdr:rowOff>99060</xdr:rowOff>
    </xdr:from>
    <xdr:to>
      <xdr:col>15</xdr:col>
      <xdr:colOff>60960</xdr:colOff>
      <xdr:row>50</xdr:row>
      <xdr:rowOff>34290</xdr:rowOff>
    </xdr:to>
    <xdr:sp macro="" textlink="">
      <xdr:nvSpPr>
        <xdr:cNvPr id="55" name="Arc 54">
          <a:extLst>
            <a:ext uri="{FF2B5EF4-FFF2-40B4-BE49-F238E27FC236}">
              <a16:creationId xmlns:a16="http://schemas.microsoft.com/office/drawing/2014/main" id="{310590E8-8C63-45D4-971A-7A387B28F82E}"/>
            </a:ext>
          </a:extLst>
        </xdr:cNvPr>
        <xdr:cNvSpPr/>
      </xdr:nvSpPr>
      <xdr:spPr>
        <a:xfrm>
          <a:off x="9403080" y="6316980"/>
          <a:ext cx="1722120" cy="1215390"/>
        </a:xfrm>
        <a:prstGeom prst="arc">
          <a:avLst>
            <a:gd name="adj1" fmla="val 12020283"/>
            <a:gd name="adj2" fmla="val 13917628"/>
          </a:avLst>
        </a:prstGeom>
        <a:ln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11430</xdr:colOff>
      <xdr:row>17</xdr:row>
      <xdr:rowOff>87630</xdr:rowOff>
    </xdr:from>
    <xdr:to>
      <xdr:col>17</xdr:col>
      <xdr:colOff>327660</xdr:colOff>
      <xdr:row>24</xdr:row>
      <xdr:rowOff>45720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884BFE20-ACB9-489E-9B68-6C5429D51023}"/>
            </a:ext>
          </a:extLst>
        </xdr:cNvPr>
        <xdr:cNvCxnSpPr/>
      </xdr:nvCxnSpPr>
      <xdr:spPr>
        <a:xfrm>
          <a:off x="3394710" y="2830830"/>
          <a:ext cx="9277350" cy="1238250"/>
        </a:xfrm>
        <a:prstGeom prst="line">
          <a:avLst/>
        </a:prstGeom>
        <a:ln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274320</xdr:colOff>
      <xdr:row>17</xdr:row>
      <xdr:rowOff>87630</xdr:rowOff>
    </xdr:from>
    <xdr:to>
      <xdr:col>17</xdr:col>
      <xdr:colOff>285750</xdr:colOff>
      <xdr:row>21</xdr:row>
      <xdr:rowOff>91440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EEA30D86-984F-4D8F-B940-C337A0D0236F}"/>
            </a:ext>
          </a:extLst>
        </xdr:cNvPr>
        <xdr:cNvCxnSpPr/>
      </xdr:nvCxnSpPr>
      <xdr:spPr>
        <a:xfrm>
          <a:off x="7498080" y="2830830"/>
          <a:ext cx="5132070" cy="735330"/>
        </a:xfrm>
        <a:prstGeom prst="line">
          <a:avLst/>
        </a:prstGeom>
        <a:ln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297180</xdr:colOff>
      <xdr:row>21</xdr:row>
      <xdr:rowOff>15240</xdr:rowOff>
    </xdr:from>
    <xdr:to>
      <xdr:col>17</xdr:col>
      <xdr:colOff>278130</xdr:colOff>
      <xdr:row>24</xdr:row>
      <xdr:rowOff>30480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376FE980-1405-474D-8497-9CC712AF4ADC}"/>
            </a:ext>
          </a:extLst>
        </xdr:cNvPr>
        <xdr:cNvCxnSpPr/>
      </xdr:nvCxnSpPr>
      <xdr:spPr>
        <a:xfrm>
          <a:off x="12001500" y="3489960"/>
          <a:ext cx="621030" cy="563880"/>
        </a:xfrm>
        <a:prstGeom prst="line">
          <a:avLst/>
        </a:prstGeom>
        <a:ln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285750</xdr:colOff>
      <xdr:row>21</xdr:row>
      <xdr:rowOff>95250</xdr:rowOff>
    </xdr:from>
    <xdr:to>
      <xdr:col>17</xdr:col>
      <xdr:colOff>342900</xdr:colOff>
      <xdr:row>24</xdr:row>
      <xdr:rowOff>68580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8025876F-E87A-45A0-9608-32ED12B10376}"/>
            </a:ext>
          </a:extLst>
        </xdr:cNvPr>
        <xdr:cNvCxnSpPr/>
      </xdr:nvCxnSpPr>
      <xdr:spPr>
        <a:xfrm flipH="1">
          <a:off x="12630150" y="3569970"/>
          <a:ext cx="57150" cy="521970"/>
        </a:xfrm>
        <a:prstGeom prst="line">
          <a:avLst/>
        </a:prstGeom>
        <a:ln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16</xdr:row>
      <xdr:rowOff>179070</xdr:rowOff>
    </xdr:from>
    <xdr:to>
      <xdr:col>9</xdr:col>
      <xdr:colOff>419100</xdr:colOff>
      <xdr:row>17</xdr:row>
      <xdr:rowOff>167640</xdr:rowOff>
    </xdr:to>
    <xdr:sp macro="" textlink="">
      <xdr:nvSpPr>
        <xdr:cNvPr id="29" name="Flowchart: Summing Junction 28">
          <a:extLst>
            <a:ext uri="{FF2B5EF4-FFF2-40B4-BE49-F238E27FC236}">
              <a16:creationId xmlns:a16="http://schemas.microsoft.com/office/drawing/2014/main" id="{2B3594F5-1610-4841-B392-DBB43D9538CC}"/>
            </a:ext>
          </a:extLst>
        </xdr:cNvPr>
        <xdr:cNvSpPr/>
      </xdr:nvSpPr>
      <xdr:spPr>
        <a:xfrm>
          <a:off x="7452360" y="2739390"/>
          <a:ext cx="190500" cy="171450"/>
        </a:xfrm>
        <a:prstGeom prst="flowChartSummingJuncti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205740</xdr:colOff>
      <xdr:row>20</xdr:row>
      <xdr:rowOff>87630</xdr:rowOff>
    </xdr:from>
    <xdr:to>
      <xdr:col>16</xdr:col>
      <xdr:colOff>396240</xdr:colOff>
      <xdr:row>21</xdr:row>
      <xdr:rowOff>76200</xdr:rowOff>
    </xdr:to>
    <xdr:sp macro="" textlink="">
      <xdr:nvSpPr>
        <xdr:cNvPr id="50" name="Flowchart: Summing Junction 49">
          <a:extLst>
            <a:ext uri="{FF2B5EF4-FFF2-40B4-BE49-F238E27FC236}">
              <a16:creationId xmlns:a16="http://schemas.microsoft.com/office/drawing/2014/main" id="{78E4DFBF-3032-4A56-8162-F28163D96E01}"/>
            </a:ext>
          </a:extLst>
        </xdr:cNvPr>
        <xdr:cNvSpPr/>
      </xdr:nvSpPr>
      <xdr:spPr>
        <a:xfrm>
          <a:off x="11910060" y="3379470"/>
          <a:ext cx="190500" cy="171450"/>
        </a:xfrm>
        <a:prstGeom prst="flowChartSummingJuncti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388620</xdr:colOff>
      <xdr:row>17</xdr:row>
      <xdr:rowOff>72390</xdr:rowOff>
    </xdr:from>
    <xdr:to>
      <xdr:col>15</xdr:col>
      <xdr:colOff>396240</xdr:colOff>
      <xdr:row>22</xdr:row>
      <xdr:rowOff>41910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8E569F71-766C-46E4-9E79-CC67FAD66945}"/>
            </a:ext>
          </a:extLst>
        </xdr:cNvPr>
        <xdr:cNvCxnSpPr/>
      </xdr:nvCxnSpPr>
      <xdr:spPr>
        <a:xfrm flipH="1">
          <a:off x="11452860" y="2815590"/>
          <a:ext cx="7620" cy="8839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</xdr:colOff>
      <xdr:row>15</xdr:row>
      <xdr:rowOff>163830</xdr:rowOff>
    </xdr:from>
    <xdr:to>
      <xdr:col>7</xdr:col>
      <xdr:colOff>327660</xdr:colOff>
      <xdr:row>20</xdr:row>
      <xdr:rowOff>163830</xdr:rowOff>
    </xdr:to>
    <xdr:sp macro="" textlink="">
      <xdr:nvSpPr>
        <xdr:cNvPr id="36" name="Arc 35">
          <a:extLst>
            <a:ext uri="{FF2B5EF4-FFF2-40B4-BE49-F238E27FC236}">
              <a16:creationId xmlns:a16="http://schemas.microsoft.com/office/drawing/2014/main" id="{3E6F6D40-BC59-48C9-9B39-028A32E72ECF}"/>
            </a:ext>
          </a:extLst>
        </xdr:cNvPr>
        <xdr:cNvSpPr/>
      </xdr:nvSpPr>
      <xdr:spPr>
        <a:xfrm>
          <a:off x="5356860" y="2541270"/>
          <a:ext cx="914400" cy="914400"/>
        </a:xfrm>
        <a:prstGeom prst="arc">
          <a:avLst>
            <a:gd name="adj1" fmla="val 20291915"/>
            <a:gd name="adj2" fmla="val 1611046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441960</xdr:colOff>
      <xdr:row>22</xdr:row>
      <xdr:rowOff>114300</xdr:rowOff>
    </xdr:from>
    <xdr:to>
      <xdr:col>18</xdr:col>
      <xdr:colOff>76200</xdr:colOff>
      <xdr:row>27</xdr:row>
      <xdr:rowOff>114300</xdr:rowOff>
    </xdr:to>
    <xdr:sp macro="" textlink="">
      <xdr:nvSpPr>
        <xdr:cNvPr id="56" name="Arc 55">
          <a:extLst>
            <a:ext uri="{FF2B5EF4-FFF2-40B4-BE49-F238E27FC236}">
              <a16:creationId xmlns:a16="http://schemas.microsoft.com/office/drawing/2014/main" id="{964D09BD-C295-4436-8ED6-731C3C41C171}"/>
            </a:ext>
          </a:extLst>
        </xdr:cNvPr>
        <xdr:cNvSpPr/>
      </xdr:nvSpPr>
      <xdr:spPr>
        <a:xfrm rot="19272946">
          <a:off x="12146280" y="3771900"/>
          <a:ext cx="914400" cy="914400"/>
        </a:xfrm>
        <a:prstGeom prst="arc">
          <a:avLst>
            <a:gd name="adj1" fmla="val 16528499"/>
            <a:gd name="adj2" fmla="val 19058401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586740</xdr:colOff>
      <xdr:row>15</xdr:row>
      <xdr:rowOff>163830</xdr:rowOff>
    </xdr:from>
    <xdr:to>
      <xdr:col>9</xdr:col>
      <xdr:colOff>304800</xdr:colOff>
      <xdr:row>16</xdr:row>
      <xdr:rowOff>3810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C9A37C89-3880-4381-A20D-BC2A6EEF0239}"/>
            </a:ext>
          </a:extLst>
        </xdr:cNvPr>
        <xdr:cNvCxnSpPr/>
      </xdr:nvCxnSpPr>
      <xdr:spPr>
        <a:xfrm>
          <a:off x="3970020" y="2541270"/>
          <a:ext cx="3558540" cy="228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323850</xdr:colOff>
      <xdr:row>15</xdr:row>
      <xdr:rowOff>53340</xdr:rowOff>
    </xdr:from>
    <xdr:to>
      <xdr:col>9</xdr:col>
      <xdr:colOff>323850</xdr:colOff>
      <xdr:row>17</xdr:row>
      <xdr:rowOff>152400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60B3BB00-7632-458B-9711-425278054809}"/>
            </a:ext>
          </a:extLst>
        </xdr:cNvPr>
        <xdr:cNvCxnSpPr/>
      </xdr:nvCxnSpPr>
      <xdr:spPr>
        <a:xfrm>
          <a:off x="7547610" y="2430780"/>
          <a:ext cx="0" cy="46482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17</xdr:row>
      <xdr:rowOff>110490</xdr:rowOff>
    </xdr:from>
    <xdr:to>
      <xdr:col>9</xdr:col>
      <xdr:colOff>323850</xdr:colOff>
      <xdr:row>20</xdr:row>
      <xdr:rowOff>83820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C5A07E48-5635-495D-8CEF-63E3E5433A9B}"/>
            </a:ext>
          </a:extLst>
        </xdr:cNvPr>
        <xdr:cNvCxnSpPr/>
      </xdr:nvCxnSpPr>
      <xdr:spPr>
        <a:xfrm flipH="1">
          <a:off x="7490460" y="2853690"/>
          <a:ext cx="57150" cy="521970"/>
        </a:xfrm>
        <a:prstGeom prst="line">
          <a:avLst/>
        </a:prstGeom>
        <a:ln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</xdr:colOff>
      <xdr:row>46</xdr:row>
      <xdr:rowOff>179070</xdr:rowOff>
    </xdr:from>
    <xdr:to>
      <xdr:col>18</xdr:col>
      <xdr:colOff>426720</xdr:colOff>
      <xdr:row>48</xdr:row>
      <xdr:rowOff>53340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EDA0A046-D00C-4A3E-BC68-8C9F082274FB}"/>
            </a:ext>
          </a:extLst>
        </xdr:cNvPr>
        <xdr:cNvCxnSpPr/>
      </xdr:nvCxnSpPr>
      <xdr:spPr>
        <a:xfrm>
          <a:off x="4040505" y="8233410"/>
          <a:ext cx="9370695" cy="2400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47</xdr:row>
      <xdr:rowOff>118110</xdr:rowOff>
    </xdr:from>
    <xdr:to>
      <xdr:col>13</xdr:col>
      <xdr:colOff>110490</xdr:colOff>
      <xdr:row>47</xdr:row>
      <xdr:rowOff>137160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7E368224-1DA5-4C4F-B9E6-BBB79D2A87BC}"/>
            </a:ext>
          </a:extLst>
        </xdr:cNvPr>
        <xdr:cNvCxnSpPr/>
      </xdr:nvCxnSpPr>
      <xdr:spPr>
        <a:xfrm>
          <a:off x="3135630" y="8347710"/>
          <a:ext cx="675894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42</xdr:row>
      <xdr:rowOff>144779</xdr:rowOff>
    </xdr:from>
    <xdr:to>
      <xdr:col>7</xdr:col>
      <xdr:colOff>49530</xdr:colOff>
      <xdr:row>49</xdr:row>
      <xdr:rowOff>80009</xdr:rowOff>
    </xdr:to>
    <xdr:sp macro="" textlink="">
      <xdr:nvSpPr>
        <xdr:cNvPr id="59" name="Arc 58">
          <a:extLst>
            <a:ext uri="{FF2B5EF4-FFF2-40B4-BE49-F238E27FC236}">
              <a16:creationId xmlns:a16="http://schemas.microsoft.com/office/drawing/2014/main" id="{452A3899-C738-40B3-AC78-360996D7E610}"/>
            </a:ext>
          </a:extLst>
        </xdr:cNvPr>
        <xdr:cNvSpPr/>
      </xdr:nvSpPr>
      <xdr:spPr>
        <a:xfrm rot="19077908">
          <a:off x="4271010" y="7459979"/>
          <a:ext cx="1722120" cy="1215390"/>
        </a:xfrm>
        <a:prstGeom prst="arc">
          <a:avLst>
            <a:gd name="adj1" fmla="val 12020283"/>
            <a:gd name="adj2" fmla="val 12828085"/>
          </a:avLst>
        </a:prstGeom>
        <a:ln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90212</xdr:colOff>
      <xdr:row>42</xdr:row>
      <xdr:rowOff>129208</xdr:rowOff>
    </xdr:from>
    <xdr:to>
      <xdr:col>19</xdr:col>
      <xdr:colOff>168965</xdr:colOff>
      <xdr:row>47</xdr:row>
      <xdr:rowOff>101738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EFD71CEC-33EE-4E2B-BEE2-5CA488B1C19F}"/>
            </a:ext>
          </a:extLst>
        </xdr:cNvPr>
        <xdr:cNvCxnSpPr/>
      </xdr:nvCxnSpPr>
      <xdr:spPr>
        <a:xfrm flipV="1">
          <a:off x="9867003" y="7788965"/>
          <a:ext cx="3915258" cy="8836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108585</xdr:colOff>
      <xdr:row>43</xdr:row>
      <xdr:rowOff>100965</xdr:rowOff>
    </xdr:from>
    <xdr:to>
      <xdr:col>16</xdr:col>
      <xdr:colOff>43815</xdr:colOff>
      <xdr:row>52</xdr:row>
      <xdr:rowOff>177165</xdr:rowOff>
    </xdr:to>
    <xdr:sp macro="" textlink="">
      <xdr:nvSpPr>
        <xdr:cNvPr id="62" name="Arc 61">
          <a:extLst>
            <a:ext uri="{FF2B5EF4-FFF2-40B4-BE49-F238E27FC236}">
              <a16:creationId xmlns:a16="http://schemas.microsoft.com/office/drawing/2014/main" id="{6DC1D2A2-CD29-4476-A5FD-21D0891B9251}"/>
            </a:ext>
          </a:extLst>
        </xdr:cNvPr>
        <xdr:cNvSpPr/>
      </xdr:nvSpPr>
      <xdr:spPr>
        <a:xfrm rot="7431625">
          <a:off x="10273748" y="8193985"/>
          <a:ext cx="1716156" cy="1214064"/>
        </a:xfrm>
        <a:prstGeom prst="arc">
          <a:avLst>
            <a:gd name="adj1" fmla="val 11694354"/>
            <a:gd name="adj2" fmla="val 13917628"/>
          </a:avLst>
        </a:prstGeom>
        <a:ln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366302</xdr:colOff>
      <xdr:row>22</xdr:row>
      <xdr:rowOff>84364</xdr:rowOff>
    </xdr:from>
    <xdr:to>
      <xdr:col>14</xdr:col>
      <xdr:colOff>124094</xdr:colOff>
      <xdr:row>23</xdr:row>
      <xdr:rowOff>103414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C93B6E82-B34A-4C7C-82B9-9820393A3F4C}"/>
            </a:ext>
          </a:extLst>
        </xdr:cNvPr>
        <xdr:cNvSpPr/>
      </xdr:nvSpPr>
      <xdr:spPr>
        <a:xfrm>
          <a:off x="10179773" y="3785507"/>
          <a:ext cx="400050" cy="20410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366302</xdr:colOff>
      <xdr:row>21</xdr:row>
      <xdr:rowOff>8164</xdr:rowOff>
    </xdr:from>
    <xdr:to>
      <xdr:col>14</xdr:col>
      <xdr:colOff>124094</xdr:colOff>
      <xdr:row>22</xdr:row>
      <xdr:rowOff>27214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6DAFC058-E969-4ECA-90FC-7ACB96C01E90}"/>
            </a:ext>
          </a:extLst>
        </xdr:cNvPr>
        <xdr:cNvSpPr/>
      </xdr:nvSpPr>
      <xdr:spPr>
        <a:xfrm>
          <a:off x="10179773" y="3524250"/>
          <a:ext cx="400050" cy="20410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605242</xdr:colOff>
      <xdr:row>12</xdr:row>
      <xdr:rowOff>116478</xdr:rowOff>
    </xdr:from>
    <xdr:to>
      <xdr:col>12</xdr:col>
      <xdr:colOff>363035</xdr:colOff>
      <xdr:row>13</xdr:row>
      <xdr:rowOff>135527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E229B68F-05E4-4570-AE24-1C7C181F2647}"/>
            </a:ext>
          </a:extLst>
        </xdr:cNvPr>
        <xdr:cNvSpPr/>
      </xdr:nvSpPr>
      <xdr:spPr>
        <a:xfrm>
          <a:off x="9134199" y="1967049"/>
          <a:ext cx="400050" cy="20410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605242</xdr:colOff>
      <xdr:row>11</xdr:row>
      <xdr:rowOff>40278</xdr:rowOff>
    </xdr:from>
    <xdr:to>
      <xdr:col>12</xdr:col>
      <xdr:colOff>363035</xdr:colOff>
      <xdr:row>12</xdr:row>
      <xdr:rowOff>59328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EA4212F5-3D98-4B94-B7FF-628BCABB9A0B}"/>
            </a:ext>
          </a:extLst>
        </xdr:cNvPr>
        <xdr:cNvSpPr/>
      </xdr:nvSpPr>
      <xdr:spPr>
        <a:xfrm>
          <a:off x="9134199" y="1705792"/>
          <a:ext cx="400050" cy="20410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509992</xdr:colOff>
      <xdr:row>12</xdr:row>
      <xdr:rowOff>120288</xdr:rowOff>
    </xdr:from>
    <xdr:to>
      <xdr:col>13</xdr:col>
      <xdr:colOff>267785</xdr:colOff>
      <xdr:row>13</xdr:row>
      <xdr:rowOff>139337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4212AAC8-C61A-4D70-8943-9BAD6E2617A1}"/>
            </a:ext>
          </a:extLst>
        </xdr:cNvPr>
        <xdr:cNvSpPr/>
      </xdr:nvSpPr>
      <xdr:spPr>
        <a:xfrm>
          <a:off x="9681206" y="1970859"/>
          <a:ext cx="400050" cy="20410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509992</xdr:colOff>
      <xdr:row>11</xdr:row>
      <xdr:rowOff>44088</xdr:rowOff>
    </xdr:from>
    <xdr:to>
      <xdr:col>13</xdr:col>
      <xdr:colOff>267785</xdr:colOff>
      <xdr:row>12</xdr:row>
      <xdr:rowOff>63138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A09E4F90-110E-42B9-9D2D-4ADA2DB18FC0}"/>
            </a:ext>
          </a:extLst>
        </xdr:cNvPr>
        <xdr:cNvSpPr/>
      </xdr:nvSpPr>
      <xdr:spPr>
        <a:xfrm>
          <a:off x="9681206" y="1709602"/>
          <a:ext cx="400050" cy="20410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377187</xdr:colOff>
      <xdr:row>12</xdr:row>
      <xdr:rowOff>117022</xdr:rowOff>
    </xdr:from>
    <xdr:to>
      <xdr:col>14</xdr:col>
      <xdr:colOff>134979</xdr:colOff>
      <xdr:row>13</xdr:row>
      <xdr:rowOff>136071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51FF01A-4EAD-4994-AC18-FBF8D82E1665}"/>
            </a:ext>
          </a:extLst>
        </xdr:cNvPr>
        <xdr:cNvSpPr/>
      </xdr:nvSpPr>
      <xdr:spPr>
        <a:xfrm>
          <a:off x="10190658" y="1967593"/>
          <a:ext cx="400050" cy="20410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377187</xdr:colOff>
      <xdr:row>11</xdr:row>
      <xdr:rowOff>40822</xdr:rowOff>
    </xdr:from>
    <xdr:to>
      <xdr:col>14</xdr:col>
      <xdr:colOff>134979</xdr:colOff>
      <xdr:row>12</xdr:row>
      <xdr:rowOff>59872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B95E0D67-75E6-4814-B4A1-7559EC87C80F}"/>
            </a:ext>
          </a:extLst>
        </xdr:cNvPr>
        <xdr:cNvSpPr/>
      </xdr:nvSpPr>
      <xdr:spPr>
        <a:xfrm>
          <a:off x="10190658" y="1706336"/>
          <a:ext cx="400050" cy="20410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275124</xdr:colOff>
      <xdr:row>46</xdr:row>
      <xdr:rowOff>133469</xdr:rowOff>
    </xdr:from>
    <xdr:to>
      <xdr:col>13</xdr:col>
      <xdr:colOff>497074</xdr:colOff>
      <xdr:row>47</xdr:row>
      <xdr:rowOff>160139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57B8E651-11E2-4F03-ADD9-D3897B425E74}"/>
            </a:ext>
          </a:extLst>
        </xdr:cNvPr>
        <xdr:cNvSpPr/>
      </xdr:nvSpPr>
      <xdr:spPr>
        <a:xfrm>
          <a:off x="10051915" y="8522095"/>
          <a:ext cx="221950" cy="20888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750570</xdr:colOff>
      <xdr:row>109</xdr:row>
      <xdr:rowOff>95251</xdr:rowOff>
    </xdr:from>
    <xdr:to>
      <xdr:col>20</xdr:col>
      <xdr:colOff>114300</xdr:colOff>
      <xdr:row>145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E8160B-A455-4E57-91BE-4A7C0D20F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784860</xdr:colOff>
      <xdr:row>173</xdr:row>
      <xdr:rowOff>24764</xdr:rowOff>
    </xdr:from>
    <xdr:to>
      <xdr:col>13</xdr:col>
      <xdr:colOff>461010</xdr:colOff>
      <xdr:row>193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6EB8C4-8B55-4ABE-BC64-0EFC519C4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531208</xdr:colOff>
      <xdr:row>0</xdr:row>
      <xdr:rowOff>146610</xdr:rowOff>
    </xdr:from>
    <xdr:to>
      <xdr:col>21</xdr:col>
      <xdr:colOff>487104</xdr:colOff>
      <xdr:row>47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A2F4496-A87E-4F01-A471-55A819708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143031" y="-403753"/>
          <a:ext cx="8456370" cy="95570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6BC0-DC74-47EB-815F-500A9999708E}">
  <dimension ref="A1:B53"/>
  <sheetViews>
    <sheetView workbookViewId="0">
      <selection activeCell="A9" sqref="A9"/>
    </sheetView>
  </sheetViews>
  <sheetFormatPr defaultRowHeight="14.4" x14ac:dyDescent="0.55000000000000004"/>
  <cols>
    <col min="1" max="1" width="34.15625" bestFit="1" customWidth="1"/>
  </cols>
  <sheetData>
    <row r="1" spans="1:2" x14ac:dyDescent="0.55000000000000004">
      <c r="A1" t="s">
        <v>186</v>
      </c>
      <c r="B1">
        <f>'Tire Selection'!I7</f>
        <v>39</v>
      </c>
    </row>
    <row r="2" spans="1:2" x14ac:dyDescent="0.55000000000000004">
      <c r="A2" t="s">
        <v>185</v>
      </c>
      <c r="B2">
        <f>'Tire Selection'!I9</f>
        <v>13</v>
      </c>
    </row>
    <row r="3" spans="1:2" x14ac:dyDescent="0.55000000000000004">
      <c r="A3" t="s">
        <v>233</v>
      </c>
      <c r="B3">
        <f>'Tire Selection'!I8</f>
        <v>19</v>
      </c>
    </row>
    <row r="4" spans="1:2" x14ac:dyDescent="0.55000000000000004">
      <c r="A4" s="38" t="s">
        <v>251</v>
      </c>
      <c r="B4">
        <f>'Tire Selection'!N25</f>
        <v>7.24688</v>
      </c>
    </row>
    <row r="5" spans="1:2" x14ac:dyDescent="0.55000000000000004">
      <c r="A5" s="38" t="s">
        <v>252</v>
      </c>
      <c r="B5">
        <f>'Tire Selection'!N24</f>
        <v>21.684535412641324</v>
      </c>
    </row>
    <row r="6" spans="1:2" x14ac:dyDescent="0.55000000000000004">
      <c r="A6" s="15" t="s">
        <v>253</v>
      </c>
      <c r="B6">
        <f>'Oleo Sizing'!I21</f>
        <v>11</v>
      </c>
    </row>
    <row r="7" spans="1:2" x14ac:dyDescent="0.55000000000000004">
      <c r="A7" t="s">
        <v>248</v>
      </c>
      <c r="B7">
        <f>B6+2</f>
        <v>13</v>
      </c>
    </row>
    <row r="8" spans="1:2" x14ac:dyDescent="0.55000000000000004">
      <c r="A8" t="s">
        <v>264</v>
      </c>
      <c r="B8">
        <f>'Oleo Sizing'!I23</f>
        <v>20</v>
      </c>
    </row>
    <row r="9" spans="1:2" x14ac:dyDescent="0.55000000000000004">
      <c r="A9" t="s">
        <v>249</v>
      </c>
      <c r="B9">
        <f>'Oleo Sizing'!K18</f>
        <v>16.329398884578787</v>
      </c>
    </row>
    <row r="10" spans="1:2" x14ac:dyDescent="0.55000000000000004">
      <c r="A10" t="s">
        <v>250</v>
      </c>
      <c r="B10">
        <f>'Worksheet Inputs'!A13</f>
        <v>0</v>
      </c>
    </row>
    <row r="11" spans="1:2" x14ac:dyDescent="0.55000000000000004">
      <c r="A11" t="s">
        <v>234</v>
      </c>
      <c r="B11">
        <f>'Oleo Sizing'!I16</f>
        <v>1965.6000000000001</v>
      </c>
    </row>
    <row r="12" spans="1:2" x14ac:dyDescent="0.55000000000000004">
      <c r="A12" t="s">
        <v>235</v>
      </c>
      <c r="B12">
        <f>IF('Oleo Sizing'!J16&lt;0,'Oleo Sizing'!J16,'Oleo Sizing'!J16*-1)</f>
        <v>-164.6</v>
      </c>
    </row>
    <row r="13" spans="1:2" x14ac:dyDescent="0.55000000000000004">
      <c r="A13" t="s">
        <v>236</v>
      </c>
      <c r="B13">
        <f>'Oleo Sizing'!K16</f>
        <v>327.76338979850095</v>
      </c>
    </row>
    <row r="14" spans="1:2" x14ac:dyDescent="0.55000000000000004">
      <c r="A14" t="s">
        <v>237</v>
      </c>
      <c r="B14">
        <f>'Oleo Sizing'!I14</f>
        <v>1965.6000000000001</v>
      </c>
    </row>
    <row r="15" spans="1:2" x14ac:dyDescent="0.55000000000000004">
      <c r="A15" t="s">
        <v>238</v>
      </c>
      <c r="B15">
        <f>IF('Oleo Sizing'!J14&lt;0,'Oleo Sizing'!J14,'Oleo Sizing'!J14*-1)</f>
        <v>-164.6</v>
      </c>
    </row>
    <row r="16" spans="1:2" x14ac:dyDescent="0.55000000000000004">
      <c r="A16" t="s">
        <v>239</v>
      </c>
      <c r="B16">
        <f>'Oleo Sizing'!K14</f>
        <v>474</v>
      </c>
    </row>
    <row r="17" spans="1:2" x14ac:dyDescent="0.55000000000000004">
      <c r="A17" t="s">
        <v>254</v>
      </c>
      <c r="B17">
        <f>'Oleo Sizing'!I15</f>
        <v>1965.6000000000001</v>
      </c>
    </row>
    <row r="18" spans="1:2" x14ac:dyDescent="0.55000000000000004">
      <c r="A18" t="s">
        <v>255</v>
      </c>
      <c r="B18">
        <f>IF('Oleo Sizing'!J15&lt;0,'Oleo Sizing'!J15,'Oleo Sizing'!J15*-1)</f>
        <v>-164.6</v>
      </c>
    </row>
    <row r="19" spans="1:2" x14ac:dyDescent="0.55000000000000004">
      <c r="A19" s="15" t="s">
        <v>256</v>
      </c>
      <c r="B19">
        <f>'Oleo Sizing'!K15</f>
        <v>344.42939888456931</v>
      </c>
    </row>
    <row r="20" spans="1:2" x14ac:dyDescent="0.55000000000000004">
      <c r="A20" t="s">
        <v>246</v>
      </c>
      <c r="B20">
        <f>'Gear Geom'!D6</f>
        <v>30.7</v>
      </c>
    </row>
    <row r="21" spans="1:2" x14ac:dyDescent="0.55000000000000004">
      <c r="A21" t="s">
        <v>247</v>
      </c>
      <c r="B21">
        <f>'Gear Geom'!D7</f>
        <v>46.5</v>
      </c>
    </row>
    <row r="22" spans="1:2" x14ac:dyDescent="0.55000000000000004">
      <c r="A22" t="s">
        <v>240</v>
      </c>
      <c r="B22">
        <f>'Oleo Sizing'!I8</f>
        <v>1953.6000000000001</v>
      </c>
    </row>
    <row r="23" spans="1:2" x14ac:dyDescent="0.55000000000000004">
      <c r="A23" t="s">
        <v>241</v>
      </c>
      <c r="B23">
        <f>IF('Oleo Sizing'!J8&lt;0,'Oleo Sizing'!J8,'Oleo Sizing'!J8*-1)</f>
        <v>-164.6</v>
      </c>
    </row>
    <row r="24" spans="1:2" x14ac:dyDescent="0.55000000000000004">
      <c r="A24" t="s">
        <v>242</v>
      </c>
      <c r="B24">
        <f>'Oleo Sizing'!K8</f>
        <v>474</v>
      </c>
    </row>
    <row r="25" spans="1:2" x14ac:dyDescent="0.55000000000000004">
      <c r="A25" t="s">
        <v>243</v>
      </c>
      <c r="B25">
        <f>'Oleo Sizing'!I9</f>
        <v>1977.6000000000001</v>
      </c>
    </row>
    <row r="26" spans="1:2" x14ac:dyDescent="0.55000000000000004">
      <c r="A26" t="s">
        <v>244</v>
      </c>
      <c r="B26">
        <f>IF('Oleo Sizing'!J9&lt;0,'Oleo Sizing'!J9,'Oleo Sizing'!J9*-1)</f>
        <v>-164.6</v>
      </c>
    </row>
    <row r="27" spans="1:2" x14ac:dyDescent="0.55000000000000004">
      <c r="A27" t="s">
        <v>245</v>
      </c>
      <c r="B27">
        <f>'Oleo Sizing'!K9</f>
        <v>474</v>
      </c>
    </row>
    <row r="28" spans="1:2" x14ac:dyDescent="0.55000000000000004">
      <c r="A28" t="s">
        <v>257</v>
      </c>
      <c r="B28">
        <f>'Oleo Sizing'!L43</f>
        <v>16.666009086068335</v>
      </c>
    </row>
    <row r="29" spans="1:2" x14ac:dyDescent="0.55000000000000004">
      <c r="A29" t="s">
        <v>187</v>
      </c>
      <c r="B29" s="12">
        <v>1983</v>
      </c>
    </row>
    <row r="30" spans="1:2" x14ac:dyDescent="0.55000000000000004">
      <c r="A30" t="s">
        <v>188</v>
      </c>
      <c r="B30" s="12">
        <v>-187</v>
      </c>
    </row>
    <row r="31" spans="1:2" x14ac:dyDescent="0.55000000000000004">
      <c r="A31" t="s">
        <v>189</v>
      </c>
      <c r="B31" s="12">
        <v>418</v>
      </c>
    </row>
    <row r="32" spans="1:2" x14ac:dyDescent="0.55000000000000004">
      <c r="A32" t="s">
        <v>190</v>
      </c>
      <c r="B32" s="12">
        <v>1970</v>
      </c>
    </row>
    <row r="33" spans="1:2" x14ac:dyDescent="0.55000000000000004">
      <c r="A33" t="s">
        <v>191</v>
      </c>
      <c r="B33" s="12">
        <v>-60</v>
      </c>
    </row>
    <row r="34" spans="1:2" x14ac:dyDescent="0.55000000000000004">
      <c r="A34" t="s">
        <v>192</v>
      </c>
      <c r="B34" s="12">
        <v>475</v>
      </c>
    </row>
    <row r="36" spans="1:2" x14ac:dyDescent="0.55000000000000004">
      <c r="A36" t="s">
        <v>166</v>
      </c>
      <c r="B36">
        <f>'Tire Selection'!I32</f>
        <v>30</v>
      </c>
    </row>
    <row r="37" spans="1:2" x14ac:dyDescent="0.55000000000000004">
      <c r="A37" t="s">
        <v>167</v>
      </c>
      <c r="B37">
        <f>'Tire Selection'!I34</f>
        <v>11.5</v>
      </c>
    </row>
    <row r="38" spans="1:2" x14ac:dyDescent="0.55000000000000004">
      <c r="A38" t="s">
        <v>168</v>
      </c>
      <c r="B38">
        <f>'Tire Selection'!I33</f>
        <v>14.5</v>
      </c>
    </row>
    <row r="39" spans="1:2" x14ac:dyDescent="0.55000000000000004">
      <c r="A39" t="s">
        <v>169</v>
      </c>
      <c r="B39">
        <f>'Tire Selection'!N50</f>
        <v>6.4372400000000001</v>
      </c>
    </row>
    <row r="40" spans="1:2" x14ac:dyDescent="0.55000000000000004">
      <c r="A40" t="s">
        <v>184</v>
      </c>
      <c r="B40">
        <f>'Tire Selection'!N49</f>
        <v>16.801360503793003</v>
      </c>
    </row>
    <row r="41" spans="1:2" x14ac:dyDescent="0.55000000000000004">
      <c r="A41" t="s">
        <v>170</v>
      </c>
      <c r="B41">
        <f>'Oleo Sizing'!B21</f>
        <v>7</v>
      </c>
    </row>
    <row r="42" spans="1:2" x14ac:dyDescent="0.55000000000000004">
      <c r="A42" t="s">
        <v>171</v>
      </c>
      <c r="B42">
        <f>B41+2</f>
        <v>9</v>
      </c>
    </row>
    <row r="43" spans="1:2" x14ac:dyDescent="0.55000000000000004">
      <c r="A43" t="s">
        <v>172</v>
      </c>
      <c r="B43">
        <f>'Oleo Sizing'!B23</f>
        <v>14</v>
      </c>
    </row>
    <row r="44" spans="1:2" x14ac:dyDescent="0.55000000000000004">
      <c r="A44" t="s">
        <v>173</v>
      </c>
      <c r="B44">
        <f>'Oleo Sizing'!B16</f>
        <v>1254.7209322703725</v>
      </c>
    </row>
    <row r="45" spans="1:2" x14ac:dyDescent="0.55000000000000004">
      <c r="A45" t="s">
        <v>174</v>
      </c>
      <c r="B45">
        <f>'Oleo Sizing'!C16</f>
        <v>0</v>
      </c>
    </row>
    <row r="46" spans="1:2" x14ac:dyDescent="0.55000000000000004">
      <c r="A46" t="s">
        <v>175</v>
      </c>
      <c r="B46">
        <f>'Oleo Sizing'!D16</f>
        <v>327.7870557168568</v>
      </c>
    </row>
    <row r="47" spans="1:2" x14ac:dyDescent="0.55000000000000004">
      <c r="A47" t="s">
        <v>176</v>
      </c>
      <c r="B47">
        <f>'Oleo Sizing'!B14</f>
        <v>1254.4000000000001</v>
      </c>
    </row>
    <row r="48" spans="1:2" x14ac:dyDescent="0.55000000000000004">
      <c r="A48" t="s">
        <v>177</v>
      </c>
      <c r="B48">
        <f>'Oleo Sizing'!C14</f>
        <v>0</v>
      </c>
    </row>
    <row r="49" spans="1:2" x14ac:dyDescent="0.55000000000000004">
      <c r="A49" t="s">
        <v>178</v>
      </c>
      <c r="B49">
        <f>'Oleo Sizing'!D14</f>
        <v>477</v>
      </c>
    </row>
    <row r="50" spans="1:2" x14ac:dyDescent="0.55000000000000004">
      <c r="A50" t="s">
        <v>179</v>
      </c>
      <c r="B50">
        <f>'Oleo Sizing'!B15</f>
        <v>1254.7209322703725</v>
      </c>
    </row>
    <row r="51" spans="1:2" x14ac:dyDescent="0.55000000000000004">
      <c r="A51" t="s">
        <v>180</v>
      </c>
      <c r="B51">
        <f>'Oleo Sizing'!C15</f>
        <v>0</v>
      </c>
    </row>
    <row r="52" spans="1:2" x14ac:dyDescent="0.55000000000000004">
      <c r="A52" t="s">
        <v>181</v>
      </c>
      <c r="B52">
        <f>'Oleo Sizing'!D15</f>
        <v>340.87449400377841</v>
      </c>
    </row>
    <row r="53" spans="1:2" x14ac:dyDescent="0.55000000000000004">
      <c r="A53" t="s">
        <v>182</v>
      </c>
      <c r="B53">
        <f>'Gear Geom'!D5</f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F2D2-62F9-440F-ACCB-999FED2E3BAE}">
  <dimension ref="A3:G29"/>
  <sheetViews>
    <sheetView workbookViewId="0">
      <selection activeCell="B10" sqref="B10"/>
    </sheetView>
  </sheetViews>
  <sheetFormatPr defaultRowHeight="14.4" x14ac:dyDescent="0.55000000000000004"/>
  <sheetData>
    <row r="3" spans="1:5" x14ac:dyDescent="0.55000000000000004">
      <c r="A3" t="s">
        <v>220</v>
      </c>
    </row>
    <row r="4" spans="1:5" x14ac:dyDescent="0.55000000000000004">
      <c r="A4" t="s">
        <v>82</v>
      </c>
      <c r="B4">
        <f>D4*12</f>
        <v>1250.4000000000001</v>
      </c>
      <c r="C4" t="s">
        <v>83</v>
      </c>
      <c r="D4" s="12">
        <v>104.2</v>
      </c>
      <c r="E4" t="s">
        <v>129</v>
      </c>
    </row>
    <row r="5" spans="1:5" x14ac:dyDescent="0.55000000000000004">
      <c r="A5" t="s">
        <v>78</v>
      </c>
      <c r="B5">
        <f>D5*12</f>
        <v>0</v>
      </c>
      <c r="C5" t="s">
        <v>83</v>
      </c>
      <c r="D5" s="12">
        <v>0</v>
      </c>
      <c r="E5" t="s">
        <v>129</v>
      </c>
    </row>
    <row r="6" spans="1:5" x14ac:dyDescent="0.55000000000000004">
      <c r="A6" t="s">
        <v>79</v>
      </c>
      <c r="B6">
        <f>D6*12</f>
        <v>327.60000000000002</v>
      </c>
      <c r="C6" t="s">
        <v>83</v>
      </c>
      <c r="D6" s="12">
        <v>27.3</v>
      </c>
      <c r="E6" t="s">
        <v>129</v>
      </c>
    </row>
    <row r="7" spans="1:5" x14ac:dyDescent="0.55000000000000004">
      <c r="A7" s="12">
        <v>15.6</v>
      </c>
      <c r="B7" t="s">
        <v>129</v>
      </c>
      <c r="C7" t="s">
        <v>136</v>
      </c>
    </row>
    <row r="8" spans="1:5" x14ac:dyDescent="0.55000000000000004">
      <c r="D8" s="15"/>
    </row>
    <row r="9" spans="1:5" x14ac:dyDescent="0.55000000000000004">
      <c r="A9" t="s">
        <v>81</v>
      </c>
      <c r="D9" s="15"/>
    </row>
    <row r="10" spans="1:5" x14ac:dyDescent="0.55000000000000004">
      <c r="A10" t="s">
        <v>82</v>
      </c>
      <c r="B10">
        <f>D10*12</f>
        <v>1965.6000000000001</v>
      </c>
      <c r="C10" t="s">
        <v>83</v>
      </c>
      <c r="D10" s="12">
        <v>163.80000000000001</v>
      </c>
      <c r="E10" t="s">
        <v>129</v>
      </c>
    </row>
    <row r="11" spans="1:5" x14ac:dyDescent="0.55000000000000004">
      <c r="A11" t="s">
        <v>78</v>
      </c>
      <c r="B11">
        <v>163.19999999999999</v>
      </c>
      <c r="C11" t="s">
        <v>83</v>
      </c>
      <c r="D11" s="12"/>
      <c r="E11" t="s">
        <v>129</v>
      </c>
    </row>
    <row r="12" spans="1:5" x14ac:dyDescent="0.55000000000000004">
      <c r="A12" t="s">
        <v>79</v>
      </c>
      <c r="B12">
        <f>D12*12</f>
        <v>327.60000000000002</v>
      </c>
      <c r="C12" t="s">
        <v>83</v>
      </c>
      <c r="D12" s="12">
        <v>27.3</v>
      </c>
      <c r="E12" t="s">
        <v>129</v>
      </c>
    </row>
    <row r="13" spans="1:5" x14ac:dyDescent="0.55000000000000004">
      <c r="A13" s="12"/>
      <c r="B13" t="s">
        <v>83</v>
      </c>
      <c r="C13" t="s">
        <v>183</v>
      </c>
    </row>
    <row r="14" spans="1:5" x14ac:dyDescent="0.55000000000000004">
      <c r="A14" s="12">
        <v>13.1</v>
      </c>
      <c r="B14" t="s">
        <v>129</v>
      </c>
      <c r="C14" t="s">
        <v>135</v>
      </c>
    </row>
    <row r="15" spans="1:5" x14ac:dyDescent="0.55000000000000004">
      <c r="D15" s="15"/>
    </row>
    <row r="16" spans="1:5" x14ac:dyDescent="0.55000000000000004">
      <c r="A16" t="s">
        <v>132</v>
      </c>
      <c r="D16" s="15"/>
    </row>
    <row r="17" spans="1:7" x14ac:dyDescent="0.55000000000000004">
      <c r="A17" t="s">
        <v>82</v>
      </c>
      <c r="B17">
        <f>D17*12</f>
        <v>1895.88</v>
      </c>
      <c r="C17" t="s">
        <v>83</v>
      </c>
      <c r="D17" s="12">
        <v>157.99</v>
      </c>
      <c r="E17" t="s">
        <v>129</v>
      </c>
      <c r="F17" s="12">
        <v>145.22</v>
      </c>
      <c r="G17" s="12">
        <v>151.97</v>
      </c>
    </row>
    <row r="18" spans="1:7" x14ac:dyDescent="0.55000000000000004">
      <c r="A18" t="s">
        <v>78</v>
      </c>
      <c r="B18">
        <f>D18*12</f>
        <v>0</v>
      </c>
      <c r="C18" t="s">
        <v>83</v>
      </c>
      <c r="D18" s="12">
        <v>0</v>
      </c>
      <c r="E18" t="s">
        <v>129</v>
      </c>
      <c r="F18" s="12">
        <v>0</v>
      </c>
      <c r="G18" s="12">
        <v>0</v>
      </c>
    </row>
    <row r="19" spans="1:7" x14ac:dyDescent="0.55000000000000004">
      <c r="A19" t="s">
        <v>79</v>
      </c>
      <c r="B19">
        <f>D19*12</f>
        <v>479.15999999999997</v>
      </c>
      <c r="C19" t="s">
        <v>83</v>
      </c>
      <c r="D19" s="12">
        <v>39.93</v>
      </c>
      <c r="E19" t="s">
        <v>129</v>
      </c>
      <c r="F19" s="12">
        <v>39.31</v>
      </c>
      <c r="G19" s="12">
        <v>39.369999999999997</v>
      </c>
    </row>
    <row r="20" spans="1:7" x14ac:dyDescent="0.55000000000000004">
      <c r="A20" s="12">
        <v>415000</v>
      </c>
      <c r="B20" t="s">
        <v>131</v>
      </c>
      <c r="C20" t="s">
        <v>130</v>
      </c>
    </row>
    <row r="21" spans="1:7" x14ac:dyDescent="0.55000000000000004">
      <c r="A21" s="12">
        <v>18</v>
      </c>
      <c r="B21" t="s">
        <v>83</v>
      </c>
      <c r="C21" t="s">
        <v>133</v>
      </c>
    </row>
    <row r="23" spans="1:7" x14ac:dyDescent="0.55000000000000004">
      <c r="A23" s="12">
        <v>185</v>
      </c>
      <c r="B23" t="s">
        <v>214</v>
      </c>
      <c r="C23" t="s">
        <v>213</v>
      </c>
    </row>
    <row r="24" spans="1:7" x14ac:dyDescent="0.55000000000000004">
      <c r="A24" s="12">
        <v>165</v>
      </c>
      <c r="B24" t="s">
        <v>267</v>
      </c>
      <c r="C24" t="s">
        <v>266</v>
      </c>
    </row>
    <row r="26" spans="1:7" x14ac:dyDescent="0.55000000000000004">
      <c r="A26" t="s">
        <v>224</v>
      </c>
    </row>
    <row r="27" spans="1:7" x14ac:dyDescent="0.55000000000000004">
      <c r="A27" t="s">
        <v>77</v>
      </c>
      <c r="B27">
        <f>D27*12</f>
        <v>2805.48</v>
      </c>
      <c r="C27" t="s">
        <v>83</v>
      </c>
      <c r="D27" s="12">
        <v>233.79</v>
      </c>
      <c r="E27" t="s">
        <v>129</v>
      </c>
    </row>
    <row r="28" spans="1:7" x14ac:dyDescent="0.55000000000000004">
      <c r="A28" t="s">
        <v>78</v>
      </c>
      <c r="B28">
        <f>D28*12</f>
        <v>0</v>
      </c>
      <c r="C28" t="s">
        <v>83</v>
      </c>
      <c r="D28" s="12">
        <v>0</v>
      </c>
      <c r="E28" t="s">
        <v>129</v>
      </c>
    </row>
    <row r="29" spans="1:7" x14ac:dyDescent="0.55000000000000004">
      <c r="A29" t="s">
        <v>79</v>
      </c>
      <c r="B29">
        <f>D29*12</f>
        <v>534.72</v>
      </c>
      <c r="C29" t="s">
        <v>83</v>
      </c>
      <c r="D29" s="12">
        <v>44.56</v>
      </c>
      <c r="E29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4458-6265-4C4D-8E21-C8510A0FB80A}">
  <dimension ref="A2:AB50"/>
  <sheetViews>
    <sheetView topLeftCell="F13" zoomScale="145" zoomScaleNormal="145" workbookViewId="0">
      <selection activeCell="N24" sqref="N24"/>
    </sheetView>
  </sheetViews>
  <sheetFormatPr defaultRowHeight="14.4" x14ac:dyDescent="0.55000000000000004"/>
  <cols>
    <col min="2" max="2" width="17.1015625" bestFit="1" customWidth="1"/>
    <col min="3" max="3" width="9.68359375" bestFit="1" customWidth="1"/>
    <col min="5" max="5" width="17.68359375" bestFit="1" customWidth="1"/>
    <col min="8" max="8" width="17.68359375" style="1" bestFit="1" customWidth="1"/>
    <col min="10" max="10" width="4.68359375" bestFit="1" customWidth="1"/>
    <col min="11" max="11" width="1.578125" customWidth="1"/>
    <col min="12" max="12" width="41.1015625" bestFit="1" customWidth="1"/>
    <col min="16" max="16" width="17.68359375" bestFit="1" customWidth="1"/>
    <col min="17" max="17" width="10.05078125" bestFit="1" customWidth="1"/>
    <col min="19" max="19" width="15.68359375" customWidth="1"/>
  </cols>
  <sheetData>
    <row r="2" spans="1:28" x14ac:dyDescent="0.55000000000000004">
      <c r="H2" s="1" t="s">
        <v>44</v>
      </c>
    </row>
    <row r="3" spans="1:28" ht="14.7" thickBot="1" x14ac:dyDescent="0.6">
      <c r="A3" t="s">
        <v>54</v>
      </c>
    </row>
    <row r="4" spans="1:28" ht="14.7" thickBot="1" x14ac:dyDescent="0.6">
      <c r="H4" s="43" t="s">
        <v>0</v>
      </c>
      <c r="I4" s="44"/>
      <c r="J4" s="44"/>
      <c r="K4" s="44"/>
      <c r="L4" s="44"/>
      <c r="M4" s="44"/>
      <c r="N4" s="45"/>
      <c r="O4" s="3"/>
    </row>
    <row r="5" spans="1:28" x14ac:dyDescent="0.55000000000000004">
      <c r="H5" s="4" t="s">
        <v>2</v>
      </c>
      <c r="I5" s="5">
        <v>6</v>
      </c>
      <c r="J5" s="5"/>
      <c r="K5" s="5"/>
      <c r="L5" s="5"/>
      <c r="M5" s="5"/>
      <c r="N5" s="6"/>
      <c r="P5" t="s">
        <v>12</v>
      </c>
      <c r="V5" t="s">
        <v>367</v>
      </c>
      <c r="W5" t="s">
        <v>307</v>
      </c>
      <c r="X5" t="s">
        <v>308</v>
      </c>
      <c r="Z5" s="39" t="s">
        <v>306</v>
      </c>
      <c r="AA5" t="s">
        <v>327</v>
      </c>
    </row>
    <row r="6" spans="1:28" x14ac:dyDescent="0.55000000000000004">
      <c r="H6" s="4" t="s">
        <v>1</v>
      </c>
      <c r="I6" s="5" t="s">
        <v>366</v>
      </c>
      <c r="J6" s="5"/>
      <c r="K6" s="5"/>
      <c r="L6" s="5" t="s">
        <v>16</v>
      </c>
      <c r="M6" s="5" t="s">
        <v>24</v>
      </c>
      <c r="N6" s="6">
        <f>(I7-I8)/2</f>
        <v>10</v>
      </c>
      <c r="P6" t="s">
        <v>13</v>
      </c>
      <c r="Q6" t="s">
        <v>67</v>
      </c>
      <c r="R6" t="s">
        <v>68</v>
      </c>
      <c r="S6" t="s">
        <v>69</v>
      </c>
      <c r="T6" t="s">
        <v>163</v>
      </c>
      <c r="U6" t="s">
        <v>164</v>
      </c>
      <c r="V6" t="s">
        <v>366</v>
      </c>
      <c r="W6" t="s">
        <v>162</v>
      </c>
      <c r="X6" t="s">
        <v>303</v>
      </c>
      <c r="Y6" t="s">
        <v>304</v>
      </c>
      <c r="Z6" t="s">
        <v>305</v>
      </c>
      <c r="AA6" t="s">
        <v>328</v>
      </c>
      <c r="AB6" t="s">
        <v>163</v>
      </c>
    </row>
    <row r="7" spans="1:28" x14ac:dyDescent="0.55000000000000004">
      <c r="H7" s="4" t="s">
        <v>3</v>
      </c>
      <c r="I7" s="5">
        <f t="shared" ref="I7:I15" si="0">_xlfn.SINGLE(_xlfn.XLOOKUP($I$6,$Q$6:$AB$6,Q7:AB7))</f>
        <v>39</v>
      </c>
      <c r="J7" s="5" t="s">
        <v>46</v>
      </c>
      <c r="K7" s="5"/>
      <c r="L7" s="5" t="s">
        <v>17</v>
      </c>
      <c r="M7" s="5" t="s">
        <v>25</v>
      </c>
      <c r="N7" s="6">
        <f>N6/I9</f>
        <v>0.76923076923076927</v>
      </c>
      <c r="P7" t="s">
        <v>3</v>
      </c>
      <c r="Q7">
        <v>45.25</v>
      </c>
      <c r="R7">
        <v>43.25</v>
      </c>
      <c r="S7">
        <v>47</v>
      </c>
      <c r="T7">
        <v>40</v>
      </c>
      <c r="U7">
        <v>43.5</v>
      </c>
      <c r="V7">
        <v>39</v>
      </c>
      <c r="W7">
        <v>34.5</v>
      </c>
      <c r="X7">
        <v>35.799999999999997</v>
      </c>
      <c r="Y7">
        <v>40</v>
      </c>
      <c r="Z7">
        <v>40</v>
      </c>
      <c r="AA7">
        <v>38</v>
      </c>
      <c r="AB7">
        <v>40</v>
      </c>
    </row>
    <row r="8" spans="1:28" x14ac:dyDescent="0.55000000000000004">
      <c r="H8" s="4" t="s">
        <v>4</v>
      </c>
      <c r="I8" s="5">
        <f t="shared" si="0"/>
        <v>19</v>
      </c>
      <c r="J8" s="5" t="s">
        <v>46</v>
      </c>
      <c r="K8" s="5"/>
      <c r="L8" s="5" t="s">
        <v>18</v>
      </c>
      <c r="M8" s="5" t="s">
        <v>26</v>
      </c>
      <c r="N8" s="6">
        <f>1.115-(0.075*N7)</f>
        <v>1.0573076923076923</v>
      </c>
      <c r="P8" t="s">
        <v>4</v>
      </c>
      <c r="Q8">
        <v>20</v>
      </c>
      <c r="R8">
        <v>18</v>
      </c>
      <c r="S8">
        <v>22.1</v>
      </c>
      <c r="T8">
        <v>16</v>
      </c>
      <c r="U8">
        <v>21</v>
      </c>
      <c r="V8">
        <v>19</v>
      </c>
      <c r="W8">
        <v>18</v>
      </c>
      <c r="X8">
        <v>18</v>
      </c>
      <c r="Y8">
        <v>19</v>
      </c>
      <c r="Z8">
        <v>19</v>
      </c>
      <c r="AA8">
        <v>19</v>
      </c>
      <c r="AB8">
        <v>16</v>
      </c>
    </row>
    <row r="9" spans="1:28" x14ac:dyDescent="0.55000000000000004">
      <c r="H9" s="4" t="s">
        <v>5</v>
      </c>
      <c r="I9" s="5">
        <f t="shared" si="0"/>
        <v>13</v>
      </c>
      <c r="J9" s="5" t="s">
        <v>46</v>
      </c>
      <c r="K9" s="5"/>
      <c r="L9" s="5" t="s">
        <v>19</v>
      </c>
      <c r="M9" s="7" t="s">
        <v>27</v>
      </c>
      <c r="N9" s="6">
        <v>1.04</v>
      </c>
      <c r="P9" t="s">
        <v>5</v>
      </c>
      <c r="Q9">
        <v>16</v>
      </c>
      <c r="R9">
        <v>16</v>
      </c>
      <c r="S9">
        <v>15.75</v>
      </c>
      <c r="T9">
        <v>15.5</v>
      </c>
      <c r="U9">
        <v>16</v>
      </c>
      <c r="V9">
        <v>13</v>
      </c>
      <c r="W9">
        <v>9.75</v>
      </c>
      <c r="X9">
        <v>10.4</v>
      </c>
      <c r="Y9">
        <v>14.5</v>
      </c>
      <c r="Z9">
        <v>14.5</v>
      </c>
      <c r="AA9">
        <v>12</v>
      </c>
      <c r="AB9">
        <v>15.5</v>
      </c>
    </row>
    <row r="10" spans="1:28" x14ac:dyDescent="0.55000000000000004">
      <c r="H10" s="4" t="s">
        <v>6</v>
      </c>
      <c r="I10" s="5">
        <f t="shared" si="0"/>
        <v>270</v>
      </c>
      <c r="J10" s="5" t="s">
        <v>45</v>
      </c>
      <c r="K10" s="5"/>
      <c r="L10" s="5" t="s">
        <v>20</v>
      </c>
      <c r="M10" s="5" t="s">
        <v>28</v>
      </c>
      <c r="N10" s="6">
        <f>I8+2*N8*N6</f>
        <v>40.146153846153844</v>
      </c>
      <c r="P10" t="s">
        <v>6</v>
      </c>
      <c r="Q10">
        <v>225</v>
      </c>
      <c r="R10">
        <v>210</v>
      </c>
      <c r="S10">
        <v>279</v>
      </c>
      <c r="T10">
        <v>235</v>
      </c>
      <c r="U10">
        <v>225</v>
      </c>
      <c r="V10">
        <v>270</v>
      </c>
      <c r="W10">
        <f>W17*1.151</f>
        <v>233.65299999999999</v>
      </c>
      <c r="X10">
        <f>X17*1.151</f>
        <v>261.27699999999999</v>
      </c>
      <c r="Y10">
        <v>225</v>
      </c>
      <c r="Z10">
        <v>225</v>
      </c>
      <c r="AA10">
        <v>210</v>
      </c>
      <c r="AB10">
        <v>235</v>
      </c>
    </row>
    <row r="11" spans="1:28" x14ac:dyDescent="0.55000000000000004">
      <c r="H11" s="4" t="s">
        <v>7</v>
      </c>
      <c r="I11" s="5">
        <f t="shared" si="0"/>
        <v>16.32</v>
      </c>
      <c r="J11" s="5" t="s">
        <v>46</v>
      </c>
      <c r="K11" s="5"/>
      <c r="L11" s="5" t="s">
        <v>21</v>
      </c>
      <c r="M11" s="5" t="s">
        <v>29</v>
      </c>
      <c r="N11" s="6">
        <f>N9*I9</f>
        <v>13.52</v>
      </c>
      <c r="P11" t="s">
        <v>7</v>
      </c>
      <c r="Q11">
        <v>19</v>
      </c>
      <c r="R11">
        <v>17.95</v>
      </c>
      <c r="T11">
        <v>16.100000000000001</v>
      </c>
      <c r="U11">
        <v>18.25</v>
      </c>
      <c r="V11">
        <f>AVERAGE(Z11:AA11)</f>
        <v>16.32</v>
      </c>
      <c r="W11">
        <v>14.85</v>
      </c>
      <c r="X11">
        <v>15.25</v>
      </c>
      <c r="Y11">
        <v>16.64</v>
      </c>
      <c r="Z11">
        <v>16.64</v>
      </c>
      <c r="AA11">
        <v>16</v>
      </c>
      <c r="AB11">
        <v>16.100000000000001</v>
      </c>
    </row>
    <row r="12" spans="1:28" x14ac:dyDescent="0.55000000000000004">
      <c r="H12" s="4" t="s">
        <v>8</v>
      </c>
      <c r="I12" s="5">
        <f t="shared" si="0"/>
        <v>35000</v>
      </c>
      <c r="J12" s="5" t="s">
        <v>48</v>
      </c>
      <c r="K12" s="5"/>
      <c r="L12" s="8" t="s">
        <v>49</v>
      </c>
      <c r="M12" s="5"/>
      <c r="N12" s="6"/>
      <c r="P12" t="s">
        <v>14</v>
      </c>
      <c r="Q12">
        <v>48000</v>
      </c>
      <c r="R12">
        <v>41700</v>
      </c>
      <c r="S12">
        <v>51500</v>
      </c>
      <c r="T12">
        <v>39500</v>
      </c>
      <c r="U12">
        <v>40600</v>
      </c>
      <c r="V12">
        <v>35000</v>
      </c>
      <c r="W12">
        <v>32000</v>
      </c>
      <c r="X12">
        <v>35800</v>
      </c>
      <c r="Y12">
        <v>33200</v>
      </c>
      <c r="Z12">
        <v>36800</v>
      </c>
      <c r="AA12">
        <v>25275</v>
      </c>
      <c r="AB12">
        <v>39500</v>
      </c>
    </row>
    <row r="13" spans="1:28" x14ac:dyDescent="0.55000000000000004">
      <c r="H13" s="4" t="s">
        <v>9</v>
      </c>
      <c r="I13" s="5">
        <f t="shared" si="0"/>
        <v>255</v>
      </c>
      <c r="J13" s="5" t="s">
        <v>47</v>
      </c>
      <c r="K13" s="5"/>
      <c r="L13" s="5" t="s">
        <v>50</v>
      </c>
      <c r="M13" s="5" t="s">
        <v>51</v>
      </c>
      <c r="N13" s="6">
        <f>(I14-I8)/2</f>
        <v>8.5874999999999986</v>
      </c>
      <c r="P13" t="s">
        <v>9</v>
      </c>
      <c r="Q13">
        <v>225</v>
      </c>
      <c r="R13">
        <v>225</v>
      </c>
      <c r="S13">
        <v>232</v>
      </c>
      <c r="T13">
        <v>195</v>
      </c>
      <c r="U13">
        <v>210</v>
      </c>
      <c r="V13">
        <v>255</v>
      </c>
      <c r="W13">
        <v>360</v>
      </c>
      <c r="X13">
        <v>305</v>
      </c>
      <c r="Y13">
        <v>200</v>
      </c>
      <c r="Z13">
        <v>220</v>
      </c>
      <c r="AA13">
        <v>192</v>
      </c>
      <c r="AB13">
        <v>195</v>
      </c>
    </row>
    <row r="14" spans="1:28" x14ac:dyDescent="0.55000000000000004">
      <c r="H14" s="4" t="s">
        <v>10</v>
      </c>
      <c r="I14" s="5">
        <f t="shared" si="0"/>
        <v>36.174999999999997</v>
      </c>
      <c r="J14" s="5" t="s">
        <v>46</v>
      </c>
      <c r="K14" s="5"/>
      <c r="L14" s="5" t="s">
        <v>52</v>
      </c>
      <c r="M14" s="5" t="s">
        <v>368</v>
      </c>
      <c r="N14" s="6">
        <f>I8+2*N8*N13</f>
        <v>37.159259615384613</v>
      </c>
      <c r="P14" t="s">
        <v>10</v>
      </c>
      <c r="Q14">
        <v>40.700000000000003</v>
      </c>
      <c r="R14">
        <v>38.200000000000003</v>
      </c>
      <c r="S14">
        <v>43.4</v>
      </c>
      <c r="T14">
        <v>35.700000000000003</v>
      </c>
      <c r="U14">
        <v>41.25</v>
      </c>
      <c r="V14">
        <f>AVERAGE(Z14:AA14)</f>
        <v>36.174999999999997</v>
      </c>
      <c r="W14">
        <v>31.55</v>
      </c>
      <c r="X14">
        <v>34.1</v>
      </c>
      <c r="Y14">
        <v>36.25</v>
      </c>
      <c r="Z14">
        <v>36.25</v>
      </c>
      <c r="AA14">
        <v>36.1</v>
      </c>
      <c r="AB14">
        <v>35.700000000000003</v>
      </c>
    </row>
    <row r="15" spans="1:28" x14ac:dyDescent="0.55000000000000004">
      <c r="H15" s="4" t="s">
        <v>11</v>
      </c>
      <c r="I15" s="5">
        <f t="shared" si="0"/>
        <v>11.8</v>
      </c>
      <c r="J15" s="5" t="s">
        <v>46</v>
      </c>
      <c r="K15" s="5"/>
      <c r="L15" s="5" t="s">
        <v>53</v>
      </c>
      <c r="M15" s="5" t="s">
        <v>369</v>
      </c>
      <c r="N15" s="6">
        <f>N9*I15</f>
        <v>12.272000000000002</v>
      </c>
      <c r="P15" t="s">
        <v>11</v>
      </c>
      <c r="Q15">
        <v>14.1</v>
      </c>
      <c r="R15">
        <v>13.7</v>
      </c>
      <c r="S15">
        <v>14.05</v>
      </c>
      <c r="T15">
        <v>13.64</v>
      </c>
      <c r="U15">
        <v>14.4</v>
      </c>
      <c r="V15">
        <f>AVERAGE(Z15:AA15)</f>
        <v>11.8</v>
      </c>
      <c r="W15">
        <v>8.39</v>
      </c>
      <c r="X15">
        <v>9.35</v>
      </c>
      <c r="Y15">
        <v>12.8</v>
      </c>
      <c r="Z15">
        <v>12.8</v>
      </c>
      <c r="AA15">
        <v>10.8</v>
      </c>
      <c r="AB15">
        <v>13.64</v>
      </c>
    </row>
    <row r="16" spans="1:28" x14ac:dyDescent="0.55000000000000004">
      <c r="H16" s="4"/>
      <c r="I16" s="5"/>
      <c r="J16" s="5"/>
      <c r="K16" s="5"/>
      <c r="L16" s="8" t="s">
        <v>22</v>
      </c>
      <c r="M16" s="5"/>
      <c r="N16" s="6"/>
    </row>
    <row r="17" spans="2:25" x14ac:dyDescent="0.55000000000000004">
      <c r="H17" s="4"/>
      <c r="I17" s="5"/>
      <c r="J17" s="5"/>
      <c r="K17" s="5"/>
      <c r="L17" s="5" t="s">
        <v>23</v>
      </c>
      <c r="M17" s="5" t="s">
        <v>30</v>
      </c>
      <c r="N17" s="6">
        <f>(17.02+2.61*(I10/100)^3.348)/1000*N11+0.4</f>
        <v>1.6114584895644004</v>
      </c>
      <c r="W17">
        <v>203</v>
      </c>
      <c r="X17">
        <v>227</v>
      </c>
    </row>
    <row r="18" spans="2:25" x14ac:dyDescent="0.55000000000000004">
      <c r="H18" s="4" t="s">
        <v>92</v>
      </c>
      <c r="I18" s="5">
        <f>I12/(I7/2-I11)</f>
        <v>11006.289308176101</v>
      </c>
      <c r="J18" s="5"/>
      <c r="K18" s="5"/>
      <c r="L18" s="5" t="s">
        <v>21</v>
      </c>
      <c r="M18" s="5" t="s">
        <v>31</v>
      </c>
      <c r="N18" s="6">
        <f>0.019*N11+0.23</f>
        <v>0.48687999999999998</v>
      </c>
      <c r="W18">
        <v>196</v>
      </c>
      <c r="X18">
        <v>1.151</v>
      </c>
      <c r="Y18">
        <f>W18*X18</f>
        <v>225.596</v>
      </c>
    </row>
    <row r="19" spans="2:25" x14ac:dyDescent="0.55000000000000004">
      <c r="H19" s="4"/>
      <c r="I19" s="5"/>
      <c r="J19" s="5"/>
      <c r="K19" s="5"/>
      <c r="L19" s="8" t="s">
        <v>32</v>
      </c>
      <c r="M19" s="5"/>
      <c r="N19" s="6"/>
    </row>
    <row r="20" spans="2:25" x14ac:dyDescent="0.55000000000000004">
      <c r="H20" s="4"/>
      <c r="I20" s="5"/>
      <c r="J20" s="5"/>
      <c r="K20" s="5"/>
      <c r="L20" s="5" t="s">
        <v>33</v>
      </c>
      <c r="M20" s="5" t="s">
        <v>41</v>
      </c>
      <c r="N20" s="6">
        <f>(N10/2)+N17</f>
        <v>21.684535412641324</v>
      </c>
    </row>
    <row r="21" spans="2:25" x14ac:dyDescent="0.55000000000000004">
      <c r="H21" s="4"/>
      <c r="I21" s="5"/>
      <c r="J21" s="5"/>
      <c r="K21" s="5"/>
      <c r="L21" s="5" t="s">
        <v>35</v>
      </c>
      <c r="M21" s="5" t="s">
        <v>42</v>
      </c>
      <c r="N21" s="6">
        <f>(N11/2)+N18</f>
        <v>7.24688</v>
      </c>
    </row>
    <row r="22" spans="2:25" x14ac:dyDescent="0.55000000000000004">
      <c r="B22" s="12" t="s">
        <v>55</v>
      </c>
      <c r="C22" s="12">
        <v>0</v>
      </c>
      <c r="H22" s="4"/>
      <c r="I22" s="5"/>
      <c r="J22" s="5"/>
      <c r="K22" s="5"/>
      <c r="L22" s="5" t="s">
        <v>34</v>
      </c>
      <c r="M22" s="5" t="s">
        <v>43</v>
      </c>
      <c r="N22" s="6">
        <f>(N18+N17)/2</f>
        <v>1.0491692447822003</v>
      </c>
    </row>
    <row r="23" spans="2:25" x14ac:dyDescent="0.55000000000000004">
      <c r="B23" s="12" t="s">
        <v>56</v>
      </c>
      <c r="C23" s="12">
        <v>0</v>
      </c>
      <c r="H23" s="4"/>
      <c r="I23" s="5"/>
      <c r="J23" s="5"/>
      <c r="K23" s="5"/>
      <c r="L23" s="8" t="s">
        <v>36</v>
      </c>
      <c r="M23" s="5"/>
      <c r="N23" s="6"/>
    </row>
    <row r="24" spans="2:25" x14ac:dyDescent="0.55000000000000004">
      <c r="H24" s="4"/>
      <c r="I24" s="5"/>
      <c r="J24" s="5"/>
      <c r="K24" s="5"/>
      <c r="L24" s="5" t="s">
        <v>37</v>
      </c>
      <c r="M24" s="31" t="s">
        <v>39</v>
      </c>
      <c r="N24" s="32">
        <f>N20+C22</f>
        <v>21.684535412641324</v>
      </c>
    </row>
    <row r="25" spans="2:25" ht="14.7" thickBot="1" x14ac:dyDescent="0.6">
      <c r="C25" t="s">
        <v>154</v>
      </c>
      <c r="D25" t="s">
        <v>155</v>
      </c>
      <c r="E25" t="s">
        <v>160</v>
      </c>
      <c r="H25" s="9"/>
      <c r="I25" s="10"/>
      <c r="J25" s="10"/>
      <c r="K25" s="10"/>
      <c r="L25" s="10" t="s">
        <v>38</v>
      </c>
      <c r="M25" s="33" t="s">
        <v>40</v>
      </c>
      <c r="N25" s="34">
        <f>N21+C23</f>
        <v>7.24688</v>
      </c>
      <c r="O25">
        <f>N25*2</f>
        <v>14.49376</v>
      </c>
    </row>
    <row r="26" spans="2:25" x14ac:dyDescent="0.55000000000000004">
      <c r="B26" t="s">
        <v>152</v>
      </c>
      <c r="C26">
        <f>'Oleo Sizing'!N43</f>
        <v>187151.34337284521</v>
      </c>
      <c r="D26">
        <f>C26/I5</f>
        <v>31191.890562140867</v>
      </c>
      <c r="E26" s="27">
        <f>D26*1.07</f>
        <v>33375.322901490727</v>
      </c>
      <c r="F26" t="str">
        <f>IF(I12&gt;E26,"Tire Passes","Check Load")</f>
        <v>Tire Passes</v>
      </c>
    </row>
    <row r="27" spans="2:25" x14ac:dyDescent="0.55000000000000004">
      <c r="B27" t="s">
        <v>153</v>
      </c>
      <c r="C27">
        <f>'Oleo Sizing'!F43</f>
        <v>40700.312890177229</v>
      </c>
      <c r="D27">
        <f>C27/I30</f>
        <v>20350.156445088614</v>
      </c>
      <c r="E27" s="27">
        <f>D27*1.07</f>
        <v>21774.667396244819</v>
      </c>
      <c r="F27" t="str">
        <f>IF(I37&gt;E27,"Tire Passes","Check Load")</f>
        <v>Tire Passes</v>
      </c>
    </row>
    <row r="28" spans="2:25" ht="14.7" thickBot="1" x14ac:dyDescent="0.6">
      <c r="C28">
        <f>(C27*6+C26*2)*2</f>
        <v>1237009.1281735075</v>
      </c>
    </row>
    <row r="29" spans="2:25" x14ac:dyDescent="0.55000000000000004">
      <c r="H29" s="46" t="s">
        <v>15</v>
      </c>
      <c r="I29" s="47"/>
      <c r="J29" s="47"/>
      <c r="K29" s="47"/>
      <c r="L29" s="47"/>
      <c r="M29" s="47"/>
      <c r="N29" s="48"/>
      <c r="O29" s="2"/>
    </row>
    <row r="30" spans="2:25" x14ac:dyDescent="0.55000000000000004">
      <c r="H30" s="4" t="s">
        <v>2</v>
      </c>
      <c r="I30" s="5">
        <v>2</v>
      </c>
      <c r="J30" s="5"/>
      <c r="K30" s="5"/>
      <c r="L30" s="5"/>
      <c r="M30" s="5"/>
      <c r="N30" s="6"/>
      <c r="P30" t="s">
        <v>12</v>
      </c>
      <c r="S30" t="s">
        <v>260</v>
      </c>
    </row>
    <row r="31" spans="2:25" x14ac:dyDescent="0.55000000000000004">
      <c r="H31" s="4" t="s">
        <v>1</v>
      </c>
      <c r="I31" s="5" t="s">
        <v>364</v>
      </c>
      <c r="J31" s="5"/>
      <c r="K31" s="5"/>
      <c r="L31" s="5" t="s">
        <v>16</v>
      </c>
      <c r="M31" s="5" t="s">
        <v>24</v>
      </c>
      <c r="N31" s="6">
        <f>(I32-I33)/2</f>
        <v>7.75</v>
      </c>
      <c r="P31" t="s">
        <v>13</v>
      </c>
      <c r="Q31" t="s">
        <v>161</v>
      </c>
      <c r="R31" t="s">
        <v>334</v>
      </c>
      <c r="S31" t="s">
        <v>162</v>
      </c>
      <c r="T31" t="s">
        <v>364</v>
      </c>
    </row>
    <row r="32" spans="2:25" x14ac:dyDescent="0.55000000000000004">
      <c r="C32">
        <v>410000</v>
      </c>
      <c r="H32" s="4" t="s">
        <v>3</v>
      </c>
      <c r="I32" s="5">
        <f t="shared" ref="I32:I40" si="1">_xlfn.SINGLE(_xlfn.XLOOKUP($I$31,$Q$31:$X$31,Q32:X32))</f>
        <v>30</v>
      </c>
      <c r="J32" s="5"/>
      <c r="K32" s="5"/>
      <c r="L32" s="5" t="s">
        <v>17</v>
      </c>
      <c r="M32" s="5" t="s">
        <v>25</v>
      </c>
      <c r="N32" s="6">
        <f>N31/I34</f>
        <v>0.67391304347826086</v>
      </c>
      <c r="P32" t="s">
        <v>3</v>
      </c>
      <c r="Q32">
        <v>32</v>
      </c>
      <c r="R32">
        <v>35</v>
      </c>
      <c r="S32">
        <v>34.5</v>
      </c>
      <c r="T32">
        <v>30</v>
      </c>
    </row>
    <row r="33" spans="3:20" x14ac:dyDescent="0.55000000000000004">
      <c r="C33">
        <v>6</v>
      </c>
      <c r="H33" s="4" t="s">
        <v>4</v>
      </c>
      <c r="I33" s="5">
        <f t="shared" si="1"/>
        <v>14.5</v>
      </c>
      <c r="J33" s="5"/>
      <c r="K33" s="5"/>
      <c r="L33" s="5" t="s">
        <v>18</v>
      </c>
      <c r="M33" s="5" t="s">
        <v>26</v>
      </c>
      <c r="N33" s="6">
        <f>1.115-(0.075*N32)</f>
        <v>1.0644565217391304</v>
      </c>
      <c r="P33" t="s">
        <v>4</v>
      </c>
      <c r="Q33">
        <v>15</v>
      </c>
      <c r="R33">
        <v>17</v>
      </c>
      <c r="S33">
        <v>18</v>
      </c>
      <c r="T33">
        <v>14.5</v>
      </c>
    </row>
    <row r="34" spans="3:20" x14ac:dyDescent="0.55000000000000004">
      <c r="C34">
        <f>C32*0.93/2/C33</f>
        <v>31775</v>
      </c>
      <c r="H34" s="4" t="s">
        <v>5</v>
      </c>
      <c r="I34" s="5">
        <f t="shared" si="1"/>
        <v>11.5</v>
      </c>
      <c r="J34" s="5"/>
      <c r="K34" s="5"/>
      <c r="L34" s="5" t="s">
        <v>19</v>
      </c>
      <c r="M34" s="7" t="s">
        <v>27</v>
      </c>
      <c r="N34" s="6">
        <v>1.04</v>
      </c>
      <c r="P34" t="s">
        <v>5</v>
      </c>
      <c r="Q34">
        <v>11.5</v>
      </c>
      <c r="R34">
        <v>11.5</v>
      </c>
      <c r="S34">
        <v>9.75</v>
      </c>
      <c r="T34">
        <v>11.5</v>
      </c>
    </row>
    <row r="35" spans="3:20" x14ac:dyDescent="0.55000000000000004">
      <c r="C35">
        <f>C34*1.07</f>
        <v>33999.25</v>
      </c>
      <c r="H35" s="4" t="s">
        <v>6</v>
      </c>
      <c r="I35" s="5">
        <f t="shared" si="1"/>
        <v>253</v>
      </c>
      <c r="J35" s="5"/>
      <c r="K35" s="5"/>
      <c r="L35" s="5" t="s">
        <v>20</v>
      </c>
      <c r="M35" s="5" t="s">
        <v>28</v>
      </c>
      <c r="N35" s="6">
        <f>I33+2*N33*N31</f>
        <v>30.999076086956521</v>
      </c>
      <c r="P35" t="s">
        <v>6</v>
      </c>
      <c r="Q35">
        <v>210</v>
      </c>
      <c r="R35">
        <v>240</v>
      </c>
      <c r="S35">
        <v>233</v>
      </c>
      <c r="T35">
        <v>253</v>
      </c>
    </row>
    <row r="36" spans="3:20" x14ac:dyDescent="0.55000000000000004">
      <c r="H36" s="4" t="s">
        <v>7</v>
      </c>
      <c r="I36" s="5">
        <f t="shared" si="1"/>
        <v>12.5</v>
      </c>
      <c r="J36" s="5"/>
      <c r="K36" s="5"/>
      <c r="L36" s="5" t="s">
        <v>21</v>
      </c>
      <c r="M36" s="5" t="s">
        <v>29</v>
      </c>
      <c r="N36" s="6">
        <f>N34*I34</f>
        <v>11.96</v>
      </c>
      <c r="P36" t="s">
        <v>7</v>
      </c>
      <c r="Q36">
        <v>12.8</v>
      </c>
      <c r="R36">
        <v>14.8</v>
      </c>
      <c r="S36">
        <v>14.85</v>
      </c>
      <c r="T36">
        <v>12.5</v>
      </c>
    </row>
    <row r="37" spans="3:20" x14ac:dyDescent="0.55000000000000004">
      <c r="H37" s="4" t="s">
        <v>8</v>
      </c>
      <c r="I37" s="5">
        <f t="shared" si="1"/>
        <v>26600</v>
      </c>
      <c r="J37" s="5"/>
      <c r="K37" s="5"/>
      <c r="L37" s="8" t="s">
        <v>49</v>
      </c>
      <c r="M37" s="5"/>
      <c r="N37" s="6"/>
      <c r="P37" t="s">
        <v>14</v>
      </c>
      <c r="Q37">
        <v>27800</v>
      </c>
      <c r="R37">
        <v>28300</v>
      </c>
      <c r="S37">
        <v>32000</v>
      </c>
      <c r="T37">
        <v>26600</v>
      </c>
    </row>
    <row r="38" spans="3:20" x14ac:dyDescent="0.55000000000000004">
      <c r="H38" s="4" t="s">
        <v>9</v>
      </c>
      <c r="I38" s="5">
        <f t="shared" si="1"/>
        <v>265</v>
      </c>
      <c r="J38" s="5"/>
      <c r="K38" s="5"/>
      <c r="L38" s="5" t="s">
        <v>50</v>
      </c>
      <c r="M38" s="5" t="s">
        <v>51</v>
      </c>
      <c r="N38" s="6">
        <f>(I39-I33)/2</f>
        <v>6.25</v>
      </c>
      <c r="P38" t="s">
        <v>9</v>
      </c>
      <c r="Q38">
        <v>290</v>
      </c>
      <c r="R38">
        <v>255</v>
      </c>
      <c r="S38">
        <v>360</v>
      </c>
      <c r="T38">
        <v>265</v>
      </c>
    </row>
    <row r="39" spans="3:20" x14ac:dyDescent="0.55000000000000004">
      <c r="H39" s="4" t="s">
        <v>10</v>
      </c>
      <c r="I39" s="5">
        <f t="shared" si="1"/>
        <v>27</v>
      </c>
      <c r="J39" s="5"/>
      <c r="K39" s="5"/>
      <c r="L39" s="5" t="s">
        <v>52</v>
      </c>
      <c r="M39" s="5" t="s">
        <v>28</v>
      </c>
      <c r="N39" s="6">
        <f>I33+2*N33*N38</f>
        <v>27.805706521739133</v>
      </c>
      <c r="P39" t="s">
        <v>10</v>
      </c>
      <c r="Q39">
        <v>29</v>
      </c>
      <c r="R39">
        <v>31.76</v>
      </c>
      <c r="S39">
        <v>31.55</v>
      </c>
      <c r="T39">
        <v>27</v>
      </c>
    </row>
    <row r="40" spans="3:20" x14ac:dyDescent="0.55000000000000004">
      <c r="H40" s="4" t="s">
        <v>11</v>
      </c>
      <c r="I40" s="5">
        <f t="shared" si="1"/>
        <v>10.1</v>
      </c>
      <c r="J40" s="5"/>
      <c r="K40" s="5"/>
      <c r="L40" s="5" t="s">
        <v>53</v>
      </c>
      <c r="M40" s="5" t="s">
        <v>29</v>
      </c>
      <c r="N40" s="6">
        <f>N34*I40</f>
        <v>10.504</v>
      </c>
      <c r="P40" t="s">
        <v>11</v>
      </c>
      <c r="Q40">
        <v>10.5</v>
      </c>
      <c r="R40">
        <v>10.119999999999999</v>
      </c>
      <c r="S40">
        <v>8.39</v>
      </c>
      <c r="T40">
        <v>10.1</v>
      </c>
    </row>
    <row r="41" spans="3:20" x14ac:dyDescent="0.55000000000000004">
      <c r="H41" s="4"/>
      <c r="I41" s="5"/>
      <c r="J41" s="5"/>
      <c r="K41" s="5"/>
      <c r="L41" s="8" t="s">
        <v>22</v>
      </c>
      <c r="M41" s="5"/>
      <c r="N41" s="6"/>
    </row>
    <row r="42" spans="3:20" x14ac:dyDescent="0.55000000000000004">
      <c r="H42" s="4"/>
      <c r="I42" s="5"/>
      <c r="J42" s="5"/>
      <c r="K42" s="5"/>
      <c r="L42" s="5" t="s">
        <v>23</v>
      </c>
      <c r="M42" s="5" t="s">
        <v>30</v>
      </c>
      <c r="N42" s="6">
        <f>(17.02+2.61*(I35/100)^3.348)/1000*N36+0.4</f>
        <v>1.3018224603147408</v>
      </c>
    </row>
    <row r="43" spans="3:20" x14ac:dyDescent="0.55000000000000004">
      <c r="H43" s="4" t="s">
        <v>92</v>
      </c>
      <c r="I43" s="5">
        <f>I37/(I32/2-I36)</f>
        <v>10640</v>
      </c>
      <c r="J43" s="5"/>
      <c r="K43" s="5"/>
      <c r="L43" s="5" t="s">
        <v>21</v>
      </c>
      <c r="M43" s="5" t="s">
        <v>31</v>
      </c>
      <c r="N43" s="6">
        <f>0.019*N36+0.23</f>
        <v>0.45723999999999998</v>
      </c>
    </row>
    <row r="44" spans="3:20" x14ac:dyDescent="0.55000000000000004">
      <c r="H44" s="4"/>
      <c r="I44" s="5"/>
      <c r="J44" s="5"/>
      <c r="K44" s="5"/>
      <c r="L44" s="8" t="s">
        <v>32</v>
      </c>
      <c r="M44" s="5"/>
      <c r="N44" s="6"/>
    </row>
    <row r="45" spans="3:20" x14ac:dyDescent="0.55000000000000004">
      <c r="H45" s="4"/>
      <c r="I45" s="5"/>
      <c r="J45" s="5"/>
      <c r="K45" s="5"/>
      <c r="L45" s="5" t="s">
        <v>33</v>
      </c>
      <c r="M45" s="5" t="s">
        <v>41</v>
      </c>
      <c r="N45" s="6">
        <f>(N35/2)+N42</f>
        <v>16.801360503793003</v>
      </c>
    </row>
    <row r="46" spans="3:20" x14ac:dyDescent="0.55000000000000004">
      <c r="H46" s="4"/>
      <c r="I46" s="5"/>
      <c r="J46" s="5"/>
      <c r="K46" s="5"/>
      <c r="L46" s="5" t="s">
        <v>35</v>
      </c>
      <c r="M46" s="5" t="s">
        <v>42</v>
      </c>
      <c r="N46" s="6">
        <f>(N36/2)+N43</f>
        <v>6.4372400000000001</v>
      </c>
    </row>
    <row r="47" spans="3:20" x14ac:dyDescent="0.55000000000000004">
      <c r="H47" s="4"/>
      <c r="I47" s="5"/>
      <c r="J47" s="5"/>
      <c r="K47" s="5"/>
      <c r="L47" s="5" t="s">
        <v>34</v>
      </c>
      <c r="M47" s="5" t="s">
        <v>43</v>
      </c>
      <c r="N47" s="6">
        <f>(N43+N42)/2</f>
        <v>0.87953123015737034</v>
      </c>
    </row>
    <row r="48" spans="3:20" x14ac:dyDescent="0.55000000000000004">
      <c r="H48" s="4"/>
      <c r="I48" s="5"/>
      <c r="J48" s="5"/>
      <c r="K48" s="5"/>
      <c r="L48" s="8" t="s">
        <v>36</v>
      </c>
      <c r="M48" s="5"/>
      <c r="N48" s="6"/>
    </row>
    <row r="49" spans="8:14" x14ac:dyDescent="0.55000000000000004">
      <c r="H49" s="4"/>
      <c r="I49" s="5"/>
      <c r="J49" s="5"/>
      <c r="K49" s="5"/>
      <c r="L49" s="5" t="s">
        <v>37</v>
      </c>
      <c r="M49" s="31" t="s">
        <v>39</v>
      </c>
      <c r="N49" s="32">
        <f>N45+C22</f>
        <v>16.801360503793003</v>
      </c>
    </row>
    <row r="50" spans="8:14" ht="14.7" thickBot="1" x14ac:dyDescent="0.6">
      <c r="H50" s="9"/>
      <c r="I50" s="10"/>
      <c r="J50" s="10"/>
      <c r="K50" s="10"/>
      <c r="L50" s="10" t="s">
        <v>38</v>
      </c>
      <c r="M50" s="33" t="s">
        <v>40</v>
      </c>
      <c r="N50" s="34">
        <f>N46+C23</f>
        <v>6.4372400000000001</v>
      </c>
    </row>
  </sheetData>
  <mergeCells count="2">
    <mergeCell ref="H4:N4"/>
    <mergeCell ref="H29:N29"/>
  </mergeCells>
  <phoneticPr fontId="6" type="noConversion"/>
  <conditionalFormatting sqref="E26">
    <cfRule type="cellIs" dxfId="10" priority="3" operator="greaterThanOrEqual">
      <formula>$I$12</formula>
    </cfRule>
    <cfRule type="cellIs" dxfId="9" priority="4" operator="lessThan">
      <formula>$I$12</formula>
    </cfRule>
  </conditionalFormatting>
  <conditionalFormatting sqref="E27">
    <cfRule type="cellIs" dxfId="8" priority="1" operator="greaterThanOrEqual">
      <formula>$I$37</formula>
    </cfRule>
    <cfRule type="cellIs" dxfId="7" priority="2" operator="lessThan">
      <formula>$I$37</formula>
    </cfRule>
  </conditionalFormatting>
  <dataValidations count="2">
    <dataValidation type="list" allowBlank="1" showInputMessage="1" showErrorMessage="1" sqref="I6" xr:uid="{95AB3BAB-B05C-4855-828B-74EE36495EA4}">
      <formula1>$Q$6:$AB$6</formula1>
    </dataValidation>
    <dataValidation type="list" allowBlank="1" showInputMessage="1" showErrorMessage="1" sqref="I31" xr:uid="{A945F066-0EDC-498D-B0A3-C3A7619DA3AE}">
      <formula1>$Q$31:$W$31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0B4B-45AE-4333-8926-916A183FBB15}">
  <dimension ref="B2:BA182"/>
  <sheetViews>
    <sheetView topLeftCell="A79" zoomScale="130" zoomScaleNormal="130" workbookViewId="0">
      <selection activeCell="D44" sqref="D44"/>
    </sheetView>
  </sheetViews>
  <sheetFormatPr defaultRowHeight="14.4" x14ac:dyDescent="0.55000000000000004"/>
  <cols>
    <col min="2" max="2" width="24.41796875" style="1" bestFit="1" customWidth="1"/>
    <col min="3" max="3" width="11.68359375" bestFit="1" customWidth="1"/>
    <col min="4" max="4" width="10.68359375" bestFit="1" customWidth="1"/>
    <col min="5" max="5" width="9.68359375" bestFit="1" customWidth="1"/>
    <col min="8" max="8" width="11.89453125" customWidth="1"/>
    <col min="9" max="9" width="8.68359375" customWidth="1"/>
    <col min="10" max="10" width="8.26171875" customWidth="1"/>
  </cols>
  <sheetData>
    <row r="2" spans="2:13" x14ac:dyDescent="0.55000000000000004">
      <c r="B2" s="1" t="s">
        <v>209</v>
      </c>
    </row>
    <row r="3" spans="2:13" x14ac:dyDescent="0.55000000000000004">
      <c r="B3" s="1" t="s">
        <v>210</v>
      </c>
      <c r="H3" t="s">
        <v>271</v>
      </c>
    </row>
    <row r="4" spans="2:13" x14ac:dyDescent="0.55000000000000004">
      <c r="B4" s="1" t="s">
        <v>211</v>
      </c>
      <c r="C4" s="12">
        <v>4.2299999999999997E-2</v>
      </c>
      <c r="D4" t="s">
        <v>212</v>
      </c>
      <c r="H4" t="s">
        <v>225</v>
      </c>
      <c r="I4" t="s">
        <v>229</v>
      </c>
      <c r="J4" t="s">
        <v>230</v>
      </c>
      <c r="K4" t="s">
        <v>226</v>
      </c>
    </row>
    <row r="5" spans="2:13" x14ac:dyDescent="0.55000000000000004">
      <c r="B5" s="1" t="s">
        <v>269</v>
      </c>
      <c r="C5">
        <f>'Worksheet Inputs'!A20</f>
        <v>415000</v>
      </c>
      <c r="D5" t="s">
        <v>215</v>
      </c>
      <c r="E5">
        <f>C5/2.205</f>
        <v>188208.61678004535</v>
      </c>
      <c r="F5" t="s">
        <v>340</v>
      </c>
      <c r="H5">
        <v>14</v>
      </c>
      <c r="I5" s="36">
        <v>7.375</v>
      </c>
      <c r="J5" s="36">
        <v>12</v>
      </c>
      <c r="K5">
        <v>70.400000000000006</v>
      </c>
    </row>
    <row r="6" spans="2:13" x14ac:dyDescent="0.55000000000000004">
      <c r="B6" s="1" t="s">
        <v>213</v>
      </c>
      <c r="C6">
        <f>'Worksheet Inputs'!A23</f>
        <v>185</v>
      </c>
      <c r="D6" t="s">
        <v>214</v>
      </c>
      <c r="I6" s="36"/>
      <c r="J6" s="36"/>
    </row>
    <row r="7" spans="2:13" x14ac:dyDescent="0.55000000000000004">
      <c r="B7" s="1" t="s">
        <v>213</v>
      </c>
      <c r="C7" s="12">
        <v>200</v>
      </c>
      <c r="D7" t="s">
        <v>323</v>
      </c>
      <c r="E7" t="s">
        <v>324</v>
      </c>
      <c r="H7">
        <v>15</v>
      </c>
      <c r="I7" s="36">
        <v>8.125</v>
      </c>
      <c r="J7" s="36">
        <v>13</v>
      </c>
      <c r="K7">
        <v>80.900000000000006</v>
      </c>
      <c r="M7" t="s">
        <v>278</v>
      </c>
    </row>
    <row r="8" spans="2:13" x14ac:dyDescent="0.55000000000000004">
      <c r="B8" s="1" t="s">
        <v>270</v>
      </c>
      <c r="C8">
        <f>C5*0.65</f>
        <v>269750</v>
      </c>
      <c r="H8">
        <v>16</v>
      </c>
      <c r="I8" s="36">
        <v>8.75</v>
      </c>
      <c r="J8" s="36">
        <v>13.75</v>
      </c>
      <c r="K8">
        <v>88.4</v>
      </c>
    </row>
    <row r="9" spans="2:13" x14ac:dyDescent="0.55000000000000004">
      <c r="B9" s="1" t="s">
        <v>266</v>
      </c>
      <c r="C9">
        <f>'Worksheet Inputs'!A24</f>
        <v>165</v>
      </c>
      <c r="D9" t="s">
        <v>214</v>
      </c>
      <c r="I9" s="36"/>
      <c r="J9" s="36"/>
    </row>
    <row r="10" spans="2:13" x14ac:dyDescent="0.55000000000000004">
      <c r="B10" s="1" t="s">
        <v>266</v>
      </c>
      <c r="C10" s="12">
        <v>178</v>
      </c>
      <c r="D10" t="s">
        <v>323</v>
      </c>
      <c r="E10" t="s">
        <v>324</v>
      </c>
      <c r="H10">
        <v>17</v>
      </c>
      <c r="I10" s="36">
        <v>9.5</v>
      </c>
      <c r="J10" s="36">
        <v>14.75</v>
      </c>
      <c r="K10">
        <v>100</v>
      </c>
    </row>
    <row r="11" spans="2:13" x14ac:dyDescent="0.55000000000000004">
      <c r="B11" s="1" t="s">
        <v>218</v>
      </c>
      <c r="C11">
        <f>'Tire Selection'!I5*2</f>
        <v>12</v>
      </c>
      <c r="H11">
        <v>18</v>
      </c>
      <c r="I11" s="36">
        <v>10.125</v>
      </c>
      <c r="J11" s="36">
        <v>15.75</v>
      </c>
      <c r="K11">
        <v>114.3</v>
      </c>
    </row>
    <row r="12" spans="2:13" x14ac:dyDescent="0.55000000000000004">
      <c r="B12" s="1" t="s">
        <v>288</v>
      </c>
      <c r="C12">
        <v>0.13</v>
      </c>
      <c r="H12">
        <v>19</v>
      </c>
      <c r="I12" s="37">
        <v>10.75</v>
      </c>
      <c r="J12" s="36">
        <v>16.5</v>
      </c>
      <c r="K12">
        <v>123.1</v>
      </c>
    </row>
    <row r="13" spans="2:13" x14ac:dyDescent="0.55000000000000004">
      <c r="B13" s="1" t="s">
        <v>330</v>
      </c>
      <c r="C13">
        <v>220000</v>
      </c>
      <c r="H13">
        <v>20</v>
      </c>
      <c r="I13" s="37">
        <v>10.5</v>
      </c>
      <c r="J13" s="36">
        <v>17.5</v>
      </c>
      <c r="K13">
        <v>136.69999999999999</v>
      </c>
    </row>
    <row r="14" spans="2:13" x14ac:dyDescent="0.55000000000000004">
      <c r="B14" s="1" t="s">
        <v>216</v>
      </c>
      <c r="C14">
        <f>C4*C5*C7^2</f>
        <v>702180000</v>
      </c>
      <c r="D14" t="s">
        <v>219</v>
      </c>
      <c r="E14">
        <f t="shared" ref="E14:E19" si="0">C14/(10^6)</f>
        <v>702.18</v>
      </c>
      <c r="H14">
        <v>21</v>
      </c>
      <c r="I14" s="37">
        <v>12.25</v>
      </c>
      <c r="J14" s="36">
        <v>18.5</v>
      </c>
      <c r="K14">
        <v>150.9</v>
      </c>
    </row>
    <row r="15" spans="2:13" x14ac:dyDescent="0.55000000000000004">
      <c r="B15" s="1" t="s">
        <v>217</v>
      </c>
      <c r="C15">
        <f>C14/C11</f>
        <v>58515000</v>
      </c>
      <c r="D15" t="s">
        <v>219</v>
      </c>
      <c r="E15">
        <f t="shared" si="0"/>
        <v>58.515000000000001</v>
      </c>
      <c r="F15" s="39" t="s">
        <v>272</v>
      </c>
      <c r="H15">
        <v>22</v>
      </c>
      <c r="I15" s="37">
        <v>12.875</v>
      </c>
      <c r="J15" s="36">
        <v>19.5</v>
      </c>
      <c r="K15">
        <v>168.5</v>
      </c>
    </row>
    <row r="16" spans="2:13" x14ac:dyDescent="0.55000000000000004">
      <c r="B16" s="1" t="s">
        <v>268</v>
      </c>
      <c r="C16">
        <f>C4*C8*C10^2</f>
        <v>361527905.69999999</v>
      </c>
      <c r="D16" t="s">
        <v>219</v>
      </c>
      <c r="E16">
        <f t="shared" si="0"/>
        <v>361.52790569999996</v>
      </c>
      <c r="H16">
        <v>23</v>
      </c>
      <c r="I16" s="37">
        <v>12.75</v>
      </c>
      <c r="J16" s="36">
        <v>20.375</v>
      </c>
      <c r="K16">
        <v>176.3</v>
      </c>
      <c r="M16" t="s">
        <v>279</v>
      </c>
    </row>
    <row r="17" spans="2:11" x14ac:dyDescent="0.55000000000000004">
      <c r="B17" s="1" t="s">
        <v>217</v>
      </c>
      <c r="C17">
        <f>C16/C11</f>
        <v>30127325.474999998</v>
      </c>
      <c r="D17" t="s">
        <v>219</v>
      </c>
      <c r="E17">
        <f t="shared" si="0"/>
        <v>30.127325474999999</v>
      </c>
      <c r="F17" s="39" t="s">
        <v>272</v>
      </c>
      <c r="H17">
        <v>24</v>
      </c>
      <c r="I17" s="37">
        <v>14.375</v>
      </c>
      <c r="J17" s="36">
        <v>21.375</v>
      </c>
      <c r="K17">
        <v>195.2</v>
      </c>
    </row>
    <row r="18" spans="2:11" x14ac:dyDescent="0.55000000000000004">
      <c r="B18" s="1" t="s">
        <v>268</v>
      </c>
      <c r="C18">
        <f>C4*C13*C10^2</f>
        <v>294851304</v>
      </c>
      <c r="D18" t="s">
        <v>219</v>
      </c>
      <c r="E18">
        <f t="shared" si="0"/>
        <v>294.85130400000003</v>
      </c>
      <c r="H18">
        <v>25</v>
      </c>
      <c r="I18" s="37">
        <v>15.125</v>
      </c>
      <c r="J18" s="36">
        <v>22.375</v>
      </c>
      <c r="K18">
        <v>212.1</v>
      </c>
    </row>
    <row r="19" spans="2:11" x14ac:dyDescent="0.55000000000000004">
      <c r="B19" s="1" t="s">
        <v>217</v>
      </c>
      <c r="C19">
        <f>C18/C11</f>
        <v>24570942</v>
      </c>
      <c r="D19" t="s">
        <v>219</v>
      </c>
      <c r="E19">
        <f t="shared" si="0"/>
        <v>24.570941999999999</v>
      </c>
      <c r="F19" s="39" t="s">
        <v>272</v>
      </c>
    </row>
    <row r="20" spans="2:11" x14ac:dyDescent="0.55000000000000004">
      <c r="B20" s="1" t="s">
        <v>274</v>
      </c>
      <c r="C20">
        <f>C15/300000</f>
        <v>195.05</v>
      </c>
      <c r="D20" t="s">
        <v>290</v>
      </c>
      <c r="E20">
        <f>C20*12</f>
        <v>2340.6000000000004</v>
      </c>
      <c r="F20">
        <f>E20*0.65</f>
        <v>1521.3900000000003</v>
      </c>
      <c r="G20">
        <f>F20-E20</f>
        <v>-819.21</v>
      </c>
    </row>
    <row r="21" spans="2:11" x14ac:dyDescent="0.55000000000000004">
      <c r="B21" s="1" t="s">
        <v>275</v>
      </c>
      <c r="C21">
        <f>C17/115000</f>
        <v>261.97674326086957</v>
      </c>
      <c r="D21" t="s">
        <v>290</v>
      </c>
      <c r="E21">
        <f>C21*12</f>
        <v>3143.7209191304346</v>
      </c>
      <c r="F21">
        <f t="shared" ref="F21:F22" si="1">E21*0.65</f>
        <v>2043.4185974347827</v>
      </c>
      <c r="G21">
        <f t="shared" ref="G21:G22" si="2">F21-E21</f>
        <v>-1100.3023216956519</v>
      </c>
    </row>
    <row r="22" spans="2:11" x14ac:dyDescent="0.55000000000000004">
      <c r="B22" s="1" t="s">
        <v>329</v>
      </c>
      <c r="C22">
        <f>C19/90000</f>
        <v>273.01046666666667</v>
      </c>
      <c r="D22" t="s">
        <v>290</v>
      </c>
      <c r="E22">
        <f>C22*12</f>
        <v>3276.1256000000003</v>
      </c>
      <c r="F22">
        <f t="shared" si="1"/>
        <v>2129.4816400000004</v>
      </c>
      <c r="G22">
        <f t="shared" si="2"/>
        <v>-1146.6439599999999</v>
      </c>
    </row>
    <row r="23" spans="2:11" x14ac:dyDescent="0.55000000000000004">
      <c r="B23" s="1" t="s">
        <v>287</v>
      </c>
      <c r="C23">
        <f>MAX(C20:C21)</f>
        <v>261.97674326086957</v>
      </c>
      <c r="D23" t="s">
        <v>290</v>
      </c>
    </row>
    <row r="24" spans="2:11" x14ac:dyDescent="0.55000000000000004">
      <c r="B24" s="1" t="s">
        <v>300</v>
      </c>
      <c r="C24" s="42">
        <f>(C23-R37)/R36</f>
        <v>792.41154770760363</v>
      </c>
      <c r="D24" t="s">
        <v>89</v>
      </c>
    </row>
    <row r="26" spans="2:11" x14ac:dyDescent="0.55000000000000004">
      <c r="B26" s="1" t="s">
        <v>223</v>
      </c>
      <c r="C26">
        <v>19</v>
      </c>
      <c r="F26" s="30"/>
    </row>
    <row r="27" spans="2:11" x14ac:dyDescent="0.55000000000000004">
      <c r="B27" s="1" t="s">
        <v>227</v>
      </c>
      <c r="C27" s="35">
        <f>FORECAST(C26,
INDEX(I5:I18,MATCH(C26,H5:H18,1)):INDEX(I5:I18,MATCH(C26,H5:H18,1)+1),
INDEX(H5:H18,MATCH(C26,H5:H18,1)):INDEX(H5:H18,MATCH(C26,H5:H18,1)+1))</f>
        <v>10.75</v>
      </c>
    </row>
    <row r="28" spans="2:11" x14ac:dyDescent="0.55000000000000004">
      <c r="B28" s="1" t="s">
        <v>228</v>
      </c>
      <c r="C28" s="35">
        <f>FORECAST(C26,
INDEX(J5:J18,MATCH(C26,H5:H18,1)):INDEX(J5:J18,MATCH(C26,H5:H18,1)+1),
INDEX(H5:H18,MATCH(C26,H5:H18,1)):INDEX(H5:H18,MATCH(C26,H5:H18,1)+1))</f>
        <v>16.5</v>
      </c>
    </row>
    <row r="29" spans="2:11" x14ac:dyDescent="0.55000000000000004">
      <c r="B29" s="1" t="s">
        <v>309</v>
      </c>
      <c r="C29" s="35">
        <f>FORECAST(C26,
INDEX(K5:K18,MATCH(C26,H5:H18,1)):INDEX(K5:K18,MATCH(C26,H5:H18,1)+1),
INDEX(H5:H18,MATCH(C26,H5:H18,1)):INDEX(H5:H18,MATCH(C26,H5:H18,1)+1))</f>
        <v>123.09999999999997</v>
      </c>
    </row>
    <row r="31" spans="2:11" x14ac:dyDescent="0.55000000000000004">
      <c r="B31" s="1" t="s">
        <v>284</v>
      </c>
      <c r="C31">
        <f>C24/C29</f>
        <v>6.4371368619626637</v>
      </c>
      <c r="D31" t="s">
        <v>46</v>
      </c>
    </row>
    <row r="32" spans="2:11" x14ac:dyDescent="0.55000000000000004">
      <c r="B32" s="1" t="s">
        <v>280</v>
      </c>
      <c r="C32">
        <v>1.5</v>
      </c>
      <c r="D32" t="s">
        <v>46</v>
      </c>
      <c r="E32" t="s">
        <v>281</v>
      </c>
    </row>
    <row r="33" spans="2:19" x14ac:dyDescent="0.55000000000000004">
      <c r="B33" s="1" t="s">
        <v>282</v>
      </c>
      <c r="C33">
        <v>2</v>
      </c>
      <c r="D33" t="s">
        <v>46</v>
      </c>
      <c r="E33" t="s">
        <v>283</v>
      </c>
    </row>
    <row r="34" spans="2:19" x14ac:dyDescent="0.55000000000000004">
      <c r="C34" t="s">
        <v>293</v>
      </c>
      <c r="D34" t="s">
        <v>294</v>
      </c>
    </row>
    <row r="35" spans="2:19" x14ac:dyDescent="0.55000000000000004">
      <c r="B35" s="1" t="s">
        <v>285</v>
      </c>
      <c r="C35">
        <v>1.8</v>
      </c>
      <c r="D35">
        <v>0.65</v>
      </c>
      <c r="O35" t="s">
        <v>301</v>
      </c>
    </row>
    <row r="36" spans="2:19" x14ac:dyDescent="0.55000000000000004">
      <c r="B36" s="1" t="s">
        <v>286</v>
      </c>
      <c r="C36">
        <v>1.4</v>
      </c>
      <c r="D36">
        <v>0.65</v>
      </c>
      <c r="O36">
        <v>114</v>
      </c>
      <c r="P36">
        <v>305</v>
      </c>
      <c r="R36">
        <f>SLOPE(O36:O37,P36:P37)</f>
        <v>0.3035971223021583</v>
      </c>
      <c r="S36" t="s">
        <v>276</v>
      </c>
    </row>
    <row r="37" spans="2:19" x14ac:dyDescent="0.55000000000000004">
      <c r="O37">
        <v>325</v>
      </c>
      <c r="P37">
        <v>1000</v>
      </c>
      <c r="R37">
        <f>O37-P37*R36</f>
        <v>21.402877697841689</v>
      </c>
      <c r="S37" t="s">
        <v>277</v>
      </c>
    </row>
    <row r="38" spans="2:19" x14ac:dyDescent="0.55000000000000004">
      <c r="C38" t="s">
        <v>291</v>
      </c>
      <c r="D38" t="s">
        <v>292</v>
      </c>
      <c r="E38" t="s">
        <v>286</v>
      </c>
    </row>
    <row r="39" spans="2:19" x14ac:dyDescent="0.55000000000000004">
      <c r="B39" s="1" t="s">
        <v>297</v>
      </c>
      <c r="C39">
        <f>C23</f>
        <v>261.97674326086957</v>
      </c>
      <c r="D39">
        <f>C23*D35</f>
        <v>170.28488311956522</v>
      </c>
      <c r="E39">
        <f>C23*D36</f>
        <v>170.28488311956522</v>
      </c>
      <c r="G39" s="39"/>
    </row>
    <row r="40" spans="2:19" x14ac:dyDescent="0.55000000000000004">
      <c r="B40" s="1" t="s">
        <v>296</v>
      </c>
      <c r="C40">
        <f>SUM(C31:C33)</f>
        <v>9.9371368619626637</v>
      </c>
      <c r="D40">
        <f>C31*C35+C32+C33</f>
        <v>15.086846351532795</v>
      </c>
      <c r="E40">
        <f>C31*C36+C32+C33</f>
        <v>12.511991606747728</v>
      </c>
    </row>
    <row r="41" spans="2:19" x14ac:dyDescent="0.55000000000000004">
      <c r="B41" s="1" t="s">
        <v>295</v>
      </c>
      <c r="C41">
        <v>0.13</v>
      </c>
      <c r="D41">
        <v>0.31</v>
      </c>
      <c r="E41">
        <v>0.56000000000000005</v>
      </c>
    </row>
    <row r="42" spans="2:19" x14ac:dyDescent="0.55000000000000004">
      <c r="B42" s="1" t="s">
        <v>299</v>
      </c>
      <c r="C42">
        <f>C17/C41/C39/1400</f>
        <v>631.86813186813174</v>
      </c>
      <c r="D42">
        <f>C17/D41/D39/1400</f>
        <v>407.65685926976238</v>
      </c>
      <c r="E42">
        <f>C17/E41/E39/1400</f>
        <v>225.66718995290418</v>
      </c>
    </row>
    <row r="43" spans="2:19" x14ac:dyDescent="0.55000000000000004">
      <c r="B43" s="1" t="s">
        <v>298</v>
      </c>
      <c r="C43">
        <f>C15/C41/C39/1400</f>
        <v>1227.2501177359732</v>
      </c>
      <c r="D43">
        <f>C15/D41/D39/1400</f>
        <v>791.77426950707945</v>
      </c>
      <c r="E43">
        <f>C15/E41/E39/1400</f>
        <v>438.30361347713324</v>
      </c>
    </row>
    <row r="44" spans="2:19" x14ac:dyDescent="0.55000000000000004">
      <c r="B44" s="1" t="s">
        <v>289</v>
      </c>
      <c r="C44">
        <f t="shared" ref="C44:E45" si="3">C42*1.8</f>
        <v>1137.3626373626371</v>
      </c>
      <c r="D44">
        <f t="shared" si="3"/>
        <v>733.78234668557229</v>
      </c>
      <c r="E44">
        <f t="shared" si="3"/>
        <v>406.20094191522753</v>
      </c>
    </row>
    <row r="45" spans="2:19" x14ac:dyDescent="0.55000000000000004">
      <c r="B45" s="1" t="s">
        <v>289</v>
      </c>
      <c r="C45">
        <f t="shared" si="3"/>
        <v>2209.0502119247517</v>
      </c>
      <c r="D45">
        <f t="shared" si="3"/>
        <v>1425.193685112743</v>
      </c>
      <c r="E45">
        <f t="shared" si="3"/>
        <v>788.94650425883981</v>
      </c>
    </row>
    <row r="46" spans="2:19" x14ac:dyDescent="0.55000000000000004">
      <c r="B46" s="1" t="s">
        <v>302</v>
      </c>
      <c r="C46">
        <v>24</v>
      </c>
      <c r="D46">
        <v>100</v>
      </c>
      <c r="E46">
        <v>75</v>
      </c>
    </row>
    <row r="48" spans="2:19" x14ac:dyDescent="0.55000000000000004">
      <c r="B48" s="1" t="s">
        <v>322</v>
      </c>
      <c r="C48">
        <v>2000</v>
      </c>
      <c r="D48" t="s">
        <v>273</v>
      </c>
    </row>
    <row r="49" spans="2:7" x14ac:dyDescent="0.55000000000000004">
      <c r="C49">
        <v>930</v>
      </c>
      <c r="D49" t="s">
        <v>321</v>
      </c>
    </row>
    <row r="50" spans="2:7" x14ac:dyDescent="0.55000000000000004">
      <c r="C50">
        <v>400</v>
      </c>
      <c r="D50" t="s">
        <v>325</v>
      </c>
    </row>
    <row r="54" spans="2:7" x14ac:dyDescent="0.55000000000000004">
      <c r="B54" s="1" t="s">
        <v>370</v>
      </c>
    </row>
    <row r="55" spans="2:7" x14ac:dyDescent="0.55000000000000004">
      <c r="B55" s="1" t="s">
        <v>371</v>
      </c>
      <c r="C55">
        <v>0.37</v>
      </c>
      <c r="E55" t="s">
        <v>372</v>
      </c>
      <c r="F55">
        <v>9.8000000000000007</v>
      </c>
      <c r="G55" t="s">
        <v>378</v>
      </c>
    </row>
    <row r="56" spans="2:7" x14ac:dyDescent="0.55000000000000004">
      <c r="B56" s="1" t="s">
        <v>373</v>
      </c>
      <c r="C56">
        <f>E5*F55*C55</f>
        <v>682444.4444444445</v>
      </c>
      <c r="D56" t="s">
        <v>375</v>
      </c>
      <c r="E56" t="s">
        <v>381</v>
      </c>
      <c r="F56">
        <v>0.2</v>
      </c>
    </row>
    <row r="57" spans="2:7" x14ac:dyDescent="0.55000000000000004">
      <c r="B57" s="1" t="s">
        <v>374</v>
      </c>
      <c r="C57">
        <f>C56/C11</f>
        <v>56870.370370370372</v>
      </c>
      <c r="D57" t="s">
        <v>375</v>
      </c>
      <c r="E57" t="s">
        <v>382</v>
      </c>
      <c r="F57">
        <v>3</v>
      </c>
    </row>
    <row r="58" spans="2:7" x14ac:dyDescent="0.55000000000000004">
      <c r="B58" s="1" t="s">
        <v>376</v>
      </c>
      <c r="C58">
        <f>C57*'Oleo Sizing'!L43/39.37</f>
        <v>24074.221725188319</v>
      </c>
      <c r="D58" t="s">
        <v>377</v>
      </c>
      <c r="E58" t="s">
        <v>384</v>
      </c>
      <c r="F58">
        <f>2*((C28/2)^3-(C27/2)^3)/(3*((C28/2)^2-(C27/2)^2))*0.0254</f>
        <v>0.17560565749235474</v>
      </c>
      <c r="G58" t="s">
        <v>385</v>
      </c>
    </row>
    <row r="59" spans="2:7" x14ac:dyDescent="0.55000000000000004">
      <c r="B59" s="1" t="s">
        <v>379</v>
      </c>
      <c r="C59">
        <f>C57/(E5*0.95/C11*F55)</f>
        <v>0.38947368421052636</v>
      </c>
      <c r="E59" t="s">
        <v>380</v>
      </c>
    </row>
    <row r="60" spans="2:7" x14ac:dyDescent="0.55000000000000004">
      <c r="B60" s="1" t="s">
        <v>383</v>
      </c>
      <c r="C60">
        <f>C58/(2*F57*F56*F58)</f>
        <v>114243.76483161058</v>
      </c>
      <c r="D60" t="s">
        <v>375</v>
      </c>
    </row>
    <row r="61" spans="2:7" x14ac:dyDescent="0.55000000000000004">
      <c r="E61" t="s">
        <v>386</v>
      </c>
      <c r="F61">
        <v>5000</v>
      </c>
      <c r="G61" t="s">
        <v>47</v>
      </c>
    </row>
    <row r="62" spans="2:7" x14ac:dyDescent="0.55000000000000004">
      <c r="B62" s="1" t="s">
        <v>84</v>
      </c>
      <c r="C62">
        <f>C60/F63</f>
        <v>3682.016431604563</v>
      </c>
      <c r="D62" t="s">
        <v>389</v>
      </c>
      <c r="E62" t="s">
        <v>387</v>
      </c>
      <c r="F62">
        <f>F61*0.9</f>
        <v>4500</v>
      </c>
    </row>
    <row r="63" spans="2:7" x14ac:dyDescent="0.55000000000000004">
      <c r="B63" s="1" t="s">
        <v>391</v>
      </c>
      <c r="C63">
        <f>C62/F64</f>
        <v>4.578483501124798</v>
      </c>
      <c r="F63">
        <f>F62*0.006895</f>
        <v>31.0275</v>
      </c>
      <c r="G63" t="s">
        <v>388</v>
      </c>
    </row>
    <row r="64" spans="2:7" x14ac:dyDescent="0.55000000000000004">
      <c r="E64" t="s">
        <v>390</v>
      </c>
      <c r="F64">
        <v>804.2</v>
      </c>
      <c r="G64" t="s">
        <v>389</v>
      </c>
    </row>
    <row r="73" spans="2:18" x14ac:dyDescent="0.55000000000000004">
      <c r="B73" s="1" t="s">
        <v>318</v>
      </c>
    </row>
    <row r="74" spans="2:18" x14ac:dyDescent="0.55000000000000004">
      <c r="B74" s="1" t="s">
        <v>317</v>
      </c>
      <c r="C74">
        <v>0</v>
      </c>
      <c r="D74">
        <v>6</v>
      </c>
      <c r="E74">
        <v>12</v>
      </c>
      <c r="F74">
        <v>18</v>
      </c>
      <c r="G74">
        <v>24</v>
      </c>
      <c r="H74">
        <v>30</v>
      </c>
      <c r="I74">
        <v>36</v>
      </c>
      <c r="J74">
        <v>42</v>
      </c>
      <c r="K74">
        <v>48</v>
      </c>
      <c r="L74">
        <v>54</v>
      </c>
      <c r="M74">
        <v>60</v>
      </c>
      <c r="N74">
        <v>66</v>
      </c>
      <c r="O74">
        <v>72</v>
      </c>
      <c r="P74">
        <v>78</v>
      </c>
      <c r="Q74">
        <v>84</v>
      </c>
      <c r="R74">
        <v>90</v>
      </c>
    </row>
    <row r="75" spans="2:18" x14ac:dyDescent="0.55000000000000004">
      <c r="B75" s="1" t="s">
        <v>310</v>
      </c>
      <c r="C75">
        <v>100</v>
      </c>
      <c r="D75">
        <f>C75</f>
        <v>100</v>
      </c>
      <c r="E75">
        <f>D75</f>
        <v>100</v>
      </c>
      <c r="F75">
        <f t="shared" ref="F75:R75" si="4">E75</f>
        <v>100</v>
      </c>
      <c r="G75">
        <f>F75</f>
        <v>100</v>
      </c>
      <c r="H75">
        <f t="shared" si="4"/>
        <v>100</v>
      </c>
      <c r="I75">
        <f t="shared" si="4"/>
        <v>100</v>
      </c>
      <c r="J75">
        <f t="shared" si="4"/>
        <v>100</v>
      </c>
      <c r="K75">
        <f t="shared" si="4"/>
        <v>100</v>
      </c>
      <c r="L75">
        <f t="shared" si="4"/>
        <v>100</v>
      </c>
      <c r="M75">
        <f t="shared" si="4"/>
        <v>100</v>
      </c>
      <c r="N75">
        <f t="shared" si="4"/>
        <v>100</v>
      </c>
      <c r="O75">
        <f>N75</f>
        <v>100</v>
      </c>
      <c r="P75">
        <f t="shared" si="4"/>
        <v>100</v>
      </c>
      <c r="Q75">
        <f t="shared" si="4"/>
        <v>100</v>
      </c>
      <c r="R75">
        <f t="shared" si="4"/>
        <v>100</v>
      </c>
    </row>
    <row r="76" spans="2:18" x14ac:dyDescent="0.55000000000000004">
      <c r="B76" s="1" t="s">
        <v>311</v>
      </c>
      <c r="C76">
        <f>C44+250</f>
        <v>1387.3626373626371</v>
      </c>
      <c r="D76">
        <f>C76-C82/10</f>
        <v>1309.8090999433916</v>
      </c>
      <c r="E76">
        <f>D76-D82/10</f>
        <v>1236.9275570280104</v>
      </c>
      <c r="F76">
        <f t="shared" ref="F76:R76" si="5">E76-E82/10</f>
        <v>1168.4365574619683</v>
      </c>
      <c r="G76">
        <f>F76-F82/10</f>
        <v>1104.0716053230974</v>
      </c>
      <c r="H76">
        <f t="shared" si="5"/>
        <v>1043.5841385013523</v>
      </c>
      <c r="I76">
        <f t="shared" si="5"/>
        <v>986.74056881116132</v>
      </c>
      <c r="J76">
        <f t="shared" si="5"/>
        <v>933.32137992950697</v>
      </c>
      <c r="K76">
        <f t="shared" si="5"/>
        <v>883.1202796761869</v>
      </c>
      <c r="L76">
        <f t="shared" si="5"/>
        <v>835.94340336256346</v>
      </c>
      <c r="M76">
        <f t="shared" si="5"/>
        <v>791.60856513232511</v>
      </c>
      <c r="N76">
        <f t="shared" si="5"/>
        <v>749.94455440311549</v>
      </c>
      <c r="O76">
        <f>N76-N82/10</f>
        <v>710.79047469205568</v>
      </c>
      <c r="P76">
        <f t="shared" si="5"/>
        <v>673.99512227186131</v>
      </c>
      <c r="Q76">
        <f t="shared" si="5"/>
        <v>639.41640225807259</v>
      </c>
      <c r="R76">
        <f t="shared" si="5"/>
        <v>606.92077987246489</v>
      </c>
    </row>
    <row r="77" spans="2:18" x14ac:dyDescent="0.55000000000000004">
      <c r="B77" s="1" t="s">
        <v>312</v>
      </c>
      <c r="C77">
        <f>$C$29/144</f>
        <v>0.85486111111111085</v>
      </c>
      <c r="D77">
        <f t="shared" ref="D77:E80" si="6">C77</f>
        <v>0.85486111111111085</v>
      </c>
      <c r="E77">
        <f t="shared" si="6"/>
        <v>0.85486111111111085</v>
      </c>
      <c r="F77">
        <f t="shared" ref="F77:R77" si="7">E77</f>
        <v>0.85486111111111085</v>
      </c>
      <c r="G77">
        <f>F77</f>
        <v>0.85486111111111085</v>
      </c>
      <c r="H77">
        <f t="shared" si="7"/>
        <v>0.85486111111111085</v>
      </c>
      <c r="I77">
        <f t="shared" si="7"/>
        <v>0.85486111111111085</v>
      </c>
      <c r="J77">
        <f t="shared" si="7"/>
        <v>0.85486111111111085</v>
      </c>
      <c r="K77">
        <f t="shared" si="7"/>
        <v>0.85486111111111085</v>
      </c>
      <c r="L77">
        <f t="shared" si="7"/>
        <v>0.85486111111111085</v>
      </c>
      <c r="M77">
        <f t="shared" si="7"/>
        <v>0.85486111111111085</v>
      </c>
      <c r="N77">
        <f t="shared" si="7"/>
        <v>0.85486111111111085</v>
      </c>
      <c r="O77">
        <f>N77</f>
        <v>0.85486111111111085</v>
      </c>
      <c r="P77">
        <f t="shared" si="7"/>
        <v>0.85486111111111085</v>
      </c>
      <c r="Q77">
        <f t="shared" si="7"/>
        <v>0.85486111111111085</v>
      </c>
      <c r="R77">
        <f t="shared" si="7"/>
        <v>0.85486111111111085</v>
      </c>
    </row>
    <row r="78" spans="2:18" x14ac:dyDescent="0.55000000000000004">
      <c r="B78" s="1" t="s">
        <v>313</v>
      </c>
      <c r="C78">
        <f>$C$46</f>
        <v>24</v>
      </c>
      <c r="D78">
        <f t="shared" si="6"/>
        <v>24</v>
      </c>
      <c r="E78">
        <f t="shared" si="6"/>
        <v>24</v>
      </c>
      <c r="F78">
        <f t="shared" ref="F78:R78" si="8">E78</f>
        <v>24</v>
      </c>
      <c r="G78">
        <f>F78</f>
        <v>24</v>
      </c>
      <c r="H78">
        <f t="shared" si="8"/>
        <v>24</v>
      </c>
      <c r="I78">
        <f t="shared" si="8"/>
        <v>24</v>
      </c>
      <c r="J78">
        <f t="shared" si="8"/>
        <v>24</v>
      </c>
      <c r="K78">
        <f t="shared" si="8"/>
        <v>24</v>
      </c>
      <c r="L78">
        <f t="shared" si="8"/>
        <v>24</v>
      </c>
      <c r="M78">
        <f t="shared" si="8"/>
        <v>24</v>
      </c>
      <c r="N78">
        <f t="shared" si="8"/>
        <v>24</v>
      </c>
      <c r="O78">
        <f>N78</f>
        <v>24</v>
      </c>
      <c r="P78">
        <f t="shared" si="8"/>
        <v>24</v>
      </c>
      <c r="Q78">
        <f t="shared" si="8"/>
        <v>24</v>
      </c>
      <c r="R78">
        <f t="shared" si="8"/>
        <v>24</v>
      </c>
    </row>
    <row r="79" spans="2:18" x14ac:dyDescent="0.55000000000000004">
      <c r="B79" s="1" t="s">
        <v>120</v>
      </c>
      <c r="C79">
        <f>$C$39</f>
        <v>261.97674326086957</v>
      </c>
      <c r="D79">
        <f t="shared" si="6"/>
        <v>261.97674326086957</v>
      </c>
      <c r="E79">
        <f t="shared" si="6"/>
        <v>261.97674326086957</v>
      </c>
      <c r="F79">
        <f t="shared" ref="F79:R79" si="9">E79</f>
        <v>261.97674326086957</v>
      </c>
      <c r="G79">
        <f>F79</f>
        <v>261.97674326086957</v>
      </c>
      <c r="H79">
        <f t="shared" si="9"/>
        <v>261.97674326086957</v>
      </c>
      <c r="I79">
        <f t="shared" si="9"/>
        <v>261.97674326086957</v>
      </c>
      <c r="J79">
        <f t="shared" si="9"/>
        <v>261.97674326086957</v>
      </c>
      <c r="K79">
        <f t="shared" si="9"/>
        <v>261.97674326086957</v>
      </c>
      <c r="L79">
        <f t="shared" si="9"/>
        <v>261.97674326086957</v>
      </c>
      <c r="M79">
        <f t="shared" si="9"/>
        <v>261.97674326086957</v>
      </c>
      <c r="N79">
        <f t="shared" si="9"/>
        <v>261.97674326086957</v>
      </c>
      <c r="O79">
        <f>N79</f>
        <v>261.97674326086957</v>
      </c>
      <c r="P79">
        <f t="shared" si="9"/>
        <v>261.97674326086957</v>
      </c>
      <c r="Q79">
        <f t="shared" si="9"/>
        <v>261.97674326086957</v>
      </c>
      <c r="R79">
        <f t="shared" si="9"/>
        <v>261.97674326086957</v>
      </c>
    </row>
    <row r="80" spans="2:18" x14ac:dyDescent="0.55000000000000004">
      <c r="B80" s="1" t="s">
        <v>314</v>
      </c>
      <c r="C80">
        <f>$C$41</f>
        <v>0.13</v>
      </c>
      <c r="D80">
        <f t="shared" si="6"/>
        <v>0.13</v>
      </c>
      <c r="E80">
        <f t="shared" si="6"/>
        <v>0.13</v>
      </c>
      <c r="F80">
        <f t="shared" ref="F80:R80" si="10">E80</f>
        <v>0.13</v>
      </c>
      <c r="G80">
        <f>F80</f>
        <v>0.13</v>
      </c>
      <c r="H80">
        <f t="shared" si="10"/>
        <v>0.13</v>
      </c>
      <c r="I80">
        <f t="shared" si="10"/>
        <v>0.13</v>
      </c>
      <c r="J80">
        <f t="shared" si="10"/>
        <v>0.13</v>
      </c>
      <c r="K80">
        <f t="shared" si="10"/>
        <v>0.13</v>
      </c>
      <c r="L80">
        <f t="shared" si="10"/>
        <v>0.13</v>
      </c>
      <c r="M80">
        <f t="shared" si="10"/>
        <v>0.13</v>
      </c>
      <c r="N80">
        <f t="shared" si="10"/>
        <v>0.13</v>
      </c>
      <c r="O80">
        <f>N80</f>
        <v>0.13</v>
      </c>
      <c r="P80">
        <f t="shared" si="10"/>
        <v>0.13</v>
      </c>
      <c r="Q80">
        <f t="shared" si="10"/>
        <v>0.13</v>
      </c>
      <c r="R80">
        <f t="shared" si="10"/>
        <v>0.13</v>
      </c>
    </row>
    <row r="81" spans="2:18" x14ac:dyDescent="0.55000000000000004">
      <c r="B81" s="1" t="s">
        <v>315</v>
      </c>
      <c r="C81">
        <f>(C76-C75)*C78*C77</f>
        <v>26412.390109890097</v>
      </c>
      <c r="D81">
        <f>(D76-D75)*D78*D77</f>
        <v>24821.250033838576</v>
      </c>
      <c r="E81">
        <f t="shared" ref="E81:R81" si="11">(E76-E75)*E78*E77</f>
        <v>23325.963711691336</v>
      </c>
      <c r="F81">
        <f t="shared" si="11"/>
        <v>21920.756703928044</v>
      </c>
      <c r="G81">
        <f t="shared" si="11"/>
        <v>20600.202435878877</v>
      </c>
      <c r="H81">
        <f t="shared" si="11"/>
        <v>19359.201241586074</v>
      </c>
      <c r="I81">
        <f t="shared" si="11"/>
        <v>18192.960670108987</v>
      </c>
      <c r="J81">
        <f t="shared" si="11"/>
        <v>17096.976978220377</v>
      </c>
      <c r="K81">
        <f t="shared" si="11"/>
        <v>16067.017738023096</v>
      </c>
      <c r="L81">
        <f t="shared" si="11"/>
        <v>15099.105492321922</v>
      </c>
      <c r="M81">
        <f t="shared" si="11"/>
        <v>14189.502394631532</v>
      </c>
      <c r="N81">
        <f t="shared" si="11"/>
        <v>13334.695774503916</v>
      </c>
      <c r="O81">
        <f t="shared" si="11"/>
        <v>12531.384572432004</v>
      </c>
      <c r="P81">
        <f t="shared" si="11"/>
        <v>11776.466591944351</v>
      </c>
      <c r="Q81">
        <f t="shared" si="11"/>
        <v>11067.026519661453</v>
      </c>
      <c r="R81">
        <f t="shared" si="11"/>
        <v>10400.324667050068</v>
      </c>
    </row>
    <row r="82" spans="2:18" x14ac:dyDescent="0.55000000000000004">
      <c r="B82" s="1" t="s">
        <v>316</v>
      </c>
      <c r="C82">
        <f>C81/C80/C79</f>
        <v>775.53537419245504</v>
      </c>
      <c r="D82">
        <f t="shared" ref="D82:R82" si="12">D81/D80/D79</f>
        <v>728.8154291538134</v>
      </c>
      <c r="E82">
        <f t="shared" si="12"/>
        <v>684.9099956604208</v>
      </c>
      <c r="F82">
        <f t="shared" si="12"/>
        <v>643.64952138870797</v>
      </c>
      <c r="G82">
        <f t="shared" si="12"/>
        <v>604.87466821745068</v>
      </c>
      <c r="H82">
        <f t="shared" si="12"/>
        <v>568.43569690191009</v>
      </c>
      <c r="I82">
        <f t="shared" si="12"/>
        <v>534.19188881654372</v>
      </c>
      <c r="J82">
        <f t="shared" si="12"/>
        <v>502.01100253320095</v>
      </c>
      <c r="K82">
        <f t="shared" si="12"/>
        <v>471.76876313623416</v>
      </c>
      <c r="L82">
        <f t="shared" si="12"/>
        <v>443.34838230238302</v>
      </c>
      <c r="M82">
        <f t="shared" si="12"/>
        <v>416.64010729209588</v>
      </c>
      <c r="N82">
        <f t="shared" si="12"/>
        <v>391.54079711059802</v>
      </c>
      <c r="O82">
        <f t="shared" si="12"/>
        <v>367.95352420194325</v>
      </c>
      <c r="P82">
        <f t="shared" si="12"/>
        <v>345.78720013788677</v>
      </c>
      <c r="Q82">
        <f t="shared" si="12"/>
        <v>324.95622385607652</v>
      </c>
      <c r="R82">
        <f t="shared" si="12"/>
        <v>305.38015108914567</v>
      </c>
    </row>
    <row r="85" spans="2:18" x14ac:dyDescent="0.55000000000000004">
      <c r="B85" s="1" t="s">
        <v>318</v>
      </c>
    </row>
    <row r="86" spans="2:18" x14ac:dyDescent="0.55000000000000004">
      <c r="B86" s="1" t="s">
        <v>317</v>
      </c>
      <c r="C86">
        <v>0</v>
      </c>
      <c r="D86">
        <v>6</v>
      </c>
      <c r="E86">
        <v>12</v>
      </c>
      <c r="F86">
        <v>18</v>
      </c>
      <c r="G86">
        <v>24</v>
      </c>
      <c r="H86">
        <v>30</v>
      </c>
      <c r="I86">
        <v>36</v>
      </c>
      <c r="J86">
        <v>42</v>
      </c>
      <c r="K86">
        <v>48</v>
      </c>
      <c r="L86">
        <v>54</v>
      </c>
      <c r="M86">
        <v>60</v>
      </c>
      <c r="N86">
        <v>66</v>
      </c>
      <c r="O86">
        <v>72</v>
      </c>
      <c r="P86">
        <v>78</v>
      </c>
      <c r="Q86">
        <v>84</v>
      </c>
      <c r="R86">
        <v>90</v>
      </c>
    </row>
    <row r="87" spans="2:18" x14ac:dyDescent="0.55000000000000004">
      <c r="B87" s="1" t="s">
        <v>310</v>
      </c>
      <c r="C87">
        <v>100</v>
      </c>
      <c r="D87">
        <f>C87</f>
        <v>100</v>
      </c>
      <c r="E87">
        <f>D87</f>
        <v>100</v>
      </c>
      <c r="F87">
        <f t="shared" ref="F87:R87" si="13">E87</f>
        <v>100</v>
      </c>
      <c r="G87">
        <f>F87</f>
        <v>100</v>
      </c>
      <c r="H87">
        <f t="shared" si="13"/>
        <v>100</v>
      </c>
      <c r="I87">
        <f t="shared" si="13"/>
        <v>100</v>
      </c>
      <c r="J87">
        <f t="shared" si="13"/>
        <v>100</v>
      </c>
      <c r="K87">
        <f t="shared" si="13"/>
        <v>100</v>
      </c>
      <c r="L87">
        <f t="shared" si="13"/>
        <v>100</v>
      </c>
      <c r="M87">
        <f t="shared" si="13"/>
        <v>100</v>
      </c>
      <c r="N87">
        <f t="shared" si="13"/>
        <v>100</v>
      </c>
      <c r="O87">
        <f>N87</f>
        <v>100</v>
      </c>
      <c r="P87">
        <f t="shared" si="13"/>
        <v>100</v>
      </c>
      <c r="Q87">
        <f t="shared" si="13"/>
        <v>100</v>
      </c>
      <c r="R87">
        <f t="shared" si="13"/>
        <v>100</v>
      </c>
    </row>
    <row r="88" spans="2:18" x14ac:dyDescent="0.55000000000000004">
      <c r="B88" s="1" t="s">
        <v>311</v>
      </c>
      <c r="C88">
        <f>C44+250</f>
        <v>1387.3626373626371</v>
      </c>
      <c r="D88">
        <f>C88-C94/10</f>
        <v>1232.2555625241462</v>
      </c>
      <c r="E88">
        <f>D88-D94/10</f>
        <v>1095.8364657011118</v>
      </c>
      <c r="F88">
        <f t="shared" ref="F88:R88" si="14">E88-E94/10</f>
        <v>975.85373765733482</v>
      </c>
      <c r="G88">
        <f>F88-F94/10</f>
        <v>870.32705287432725</v>
      </c>
      <c r="H88">
        <f t="shared" si="14"/>
        <v>777.51468410380551</v>
      </c>
      <c r="I88">
        <f t="shared" si="14"/>
        <v>695.88475500569734</v>
      </c>
      <c r="J88">
        <f t="shared" si="14"/>
        <v>624.08995639391424</v>
      </c>
      <c r="K88">
        <f t="shared" si="14"/>
        <v>560.94530877929367</v>
      </c>
      <c r="L88">
        <f t="shared" si="14"/>
        <v>505.40860417852036</v>
      </c>
      <c r="M88">
        <f t="shared" si="14"/>
        <v>456.563204379355</v>
      </c>
      <c r="N88">
        <f t="shared" si="14"/>
        <v>413.60291174602003</v>
      </c>
      <c r="O88">
        <f>N88-N94/10</f>
        <v>375.81866285604963</v>
      </c>
      <c r="P88">
        <f t="shared" si="14"/>
        <v>342.58682534590548</v>
      </c>
      <c r="Q88">
        <f t="shared" si="14"/>
        <v>313.35890480376207</v>
      </c>
      <c r="R88">
        <f t="shared" si="14"/>
        <v>287.65249182081834</v>
      </c>
    </row>
    <row r="89" spans="2:18" x14ac:dyDescent="0.55000000000000004">
      <c r="B89" s="1" t="s">
        <v>312</v>
      </c>
      <c r="C89">
        <f>$C$29/144</f>
        <v>0.85486111111111085</v>
      </c>
      <c r="D89">
        <f t="shared" ref="D89:E92" si="15">C89</f>
        <v>0.85486111111111085</v>
      </c>
      <c r="E89">
        <f t="shared" si="15"/>
        <v>0.85486111111111085</v>
      </c>
      <c r="F89">
        <f t="shared" ref="F89:R89" si="16">E89</f>
        <v>0.85486111111111085</v>
      </c>
      <c r="G89">
        <f>F89</f>
        <v>0.85486111111111085</v>
      </c>
      <c r="H89">
        <f t="shared" si="16"/>
        <v>0.85486111111111085</v>
      </c>
      <c r="I89">
        <f t="shared" si="16"/>
        <v>0.85486111111111085</v>
      </c>
      <c r="J89">
        <f t="shared" si="16"/>
        <v>0.85486111111111085</v>
      </c>
      <c r="K89">
        <f t="shared" si="16"/>
        <v>0.85486111111111085</v>
      </c>
      <c r="L89">
        <f t="shared" si="16"/>
        <v>0.85486111111111085</v>
      </c>
      <c r="M89">
        <f t="shared" si="16"/>
        <v>0.85486111111111085</v>
      </c>
      <c r="N89">
        <f t="shared" si="16"/>
        <v>0.85486111111111085</v>
      </c>
      <c r="O89">
        <f>N89</f>
        <v>0.85486111111111085</v>
      </c>
      <c r="P89">
        <f t="shared" si="16"/>
        <v>0.85486111111111085</v>
      </c>
      <c r="Q89">
        <f t="shared" si="16"/>
        <v>0.85486111111111085</v>
      </c>
      <c r="R89">
        <f t="shared" si="16"/>
        <v>0.85486111111111085</v>
      </c>
    </row>
    <row r="90" spans="2:18" x14ac:dyDescent="0.55000000000000004">
      <c r="B90" s="1" t="s">
        <v>313</v>
      </c>
      <c r="C90" s="12">
        <v>48</v>
      </c>
      <c r="D90">
        <f t="shared" si="15"/>
        <v>48</v>
      </c>
      <c r="E90">
        <f t="shared" si="15"/>
        <v>48</v>
      </c>
      <c r="F90">
        <f t="shared" ref="F90:R90" si="17">E90</f>
        <v>48</v>
      </c>
      <c r="G90">
        <f>F90</f>
        <v>48</v>
      </c>
      <c r="H90">
        <f t="shared" si="17"/>
        <v>48</v>
      </c>
      <c r="I90">
        <f t="shared" si="17"/>
        <v>48</v>
      </c>
      <c r="J90">
        <f t="shared" si="17"/>
        <v>48</v>
      </c>
      <c r="K90">
        <f t="shared" si="17"/>
        <v>48</v>
      </c>
      <c r="L90">
        <f t="shared" si="17"/>
        <v>48</v>
      </c>
      <c r="M90">
        <f t="shared" si="17"/>
        <v>48</v>
      </c>
      <c r="N90">
        <f t="shared" si="17"/>
        <v>48</v>
      </c>
      <c r="O90">
        <f>N90</f>
        <v>48</v>
      </c>
      <c r="P90">
        <f t="shared" si="17"/>
        <v>48</v>
      </c>
      <c r="Q90">
        <f t="shared" si="17"/>
        <v>48</v>
      </c>
      <c r="R90">
        <f t="shared" si="17"/>
        <v>48</v>
      </c>
    </row>
    <row r="91" spans="2:18" x14ac:dyDescent="0.55000000000000004">
      <c r="B91" s="1" t="s">
        <v>120</v>
      </c>
      <c r="C91">
        <f>$C$39</f>
        <v>261.97674326086957</v>
      </c>
      <c r="D91">
        <f t="shared" si="15"/>
        <v>261.97674326086957</v>
      </c>
      <c r="E91">
        <f t="shared" si="15"/>
        <v>261.97674326086957</v>
      </c>
      <c r="F91">
        <f t="shared" ref="F91:R91" si="18">E91</f>
        <v>261.97674326086957</v>
      </c>
      <c r="G91">
        <f>F91</f>
        <v>261.97674326086957</v>
      </c>
      <c r="H91">
        <f t="shared" si="18"/>
        <v>261.97674326086957</v>
      </c>
      <c r="I91">
        <f t="shared" si="18"/>
        <v>261.97674326086957</v>
      </c>
      <c r="J91">
        <f t="shared" si="18"/>
        <v>261.97674326086957</v>
      </c>
      <c r="K91">
        <f t="shared" si="18"/>
        <v>261.97674326086957</v>
      </c>
      <c r="L91">
        <f t="shared" si="18"/>
        <v>261.97674326086957</v>
      </c>
      <c r="M91">
        <f t="shared" si="18"/>
        <v>261.97674326086957</v>
      </c>
      <c r="N91">
        <f t="shared" si="18"/>
        <v>261.97674326086957</v>
      </c>
      <c r="O91">
        <f>N91</f>
        <v>261.97674326086957</v>
      </c>
      <c r="P91">
        <f t="shared" si="18"/>
        <v>261.97674326086957</v>
      </c>
      <c r="Q91">
        <f t="shared" si="18"/>
        <v>261.97674326086957</v>
      </c>
      <c r="R91">
        <f t="shared" si="18"/>
        <v>261.97674326086957</v>
      </c>
    </row>
    <row r="92" spans="2:18" x14ac:dyDescent="0.55000000000000004">
      <c r="B92" s="1" t="s">
        <v>314</v>
      </c>
      <c r="C92">
        <f>$C$41</f>
        <v>0.13</v>
      </c>
      <c r="D92">
        <f t="shared" si="15"/>
        <v>0.13</v>
      </c>
      <c r="E92">
        <f t="shared" si="15"/>
        <v>0.13</v>
      </c>
      <c r="F92">
        <f t="shared" ref="F92:R92" si="19">E92</f>
        <v>0.13</v>
      </c>
      <c r="G92">
        <f>F92</f>
        <v>0.13</v>
      </c>
      <c r="H92">
        <f t="shared" si="19"/>
        <v>0.13</v>
      </c>
      <c r="I92">
        <f t="shared" si="19"/>
        <v>0.13</v>
      </c>
      <c r="J92">
        <f t="shared" si="19"/>
        <v>0.13</v>
      </c>
      <c r="K92">
        <f t="shared" si="19"/>
        <v>0.13</v>
      </c>
      <c r="L92">
        <f t="shared" si="19"/>
        <v>0.13</v>
      </c>
      <c r="M92">
        <f t="shared" si="19"/>
        <v>0.13</v>
      </c>
      <c r="N92">
        <f t="shared" si="19"/>
        <v>0.13</v>
      </c>
      <c r="O92">
        <f>N92</f>
        <v>0.13</v>
      </c>
      <c r="P92">
        <f t="shared" si="19"/>
        <v>0.13</v>
      </c>
      <c r="Q92">
        <f t="shared" si="19"/>
        <v>0.13</v>
      </c>
      <c r="R92">
        <f t="shared" si="19"/>
        <v>0.13</v>
      </c>
    </row>
    <row r="93" spans="2:18" x14ac:dyDescent="0.55000000000000004">
      <c r="B93" s="1" t="s">
        <v>315</v>
      </c>
      <c r="C93">
        <f>(C88-C87)*C90*C89</f>
        <v>52824.780219780194</v>
      </c>
      <c r="D93">
        <f>(D88-D87)*D90*D89</f>
        <v>46460.219915574118</v>
      </c>
      <c r="E93">
        <f t="shared" ref="E93:R93" si="20">(E88-E87)*E90*E89</f>
        <v>40862.489642602282</v>
      </c>
      <c r="F93">
        <f t="shared" si="20"/>
        <v>35939.198368539292</v>
      </c>
      <c r="G93">
        <f t="shared" si="20"/>
        <v>31609.086736276549</v>
      </c>
      <c r="H93">
        <f t="shared" si="20"/>
        <v>27800.685871059479</v>
      </c>
      <c r="I93">
        <f t="shared" si="20"/>
        <v>24451.137780400441</v>
      </c>
      <c r="J93">
        <f t="shared" si="20"/>
        <v>21505.157877363607</v>
      </c>
      <c r="K93">
        <f t="shared" si="20"/>
        <v>18914.122503577011</v>
      </c>
      <c r="L93">
        <f t="shared" si="20"/>
        <v>16635.266391458616</v>
      </c>
      <c r="M93">
        <f t="shared" si="20"/>
        <v>14630.976819699528</v>
      </c>
      <c r="N93">
        <f t="shared" si="20"/>
        <v>12868.172811978351</v>
      </c>
      <c r="O93">
        <f t="shared" si="20"/>
        <v>11317.759132526566</v>
      </c>
      <c r="P93">
        <f t="shared" si="20"/>
        <v>9954.1460666936528</v>
      </c>
      <c r="Q93">
        <f t="shared" si="20"/>
        <v>8754.827060447702</v>
      </c>
      <c r="R93">
        <f t="shared" si="20"/>
        <v>7700.0072477142439</v>
      </c>
    </row>
    <row r="94" spans="2:18" x14ac:dyDescent="0.55000000000000004">
      <c r="B94" s="1" t="s">
        <v>316</v>
      </c>
      <c r="C94">
        <f t="shared" ref="C94:R94" si="21">C93/C92/C91</f>
        <v>1551.0707483849101</v>
      </c>
      <c r="D94">
        <f t="shared" si="21"/>
        <v>1364.1909682303437</v>
      </c>
      <c r="E94">
        <f t="shared" si="21"/>
        <v>1199.8272804377696</v>
      </c>
      <c r="F94">
        <f t="shared" si="21"/>
        <v>1055.2668478300757</v>
      </c>
      <c r="G94">
        <f t="shared" si="21"/>
        <v>928.12368770521698</v>
      </c>
      <c r="H94">
        <f t="shared" si="21"/>
        <v>816.2992909810813</v>
      </c>
      <c r="I94">
        <f t="shared" si="21"/>
        <v>717.94798611783165</v>
      </c>
      <c r="J94">
        <f t="shared" si="21"/>
        <v>631.44647614620601</v>
      </c>
      <c r="K94">
        <f t="shared" si="21"/>
        <v>555.36704600773317</v>
      </c>
      <c r="L94">
        <f t="shared" si="21"/>
        <v>488.45399799165358</v>
      </c>
      <c r="M94">
        <f t="shared" si="21"/>
        <v>429.60292633334973</v>
      </c>
      <c r="N94">
        <f t="shared" si="21"/>
        <v>377.84248889970422</v>
      </c>
      <c r="O94">
        <f t="shared" si="21"/>
        <v>332.31837510144169</v>
      </c>
      <c r="P94">
        <f t="shared" si="21"/>
        <v>292.27920542143391</v>
      </c>
      <c r="Q94">
        <f t="shared" si="21"/>
        <v>257.06412982943755</v>
      </c>
      <c r="R94">
        <f t="shared" si="21"/>
        <v>226.0919203940052</v>
      </c>
    </row>
    <row r="97" spans="2:18" x14ac:dyDescent="0.55000000000000004">
      <c r="B97" s="1" t="s">
        <v>319</v>
      </c>
      <c r="C97">
        <v>0</v>
      </c>
      <c r="D97">
        <v>6</v>
      </c>
      <c r="E97">
        <v>12</v>
      </c>
      <c r="F97">
        <v>18</v>
      </c>
      <c r="G97">
        <v>24</v>
      </c>
      <c r="H97">
        <v>30</v>
      </c>
      <c r="I97">
        <v>36</v>
      </c>
      <c r="J97">
        <v>42</v>
      </c>
      <c r="K97">
        <v>48</v>
      </c>
      <c r="L97">
        <v>54</v>
      </c>
      <c r="M97">
        <v>60</v>
      </c>
      <c r="N97">
        <v>66</v>
      </c>
      <c r="O97">
        <v>72</v>
      </c>
      <c r="P97">
        <v>78</v>
      </c>
      <c r="Q97">
        <v>84</v>
      </c>
      <c r="R97">
        <v>90</v>
      </c>
    </row>
    <row r="98" spans="2:18" x14ac:dyDescent="0.55000000000000004">
      <c r="B98" s="1" t="s">
        <v>310</v>
      </c>
      <c r="C98">
        <v>100</v>
      </c>
      <c r="D98">
        <f>C98</f>
        <v>100</v>
      </c>
      <c r="E98">
        <f>D98</f>
        <v>100</v>
      </c>
      <c r="F98">
        <f t="shared" ref="F98:R98" si="22">E98</f>
        <v>100</v>
      </c>
      <c r="G98">
        <f>F98</f>
        <v>100</v>
      </c>
      <c r="H98">
        <f t="shared" si="22"/>
        <v>100</v>
      </c>
      <c r="I98">
        <f t="shared" si="22"/>
        <v>100</v>
      </c>
      <c r="J98">
        <f t="shared" si="22"/>
        <v>100</v>
      </c>
      <c r="K98">
        <f t="shared" si="22"/>
        <v>100</v>
      </c>
      <c r="L98">
        <f t="shared" si="22"/>
        <v>100</v>
      </c>
      <c r="M98">
        <f t="shared" si="22"/>
        <v>100</v>
      </c>
      <c r="N98">
        <f t="shared" si="22"/>
        <v>100</v>
      </c>
      <c r="O98">
        <f>N98</f>
        <v>100</v>
      </c>
      <c r="P98">
        <f t="shared" si="22"/>
        <v>100</v>
      </c>
      <c r="Q98">
        <f t="shared" si="22"/>
        <v>100</v>
      </c>
      <c r="R98">
        <f t="shared" si="22"/>
        <v>100</v>
      </c>
    </row>
    <row r="99" spans="2:18" x14ac:dyDescent="0.55000000000000004">
      <c r="B99" s="1" t="s">
        <v>311</v>
      </c>
      <c r="C99">
        <f>D44+250</f>
        <v>983.78234668557229</v>
      </c>
      <c r="D99">
        <f>C99-C105/10</f>
        <v>840.66143507589345</v>
      </c>
      <c r="E99">
        <f>D99-D105/10</f>
        <v>720.71771796076939</v>
      </c>
      <c r="F99">
        <f t="shared" ref="F99:R99" si="23">E99-E105/10</f>
        <v>620.19784903603852</v>
      </c>
      <c r="G99">
        <f>F99-F105/10</f>
        <v>535.95630398748165</v>
      </c>
      <c r="H99">
        <f t="shared" si="23"/>
        <v>465.35694897357905</v>
      </c>
      <c r="I99">
        <f t="shared" si="23"/>
        <v>406.19054924164021</v>
      </c>
      <c r="J99">
        <f t="shared" si="23"/>
        <v>356.60563651049392</v>
      </c>
      <c r="K99">
        <f t="shared" si="23"/>
        <v>315.05057178296795</v>
      </c>
      <c r="L99">
        <f t="shared" si="23"/>
        <v>280.22499058507697</v>
      </c>
      <c r="M99">
        <f t="shared" si="23"/>
        <v>251.0391112290155</v>
      </c>
      <c r="N99">
        <f t="shared" si="23"/>
        <v>226.57963275121884</v>
      </c>
      <c r="O99">
        <f>N99-N105/10</f>
        <v>206.08115538457588</v>
      </c>
      <c r="P99">
        <f t="shared" si="23"/>
        <v>188.90222923812502</v>
      </c>
      <c r="Q99">
        <f t="shared" si="23"/>
        <v>174.50528168603739</v>
      </c>
      <c r="R99">
        <f t="shared" si="23"/>
        <v>162.43979534244639</v>
      </c>
    </row>
    <row r="100" spans="2:18" x14ac:dyDescent="0.55000000000000004">
      <c r="B100" s="1" t="s">
        <v>312</v>
      </c>
      <c r="C100">
        <f t="shared" ref="C100:R100" si="24">$C$29/144</f>
        <v>0.85486111111111085</v>
      </c>
      <c r="D100">
        <f t="shared" si="24"/>
        <v>0.85486111111111085</v>
      </c>
      <c r="E100">
        <f t="shared" si="24"/>
        <v>0.85486111111111085</v>
      </c>
      <c r="F100">
        <f t="shared" si="24"/>
        <v>0.85486111111111085</v>
      </c>
      <c r="G100">
        <f t="shared" si="24"/>
        <v>0.85486111111111085</v>
      </c>
      <c r="H100">
        <f t="shared" si="24"/>
        <v>0.85486111111111085</v>
      </c>
      <c r="I100">
        <f t="shared" si="24"/>
        <v>0.85486111111111085</v>
      </c>
      <c r="J100">
        <f t="shared" si="24"/>
        <v>0.85486111111111085</v>
      </c>
      <c r="K100">
        <f t="shared" si="24"/>
        <v>0.85486111111111085</v>
      </c>
      <c r="L100">
        <f t="shared" si="24"/>
        <v>0.85486111111111085</v>
      </c>
      <c r="M100">
        <f t="shared" si="24"/>
        <v>0.85486111111111085</v>
      </c>
      <c r="N100">
        <f t="shared" si="24"/>
        <v>0.85486111111111085</v>
      </c>
      <c r="O100">
        <f t="shared" si="24"/>
        <v>0.85486111111111085</v>
      </c>
      <c r="P100">
        <f t="shared" si="24"/>
        <v>0.85486111111111085</v>
      </c>
      <c r="Q100">
        <f t="shared" si="24"/>
        <v>0.85486111111111085</v>
      </c>
      <c r="R100">
        <f t="shared" si="24"/>
        <v>0.85486111111111085</v>
      </c>
    </row>
    <row r="101" spans="2:18" x14ac:dyDescent="0.55000000000000004">
      <c r="B101" s="1" t="s">
        <v>313</v>
      </c>
      <c r="C101">
        <f t="shared" ref="C101:R101" si="25">$D$46</f>
        <v>100</v>
      </c>
      <c r="D101">
        <f t="shared" si="25"/>
        <v>100</v>
      </c>
      <c r="E101">
        <f t="shared" si="25"/>
        <v>100</v>
      </c>
      <c r="F101">
        <f t="shared" si="25"/>
        <v>100</v>
      </c>
      <c r="G101">
        <f t="shared" si="25"/>
        <v>100</v>
      </c>
      <c r="H101">
        <f t="shared" si="25"/>
        <v>100</v>
      </c>
      <c r="I101">
        <f t="shared" si="25"/>
        <v>100</v>
      </c>
      <c r="J101">
        <f t="shared" si="25"/>
        <v>100</v>
      </c>
      <c r="K101">
        <f t="shared" si="25"/>
        <v>100</v>
      </c>
      <c r="L101">
        <f t="shared" si="25"/>
        <v>100</v>
      </c>
      <c r="M101">
        <f t="shared" si="25"/>
        <v>100</v>
      </c>
      <c r="N101">
        <f t="shared" si="25"/>
        <v>100</v>
      </c>
      <c r="O101">
        <f t="shared" si="25"/>
        <v>100</v>
      </c>
      <c r="P101">
        <f t="shared" si="25"/>
        <v>100</v>
      </c>
      <c r="Q101">
        <f t="shared" si="25"/>
        <v>100</v>
      </c>
      <c r="R101">
        <f t="shared" si="25"/>
        <v>100</v>
      </c>
    </row>
    <row r="102" spans="2:18" x14ac:dyDescent="0.55000000000000004">
      <c r="B102" s="1" t="s">
        <v>120</v>
      </c>
      <c r="C102">
        <f t="shared" ref="C102:R102" si="26">$D$39</f>
        <v>170.28488311956522</v>
      </c>
      <c r="D102">
        <f t="shared" si="26"/>
        <v>170.28488311956522</v>
      </c>
      <c r="E102">
        <f t="shared" si="26"/>
        <v>170.28488311956522</v>
      </c>
      <c r="F102">
        <f t="shared" si="26"/>
        <v>170.28488311956522</v>
      </c>
      <c r="G102">
        <f t="shared" si="26"/>
        <v>170.28488311956522</v>
      </c>
      <c r="H102">
        <f t="shared" si="26"/>
        <v>170.28488311956522</v>
      </c>
      <c r="I102">
        <f t="shared" si="26"/>
        <v>170.28488311956522</v>
      </c>
      <c r="J102">
        <f t="shared" si="26"/>
        <v>170.28488311956522</v>
      </c>
      <c r="K102">
        <f t="shared" si="26"/>
        <v>170.28488311956522</v>
      </c>
      <c r="L102">
        <f t="shared" si="26"/>
        <v>170.28488311956522</v>
      </c>
      <c r="M102">
        <f t="shared" si="26"/>
        <v>170.28488311956522</v>
      </c>
      <c r="N102">
        <f t="shared" si="26"/>
        <v>170.28488311956522</v>
      </c>
      <c r="O102">
        <f t="shared" si="26"/>
        <v>170.28488311956522</v>
      </c>
      <c r="P102">
        <f t="shared" si="26"/>
        <v>170.28488311956522</v>
      </c>
      <c r="Q102">
        <f t="shared" si="26"/>
        <v>170.28488311956522</v>
      </c>
      <c r="R102">
        <f t="shared" si="26"/>
        <v>170.28488311956522</v>
      </c>
    </row>
    <row r="103" spans="2:18" x14ac:dyDescent="0.55000000000000004">
      <c r="B103" s="1" t="s">
        <v>314</v>
      </c>
      <c r="C103">
        <f t="shared" ref="C103:R103" si="27">$D$41</f>
        <v>0.31</v>
      </c>
      <c r="D103">
        <f t="shared" si="27"/>
        <v>0.31</v>
      </c>
      <c r="E103">
        <f t="shared" si="27"/>
        <v>0.31</v>
      </c>
      <c r="F103">
        <f t="shared" si="27"/>
        <v>0.31</v>
      </c>
      <c r="G103">
        <f t="shared" si="27"/>
        <v>0.31</v>
      </c>
      <c r="H103">
        <f t="shared" si="27"/>
        <v>0.31</v>
      </c>
      <c r="I103">
        <f t="shared" si="27"/>
        <v>0.31</v>
      </c>
      <c r="J103">
        <f t="shared" si="27"/>
        <v>0.31</v>
      </c>
      <c r="K103">
        <f t="shared" si="27"/>
        <v>0.31</v>
      </c>
      <c r="L103">
        <f t="shared" si="27"/>
        <v>0.31</v>
      </c>
      <c r="M103">
        <f t="shared" si="27"/>
        <v>0.31</v>
      </c>
      <c r="N103">
        <f t="shared" si="27"/>
        <v>0.31</v>
      </c>
      <c r="O103">
        <f t="shared" si="27"/>
        <v>0.31</v>
      </c>
      <c r="P103">
        <f t="shared" si="27"/>
        <v>0.31</v>
      </c>
      <c r="Q103">
        <f t="shared" si="27"/>
        <v>0.31</v>
      </c>
      <c r="R103">
        <f t="shared" si="27"/>
        <v>0.31</v>
      </c>
    </row>
    <row r="104" spans="2:18" x14ac:dyDescent="0.55000000000000004">
      <c r="B104" s="1" t="s">
        <v>315</v>
      </c>
      <c r="C104">
        <f>(C99-C98)*C101*C100</f>
        <v>75551.11588680133</v>
      </c>
      <c r="D104">
        <f>(D99-D98)*D101*D100</f>
        <v>63316.265734612811</v>
      </c>
      <c r="E104">
        <f t="shared" ref="E104:R104" si="28">(E99-E98)*E101*E100</f>
        <v>53062.743806229642</v>
      </c>
      <c r="F104">
        <f t="shared" si="28"/>
        <v>44469.691122455777</v>
      </c>
      <c r="G104">
        <f t="shared" si="28"/>
        <v>37268.209042263181</v>
      </c>
      <c r="H104">
        <f t="shared" si="28"/>
        <v>31232.944735171921</v>
      </c>
      <c r="I104">
        <f t="shared" si="28"/>
        <v>26175.039313642985</v>
      </c>
      <c r="J104">
        <f t="shared" si="28"/>
        <v>21936.217954473468</v>
      </c>
      <c r="K104">
        <f t="shared" si="28"/>
        <v>18383.837073946768</v>
      </c>
      <c r="L104">
        <f t="shared" si="28"/>
        <v>15406.733570154838</v>
      </c>
      <c r="M104">
        <f t="shared" si="28"/>
        <v>12911.746244647085</v>
      </c>
      <c r="N104">
        <f t="shared" si="28"/>
        <v>10820.800549774329</v>
      </c>
      <c r="O104">
        <f t="shared" si="28"/>
        <v>9068.4654360008935</v>
      </c>
      <c r="P104">
        <f t="shared" si="28"/>
        <v>7599.9058466758243</v>
      </c>
      <c r="Q104">
        <f t="shared" si="28"/>
        <v>6369.1667885772231</v>
      </c>
      <c r="R104">
        <f t="shared" si="28"/>
        <v>5337.7352823994079</v>
      </c>
    </row>
    <row r="105" spans="2:18" x14ac:dyDescent="0.55000000000000004">
      <c r="B105" s="1" t="s">
        <v>316</v>
      </c>
      <c r="C105">
        <f>C104/C103/C102</f>
        <v>1431.2091160967884</v>
      </c>
      <c r="D105">
        <f t="shared" ref="D105:R105" si="29">D104/D103/D102</f>
        <v>1199.437171151241</v>
      </c>
      <c r="E105">
        <f t="shared" si="29"/>
        <v>1005.1986892473092</v>
      </c>
      <c r="F105">
        <f t="shared" si="29"/>
        <v>842.41545048556827</v>
      </c>
      <c r="G105">
        <f t="shared" si="29"/>
        <v>705.99355013902573</v>
      </c>
      <c r="H105">
        <f t="shared" si="29"/>
        <v>591.66399731938861</v>
      </c>
      <c r="I105">
        <f t="shared" si="29"/>
        <v>495.84912731146318</v>
      </c>
      <c r="J105">
        <f t="shared" si="29"/>
        <v>415.55064727525996</v>
      </c>
      <c r="K105">
        <f t="shared" si="29"/>
        <v>348.25581197890995</v>
      </c>
      <c r="L105">
        <f t="shared" si="29"/>
        <v>291.85879356061463</v>
      </c>
      <c r="M105">
        <f t="shared" si="29"/>
        <v>244.59478477796654</v>
      </c>
      <c r="N105">
        <f t="shared" si="29"/>
        <v>204.9847736664295</v>
      </c>
      <c r="O105">
        <f t="shared" si="29"/>
        <v>171.78926146450874</v>
      </c>
      <c r="P105">
        <f t="shared" si="29"/>
        <v>143.96947552087613</v>
      </c>
      <c r="Q105">
        <f t="shared" si="29"/>
        <v>120.65486343591003</v>
      </c>
      <c r="R105">
        <f t="shared" si="29"/>
        <v>101.11585124603158</v>
      </c>
    </row>
    <row r="108" spans="2:18" x14ac:dyDescent="0.55000000000000004">
      <c r="B108" s="1" t="s">
        <v>320</v>
      </c>
      <c r="C108">
        <v>0</v>
      </c>
      <c r="D108">
        <v>6</v>
      </c>
      <c r="E108">
        <v>12</v>
      </c>
      <c r="F108">
        <v>18</v>
      </c>
      <c r="G108">
        <v>24</v>
      </c>
      <c r="H108">
        <v>30</v>
      </c>
      <c r="I108">
        <v>36</v>
      </c>
      <c r="J108">
        <v>42</v>
      </c>
      <c r="K108">
        <v>48</v>
      </c>
      <c r="L108">
        <v>54</v>
      </c>
      <c r="M108">
        <v>60</v>
      </c>
      <c r="N108">
        <v>66</v>
      </c>
      <c r="O108">
        <v>72</v>
      </c>
      <c r="P108">
        <v>78</v>
      </c>
      <c r="Q108">
        <v>84</v>
      </c>
      <c r="R108">
        <v>90</v>
      </c>
    </row>
    <row r="109" spans="2:18" x14ac:dyDescent="0.55000000000000004">
      <c r="B109" s="1" t="s">
        <v>310</v>
      </c>
      <c r="C109">
        <v>100</v>
      </c>
      <c r="D109">
        <f>C109</f>
        <v>100</v>
      </c>
      <c r="E109">
        <f>D109</f>
        <v>100</v>
      </c>
      <c r="F109">
        <f t="shared" ref="F109:R109" si="30">E109</f>
        <v>100</v>
      </c>
      <c r="G109">
        <f>F109</f>
        <v>100</v>
      </c>
      <c r="H109">
        <f t="shared" si="30"/>
        <v>100</v>
      </c>
      <c r="I109">
        <f t="shared" si="30"/>
        <v>100</v>
      </c>
      <c r="J109">
        <f t="shared" si="30"/>
        <v>100</v>
      </c>
      <c r="K109">
        <f t="shared" si="30"/>
        <v>100</v>
      </c>
      <c r="L109">
        <f t="shared" si="30"/>
        <v>100</v>
      </c>
      <c r="M109">
        <f t="shared" si="30"/>
        <v>100</v>
      </c>
      <c r="N109">
        <f t="shared" si="30"/>
        <v>100</v>
      </c>
      <c r="O109">
        <f>N109</f>
        <v>100</v>
      </c>
      <c r="P109">
        <f t="shared" si="30"/>
        <v>100</v>
      </c>
      <c r="Q109">
        <f t="shared" si="30"/>
        <v>100</v>
      </c>
      <c r="R109">
        <f t="shared" si="30"/>
        <v>100</v>
      </c>
    </row>
    <row r="110" spans="2:18" x14ac:dyDescent="0.55000000000000004">
      <c r="B110" s="1" t="s">
        <v>311</v>
      </c>
      <c r="C110">
        <f>D44+250</f>
        <v>983.78234668557229</v>
      </c>
      <c r="D110">
        <f>C110-C116/10</f>
        <v>697.54052346621461</v>
      </c>
      <c r="E110">
        <f>D110-D116/10</f>
        <v>504.00747822507583</v>
      </c>
      <c r="F110">
        <f t="shared" ref="F110:R110" si="31">E110-E116/10</f>
        <v>372.50218534038265</v>
      </c>
      <c r="G110">
        <f>F110-F116/10</f>
        <v>283.80214480563359</v>
      </c>
      <c r="H110">
        <f t="shared" si="31"/>
        <v>223.67650431226667</v>
      </c>
      <c r="I110">
        <f t="shared" si="31"/>
        <v>183.21925587471867</v>
      </c>
      <c r="J110">
        <f t="shared" si="31"/>
        <v>155.86167842124215</v>
      </c>
      <c r="K110">
        <f t="shared" si="31"/>
        <v>137.49765704149081</v>
      </c>
      <c r="L110">
        <f t="shared" si="31"/>
        <v>125.10991732997813</v>
      </c>
      <c r="M110">
        <f t="shared" si="31"/>
        <v>116.81459584583338</v>
      </c>
      <c r="N110">
        <f t="shared" si="31"/>
        <v>111.23249002034403</v>
      </c>
      <c r="O110">
        <f>N110-N116/10</f>
        <v>107.50353045734326</v>
      </c>
      <c r="P110">
        <f t="shared" si="31"/>
        <v>105.00035874979642</v>
      </c>
      <c r="Q110">
        <f t="shared" si="31"/>
        <v>103.33224310460366</v>
      </c>
      <c r="R110">
        <f t="shared" si="31"/>
        <v>102.21521321332702</v>
      </c>
    </row>
    <row r="111" spans="2:18" x14ac:dyDescent="0.55000000000000004">
      <c r="B111" s="1" t="s">
        <v>312</v>
      </c>
      <c r="C111">
        <f t="shared" ref="C111:R111" si="32">$C$29/144</f>
        <v>0.85486111111111085</v>
      </c>
      <c r="D111">
        <f t="shared" si="32"/>
        <v>0.85486111111111085</v>
      </c>
      <c r="E111">
        <f t="shared" si="32"/>
        <v>0.85486111111111085</v>
      </c>
      <c r="F111">
        <f t="shared" si="32"/>
        <v>0.85486111111111085</v>
      </c>
      <c r="G111">
        <f t="shared" si="32"/>
        <v>0.85486111111111085</v>
      </c>
      <c r="H111">
        <f t="shared" si="32"/>
        <v>0.85486111111111085</v>
      </c>
      <c r="I111">
        <f t="shared" si="32"/>
        <v>0.85486111111111085</v>
      </c>
      <c r="J111">
        <f t="shared" si="32"/>
        <v>0.85486111111111085</v>
      </c>
      <c r="K111">
        <f t="shared" si="32"/>
        <v>0.85486111111111085</v>
      </c>
      <c r="L111">
        <f t="shared" si="32"/>
        <v>0.85486111111111085</v>
      </c>
      <c r="M111">
        <f t="shared" si="32"/>
        <v>0.85486111111111085</v>
      </c>
      <c r="N111">
        <f t="shared" si="32"/>
        <v>0.85486111111111085</v>
      </c>
      <c r="O111">
        <f t="shared" si="32"/>
        <v>0.85486111111111085</v>
      </c>
      <c r="P111">
        <f t="shared" si="32"/>
        <v>0.85486111111111085</v>
      </c>
      <c r="Q111">
        <f t="shared" si="32"/>
        <v>0.85486111111111085</v>
      </c>
      <c r="R111">
        <f t="shared" si="32"/>
        <v>0.85486111111111085</v>
      </c>
    </row>
    <row r="112" spans="2:18" x14ac:dyDescent="0.55000000000000004">
      <c r="B112" s="1" t="s">
        <v>313</v>
      </c>
      <c r="C112" s="12">
        <v>200</v>
      </c>
      <c r="D112">
        <f>C112</f>
        <v>200</v>
      </c>
      <c r="E112">
        <v>201</v>
      </c>
      <c r="F112">
        <f>E112</f>
        <v>201</v>
      </c>
      <c r="G112">
        <v>202</v>
      </c>
      <c r="H112">
        <f>G112</f>
        <v>202</v>
      </c>
      <c r="I112">
        <v>203</v>
      </c>
      <c r="J112">
        <f>I112</f>
        <v>203</v>
      </c>
      <c r="K112">
        <v>204</v>
      </c>
      <c r="L112">
        <f>K112</f>
        <v>204</v>
      </c>
      <c r="M112">
        <v>205</v>
      </c>
      <c r="N112">
        <f>M112</f>
        <v>205</v>
      </c>
      <c r="O112">
        <v>206</v>
      </c>
      <c r="P112">
        <f>O112</f>
        <v>206</v>
      </c>
      <c r="Q112">
        <v>207</v>
      </c>
      <c r="R112">
        <f>Q112</f>
        <v>207</v>
      </c>
    </row>
    <row r="113" spans="2:18" x14ac:dyDescent="0.55000000000000004">
      <c r="B113" s="1" t="s">
        <v>120</v>
      </c>
      <c r="C113">
        <f t="shared" ref="C113:R113" si="33">$D$39</f>
        <v>170.28488311956522</v>
      </c>
      <c r="D113">
        <f t="shared" si="33"/>
        <v>170.28488311956522</v>
      </c>
      <c r="E113">
        <f t="shared" si="33"/>
        <v>170.28488311956522</v>
      </c>
      <c r="F113">
        <f t="shared" si="33"/>
        <v>170.28488311956522</v>
      </c>
      <c r="G113">
        <f t="shared" si="33"/>
        <v>170.28488311956522</v>
      </c>
      <c r="H113">
        <f t="shared" si="33"/>
        <v>170.28488311956522</v>
      </c>
      <c r="I113">
        <f t="shared" si="33"/>
        <v>170.28488311956522</v>
      </c>
      <c r="J113">
        <f t="shared" si="33"/>
        <v>170.28488311956522</v>
      </c>
      <c r="K113">
        <f t="shared" si="33"/>
        <v>170.28488311956522</v>
      </c>
      <c r="L113">
        <f t="shared" si="33"/>
        <v>170.28488311956522</v>
      </c>
      <c r="M113">
        <f t="shared" si="33"/>
        <v>170.28488311956522</v>
      </c>
      <c r="N113">
        <f t="shared" si="33"/>
        <v>170.28488311956522</v>
      </c>
      <c r="O113">
        <f t="shared" si="33"/>
        <v>170.28488311956522</v>
      </c>
      <c r="P113">
        <f t="shared" si="33"/>
        <v>170.28488311956522</v>
      </c>
      <c r="Q113">
        <f t="shared" si="33"/>
        <v>170.28488311956522</v>
      </c>
      <c r="R113">
        <f t="shared" si="33"/>
        <v>170.28488311956522</v>
      </c>
    </row>
    <row r="114" spans="2:18" x14ac:dyDescent="0.55000000000000004">
      <c r="B114" s="1" t="s">
        <v>314</v>
      </c>
      <c r="C114">
        <f t="shared" ref="C114:R114" si="34">$D$41</f>
        <v>0.31</v>
      </c>
      <c r="D114">
        <f t="shared" si="34"/>
        <v>0.31</v>
      </c>
      <c r="E114">
        <f t="shared" si="34"/>
        <v>0.31</v>
      </c>
      <c r="F114">
        <f t="shared" si="34"/>
        <v>0.31</v>
      </c>
      <c r="G114">
        <f t="shared" si="34"/>
        <v>0.31</v>
      </c>
      <c r="H114">
        <f t="shared" si="34"/>
        <v>0.31</v>
      </c>
      <c r="I114">
        <f t="shared" si="34"/>
        <v>0.31</v>
      </c>
      <c r="J114">
        <f t="shared" si="34"/>
        <v>0.31</v>
      </c>
      <c r="K114">
        <f t="shared" si="34"/>
        <v>0.31</v>
      </c>
      <c r="L114">
        <f t="shared" si="34"/>
        <v>0.31</v>
      </c>
      <c r="M114">
        <f t="shared" si="34"/>
        <v>0.31</v>
      </c>
      <c r="N114">
        <f t="shared" si="34"/>
        <v>0.31</v>
      </c>
      <c r="O114">
        <f t="shared" si="34"/>
        <v>0.31</v>
      </c>
      <c r="P114">
        <f t="shared" si="34"/>
        <v>0.31</v>
      </c>
      <c r="Q114">
        <f t="shared" si="34"/>
        <v>0.31</v>
      </c>
      <c r="R114">
        <f t="shared" si="34"/>
        <v>0.31</v>
      </c>
    </row>
    <row r="115" spans="2:18" x14ac:dyDescent="0.55000000000000004">
      <c r="B115" s="1" t="s">
        <v>315</v>
      </c>
      <c r="C115">
        <f>(C110-C109)*C112*C111</f>
        <v>151102.23177360266</v>
      </c>
      <c r="D115">
        <f>(D110-D109)*D112*D111</f>
        <v>102162.8311648486</v>
      </c>
      <c r="E115">
        <f t="shared" ref="E115:R115" si="35">(E110-E109)*E112*E111</f>
        <v>69419.426628269939</v>
      </c>
      <c r="F115">
        <f t="shared" si="35"/>
        <v>46823.255708997363</v>
      </c>
      <c r="G115">
        <f t="shared" si="35"/>
        <v>31739.311758096144</v>
      </c>
      <c r="H115">
        <f t="shared" si="35"/>
        <v>21356.699246733922</v>
      </c>
      <c r="I115">
        <f t="shared" si="35"/>
        <v>14441.603825209073</v>
      </c>
      <c r="J115">
        <f t="shared" si="35"/>
        <v>9694.0572261940688</v>
      </c>
      <c r="K115">
        <f t="shared" si="35"/>
        <v>6539.2789075606497</v>
      </c>
      <c r="L115">
        <f t="shared" si="35"/>
        <v>4378.9603330371019</v>
      </c>
      <c r="M115">
        <f t="shared" si="35"/>
        <v>2946.6995379689456</v>
      </c>
      <c r="N115">
        <f t="shared" si="35"/>
        <v>1968.4548743638313</v>
      </c>
      <c r="O115">
        <f t="shared" si="35"/>
        <v>1321.3821351082274</v>
      </c>
      <c r="P115">
        <f t="shared" si="35"/>
        <v>880.57012078185721</v>
      </c>
      <c r="Q115">
        <f t="shared" si="35"/>
        <v>589.66124387902175</v>
      </c>
      <c r="R115">
        <f t="shared" si="35"/>
        <v>391.99582318079911</v>
      </c>
    </row>
    <row r="116" spans="2:18" x14ac:dyDescent="0.55000000000000004">
      <c r="B116" s="1" t="s">
        <v>316</v>
      </c>
      <c r="C116">
        <f>C115/C114/C113</f>
        <v>2862.4182321935768</v>
      </c>
      <c r="D116">
        <f t="shared" ref="D116:R116" si="36">D115/D114/D113</f>
        <v>1935.3304524113876</v>
      </c>
      <c r="E116">
        <f t="shared" si="36"/>
        <v>1315.052928846932</v>
      </c>
      <c r="F116">
        <f t="shared" si="36"/>
        <v>887.00040534749053</v>
      </c>
      <c r="G116">
        <f t="shared" si="36"/>
        <v>601.25640493366905</v>
      </c>
      <c r="H116">
        <f t="shared" si="36"/>
        <v>404.57248437547986</v>
      </c>
      <c r="I116">
        <f t="shared" si="36"/>
        <v>273.57577453476512</v>
      </c>
      <c r="J116">
        <f t="shared" si="36"/>
        <v>183.64021379751324</v>
      </c>
      <c r="K116">
        <f t="shared" si="36"/>
        <v>123.87739711512674</v>
      </c>
      <c r="L116">
        <f t="shared" si="36"/>
        <v>82.953214841447505</v>
      </c>
      <c r="M116">
        <f t="shared" si="36"/>
        <v>55.821058254893522</v>
      </c>
      <c r="N116">
        <f t="shared" si="36"/>
        <v>37.289595630007717</v>
      </c>
      <c r="O116">
        <f t="shared" si="36"/>
        <v>25.03171707546835</v>
      </c>
      <c r="P116">
        <f t="shared" si="36"/>
        <v>16.681156451927574</v>
      </c>
      <c r="Q116">
        <f t="shared" si="36"/>
        <v>11.17029891276643</v>
      </c>
      <c r="R116">
        <f t="shared" si="36"/>
        <v>7.425806872909936</v>
      </c>
    </row>
    <row r="118" spans="2:18" x14ac:dyDescent="0.55000000000000004">
      <c r="B118" s="1" t="s">
        <v>326</v>
      </c>
      <c r="C118">
        <v>400</v>
      </c>
      <c r="D118">
        <v>400</v>
      </c>
      <c r="E118">
        <v>400</v>
      </c>
      <c r="F118">
        <v>400</v>
      </c>
      <c r="G118">
        <v>400</v>
      </c>
      <c r="H118">
        <v>400</v>
      </c>
      <c r="I118">
        <v>400</v>
      </c>
      <c r="J118">
        <v>400</v>
      </c>
      <c r="K118">
        <v>400</v>
      </c>
      <c r="L118">
        <v>400</v>
      </c>
      <c r="M118">
        <v>400</v>
      </c>
      <c r="N118">
        <v>400</v>
      </c>
      <c r="O118">
        <v>400</v>
      </c>
      <c r="P118">
        <v>400</v>
      </c>
      <c r="Q118">
        <v>400</v>
      </c>
      <c r="R118">
        <v>400</v>
      </c>
    </row>
    <row r="159" spans="2:2" x14ac:dyDescent="0.55000000000000004">
      <c r="B159" s="1" t="s">
        <v>335</v>
      </c>
    </row>
    <row r="160" spans="2:2" x14ac:dyDescent="0.55000000000000004">
      <c r="B160" s="1" t="s">
        <v>336</v>
      </c>
    </row>
    <row r="162" spans="2:53" x14ac:dyDescent="0.55000000000000004">
      <c r="B162" s="1" t="s">
        <v>318</v>
      </c>
    </row>
    <row r="163" spans="2:53" x14ac:dyDescent="0.55000000000000004">
      <c r="B163" s="1" t="s">
        <v>317</v>
      </c>
      <c r="C163">
        <v>0</v>
      </c>
      <c r="D163">
        <v>6</v>
      </c>
      <c r="E163">
        <v>12</v>
      </c>
      <c r="F163">
        <v>18</v>
      </c>
      <c r="G163">
        <v>24</v>
      </c>
      <c r="H163">
        <v>30</v>
      </c>
      <c r="I163">
        <v>36</v>
      </c>
      <c r="J163">
        <v>42</v>
      </c>
      <c r="K163">
        <v>48</v>
      </c>
      <c r="L163">
        <v>54</v>
      </c>
      <c r="M163">
        <v>60</v>
      </c>
      <c r="N163">
        <v>66</v>
      </c>
      <c r="O163">
        <v>72</v>
      </c>
      <c r="P163">
        <v>78</v>
      </c>
      <c r="Q163">
        <v>84</v>
      </c>
      <c r="R163">
        <v>90</v>
      </c>
      <c r="S163">
        <v>96</v>
      </c>
      <c r="T163">
        <v>102</v>
      </c>
      <c r="U163">
        <v>108</v>
      </c>
      <c r="V163">
        <v>114</v>
      </c>
      <c r="W163">
        <v>120</v>
      </c>
      <c r="X163">
        <v>126</v>
      </c>
      <c r="Y163">
        <v>132</v>
      </c>
      <c r="Z163">
        <v>138</v>
      </c>
      <c r="AA163">
        <v>144</v>
      </c>
      <c r="AB163">
        <v>150</v>
      </c>
      <c r="AC163">
        <v>156</v>
      </c>
      <c r="AD163">
        <v>162</v>
      </c>
      <c r="AE163">
        <v>168</v>
      </c>
      <c r="AF163">
        <v>174</v>
      </c>
      <c r="AG163">
        <v>180</v>
      </c>
      <c r="AH163">
        <v>186</v>
      </c>
      <c r="AI163">
        <v>192</v>
      </c>
      <c r="AJ163">
        <v>198</v>
      </c>
      <c r="AK163">
        <v>204</v>
      </c>
      <c r="AL163">
        <v>210</v>
      </c>
      <c r="AM163">
        <v>216</v>
      </c>
      <c r="AN163">
        <v>222</v>
      </c>
      <c r="AO163">
        <v>228</v>
      </c>
      <c r="AP163">
        <v>234</v>
      </c>
      <c r="AQ163">
        <v>240</v>
      </c>
      <c r="AR163">
        <v>246</v>
      </c>
      <c r="AS163">
        <v>252</v>
      </c>
      <c r="AT163">
        <v>258</v>
      </c>
      <c r="AU163">
        <v>264</v>
      </c>
      <c r="AV163">
        <v>270</v>
      </c>
      <c r="AW163">
        <v>276</v>
      </c>
      <c r="AX163">
        <v>282</v>
      </c>
      <c r="AY163">
        <v>288</v>
      </c>
      <c r="AZ163">
        <v>294</v>
      </c>
      <c r="BA163">
        <v>300</v>
      </c>
    </row>
    <row r="164" spans="2:53" x14ac:dyDescent="0.55000000000000004">
      <c r="B164" s="1" t="s">
        <v>310</v>
      </c>
      <c r="C164">
        <v>200</v>
      </c>
      <c r="D164">
        <f t="shared" ref="D164:AI164" si="37">C164</f>
        <v>200</v>
      </c>
      <c r="E164">
        <f t="shared" si="37"/>
        <v>200</v>
      </c>
      <c r="F164">
        <f t="shared" si="37"/>
        <v>200</v>
      </c>
      <c r="G164">
        <f t="shared" si="37"/>
        <v>200</v>
      </c>
      <c r="H164">
        <f t="shared" si="37"/>
        <v>200</v>
      </c>
      <c r="I164">
        <f t="shared" si="37"/>
        <v>200</v>
      </c>
      <c r="J164">
        <f t="shared" si="37"/>
        <v>200</v>
      </c>
      <c r="K164">
        <f t="shared" si="37"/>
        <v>200</v>
      </c>
      <c r="L164">
        <f t="shared" si="37"/>
        <v>200</v>
      </c>
      <c r="M164">
        <f t="shared" si="37"/>
        <v>200</v>
      </c>
      <c r="N164">
        <f t="shared" si="37"/>
        <v>200</v>
      </c>
      <c r="O164">
        <f t="shared" si="37"/>
        <v>200</v>
      </c>
      <c r="P164">
        <f t="shared" si="37"/>
        <v>200</v>
      </c>
      <c r="Q164">
        <f t="shared" si="37"/>
        <v>200</v>
      </c>
      <c r="R164">
        <f t="shared" si="37"/>
        <v>200</v>
      </c>
      <c r="S164">
        <f t="shared" si="37"/>
        <v>200</v>
      </c>
      <c r="T164">
        <f t="shared" si="37"/>
        <v>200</v>
      </c>
      <c r="U164">
        <f t="shared" si="37"/>
        <v>200</v>
      </c>
      <c r="V164">
        <f t="shared" si="37"/>
        <v>200</v>
      </c>
      <c r="W164">
        <f t="shared" si="37"/>
        <v>200</v>
      </c>
      <c r="X164">
        <f t="shared" si="37"/>
        <v>200</v>
      </c>
      <c r="Y164">
        <f t="shared" si="37"/>
        <v>200</v>
      </c>
      <c r="Z164">
        <f t="shared" si="37"/>
        <v>200</v>
      </c>
      <c r="AA164">
        <f t="shared" si="37"/>
        <v>200</v>
      </c>
      <c r="AB164">
        <f t="shared" si="37"/>
        <v>200</v>
      </c>
      <c r="AC164">
        <f t="shared" si="37"/>
        <v>200</v>
      </c>
      <c r="AD164">
        <f t="shared" si="37"/>
        <v>200</v>
      </c>
      <c r="AE164">
        <f t="shared" si="37"/>
        <v>200</v>
      </c>
      <c r="AF164">
        <f t="shared" si="37"/>
        <v>200</v>
      </c>
      <c r="AG164">
        <f t="shared" si="37"/>
        <v>200</v>
      </c>
      <c r="AH164">
        <f t="shared" si="37"/>
        <v>200</v>
      </c>
      <c r="AI164">
        <f t="shared" si="37"/>
        <v>200</v>
      </c>
      <c r="AJ164">
        <f t="shared" ref="AJ164:BA164" si="38">AI164</f>
        <v>200</v>
      </c>
      <c r="AK164">
        <f t="shared" si="38"/>
        <v>200</v>
      </c>
      <c r="AL164">
        <f t="shared" si="38"/>
        <v>200</v>
      </c>
      <c r="AM164">
        <f t="shared" si="38"/>
        <v>200</v>
      </c>
      <c r="AN164">
        <f t="shared" si="38"/>
        <v>200</v>
      </c>
      <c r="AO164">
        <f t="shared" si="38"/>
        <v>200</v>
      </c>
      <c r="AP164">
        <f t="shared" si="38"/>
        <v>200</v>
      </c>
      <c r="AQ164">
        <f t="shared" si="38"/>
        <v>200</v>
      </c>
      <c r="AR164">
        <f t="shared" si="38"/>
        <v>200</v>
      </c>
      <c r="AS164">
        <f t="shared" si="38"/>
        <v>200</v>
      </c>
      <c r="AT164">
        <f t="shared" si="38"/>
        <v>200</v>
      </c>
      <c r="AU164">
        <f t="shared" si="38"/>
        <v>200</v>
      </c>
      <c r="AV164">
        <f t="shared" si="38"/>
        <v>200</v>
      </c>
      <c r="AW164">
        <f t="shared" si="38"/>
        <v>200</v>
      </c>
      <c r="AX164">
        <f t="shared" si="38"/>
        <v>200</v>
      </c>
      <c r="AY164">
        <f t="shared" si="38"/>
        <v>200</v>
      </c>
      <c r="AZ164">
        <f t="shared" si="38"/>
        <v>200</v>
      </c>
      <c r="BA164">
        <f t="shared" si="38"/>
        <v>200</v>
      </c>
    </row>
    <row r="165" spans="2:53" x14ac:dyDescent="0.55000000000000004">
      <c r="B165" s="1" t="s">
        <v>311</v>
      </c>
      <c r="C165">
        <v>400</v>
      </c>
      <c r="D165">
        <f t="shared" ref="D165:AI165" si="39">C165-C171/10</f>
        <v>396.02401582808375</v>
      </c>
      <c r="E165">
        <f t="shared" si="39"/>
        <v>392.12707390684415</v>
      </c>
      <c r="F165">
        <f t="shared" si="39"/>
        <v>388.30760288259319</v>
      </c>
      <c r="G165">
        <f t="shared" si="39"/>
        <v>384.56406264002976</v>
      </c>
      <c r="H165">
        <f t="shared" si="39"/>
        <v>380.8949436812232</v>
      </c>
      <c r="I165">
        <f t="shared" si="39"/>
        <v>377.29876651694207</v>
      </c>
      <c r="J165">
        <f t="shared" si="39"/>
        <v>373.77408107008387</v>
      </c>
      <c r="K165">
        <f t="shared" si="39"/>
        <v>370.31946609096417</v>
      </c>
      <c r="L165">
        <f t="shared" si="39"/>
        <v>366.93352858422969</v>
      </c>
      <c r="M165">
        <f t="shared" si="39"/>
        <v>363.61490324716453</v>
      </c>
      <c r="N165">
        <f t="shared" si="39"/>
        <v>360.36225191916287</v>
      </c>
      <c r="O165">
        <f t="shared" si="39"/>
        <v>357.1742630421457</v>
      </c>
      <c r="P165">
        <f t="shared" si="39"/>
        <v>354.04965113170482</v>
      </c>
      <c r="Q165">
        <f t="shared" si="39"/>
        <v>350.98715625876042</v>
      </c>
      <c r="R165">
        <f t="shared" si="39"/>
        <v>347.98554354152304</v>
      </c>
      <c r="S165">
        <f t="shared" si="39"/>
        <v>345.04360264755547</v>
      </c>
      <c r="T165">
        <f t="shared" si="39"/>
        <v>342.16014730573352</v>
      </c>
      <c r="U165">
        <f t="shared" si="39"/>
        <v>339.33401482790913</v>
      </c>
      <c r="V165">
        <f t="shared" si="39"/>
        <v>336.56406564008256</v>
      </c>
      <c r="W165">
        <f t="shared" si="39"/>
        <v>333.84918282289505</v>
      </c>
      <c r="X165">
        <f t="shared" si="39"/>
        <v>331.18827166125629</v>
      </c>
      <c r="Y165">
        <f t="shared" si="39"/>
        <v>328.58025920292528</v>
      </c>
      <c r="Z165">
        <f t="shared" si="39"/>
        <v>326.02409382586666</v>
      </c>
      <c r="AA165">
        <f t="shared" si="39"/>
        <v>323.51874481420799</v>
      </c>
      <c r="AB165">
        <f t="shared" si="39"/>
        <v>321.06320194262673</v>
      </c>
      <c r="AC165">
        <f t="shared" si="39"/>
        <v>318.65647506899984</v>
      </c>
      <c r="AD165">
        <f t="shared" si="39"/>
        <v>316.29759373515122</v>
      </c>
      <c r="AE165">
        <f t="shared" si="39"/>
        <v>313.98560677553667</v>
      </c>
      <c r="AF165">
        <f t="shared" si="39"/>
        <v>311.71958193370767</v>
      </c>
      <c r="AG165">
        <f t="shared" si="39"/>
        <v>309.49860548640004</v>
      </c>
      <c r="AH165">
        <f t="shared" si="39"/>
        <v>307.32178187509589</v>
      </c>
      <c r="AI165">
        <f t="shared" si="39"/>
        <v>305.18823334490975</v>
      </c>
      <c r="AJ165">
        <f t="shared" ref="AJ165:BA165" si="40">AI165-AI171/10</f>
        <v>303.09709959065378</v>
      </c>
      <c r="AK165">
        <f t="shared" si="40"/>
        <v>301.0475374099392</v>
      </c>
      <c r="AL165">
        <f t="shared" si="40"/>
        <v>299.03872036317404</v>
      </c>
      <c r="AM165">
        <f t="shared" si="40"/>
        <v>297.06983844031993</v>
      </c>
      <c r="AN165">
        <f t="shared" si="40"/>
        <v>295.14009773427404</v>
      </c>
      <c r="AO165">
        <f t="shared" si="40"/>
        <v>293.24872012074383</v>
      </c>
      <c r="AP165">
        <f t="shared" si="40"/>
        <v>291.39494294448622</v>
      </c>
      <c r="AQ165">
        <f t="shared" si="40"/>
        <v>289.5780187117839</v>
      </c>
      <c r="AR165">
        <f t="shared" si="40"/>
        <v>287.79721478903554</v>
      </c>
      <c r="AS165">
        <f t="shared" si="40"/>
        <v>286.05181310733786</v>
      </c>
      <c r="AT165">
        <f t="shared" si="40"/>
        <v>284.34110987294054</v>
      </c>
      <c r="AU165">
        <f t="shared" si="40"/>
        <v>282.66441528345723</v>
      </c>
      <c r="AV165">
        <f t="shared" si="40"/>
        <v>281.02105324971853</v>
      </c>
      <c r="AW165">
        <f t="shared" si="40"/>
        <v>279.41036112315419</v>
      </c>
      <c r="AX165">
        <f t="shared" si="40"/>
        <v>277.8316894285951</v>
      </c>
      <c r="AY165">
        <f t="shared" si="40"/>
        <v>276.28440160238711</v>
      </c>
      <c r="AZ165">
        <f t="shared" si="40"/>
        <v>274.76787373571113</v>
      </c>
      <c r="BA165">
        <f t="shared" si="40"/>
        <v>273.28149432300603</v>
      </c>
    </row>
    <row r="166" spans="2:53" x14ac:dyDescent="0.55000000000000004">
      <c r="B166" s="1" t="s">
        <v>312</v>
      </c>
      <c r="C166">
        <f>$C$29/144</f>
        <v>0.85486111111111085</v>
      </c>
      <c r="D166">
        <f t="shared" ref="D166:AE166" si="41">C166</f>
        <v>0.85486111111111085</v>
      </c>
      <c r="E166">
        <f t="shared" si="41"/>
        <v>0.85486111111111085</v>
      </c>
      <c r="F166">
        <f t="shared" si="41"/>
        <v>0.85486111111111085</v>
      </c>
      <c r="G166">
        <f t="shared" si="41"/>
        <v>0.85486111111111085</v>
      </c>
      <c r="H166">
        <f t="shared" si="41"/>
        <v>0.85486111111111085</v>
      </c>
      <c r="I166">
        <f t="shared" si="41"/>
        <v>0.85486111111111085</v>
      </c>
      <c r="J166">
        <f t="shared" si="41"/>
        <v>0.85486111111111085</v>
      </c>
      <c r="K166">
        <f t="shared" si="41"/>
        <v>0.85486111111111085</v>
      </c>
      <c r="L166">
        <f t="shared" si="41"/>
        <v>0.85486111111111085</v>
      </c>
      <c r="M166">
        <f t="shared" si="41"/>
        <v>0.85486111111111085</v>
      </c>
      <c r="N166">
        <f t="shared" si="41"/>
        <v>0.85486111111111085</v>
      </c>
      <c r="O166">
        <f t="shared" si="41"/>
        <v>0.85486111111111085</v>
      </c>
      <c r="P166">
        <f t="shared" si="41"/>
        <v>0.85486111111111085</v>
      </c>
      <c r="Q166">
        <f t="shared" si="41"/>
        <v>0.85486111111111085</v>
      </c>
      <c r="R166">
        <f t="shared" si="41"/>
        <v>0.85486111111111085</v>
      </c>
      <c r="S166">
        <f t="shared" si="41"/>
        <v>0.85486111111111085</v>
      </c>
      <c r="T166">
        <f t="shared" si="41"/>
        <v>0.85486111111111085</v>
      </c>
      <c r="U166">
        <f t="shared" si="41"/>
        <v>0.85486111111111085</v>
      </c>
      <c r="V166">
        <f t="shared" si="41"/>
        <v>0.85486111111111085</v>
      </c>
      <c r="W166">
        <f t="shared" si="41"/>
        <v>0.85486111111111085</v>
      </c>
      <c r="X166">
        <f t="shared" si="41"/>
        <v>0.85486111111111085</v>
      </c>
      <c r="Y166">
        <f t="shared" si="41"/>
        <v>0.85486111111111085</v>
      </c>
      <c r="Z166">
        <f t="shared" si="41"/>
        <v>0.85486111111111085</v>
      </c>
      <c r="AA166">
        <f t="shared" si="41"/>
        <v>0.85486111111111085</v>
      </c>
      <c r="AB166">
        <f t="shared" si="41"/>
        <v>0.85486111111111085</v>
      </c>
      <c r="AC166">
        <f t="shared" si="41"/>
        <v>0.85486111111111085</v>
      </c>
      <c r="AD166">
        <f t="shared" si="41"/>
        <v>0.85486111111111085</v>
      </c>
      <c r="AE166">
        <f t="shared" si="41"/>
        <v>0.85486111111111085</v>
      </c>
      <c r="AF166">
        <f t="shared" ref="AF166:AG169" si="42">AE166</f>
        <v>0.85486111111111085</v>
      </c>
      <c r="AG166">
        <f t="shared" si="42"/>
        <v>0.85486111111111085</v>
      </c>
      <c r="AH166">
        <f t="shared" ref="AH166:BA166" si="43">AG166</f>
        <v>0.85486111111111085</v>
      </c>
      <c r="AI166">
        <f t="shared" si="43"/>
        <v>0.85486111111111085</v>
      </c>
      <c r="AJ166">
        <f t="shared" si="43"/>
        <v>0.85486111111111085</v>
      </c>
      <c r="AK166">
        <f t="shared" si="43"/>
        <v>0.85486111111111085</v>
      </c>
      <c r="AL166">
        <f t="shared" si="43"/>
        <v>0.85486111111111085</v>
      </c>
      <c r="AM166">
        <f t="shared" si="43"/>
        <v>0.85486111111111085</v>
      </c>
      <c r="AN166">
        <f t="shared" si="43"/>
        <v>0.85486111111111085</v>
      </c>
      <c r="AO166">
        <f t="shared" si="43"/>
        <v>0.85486111111111085</v>
      </c>
      <c r="AP166">
        <f t="shared" si="43"/>
        <v>0.85486111111111085</v>
      </c>
      <c r="AQ166">
        <f t="shared" si="43"/>
        <v>0.85486111111111085</v>
      </c>
      <c r="AR166">
        <f t="shared" si="43"/>
        <v>0.85486111111111085</v>
      </c>
      <c r="AS166">
        <f t="shared" si="43"/>
        <v>0.85486111111111085</v>
      </c>
      <c r="AT166">
        <f t="shared" si="43"/>
        <v>0.85486111111111085</v>
      </c>
      <c r="AU166">
        <f t="shared" si="43"/>
        <v>0.85486111111111085</v>
      </c>
      <c r="AV166">
        <f t="shared" si="43"/>
        <v>0.85486111111111085</v>
      </c>
      <c r="AW166">
        <f t="shared" si="43"/>
        <v>0.85486111111111085</v>
      </c>
      <c r="AX166">
        <f t="shared" si="43"/>
        <v>0.85486111111111085</v>
      </c>
      <c r="AY166">
        <f t="shared" si="43"/>
        <v>0.85486111111111085</v>
      </c>
      <c r="AZ166">
        <f t="shared" si="43"/>
        <v>0.85486111111111085</v>
      </c>
      <c r="BA166">
        <f t="shared" si="43"/>
        <v>0.85486111111111085</v>
      </c>
    </row>
    <row r="167" spans="2:53" x14ac:dyDescent="0.55000000000000004">
      <c r="B167" s="1" t="s">
        <v>313</v>
      </c>
      <c r="C167">
        <f>$C$46*0.33</f>
        <v>7.92</v>
      </c>
      <c r="D167">
        <f t="shared" ref="D167:AE167" si="44">C167</f>
        <v>7.92</v>
      </c>
      <c r="E167">
        <f t="shared" si="44"/>
        <v>7.92</v>
      </c>
      <c r="F167">
        <f t="shared" si="44"/>
        <v>7.92</v>
      </c>
      <c r="G167">
        <f t="shared" si="44"/>
        <v>7.92</v>
      </c>
      <c r="H167">
        <f t="shared" si="44"/>
        <v>7.92</v>
      </c>
      <c r="I167">
        <f t="shared" si="44"/>
        <v>7.92</v>
      </c>
      <c r="J167">
        <f t="shared" si="44"/>
        <v>7.92</v>
      </c>
      <c r="K167">
        <f t="shared" si="44"/>
        <v>7.92</v>
      </c>
      <c r="L167">
        <f t="shared" si="44"/>
        <v>7.92</v>
      </c>
      <c r="M167">
        <f t="shared" si="44"/>
        <v>7.92</v>
      </c>
      <c r="N167">
        <f t="shared" si="44"/>
        <v>7.92</v>
      </c>
      <c r="O167">
        <f t="shared" si="44"/>
        <v>7.92</v>
      </c>
      <c r="P167">
        <f t="shared" si="44"/>
        <v>7.92</v>
      </c>
      <c r="Q167">
        <f t="shared" si="44"/>
        <v>7.92</v>
      </c>
      <c r="R167">
        <f t="shared" si="44"/>
        <v>7.92</v>
      </c>
      <c r="S167">
        <f t="shared" si="44"/>
        <v>7.92</v>
      </c>
      <c r="T167">
        <f t="shared" si="44"/>
        <v>7.92</v>
      </c>
      <c r="U167">
        <f t="shared" si="44"/>
        <v>7.92</v>
      </c>
      <c r="V167">
        <f t="shared" si="44"/>
        <v>7.92</v>
      </c>
      <c r="W167">
        <f t="shared" si="44"/>
        <v>7.92</v>
      </c>
      <c r="X167">
        <f t="shared" si="44"/>
        <v>7.92</v>
      </c>
      <c r="Y167">
        <f t="shared" si="44"/>
        <v>7.92</v>
      </c>
      <c r="Z167">
        <f t="shared" si="44"/>
        <v>7.92</v>
      </c>
      <c r="AA167">
        <f t="shared" si="44"/>
        <v>7.92</v>
      </c>
      <c r="AB167">
        <f t="shared" si="44"/>
        <v>7.92</v>
      </c>
      <c r="AC167">
        <f t="shared" si="44"/>
        <v>7.92</v>
      </c>
      <c r="AD167">
        <f t="shared" si="44"/>
        <v>7.92</v>
      </c>
      <c r="AE167">
        <f t="shared" si="44"/>
        <v>7.92</v>
      </c>
      <c r="AF167">
        <f t="shared" si="42"/>
        <v>7.92</v>
      </c>
      <c r="AG167">
        <f t="shared" si="42"/>
        <v>7.92</v>
      </c>
      <c r="AH167">
        <f t="shared" ref="AH167:BA167" si="45">AG167</f>
        <v>7.92</v>
      </c>
      <c r="AI167">
        <f t="shared" si="45"/>
        <v>7.92</v>
      </c>
      <c r="AJ167">
        <f t="shared" si="45"/>
        <v>7.92</v>
      </c>
      <c r="AK167">
        <f t="shared" si="45"/>
        <v>7.92</v>
      </c>
      <c r="AL167">
        <f t="shared" si="45"/>
        <v>7.92</v>
      </c>
      <c r="AM167">
        <f t="shared" si="45"/>
        <v>7.92</v>
      </c>
      <c r="AN167">
        <f t="shared" si="45"/>
        <v>7.92</v>
      </c>
      <c r="AO167">
        <f t="shared" si="45"/>
        <v>7.92</v>
      </c>
      <c r="AP167">
        <f t="shared" si="45"/>
        <v>7.92</v>
      </c>
      <c r="AQ167">
        <f t="shared" si="45"/>
        <v>7.92</v>
      </c>
      <c r="AR167">
        <f t="shared" si="45"/>
        <v>7.92</v>
      </c>
      <c r="AS167">
        <f t="shared" si="45"/>
        <v>7.92</v>
      </c>
      <c r="AT167">
        <f t="shared" si="45"/>
        <v>7.92</v>
      </c>
      <c r="AU167">
        <f t="shared" si="45"/>
        <v>7.92</v>
      </c>
      <c r="AV167">
        <f t="shared" si="45"/>
        <v>7.92</v>
      </c>
      <c r="AW167">
        <f t="shared" si="45"/>
        <v>7.92</v>
      </c>
      <c r="AX167">
        <f t="shared" si="45"/>
        <v>7.92</v>
      </c>
      <c r="AY167">
        <f t="shared" si="45"/>
        <v>7.92</v>
      </c>
      <c r="AZ167">
        <f t="shared" si="45"/>
        <v>7.92</v>
      </c>
      <c r="BA167">
        <f t="shared" si="45"/>
        <v>7.92</v>
      </c>
    </row>
    <row r="168" spans="2:53" x14ac:dyDescent="0.55000000000000004">
      <c r="B168" s="1" t="s">
        <v>120</v>
      </c>
      <c r="C168">
        <f>$C$39</f>
        <v>261.97674326086957</v>
      </c>
      <c r="D168">
        <f t="shared" ref="D168:AE168" si="46">C168</f>
        <v>261.97674326086957</v>
      </c>
      <c r="E168">
        <f t="shared" si="46"/>
        <v>261.97674326086957</v>
      </c>
      <c r="F168">
        <f t="shared" si="46"/>
        <v>261.97674326086957</v>
      </c>
      <c r="G168">
        <f t="shared" si="46"/>
        <v>261.97674326086957</v>
      </c>
      <c r="H168">
        <f t="shared" si="46"/>
        <v>261.97674326086957</v>
      </c>
      <c r="I168">
        <f t="shared" si="46"/>
        <v>261.97674326086957</v>
      </c>
      <c r="J168">
        <f t="shared" si="46"/>
        <v>261.97674326086957</v>
      </c>
      <c r="K168">
        <f t="shared" si="46"/>
        <v>261.97674326086957</v>
      </c>
      <c r="L168">
        <f t="shared" si="46"/>
        <v>261.97674326086957</v>
      </c>
      <c r="M168">
        <f t="shared" si="46"/>
        <v>261.97674326086957</v>
      </c>
      <c r="N168">
        <f t="shared" si="46"/>
        <v>261.97674326086957</v>
      </c>
      <c r="O168">
        <f t="shared" si="46"/>
        <v>261.97674326086957</v>
      </c>
      <c r="P168">
        <f t="shared" si="46"/>
        <v>261.97674326086957</v>
      </c>
      <c r="Q168">
        <f t="shared" si="46"/>
        <v>261.97674326086957</v>
      </c>
      <c r="R168">
        <f t="shared" si="46"/>
        <v>261.97674326086957</v>
      </c>
      <c r="S168">
        <f t="shared" si="46"/>
        <v>261.97674326086957</v>
      </c>
      <c r="T168">
        <f t="shared" si="46"/>
        <v>261.97674326086957</v>
      </c>
      <c r="U168">
        <f t="shared" si="46"/>
        <v>261.97674326086957</v>
      </c>
      <c r="V168">
        <f t="shared" si="46"/>
        <v>261.97674326086957</v>
      </c>
      <c r="W168">
        <f t="shared" si="46"/>
        <v>261.97674326086957</v>
      </c>
      <c r="X168">
        <f t="shared" si="46"/>
        <v>261.97674326086957</v>
      </c>
      <c r="Y168">
        <f t="shared" si="46"/>
        <v>261.97674326086957</v>
      </c>
      <c r="Z168">
        <f t="shared" si="46"/>
        <v>261.97674326086957</v>
      </c>
      <c r="AA168">
        <f t="shared" si="46"/>
        <v>261.97674326086957</v>
      </c>
      <c r="AB168">
        <f t="shared" si="46"/>
        <v>261.97674326086957</v>
      </c>
      <c r="AC168">
        <f t="shared" si="46"/>
        <v>261.97674326086957</v>
      </c>
      <c r="AD168">
        <f t="shared" si="46"/>
        <v>261.97674326086957</v>
      </c>
      <c r="AE168">
        <f t="shared" si="46"/>
        <v>261.97674326086957</v>
      </c>
      <c r="AF168">
        <f t="shared" si="42"/>
        <v>261.97674326086957</v>
      </c>
      <c r="AG168">
        <f t="shared" si="42"/>
        <v>261.97674326086957</v>
      </c>
      <c r="AH168">
        <f t="shared" ref="AH168:BA168" si="47">AG168</f>
        <v>261.97674326086957</v>
      </c>
      <c r="AI168">
        <f t="shared" si="47"/>
        <v>261.97674326086957</v>
      </c>
      <c r="AJ168">
        <f t="shared" si="47"/>
        <v>261.97674326086957</v>
      </c>
      <c r="AK168">
        <f t="shared" si="47"/>
        <v>261.97674326086957</v>
      </c>
      <c r="AL168">
        <f t="shared" si="47"/>
        <v>261.97674326086957</v>
      </c>
      <c r="AM168">
        <f t="shared" si="47"/>
        <v>261.97674326086957</v>
      </c>
      <c r="AN168">
        <f t="shared" si="47"/>
        <v>261.97674326086957</v>
      </c>
      <c r="AO168">
        <f t="shared" si="47"/>
        <v>261.97674326086957</v>
      </c>
      <c r="AP168">
        <f t="shared" si="47"/>
        <v>261.97674326086957</v>
      </c>
      <c r="AQ168">
        <f t="shared" si="47"/>
        <v>261.97674326086957</v>
      </c>
      <c r="AR168">
        <f t="shared" si="47"/>
        <v>261.97674326086957</v>
      </c>
      <c r="AS168">
        <f t="shared" si="47"/>
        <v>261.97674326086957</v>
      </c>
      <c r="AT168">
        <f t="shared" si="47"/>
        <v>261.97674326086957</v>
      </c>
      <c r="AU168">
        <f t="shared" si="47"/>
        <v>261.97674326086957</v>
      </c>
      <c r="AV168">
        <f t="shared" si="47"/>
        <v>261.97674326086957</v>
      </c>
      <c r="AW168">
        <f t="shared" si="47"/>
        <v>261.97674326086957</v>
      </c>
      <c r="AX168">
        <f t="shared" si="47"/>
        <v>261.97674326086957</v>
      </c>
      <c r="AY168">
        <f t="shared" si="47"/>
        <v>261.97674326086957</v>
      </c>
      <c r="AZ168">
        <f t="shared" si="47"/>
        <v>261.97674326086957</v>
      </c>
      <c r="BA168">
        <f t="shared" si="47"/>
        <v>261.97674326086957</v>
      </c>
    </row>
    <row r="169" spans="2:53" x14ac:dyDescent="0.55000000000000004">
      <c r="B169" s="1" t="s">
        <v>314</v>
      </c>
      <c r="C169">
        <f>$C$41</f>
        <v>0.13</v>
      </c>
      <c r="D169">
        <f t="shared" ref="D169:AE169" si="48">C169</f>
        <v>0.13</v>
      </c>
      <c r="E169">
        <f t="shared" si="48"/>
        <v>0.13</v>
      </c>
      <c r="F169">
        <f t="shared" si="48"/>
        <v>0.13</v>
      </c>
      <c r="G169">
        <f t="shared" si="48"/>
        <v>0.13</v>
      </c>
      <c r="H169">
        <f t="shared" si="48"/>
        <v>0.13</v>
      </c>
      <c r="I169">
        <f t="shared" si="48"/>
        <v>0.13</v>
      </c>
      <c r="J169">
        <f t="shared" si="48"/>
        <v>0.13</v>
      </c>
      <c r="K169">
        <f t="shared" si="48"/>
        <v>0.13</v>
      </c>
      <c r="L169">
        <f t="shared" si="48"/>
        <v>0.13</v>
      </c>
      <c r="M169">
        <f t="shared" si="48"/>
        <v>0.13</v>
      </c>
      <c r="N169">
        <f t="shared" si="48"/>
        <v>0.13</v>
      </c>
      <c r="O169">
        <f t="shared" si="48"/>
        <v>0.13</v>
      </c>
      <c r="P169">
        <f t="shared" si="48"/>
        <v>0.13</v>
      </c>
      <c r="Q169">
        <f t="shared" si="48"/>
        <v>0.13</v>
      </c>
      <c r="R169">
        <f t="shared" si="48"/>
        <v>0.13</v>
      </c>
      <c r="S169">
        <f t="shared" si="48"/>
        <v>0.13</v>
      </c>
      <c r="T169">
        <f t="shared" si="48"/>
        <v>0.13</v>
      </c>
      <c r="U169">
        <f t="shared" si="48"/>
        <v>0.13</v>
      </c>
      <c r="V169">
        <f t="shared" si="48"/>
        <v>0.13</v>
      </c>
      <c r="W169">
        <f t="shared" si="48"/>
        <v>0.13</v>
      </c>
      <c r="X169">
        <f t="shared" si="48"/>
        <v>0.13</v>
      </c>
      <c r="Y169">
        <f t="shared" si="48"/>
        <v>0.13</v>
      </c>
      <c r="Z169">
        <f t="shared" si="48"/>
        <v>0.13</v>
      </c>
      <c r="AA169">
        <f t="shared" si="48"/>
        <v>0.13</v>
      </c>
      <c r="AB169">
        <f t="shared" si="48"/>
        <v>0.13</v>
      </c>
      <c r="AC169">
        <f t="shared" si="48"/>
        <v>0.13</v>
      </c>
      <c r="AD169">
        <f t="shared" si="48"/>
        <v>0.13</v>
      </c>
      <c r="AE169">
        <f t="shared" si="48"/>
        <v>0.13</v>
      </c>
      <c r="AF169">
        <f t="shared" si="42"/>
        <v>0.13</v>
      </c>
      <c r="AG169">
        <f t="shared" si="42"/>
        <v>0.13</v>
      </c>
      <c r="AH169">
        <f t="shared" ref="AH169:BA169" si="49">AG169</f>
        <v>0.13</v>
      </c>
      <c r="AI169">
        <f t="shared" si="49"/>
        <v>0.13</v>
      </c>
      <c r="AJ169">
        <f t="shared" si="49"/>
        <v>0.13</v>
      </c>
      <c r="AK169">
        <f t="shared" si="49"/>
        <v>0.13</v>
      </c>
      <c r="AL169">
        <f t="shared" si="49"/>
        <v>0.13</v>
      </c>
      <c r="AM169">
        <f t="shared" si="49"/>
        <v>0.13</v>
      </c>
      <c r="AN169">
        <f t="shared" si="49"/>
        <v>0.13</v>
      </c>
      <c r="AO169">
        <f t="shared" si="49"/>
        <v>0.13</v>
      </c>
      <c r="AP169">
        <f t="shared" si="49"/>
        <v>0.13</v>
      </c>
      <c r="AQ169">
        <f t="shared" si="49"/>
        <v>0.13</v>
      </c>
      <c r="AR169">
        <f t="shared" si="49"/>
        <v>0.13</v>
      </c>
      <c r="AS169">
        <f t="shared" si="49"/>
        <v>0.13</v>
      </c>
      <c r="AT169">
        <f t="shared" si="49"/>
        <v>0.13</v>
      </c>
      <c r="AU169">
        <f t="shared" si="49"/>
        <v>0.13</v>
      </c>
      <c r="AV169">
        <f t="shared" si="49"/>
        <v>0.13</v>
      </c>
      <c r="AW169">
        <f t="shared" si="49"/>
        <v>0.13</v>
      </c>
      <c r="AX169">
        <f t="shared" si="49"/>
        <v>0.13</v>
      </c>
      <c r="AY169">
        <f t="shared" si="49"/>
        <v>0.13</v>
      </c>
      <c r="AZ169">
        <f t="shared" si="49"/>
        <v>0.13</v>
      </c>
      <c r="BA169">
        <f t="shared" si="49"/>
        <v>0.13</v>
      </c>
    </row>
    <row r="170" spans="2:53" x14ac:dyDescent="0.55000000000000004">
      <c r="B170" s="1" t="s">
        <v>315</v>
      </c>
      <c r="C170">
        <f>(C165-C164)*C167*C166</f>
        <v>1354.0999999999997</v>
      </c>
      <c r="D170">
        <f>(D165-D164)*D167*D166</f>
        <v>1327.1805991640406</v>
      </c>
      <c r="E170">
        <f t="shared" ref="E170:R170" si="50">(E165-E164)*E167*E166</f>
        <v>1300.796353886288</v>
      </c>
      <c r="F170">
        <f t="shared" si="50"/>
        <v>1274.9366253165967</v>
      </c>
      <c r="G170">
        <f t="shared" si="50"/>
        <v>1249.590986104321</v>
      </c>
      <c r="H170">
        <f t="shared" si="50"/>
        <v>1224.7492161937212</v>
      </c>
      <c r="I170">
        <f t="shared" si="50"/>
        <v>1200.401298702956</v>
      </c>
      <c r="J170">
        <f t="shared" si="50"/>
        <v>1176.5374158850025</v>
      </c>
      <c r="K170">
        <f t="shared" si="50"/>
        <v>1153.1479451688726</v>
      </c>
      <c r="L170">
        <f t="shared" si="50"/>
        <v>1130.2234552795269</v>
      </c>
      <c r="M170">
        <f t="shared" si="50"/>
        <v>1107.7547024349271</v>
      </c>
      <c r="N170">
        <f t="shared" si="50"/>
        <v>1085.7326266186919</v>
      </c>
      <c r="O170">
        <f t="shared" si="50"/>
        <v>1064.1483479268472</v>
      </c>
      <c r="P170">
        <f t="shared" si="50"/>
        <v>1042.9931629872071</v>
      </c>
      <c r="Q170">
        <f t="shared" si="50"/>
        <v>1022.2585414499371</v>
      </c>
      <c r="R170">
        <f t="shared" si="50"/>
        <v>1001.9361225478815</v>
      </c>
      <c r="S170">
        <f t="shared" ref="S170:AG170" si="51">(S165-S164)*S167*S166</f>
        <v>982.01771172527401</v>
      </c>
      <c r="T170">
        <f t="shared" si="51"/>
        <v>962.49527733346849</v>
      </c>
      <c r="U170">
        <f t="shared" si="51"/>
        <v>943.36094739235841</v>
      </c>
      <c r="V170">
        <f t="shared" si="51"/>
        <v>924.60700641617882</v>
      </c>
      <c r="W170">
        <f t="shared" si="51"/>
        <v>906.22589230241067</v>
      </c>
      <c r="X170">
        <f t="shared" si="51"/>
        <v>888.21019328253556</v>
      </c>
      <c r="Y170">
        <f t="shared" si="51"/>
        <v>870.5526449334053</v>
      </c>
      <c r="Z170">
        <f t="shared" si="51"/>
        <v>853.24612724803001</v>
      </c>
      <c r="AA170">
        <f t="shared" si="51"/>
        <v>836.28366176459497</v>
      </c>
      <c r="AB170">
        <f t="shared" si="51"/>
        <v>819.65840875255401</v>
      </c>
      <c r="AC170">
        <f t="shared" si="51"/>
        <v>803.36366445466319</v>
      </c>
      <c r="AD170">
        <f t="shared" si="51"/>
        <v>787.39285838384103</v>
      </c>
      <c r="AE170">
        <f t="shared" si="51"/>
        <v>771.73955067377074</v>
      </c>
      <c r="AF170">
        <f t="shared" si="51"/>
        <v>756.39742948216747</v>
      </c>
      <c r="AG170">
        <f t="shared" si="51"/>
        <v>741.36030844567131</v>
      </c>
      <c r="AH170">
        <f t="shared" ref="AH170:AT170" si="52">(AH165-AH164)*AH167*AH166</f>
        <v>726.62212418533647</v>
      </c>
      <c r="AI170">
        <f t="shared" si="52"/>
        <v>712.17693386171118</v>
      </c>
      <c r="AJ170">
        <f t="shared" si="52"/>
        <v>698.01891277852121</v>
      </c>
      <c r="AK170">
        <f t="shared" si="52"/>
        <v>684.14235203399301</v>
      </c>
      <c r="AL170">
        <f t="shared" si="52"/>
        <v>670.54165621886955</v>
      </c>
      <c r="AM170">
        <f t="shared" si="52"/>
        <v>657.21134116018584</v>
      </c>
      <c r="AN170">
        <f t="shared" si="52"/>
        <v>644.1460317099021</v>
      </c>
      <c r="AO170">
        <f t="shared" si="52"/>
        <v>631.34045957749595</v>
      </c>
      <c r="AP170">
        <f t="shared" si="52"/>
        <v>618.78946120564365</v>
      </c>
      <c r="AQ170">
        <f t="shared" si="52"/>
        <v>606.48797568813268</v>
      </c>
      <c r="AR170">
        <f t="shared" si="52"/>
        <v>594.43104272916491</v>
      </c>
      <c r="AS170">
        <f t="shared" si="52"/>
        <v>582.61380064323089</v>
      </c>
      <c r="AT170">
        <f t="shared" si="52"/>
        <v>571.03148439474376</v>
      </c>
      <c r="AU170">
        <f t="shared" ref="AU170:BA170" si="53">(AU165-AU164)*AU167*AU166</f>
        <v>559.67942367664705</v>
      </c>
      <c r="AV170">
        <f t="shared" si="53"/>
        <v>548.55304102721925</v>
      </c>
      <c r="AW170">
        <f t="shared" si="53"/>
        <v>537.64784998431526</v>
      </c>
      <c r="AX170">
        <f t="shared" si="53"/>
        <v>526.95945327630295</v>
      </c>
      <c r="AY170">
        <f t="shared" si="53"/>
        <v>516.48354104896168</v>
      </c>
      <c r="AZ170">
        <f t="shared" si="53"/>
        <v>506.21588912763212</v>
      </c>
      <c r="BA170">
        <f t="shared" si="53"/>
        <v>496.15235731391209</v>
      </c>
    </row>
    <row r="171" spans="2:53" x14ac:dyDescent="0.55000000000000004">
      <c r="B171" s="1" t="s">
        <v>316</v>
      </c>
      <c r="C171">
        <f>C170/C169/C168</f>
        <v>39.759841719162495</v>
      </c>
      <c r="D171">
        <f t="shared" ref="D171:R171" si="54">D170/D169/D168</f>
        <v>38.969419212396062</v>
      </c>
      <c r="E171">
        <f t="shared" si="54"/>
        <v>38.194710242509785</v>
      </c>
      <c r="F171">
        <f t="shared" si="54"/>
        <v>37.435402425634052</v>
      </c>
      <c r="G171">
        <f t="shared" si="54"/>
        <v>36.691189588065875</v>
      </c>
      <c r="H171">
        <f t="shared" si="54"/>
        <v>35.961771642811236</v>
      </c>
      <c r="I171">
        <f t="shared" si="54"/>
        <v>35.246854468581816</v>
      </c>
      <c r="J171">
        <f t="shared" si="54"/>
        <v>34.54614979119723</v>
      </c>
      <c r="K171">
        <f t="shared" si="54"/>
        <v>33.859375067344999</v>
      </c>
      <c r="L171">
        <f t="shared" si="54"/>
        <v>33.186253370651301</v>
      </c>
      <c r="M171">
        <f t="shared" si="54"/>
        <v>32.526513280016736</v>
      </c>
      <c r="N171">
        <f t="shared" si="54"/>
        <v>31.879888770171885</v>
      </c>
      <c r="O171">
        <f t="shared" si="54"/>
        <v>31.246119104408621</v>
      </c>
      <c r="P171">
        <f t="shared" si="54"/>
        <v>30.624948729443918</v>
      </c>
      <c r="Q171">
        <f t="shared" si="54"/>
        <v>30.016127172373842</v>
      </c>
      <c r="R171">
        <f t="shared" si="54"/>
        <v>29.419408939675929</v>
      </c>
      <c r="S171">
        <f t="shared" ref="S171:AG171" si="55">S170/S169/S168</f>
        <v>28.834553418219514</v>
      </c>
      <c r="T171">
        <f t="shared" si="55"/>
        <v>28.261324778243946</v>
      </c>
      <c r="U171">
        <f t="shared" si="55"/>
        <v>27.699491878265533</v>
      </c>
      <c r="V171">
        <f t="shared" si="55"/>
        <v>27.148828171875003</v>
      </c>
      <c r="W171">
        <f t="shared" si="55"/>
        <v>26.60911161638775</v>
      </c>
      <c r="X171">
        <f t="shared" si="55"/>
        <v>26.080124583310205</v>
      </c>
      <c r="Y171">
        <f t="shared" si="55"/>
        <v>25.561653770585973</v>
      </c>
      <c r="Z171">
        <f t="shared" si="55"/>
        <v>25.053490116586708</v>
      </c>
      <c r="AA171">
        <f t="shared" si="55"/>
        <v>24.55542871581266</v>
      </c>
      <c r="AB171">
        <f t="shared" si="55"/>
        <v>24.067268736269217</v>
      </c>
      <c r="AC171">
        <f t="shared" si="55"/>
        <v>23.58881333848592</v>
      </c>
      <c r="AD171">
        <f t="shared" si="55"/>
        <v>23.119869596145378</v>
      </c>
      <c r="AE171">
        <f t="shared" si="55"/>
        <v>22.660248418290166</v>
      </c>
      <c r="AF171">
        <f t="shared" si="55"/>
        <v>22.20976447307611</v>
      </c>
      <c r="AG171">
        <f t="shared" si="55"/>
        <v>21.768236113041414</v>
      </c>
      <c r="AH171">
        <f t="shared" ref="AH171:AT171" si="56">AH170/AH169/AH168</f>
        <v>21.335485301861471</v>
      </c>
      <c r="AI171">
        <f t="shared" si="56"/>
        <v>20.911337542559707</v>
      </c>
      <c r="AJ171">
        <f t="shared" si="56"/>
        <v>20.495621807145632</v>
      </c>
      <c r="AK171">
        <f t="shared" si="56"/>
        <v>20.088170467651661</v>
      </c>
      <c r="AL171">
        <f t="shared" si="56"/>
        <v>19.688819228540972</v>
      </c>
      <c r="AM171">
        <f t="shared" si="56"/>
        <v>19.297407060458976</v>
      </c>
      <c r="AN171">
        <f t="shared" si="56"/>
        <v>18.913776135301926</v>
      </c>
      <c r="AO171">
        <f t="shared" si="56"/>
        <v>18.537771762576288</v>
      </c>
      <c r="AP171">
        <f t="shared" si="56"/>
        <v>18.169242327023291</v>
      </c>
      <c r="AQ171">
        <f t="shared" si="56"/>
        <v>17.808039227483519</v>
      </c>
      <c r="AR171">
        <f t="shared" si="56"/>
        <v>17.454016816976825</v>
      </c>
      <c r="AS171">
        <f t="shared" si="56"/>
        <v>17.107032343973529</v>
      </c>
      <c r="AT171">
        <f t="shared" si="56"/>
        <v>16.766945894833043</v>
      </c>
      <c r="AU171">
        <f t="shared" ref="AU171:BA171" si="57">AU170/AU169/AU168</f>
        <v>16.433620337386884</v>
      </c>
      <c r="AV171">
        <f t="shared" si="57"/>
        <v>16.106921265643223</v>
      </c>
      <c r="AW171">
        <f t="shared" si="57"/>
        <v>15.786716945590724</v>
      </c>
      <c r="AX171">
        <f t="shared" si="57"/>
        <v>15.472878262079767</v>
      </c>
      <c r="AY171">
        <f t="shared" si="57"/>
        <v>15.165278666759681</v>
      </c>
      <c r="AZ171">
        <f t="shared" si="57"/>
        <v>14.863794127051007</v>
      </c>
      <c r="BA171">
        <f t="shared" si="57"/>
        <v>14.568303076132118</v>
      </c>
    </row>
    <row r="174" spans="2:53" x14ac:dyDescent="0.55000000000000004">
      <c r="B174" s="1" t="s">
        <v>319</v>
      </c>
      <c r="C174">
        <v>0</v>
      </c>
      <c r="D174">
        <v>6</v>
      </c>
      <c r="E174">
        <v>12</v>
      </c>
      <c r="F174">
        <v>18</v>
      </c>
      <c r="G174">
        <v>24</v>
      </c>
      <c r="H174">
        <v>30</v>
      </c>
      <c r="I174">
        <v>36</v>
      </c>
      <c r="J174">
        <v>42</v>
      </c>
      <c r="K174">
        <v>48</v>
      </c>
      <c r="L174">
        <v>54</v>
      </c>
      <c r="M174">
        <v>60</v>
      </c>
      <c r="N174">
        <v>66</v>
      </c>
      <c r="O174">
        <v>72</v>
      </c>
      <c r="P174">
        <v>78</v>
      </c>
      <c r="Q174">
        <v>84</v>
      </c>
      <c r="R174">
        <v>90</v>
      </c>
      <c r="S174">
        <v>96</v>
      </c>
      <c r="T174">
        <v>102</v>
      </c>
      <c r="U174">
        <v>108</v>
      </c>
      <c r="V174">
        <v>114</v>
      </c>
      <c r="W174">
        <v>120</v>
      </c>
      <c r="X174">
        <v>126</v>
      </c>
      <c r="Y174">
        <v>132</v>
      </c>
      <c r="Z174">
        <v>138</v>
      </c>
      <c r="AA174">
        <v>144</v>
      </c>
      <c r="AB174">
        <v>150</v>
      </c>
      <c r="AC174">
        <v>156</v>
      </c>
      <c r="AD174">
        <v>162</v>
      </c>
      <c r="AE174">
        <v>168</v>
      </c>
      <c r="AF174">
        <v>174</v>
      </c>
      <c r="AG174">
        <v>180</v>
      </c>
      <c r="AH174">
        <v>186</v>
      </c>
      <c r="AI174">
        <v>192</v>
      </c>
      <c r="AJ174">
        <v>198</v>
      </c>
      <c r="AK174">
        <v>204</v>
      </c>
      <c r="AL174">
        <v>210</v>
      </c>
      <c r="AM174">
        <v>216</v>
      </c>
      <c r="AN174">
        <v>222</v>
      </c>
      <c r="AO174">
        <v>228</v>
      </c>
      <c r="AP174">
        <v>234</v>
      </c>
      <c r="AQ174">
        <v>240</v>
      </c>
      <c r="AR174">
        <v>246</v>
      </c>
      <c r="AS174">
        <v>252</v>
      </c>
      <c r="AT174">
        <v>258</v>
      </c>
      <c r="AU174">
        <v>264</v>
      </c>
      <c r="AV174">
        <v>270</v>
      </c>
      <c r="AW174">
        <v>276</v>
      </c>
      <c r="AX174">
        <v>282</v>
      </c>
      <c r="AY174">
        <v>288</v>
      </c>
      <c r="AZ174">
        <v>294</v>
      </c>
      <c r="BA174">
        <v>300</v>
      </c>
    </row>
    <row r="175" spans="2:53" x14ac:dyDescent="0.55000000000000004">
      <c r="B175" s="1" t="s">
        <v>310</v>
      </c>
      <c r="C175">
        <v>200</v>
      </c>
      <c r="D175">
        <f t="shared" ref="D175:AI175" si="58">C175</f>
        <v>200</v>
      </c>
      <c r="E175">
        <f t="shared" si="58"/>
        <v>200</v>
      </c>
      <c r="F175">
        <f t="shared" si="58"/>
        <v>200</v>
      </c>
      <c r="G175">
        <f t="shared" si="58"/>
        <v>200</v>
      </c>
      <c r="H175">
        <f t="shared" si="58"/>
        <v>200</v>
      </c>
      <c r="I175">
        <f t="shared" si="58"/>
        <v>200</v>
      </c>
      <c r="J175">
        <f t="shared" si="58"/>
        <v>200</v>
      </c>
      <c r="K175">
        <f t="shared" si="58"/>
        <v>200</v>
      </c>
      <c r="L175">
        <f t="shared" si="58"/>
        <v>200</v>
      </c>
      <c r="M175">
        <f t="shared" si="58"/>
        <v>200</v>
      </c>
      <c r="N175">
        <f t="shared" si="58"/>
        <v>200</v>
      </c>
      <c r="O175">
        <f t="shared" si="58"/>
        <v>200</v>
      </c>
      <c r="P175">
        <f t="shared" si="58"/>
        <v>200</v>
      </c>
      <c r="Q175">
        <f t="shared" si="58"/>
        <v>200</v>
      </c>
      <c r="R175">
        <f t="shared" si="58"/>
        <v>200</v>
      </c>
      <c r="S175">
        <f t="shared" si="58"/>
        <v>200</v>
      </c>
      <c r="T175">
        <f t="shared" si="58"/>
        <v>200</v>
      </c>
      <c r="U175">
        <f t="shared" si="58"/>
        <v>200</v>
      </c>
      <c r="V175">
        <f t="shared" si="58"/>
        <v>200</v>
      </c>
      <c r="W175">
        <f t="shared" si="58"/>
        <v>200</v>
      </c>
      <c r="X175">
        <f t="shared" si="58"/>
        <v>200</v>
      </c>
      <c r="Y175">
        <f t="shared" si="58"/>
        <v>200</v>
      </c>
      <c r="Z175">
        <f t="shared" si="58"/>
        <v>200</v>
      </c>
      <c r="AA175">
        <f t="shared" si="58"/>
        <v>200</v>
      </c>
      <c r="AB175">
        <f t="shared" si="58"/>
        <v>200</v>
      </c>
      <c r="AC175">
        <f t="shared" si="58"/>
        <v>200</v>
      </c>
      <c r="AD175">
        <f t="shared" si="58"/>
        <v>200</v>
      </c>
      <c r="AE175">
        <f t="shared" si="58"/>
        <v>200</v>
      </c>
      <c r="AF175">
        <f t="shared" si="58"/>
        <v>200</v>
      </c>
      <c r="AG175">
        <f t="shared" si="58"/>
        <v>200</v>
      </c>
      <c r="AH175">
        <f t="shared" si="58"/>
        <v>200</v>
      </c>
      <c r="AI175">
        <f t="shared" si="58"/>
        <v>200</v>
      </c>
      <c r="AJ175">
        <f t="shared" ref="AJ175:BA175" si="59">AI175</f>
        <v>200</v>
      </c>
      <c r="AK175">
        <f t="shared" si="59"/>
        <v>200</v>
      </c>
      <c r="AL175">
        <f t="shared" si="59"/>
        <v>200</v>
      </c>
      <c r="AM175">
        <f t="shared" si="59"/>
        <v>200</v>
      </c>
      <c r="AN175">
        <f t="shared" si="59"/>
        <v>200</v>
      </c>
      <c r="AO175">
        <f t="shared" si="59"/>
        <v>200</v>
      </c>
      <c r="AP175">
        <f t="shared" si="59"/>
        <v>200</v>
      </c>
      <c r="AQ175">
        <f t="shared" si="59"/>
        <v>200</v>
      </c>
      <c r="AR175">
        <f t="shared" si="59"/>
        <v>200</v>
      </c>
      <c r="AS175">
        <f t="shared" si="59"/>
        <v>200</v>
      </c>
      <c r="AT175">
        <f t="shared" si="59"/>
        <v>200</v>
      </c>
      <c r="AU175">
        <f t="shared" si="59"/>
        <v>200</v>
      </c>
      <c r="AV175">
        <f t="shared" si="59"/>
        <v>200</v>
      </c>
      <c r="AW175">
        <f t="shared" si="59"/>
        <v>200</v>
      </c>
      <c r="AX175">
        <f t="shared" si="59"/>
        <v>200</v>
      </c>
      <c r="AY175">
        <f t="shared" si="59"/>
        <v>200</v>
      </c>
      <c r="AZ175">
        <f t="shared" si="59"/>
        <v>200</v>
      </c>
      <c r="BA175">
        <f t="shared" si="59"/>
        <v>200</v>
      </c>
    </row>
    <row r="176" spans="2:53" x14ac:dyDescent="0.55000000000000004">
      <c r="B176" s="1" t="s">
        <v>311</v>
      </c>
      <c r="C176">
        <v>400</v>
      </c>
      <c r="D176">
        <f t="shared" ref="D176:AI176" si="60">C176-C182/10</f>
        <v>390.28351864145588</v>
      </c>
      <c r="E176">
        <f t="shared" si="60"/>
        <v>381.03908733286647</v>
      </c>
      <c r="F176">
        <f t="shared" si="60"/>
        <v>372.2437727466783</v>
      </c>
      <c r="G176">
        <f t="shared" si="60"/>
        <v>363.87575571158629</v>
      </c>
      <c r="H176">
        <f t="shared" si="60"/>
        <v>355.91427708414153</v>
      </c>
      <c r="I176">
        <f t="shared" si="60"/>
        <v>348.33958625004681</v>
      </c>
      <c r="J176">
        <f t="shared" si="60"/>
        <v>341.13289212738317</v>
      </c>
      <c r="K176">
        <f t="shared" si="60"/>
        <v>334.27631655021747</v>
      </c>
      <c r="L176">
        <f t="shared" si="60"/>
        <v>327.75284991694667</v>
      </c>
      <c r="M176">
        <f t="shared" si="60"/>
        <v>321.54630899335217</v>
      </c>
      <c r="N176">
        <f t="shared" si="60"/>
        <v>315.64129676568342</v>
      </c>
      <c r="O176">
        <f t="shared" si="60"/>
        <v>310.02316424417529</v>
      </c>
      <c r="P176">
        <f t="shared" si="60"/>
        <v>304.67797412224246</v>
      </c>
      <c r="Q176">
        <f t="shared" si="60"/>
        <v>299.59246620119779</v>
      </c>
      <c r="R176">
        <f t="shared" si="60"/>
        <v>294.75402449472091</v>
      </c>
      <c r="S176">
        <f t="shared" si="60"/>
        <v>290.15064593147099</v>
      </c>
      <c r="T176">
        <f t="shared" si="60"/>
        <v>285.77091057820172</v>
      </c>
      <c r="U176">
        <f t="shared" si="60"/>
        <v>281.60395330950945</v>
      </c>
      <c r="V176">
        <f t="shared" si="60"/>
        <v>277.63943685393269</v>
      </c>
      <c r="W176">
        <f t="shared" si="60"/>
        <v>273.86752614953718</v>
      </c>
      <c r="X176">
        <f t="shared" si="60"/>
        <v>270.27886394536847</v>
      </c>
      <c r="Y176">
        <f t="shared" si="60"/>
        <v>266.86454758824431</v>
      </c>
      <c r="Z176">
        <f t="shared" si="60"/>
        <v>263.61610693730103</v>
      </c>
      <c r="AA176">
        <f t="shared" si="60"/>
        <v>260.52548335150385</v>
      </c>
      <c r="AB176">
        <f t="shared" si="60"/>
        <v>257.58500969799508</v>
      </c>
      <c r="AC176">
        <f t="shared" si="60"/>
        <v>254.78739133168432</v>
      </c>
      <c r="AD176">
        <f t="shared" si="60"/>
        <v>252.12568799889647</v>
      </c>
      <c r="AE176">
        <f t="shared" si="60"/>
        <v>249.59329662018365</v>
      </c>
      <c r="AF176">
        <f t="shared" si="60"/>
        <v>247.18393490958982</v>
      </c>
      <c r="AG176">
        <f t="shared" si="60"/>
        <v>244.89162578973088</v>
      </c>
      <c r="AH176">
        <f t="shared" si="60"/>
        <v>242.71068256402759</v>
      </c>
      <c r="AI176">
        <f t="shared" si="60"/>
        <v>240.63569480930724</v>
      </c>
      <c r="AJ176">
        <f t="shared" ref="AJ176:BA176" si="61">AI176-AI182/10</f>
        <v>238.66151495377665</v>
      </c>
      <c r="AK176">
        <f t="shared" si="61"/>
        <v>236.78324550706941</v>
      </c>
      <c r="AL176">
        <f t="shared" si="61"/>
        <v>234.99622691068845</v>
      </c>
      <c r="AM176">
        <f t="shared" si="61"/>
        <v>233.29602597870303</v>
      </c>
      <c r="AN176">
        <f t="shared" si="61"/>
        <v>231.67842490002468</v>
      </c>
      <c r="AO176">
        <f t="shared" si="61"/>
        <v>230.13941077497904</v>
      </c>
      <c r="AP176">
        <f t="shared" si="61"/>
        <v>228.67516566021609</v>
      </c>
      <c r="AQ176">
        <f t="shared" si="61"/>
        <v>227.28205709726282</v>
      </c>
      <c r="AR176">
        <f t="shared" si="61"/>
        <v>225.95662910122138</v>
      </c>
      <c r="AS176">
        <f t="shared" si="61"/>
        <v>224.69559358725809</v>
      </c>
      <c r="AT176">
        <f t="shared" si="61"/>
        <v>223.49582221361422</v>
      </c>
      <c r="AU176">
        <f t="shared" si="61"/>
        <v>222.35433862090298</v>
      </c>
      <c r="AV176">
        <f t="shared" si="61"/>
        <v>221.26831104844004</v>
      </c>
      <c r="AW176">
        <f t="shared" si="61"/>
        <v>220.23504530929063</v>
      </c>
      <c r="AX176">
        <f t="shared" si="61"/>
        <v>219.25197810660555</v>
      </c>
      <c r="AY176">
        <f t="shared" si="61"/>
        <v>218.31667067466589</v>
      </c>
      <c r="AZ176">
        <f t="shared" si="61"/>
        <v>217.42680272886096</v>
      </c>
      <c r="BA176">
        <f t="shared" si="61"/>
        <v>216.58016670959094</v>
      </c>
    </row>
    <row r="177" spans="2:53" x14ac:dyDescent="0.55000000000000004">
      <c r="B177" s="1" t="s">
        <v>312</v>
      </c>
      <c r="C177">
        <f t="shared" ref="C177:BA177" si="62">$C$29/144</f>
        <v>0.85486111111111085</v>
      </c>
      <c r="D177">
        <f t="shared" si="62"/>
        <v>0.85486111111111085</v>
      </c>
      <c r="E177">
        <f t="shared" si="62"/>
        <v>0.85486111111111085</v>
      </c>
      <c r="F177">
        <f t="shared" si="62"/>
        <v>0.85486111111111085</v>
      </c>
      <c r="G177">
        <f t="shared" si="62"/>
        <v>0.85486111111111085</v>
      </c>
      <c r="H177">
        <f t="shared" si="62"/>
        <v>0.85486111111111085</v>
      </c>
      <c r="I177">
        <f t="shared" si="62"/>
        <v>0.85486111111111085</v>
      </c>
      <c r="J177">
        <f t="shared" si="62"/>
        <v>0.85486111111111085</v>
      </c>
      <c r="K177">
        <f t="shared" si="62"/>
        <v>0.85486111111111085</v>
      </c>
      <c r="L177">
        <f t="shared" si="62"/>
        <v>0.85486111111111085</v>
      </c>
      <c r="M177">
        <f t="shared" si="62"/>
        <v>0.85486111111111085</v>
      </c>
      <c r="N177">
        <f t="shared" si="62"/>
        <v>0.85486111111111085</v>
      </c>
      <c r="O177">
        <f t="shared" si="62"/>
        <v>0.85486111111111085</v>
      </c>
      <c r="P177">
        <f t="shared" si="62"/>
        <v>0.85486111111111085</v>
      </c>
      <c r="Q177">
        <f t="shared" si="62"/>
        <v>0.85486111111111085</v>
      </c>
      <c r="R177">
        <f t="shared" si="62"/>
        <v>0.85486111111111085</v>
      </c>
      <c r="S177">
        <f t="shared" si="62"/>
        <v>0.85486111111111085</v>
      </c>
      <c r="T177">
        <f t="shared" si="62"/>
        <v>0.85486111111111085</v>
      </c>
      <c r="U177">
        <f t="shared" si="62"/>
        <v>0.85486111111111085</v>
      </c>
      <c r="V177">
        <f t="shared" si="62"/>
        <v>0.85486111111111085</v>
      </c>
      <c r="W177">
        <f t="shared" si="62"/>
        <v>0.85486111111111085</v>
      </c>
      <c r="X177">
        <f t="shared" si="62"/>
        <v>0.85486111111111085</v>
      </c>
      <c r="Y177">
        <f t="shared" si="62"/>
        <v>0.85486111111111085</v>
      </c>
      <c r="Z177">
        <f t="shared" si="62"/>
        <v>0.85486111111111085</v>
      </c>
      <c r="AA177">
        <f t="shared" si="62"/>
        <v>0.85486111111111085</v>
      </c>
      <c r="AB177">
        <f t="shared" si="62"/>
        <v>0.85486111111111085</v>
      </c>
      <c r="AC177">
        <f t="shared" si="62"/>
        <v>0.85486111111111085</v>
      </c>
      <c r="AD177">
        <f t="shared" si="62"/>
        <v>0.85486111111111085</v>
      </c>
      <c r="AE177">
        <f t="shared" si="62"/>
        <v>0.85486111111111085</v>
      </c>
      <c r="AF177">
        <f t="shared" si="62"/>
        <v>0.85486111111111085</v>
      </c>
      <c r="AG177">
        <f t="shared" si="62"/>
        <v>0.85486111111111085</v>
      </c>
      <c r="AH177">
        <f t="shared" si="62"/>
        <v>0.85486111111111085</v>
      </c>
      <c r="AI177">
        <f t="shared" si="62"/>
        <v>0.85486111111111085</v>
      </c>
      <c r="AJ177">
        <f t="shared" si="62"/>
        <v>0.85486111111111085</v>
      </c>
      <c r="AK177">
        <f t="shared" si="62"/>
        <v>0.85486111111111085</v>
      </c>
      <c r="AL177">
        <f t="shared" si="62"/>
        <v>0.85486111111111085</v>
      </c>
      <c r="AM177">
        <f t="shared" si="62"/>
        <v>0.85486111111111085</v>
      </c>
      <c r="AN177">
        <f t="shared" si="62"/>
        <v>0.85486111111111085</v>
      </c>
      <c r="AO177">
        <f t="shared" si="62"/>
        <v>0.85486111111111085</v>
      </c>
      <c r="AP177">
        <f t="shared" si="62"/>
        <v>0.85486111111111085</v>
      </c>
      <c r="AQ177">
        <f t="shared" si="62"/>
        <v>0.85486111111111085</v>
      </c>
      <c r="AR177">
        <f t="shared" si="62"/>
        <v>0.85486111111111085</v>
      </c>
      <c r="AS177">
        <f t="shared" si="62"/>
        <v>0.85486111111111085</v>
      </c>
      <c r="AT177">
        <f t="shared" si="62"/>
        <v>0.85486111111111085</v>
      </c>
      <c r="AU177">
        <f t="shared" si="62"/>
        <v>0.85486111111111085</v>
      </c>
      <c r="AV177">
        <f t="shared" si="62"/>
        <v>0.85486111111111085</v>
      </c>
      <c r="AW177">
        <f t="shared" si="62"/>
        <v>0.85486111111111085</v>
      </c>
      <c r="AX177">
        <f t="shared" si="62"/>
        <v>0.85486111111111085</v>
      </c>
      <c r="AY177">
        <f t="shared" si="62"/>
        <v>0.85486111111111085</v>
      </c>
      <c r="AZ177">
        <f t="shared" si="62"/>
        <v>0.85486111111111085</v>
      </c>
      <c r="BA177">
        <f t="shared" si="62"/>
        <v>0.85486111111111085</v>
      </c>
    </row>
    <row r="178" spans="2:53" x14ac:dyDescent="0.55000000000000004">
      <c r="B178" s="1" t="s">
        <v>313</v>
      </c>
      <c r="C178">
        <f>$D$46*0.3</f>
        <v>30</v>
      </c>
      <c r="D178">
        <f>C178</f>
        <v>30</v>
      </c>
      <c r="E178">
        <f>$D$46*0.3</f>
        <v>30</v>
      </c>
      <c r="F178">
        <f>E178</f>
        <v>30</v>
      </c>
      <c r="G178">
        <f>$D$46*0.3</f>
        <v>30</v>
      </c>
      <c r="H178">
        <f>G178</f>
        <v>30</v>
      </c>
      <c r="I178">
        <f>$D$46*0.3</f>
        <v>30</v>
      </c>
      <c r="J178">
        <f>I178</f>
        <v>30</v>
      </c>
      <c r="K178">
        <f>$D$46*0.3</f>
        <v>30</v>
      </c>
      <c r="L178">
        <f>K178</f>
        <v>30</v>
      </c>
      <c r="M178">
        <f>$D$46*0.3</f>
        <v>30</v>
      </c>
      <c r="N178">
        <f>M178</f>
        <v>30</v>
      </c>
      <c r="O178">
        <f>$D$46*0.3</f>
        <v>30</v>
      </c>
      <c r="P178">
        <f>O178</f>
        <v>30</v>
      </c>
      <c r="Q178">
        <f>$D$46*0.3</f>
        <v>30</v>
      </c>
      <c r="R178">
        <f>Q178</f>
        <v>30</v>
      </c>
      <c r="S178">
        <f>$D$46*0.3</f>
        <v>30</v>
      </c>
      <c r="T178">
        <f>S178</f>
        <v>30</v>
      </c>
      <c r="U178">
        <f>$D$46*0.3</f>
        <v>30</v>
      </c>
      <c r="V178">
        <f>U178</f>
        <v>30</v>
      </c>
      <c r="W178">
        <f>$D$46*0.3</f>
        <v>30</v>
      </c>
      <c r="X178">
        <f>W178</f>
        <v>30</v>
      </c>
      <c r="Y178">
        <f>$D$46*0.3</f>
        <v>30</v>
      </c>
      <c r="Z178">
        <f>Y178</f>
        <v>30</v>
      </c>
      <c r="AA178">
        <f>$D$46*0.3</f>
        <v>30</v>
      </c>
      <c r="AB178">
        <f>AA178</f>
        <v>30</v>
      </c>
      <c r="AC178">
        <f>$D$46*0.3</f>
        <v>30</v>
      </c>
      <c r="AD178">
        <f>AC178</f>
        <v>30</v>
      </c>
      <c r="AE178">
        <f>$D$46*0.3</f>
        <v>30</v>
      </c>
      <c r="AF178">
        <f>AE178</f>
        <v>30</v>
      </c>
      <c r="AG178">
        <f>$D$46*0.3</f>
        <v>30</v>
      </c>
      <c r="AH178">
        <f>$D$46*0.3</f>
        <v>30</v>
      </c>
      <c r="AI178">
        <f>AH178</f>
        <v>30</v>
      </c>
      <c r="AJ178">
        <f t="shared" ref="AJ178:AP178" si="63">$D$46*0.3</f>
        <v>30</v>
      </c>
      <c r="AK178">
        <f>$D$46*0.3</f>
        <v>30</v>
      </c>
      <c r="AL178">
        <f>AK178</f>
        <v>30</v>
      </c>
      <c r="AM178">
        <f t="shared" si="63"/>
        <v>30</v>
      </c>
      <c r="AN178">
        <f>$D$46*0.3</f>
        <v>30</v>
      </c>
      <c r="AO178">
        <f>AN178</f>
        <v>30</v>
      </c>
      <c r="AP178">
        <f t="shared" si="63"/>
        <v>30</v>
      </c>
      <c r="AQ178">
        <f>$D$46*0.3</f>
        <v>30</v>
      </c>
      <c r="AR178">
        <f>$D$46*0.3</f>
        <v>30</v>
      </c>
      <c r="AS178">
        <f>AR178</f>
        <v>30</v>
      </c>
      <c r="AT178">
        <f>$D$46*0.3</f>
        <v>30</v>
      </c>
      <c r="AU178">
        <f>$D$46*0.3</f>
        <v>30</v>
      </c>
      <c r="AV178">
        <f>AU178</f>
        <v>30</v>
      </c>
      <c r="AW178">
        <f>$D$46*0.3</f>
        <v>30</v>
      </c>
      <c r="AX178">
        <f>$D$46*0.3</f>
        <v>30</v>
      </c>
      <c r="AY178">
        <f>AX178</f>
        <v>30</v>
      </c>
      <c r="AZ178">
        <f>$D$46*0.3</f>
        <v>30</v>
      </c>
      <c r="BA178">
        <f>$D$46*0.3</f>
        <v>30</v>
      </c>
    </row>
    <row r="179" spans="2:53" x14ac:dyDescent="0.55000000000000004">
      <c r="B179" s="1" t="s">
        <v>120</v>
      </c>
      <c r="C179">
        <f t="shared" ref="C179:BA179" si="64">$D$39</f>
        <v>170.28488311956522</v>
      </c>
      <c r="D179">
        <f t="shared" si="64"/>
        <v>170.28488311956522</v>
      </c>
      <c r="E179">
        <f t="shared" si="64"/>
        <v>170.28488311956522</v>
      </c>
      <c r="F179">
        <f t="shared" si="64"/>
        <v>170.28488311956522</v>
      </c>
      <c r="G179">
        <f t="shared" si="64"/>
        <v>170.28488311956522</v>
      </c>
      <c r="H179">
        <f t="shared" si="64"/>
        <v>170.28488311956522</v>
      </c>
      <c r="I179">
        <f t="shared" si="64"/>
        <v>170.28488311956522</v>
      </c>
      <c r="J179">
        <f t="shared" si="64"/>
        <v>170.28488311956522</v>
      </c>
      <c r="K179">
        <f t="shared" si="64"/>
        <v>170.28488311956522</v>
      </c>
      <c r="L179">
        <f t="shared" si="64"/>
        <v>170.28488311956522</v>
      </c>
      <c r="M179">
        <f t="shared" si="64"/>
        <v>170.28488311956522</v>
      </c>
      <c r="N179">
        <f t="shared" si="64"/>
        <v>170.28488311956522</v>
      </c>
      <c r="O179">
        <f t="shared" si="64"/>
        <v>170.28488311956522</v>
      </c>
      <c r="P179">
        <f t="shared" si="64"/>
        <v>170.28488311956522</v>
      </c>
      <c r="Q179">
        <f t="shared" si="64"/>
        <v>170.28488311956522</v>
      </c>
      <c r="R179">
        <f t="shared" si="64"/>
        <v>170.28488311956522</v>
      </c>
      <c r="S179">
        <f t="shared" si="64"/>
        <v>170.28488311956522</v>
      </c>
      <c r="T179">
        <f t="shared" si="64"/>
        <v>170.28488311956522</v>
      </c>
      <c r="U179">
        <f t="shared" si="64"/>
        <v>170.28488311956522</v>
      </c>
      <c r="V179">
        <f t="shared" si="64"/>
        <v>170.28488311956522</v>
      </c>
      <c r="W179">
        <f t="shared" si="64"/>
        <v>170.28488311956522</v>
      </c>
      <c r="X179">
        <f t="shared" si="64"/>
        <v>170.28488311956522</v>
      </c>
      <c r="Y179">
        <f t="shared" si="64"/>
        <v>170.28488311956522</v>
      </c>
      <c r="Z179">
        <f t="shared" si="64"/>
        <v>170.28488311956522</v>
      </c>
      <c r="AA179">
        <f t="shared" si="64"/>
        <v>170.28488311956522</v>
      </c>
      <c r="AB179">
        <f t="shared" si="64"/>
        <v>170.28488311956522</v>
      </c>
      <c r="AC179">
        <f t="shared" si="64"/>
        <v>170.28488311956522</v>
      </c>
      <c r="AD179">
        <f t="shared" si="64"/>
        <v>170.28488311956522</v>
      </c>
      <c r="AE179">
        <f t="shared" si="64"/>
        <v>170.28488311956522</v>
      </c>
      <c r="AF179">
        <f t="shared" si="64"/>
        <v>170.28488311956522</v>
      </c>
      <c r="AG179">
        <f t="shared" si="64"/>
        <v>170.28488311956522</v>
      </c>
      <c r="AH179">
        <f t="shared" si="64"/>
        <v>170.28488311956522</v>
      </c>
      <c r="AI179">
        <f t="shared" si="64"/>
        <v>170.28488311956522</v>
      </c>
      <c r="AJ179">
        <f t="shared" si="64"/>
        <v>170.28488311956522</v>
      </c>
      <c r="AK179">
        <f t="shared" si="64"/>
        <v>170.28488311956522</v>
      </c>
      <c r="AL179">
        <f t="shared" si="64"/>
        <v>170.28488311956522</v>
      </c>
      <c r="AM179">
        <f t="shared" si="64"/>
        <v>170.28488311956522</v>
      </c>
      <c r="AN179">
        <f t="shared" si="64"/>
        <v>170.28488311956522</v>
      </c>
      <c r="AO179">
        <f t="shared" si="64"/>
        <v>170.28488311956522</v>
      </c>
      <c r="AP179">
        <f t="shared" si="64"/>
        <v>170.28488311956522</v>
      </c>
      <c r="AQ179">
        <f t="shared" si="64"/>
        <v>170.28488311956522</v>
      </c>
      <c r="AR179">
        <f t="shared" si="64"/>
        <v>170.28488311956522</v>
      </c>
      <c r="AS179">
        <f t="shared" si="64"/>
        <v>170.28488311956522</v>
      </c>
      <c r="AT179">
        <f t="shared" si="64"/>
        <v>170.28488311956522</v>
      </c>
      <c r="AU179">
        <f t="shared" si="64"/>
        <v>170.28488311956522</v>
      </c>
      <c r="AV179">
        <f t="shared" si="64"/>
        <v>170.28488311956522</v>
      </c>
      <c r="AW179">
        <f t="shared" si="64"/>
        <v>170.28488311956522</v>
      </c>
      <c r="AX179">
        <f t="shared" si="64"/>
        <v>170.28488311956522</v>
      </c>
      <c r="AY179">
        <f t="shared" si="64"/>
        <v>170.28488311956522</v>
      </c>
      <c r="AZ179">
        <f t="shared" si="64"/>
        <v>170.28488311956522</v>
      </c>
      <c r="BA179">
        <f t="shared" si="64"/>
        <v>170.28488311956522</v>
      </c>
    </row>
    <row r="180" spans="2:53" x14ac:dyDescent="0.55000000000000004">
      <c r="B180" s="1" t="s">
        <v>314</v>
      </c>
      <c r="C180">
        <f t="shared" ref="C180:BA180" si="65">$D$41</f>
        <v>0.31</v>
      </c>
      <c r="D180">
        <f t="shared" si="65"/>
        <v>0.31</v>
      </c>
      <c r="E180">
        <f t="shared" si="65"/>
        <v>0.31</v>
      </c>
      <c r="F180">
        <f t="shared" si="65"/>
        <v>0.31</v>
      </c>
      <c r="G180">
        <f t="shared" si="65"/>
        <v>0.31</v>
      </c>
      <c r="H180">
        <f t="shared" si="65"/>
        <v>0.31</v>
      </c>
      <c r="I180">
        <f t="shared" si="65"/>
        <v>0.31</v>
      </c>
      <c r="J180">
        <f t="shared" si="65"/>
        <v>0.31</v>
      </c>
      <c r="K180">
        <f t="shared" si="65"/>
        <v>0.31</v>
      </c>
      <c r="L180">
        <f t="shared" si="65"/>
        <v>0.31</v>
      </c>
      <c r="M180">
        <f t="shared" si="65"/>
        <v>0.31</v>
      </c>
      <c r="N180">
        <f t="shared" si="65"/>
        <v>0.31</v>
      </c>
      <c r="O180">
        <f t="shared" si="65"/>
        <v>0.31</v>
      </c>
      <c r="P180">
        <f t="shared" si="65"/>
        <v>0.31</v>
      </c>
      <c r="Q180">
        <f t="shared" si="65"/>
        <v>0.31</v>
      </c>
      <c r="R180">
        <f t="shared" si="65"/>
        <v>0.31</v>
      </c>
      <c r="S180">
        <f t="shared" si="65"/>
        <v>0.31</v>
      </c>
      <c r="T180">
        <f t="shared" si="65"/>
        <v>0.31</v>
      </c>
      <c r="U180">
        <f t="shared" si="65"/>
        <v>0.31</v>
      </c>
      <c r="V180">
        <f t="shared" si="65"/>
        <v>0.31</v>
      </c>
      <c r="W180">
        <f t="shared" si="65"/>
        <v>0.31</v>
      </c>
      <c r="X180">
        <f t="shared" si="65"/>
        <v>0.31</v>
      </c>
      <c r="Y180">
        <f t="shared" si="65"/>
        <v>0.31</v>
      </c>
      <c r="Z180">
        <f t="shared" si="65"/>
        <v>0.31</v>
      </c>
      <c r="AA180">
        <f t="shared" si="65"/>
        <v>0.31</v>
      </c>
      <c r="AB180">
        <f t="shared" si="65"/>
        <v>0.31</v>
      </c>
      <c r="AC180">
        <f t="shared" si="65"/>
        <v>0.31</v>
      </c>
      <c r="AD180">
        <f t="shared" si="65"/>
        <v>0.31</v>
      </c>
      <c r="AE180">
        <f t="shared" si="65"/>
        <v>0.31</v>
      </c>
      <c r="AF180">
        <f t="shared" si="65"/>
        <v>0.31</v>
      </c>
      <c r="AG180">
        <f t="shared" si="65"/>
        <v>0.31</v>
      </c>
      <c r="AH180">
        <f t="shared" si="65"/>
        <v>0.31</v>
      </c>
      <c r="AI180">
        <f t="shared" si="65"/>
        <v>0.31</v>
      </c>
      <c r="AJ180">
        <f t="shared" si="65"/>
        <v>0.31</v>
      </c>
      <c r="AK180">
        <f t="shared" si="65"/>
        <v>0.31</v>
      </c>
      <c r="AL180">
        <f t="shared" si="65"/>
        <v>0.31</v>
      </c>
      <c r="AM180">
        <f t="shared" si="65"/>
        <v>0.31</v>
      </c>
      <c r="AN180">
        <f t="shared" si="65"/>
        <v>0.31</v>
      </c>
      <c r="AO180">
        <f t="shared" si="65"/>
        <v>0.31</v>
      </c>
      <c r="AP180">
        <f t="shared" si="65"/>
        <v>0.31</v>
      </c>
      <c r="AQ180">
        <f t="shared" si="65"/>
        <v>0.31</v>
      </c>
      <c r="AR180">
        <f t="shared" si="65"/>
        <v>0.31</v>
      </c>
      <c r="AS180">
        <f t="shared" si="65"/>
        <v>0.31</v>
      </c>
      <c r="AT180">
        <f t="shared" si="65"/>
        <v>0.31</v>
      </c>
      <c r="AU180">
        <f t="shared" si="65"/>
        <v>0.31</v>
      </c>
      <c r="AV180">
        <f t="shared" si="65"/>
        <v>0.31</v>
      </c>
      <c r="AW180">
        <f t="shared" si="65"/>
        <v>0.31</v>
      </c>
      <c r="AX180">
        <f t="shared" si="65"/>
        <v>0.31</v>
      </c>
      <c r="AY180">
        <f t="shared" si="65"/>
        <v>0.31</v>
      </c>
      <c r="AZ180">
        <f t="shared" si="65"/>
        <v>0.31</v>
      </c>
      <c r="BA180">
        <f t="shared" si="65"/>
        <v>0.31</v>
      </c>
    </row>
    <row r="181" spans="2:53" x14ac:dyDescent="0.55000000000000004">
      <c r="B181" s="1" t="s">
        <v>315</v>
      </c>
      <c r="C181">
        <f>(C176-C175)*C178*C177</f>
        <v>5129.1666666666652</v>
      </c>
      <c r="D181">
        <f>(D176-D175)*D178*D177</f>
        <v>4879.9794051590025</v>
      </c>
      <c r="E181">
        <f t="shared" ref="E181:R181" si="66">(E176-E175)*E178*E177</f>
        <v>4642.8982605574702</v>
      </c>
      <c r="F181">
        <f t="shared" si="66"/>
        <v>4417.3350885658529</v>
      </c>
      <c r="G181">
        <f t="shared" si="66"/>
        <v>4202.7303183533886</v>
      </c>
      <c r="H181">
        <f t="shared" si="66"/>
        <v>3998.5515643870449</v>
      </c>
      <c r="I181">
        <f t="shared" si="66"/>
        <v>3804.292305704324</v>
      </c>
      <c r="J181">
        <f t="shared" si="66"/>
        <v>3619.4706293501799</v>
      </c>
      <c r="K181">
        <f t="shared" si="66"/>
        <v>3443.6280348607847</v>
      </c>
      <c r="L181">
        <f t="shared" si="66"/>
        <v>3276.3282968283606</v>
      </c>
      <c r="M181">
        <f t="shared" si="66"/>
        <v>3117.1563827253435</v>
      </c>
      <c r="N181">
        <f t="shared" si="66"/>
        <v>2965.7174233032551</v>
      </c>
      <c r="O181">
        <f t="shared" si="66"/>
        <v>2821.6357330120777</v>
      </c>
      <c r="P181">
        <f t="shared" si="66"/>
        <v>2684.5538780100092</v>
      </c>
      <c r="Q181">
        <f t="shared" si="66"/>
        <v>2554.131789451551</v>
      </c>
      <c r="R181">
        <f t="shared" si="66"/>
        <v>2430.0459198541962</v>
      </c>
      <c r="S181">
        <f t="shared" ref="S181:AG181" si="67">(S176-S175)*S178*S177</f>
        <v>2311.9884404508489</v>
      </c>
      <c r="T181">
        <f t="shared" si="67"/>
        <v>2199.6664775367976</v>
      </c>
      <c r="U181">
        <f t="shared" si="67"/>
        <v>2092.8013859167936</v>
      </c>
      <c r="V181">
        <f t="shared" si="67"/>
        <v>1991.128057649815</v>
      </c>
      <c r="W181">
        <f t="shared" si="67"/>
        <v>1894.3942643766716</v>
      </c>
      <c r="X181">
        <f t="shared" si="67"/>
        <v>1802.3600315989286</v>
      </c>
      <c r="Y181">
        <f t="shared" si="67"/>
        <v>1714.7970433568485</v>
      </c>
      <c r="Z181">
        <f t="shared" si="67"/>
        <v>1631.4880758295319</v>
      </c>
      <c r="AA181">
        <f t="shared" si="67"/>
        <v>1552.2264584521085</v>
      </c>
      <c r="AB181">
        <f t="shared" si="67"/>
        <v>1476.815561213165</v>
      </c>
      <c r="AC181">
        <f t="shared" si="67"/>
        <v>1405.0683068604869</v>
      </c>
      <c r="AD181">
        <f t="shared" si="67"/>
        <v>1336.806706805032</v>
      </c>
      <c r="AE181">
        <f t="shared" si="67"/>
        <v>1271.8614195717928</v>
      </c>
      <c r="AF181">
        <f t="shared" si="67"/>
        <v>1210.0713307021886</v>
      </c>
      <c r="AG181">
        <f t="shared" si="67"/>
        <v>1151.2831530658063</v>
      </c>
      <c r="AH181">
        <f t="shared" ref="AH181:AT181" si="68">(AH176-AH175)*AH178*AH177</f>
        <v>1095.3510465899574</v>
      </c>
      <c r="AI181">
        <f t="shared" si="68"/>
        <v>1042.1362564636916</v>
      </c>
      <c r="AJ181">
        <f t="shared" si="68"/>
        <v>991.5067689187299</v>
      </c>
      <c r="AK181">
        <f t="shared" si="68"/>
        <v>943.33698373338393</v>
      </c>
      <c r="AL181">
        <f t="shared" si="68"/>
        <v>897.50740264703063</v>
      </c>
      <c r="AM181">
        <f t="shared" si="68"/>
        <v>853.90433291215447</v>
      </c>
      <c r="AN181">
        <f t="shared" si="68"/>
        <v>812.41960524854937</v>
      </c>
      <c r="AO181">
        <f t="shared" si="68"/>
        <v>772.95030549998307</v>
      </c>
      <c r="AP181">
        <f t="shared" si="68"/>
        <v>735.39851932762508</v>
      </c>
      <c r="AQ181">
        <f t="shared" si="68"/>
        <v>699.67108930688585</v>
      </c>
      <c r="AR181">
        <f t="shared" si="68"/>
        <v>665.67938382507316</v>
      </c>
      <c r="AS181">
        <f t="shared" si="68"/>
        <v>633.33907720655623</v>
      </c>
      <c r="AT181">
        <f t="shared" si="68"/>
        <v>602.56994051998106</v>
      </c>
      <c r="AU181">
        <f t="shared" ref="AU181:BA181" si="69">(AU176-AU175)*AU178*AU177</f>
        <v>573.29564254857416</v>
      </c>
      <c r="AV181">
        <f t="shared" si="69"/>
        <v>545.44356042978495</v>
      </c>
      <c r="AW181">
        <f t="shared" si="69"/>
        <v>518.94459949451573</v>
      </c>
      <c r="AX181">
        <f t="shared" si="69"/>
        <v>493.73302185898802</v>
      </c>
      <c r="AY181">
        <f t="shared" si="69"/>
        <v>469.74628334403542</v>
      </c>
      <c r="AZ181">
        <f t="shared" si="69"/>
        <v>446.92487831724668</v>
      </c>
      <c r="BA181">
        <f t="shared" si="69"/>
        <v>425.21219207305086</v>
      </c>
    </row>
    <row r="182" spans="2:53" x14ac:dyDescent="0.55000000000000004">
      <c r="B182" s="1" t="s">
        <v>316</v>
      </c>
      <c r="C182">
        <f>C181/C180/C179</f>
        <v>97.164813585441095</v>
      </c>
      <c r="D182">
        <f t="shared" ref="D182:R182" si="70">D181/D180/D179</f>
        <v>92.444313085894322</v>
      </c>
      <c r="E182">
        <f t="shared" si="70"/>
        <v>87.953145861881794</v>
      </c>
      <c r="F182">
        <f t="shared" si="70"/>
        <v>83.680170350920378</v>
      </c>
      <c r="G182">
        <f t="shared" si="70"/>
        <v>79.614786274447809</v>
      </c>
      <c r="H182">
        <f t="shared" si="70"/>
        <v>75.746908340947101</v>
      </c>
      <c r="I182">
        <f t="shared" si="70"/>
        <v>72.066941226636288</v>
      </c>
      <c r="J182">
        <f t="shared" si="70"/>
        <v>68.565755771656754</v>
      </c>
      <c r="K182">
        <f t="shared" si="70"/>
        <v>65.234666332707789</v>
      </c>
      <c r="L182">
        <f t="shared" si="70"/>
        <v>62.065409235944777</v>
      </c>
      <c r="M182">
        <f t="shared" si="70"/>
        <v>59.050122276687425</v>
      </c>
      <c r="N182">
        <f t="shared" si="70"/>
        <v>56.1813252150815</v>
      </c>
      <c r="O182">
        <f t="shared" si="70"/>
        <v>53.451901219328285</v>
      </c>
      <c r="P182">
        <f t="shared" si="70"/>
        <v>50.855079210446576</v>
      </c>
      <c r="Q182">
        <f t="shared" si="70"/>
        <v>48.384417064768627</v>
      </c>
      <c r="R182">
        <f t="shared" si="70"/>
        <v>46.033785632499381</v>
      </c>
      <c r="S182">
        <f t="shared" ref="S182:AG182" si="71">S181/S180/S179</f>
        <v>43.797353532692405</v>
      </c>
      <c r="T182">
        <f t="shared" si="71"/>
        <v>41.669572686922535</v>
      </c>
      <c r="U182">
        <f t="shared" si="71"/>
        <v>39.645164555767614</v>
      </c>
      <c r="V182">
        <f t="shared" si="71"/>
        <v>37.719107043954978</v>
      </c>
      <c r="W182">
        <f t="shared" si="71"/>
        <v>35.886622041687374</v>
      </c>
      <c r="X182">
        <f t="shared" si="71"/>
        <v>34.143163571241523</v>
      </c>
      <c r="Y182">
        <f t="shared" si="71"/>
        <v>32.484406509433065</v>
      </c>
      <c r="Z182">
        <f t="shared" si="71"/>
        <v>30.906235857971694</v>
      </c>
      <c r="AA182">
        <f t="shared" si="71"/>
        <v>29.404736535087945</v>
      </c>
      <c r="AB182">
        <f t="shared" si="71"/>
        <v>27.976183663107545</v>
      </c>
      <c r="AC182">
        <f t="shared" si="71"/>
        <v>26.617033327878588</v>
      </c>
      <c r="AD182">
        <f t="shared" si="71"/>
        <v>25.323913787128195</v>
      </c>
      <c r="AE182">
        <f t="shared" si="71"/>
        <v>24.093617105938147</v>
      </c>
      <c r="AF182">
        <f t="shared" si="71"/>
        <v>22.923091198589404</v>
      </c>
      <c r="AG182">
        <f t="shared" si="71"/>
        <v>21.809432257032906</v>
      </c>
      <c r="AH182">
        <f t="shared" ref="AH182:AT182" si="72">AH181/AH180/AH179</f>
        <v>20.74987754720345</v>
      </c>
      <c r="AI182">
        <f t="shared" si="72"/>
        <v>19.741798555306065</v>
      </c>
      <c r="AJ182">
        <f t="shared" si="72"/>
        <v>18.782694467072254</v>
      </c>
      <c r="AK182">
        <f t="shared" si="72"/>
        <v>17.870185963809561</v>
      </c>
      <c r="AL182">
        <f t="shared" si="72"/>
        <v>17.002009319854199</v>
      </c>
      <c r="AM182">
        <f t="shared" si="72"/>
        <v>16.176010786783415</v>
      </c>
      <c r="AN182">
        <f t="shared" si="72"/>
        <v>15.390141250456466</v>
      </c>
      <c r="AO182">
        <f t="shared" si="72"/>
        <v>14.642451147629364</v>
      </c>
      <c r="AP182">
        <f t="shared" si="72"/>
        <v>13.931085629532694</v>
      </c>
      <c r="AQ182">
        <f t="shared" si="72"/>
        <v>13.254279960414509</v>
      </c>
      <c r="AR182">
        <f t="shared" si="72"/>
        <v>12.610355139633054</v>
      </c>
      <c r="AS182">
        <f t="shared" si="72"/>
        <v>11.997713736438733</v>
      </c>
      <c r="AT182">
        <f t="shared" si="72"/>
        <v>11.414835927112454</v>
      </c>
      <c r="AU182">
        <f t="shared" ref="AU182:BA182" si="73">AU181/AU180/AU179</f>
        <v>10.860275724629322</v>
      </c>
      <c r="AV182">
        <f t="shared" si="73"/>
        <v>10.332657391494266</v>
      </c>
      <c r="AW182">
        <f t="shared" si="73"/>
        <v>9.8306720268508894</v>
      </c>
      <c r="AX182">
        <f t="shared" si="73"/>
        <v>9.3530743193966064</v>
      </c>
      <c r="AY182">
        <f t="shared" si="73"/>
        <v>8.8986794580491306</v>
      </c>
      <c r="AZ182">
        <f t="shared" si="73"/>
        <v>8.4663601927001579</v>
      </c>
      <c r="BA182">
        <f t="shared" si="73"/>
        <v>8.0550440377646986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D8E7B-7153-400D-852D-63D228A4ECFB}">
  <dimension ref="B1:T52"/>
  <sheetViews>
    <sheetView zoomScale="115" zoomScaleNormal="115" workbookViewId="0">
      <selection activeCell="N31" sqref="N31"/>
    </sheetView>
  </sheetViews>
  <sheetFormatPr defaultRowHeight="14.4" x14ac:dyDescent="0.55000000000000004"/>
  <cols>
    <col min="2" max="2" width="33.9453125" customWidth="1"/>
    <col min="3" max="3" width="3.9453125" customWidth="1"/>
  </cols>
  <sheetData>
    <row r="1" spans="2:16" ht="14.7" thickBot="1" x14ac:dyDescent="0.6"/>
    <row r="2" spans="2:16" x14ac:dyDescent="0.55000000000000004">
      <c r="B2" t="s">
        <v>57</v>
      </c>
      <c r="J2" s="23" t="s">
        <v>158</v>
      </c>
      <c r="K2" s="24"/>
      <c r="L2" s="24"/>
      <c r="M2" s="24"/>
      <c r="N2" s="25"/>
    </row>
    <row r="3" spans="2:16" x14ac:dyDescent="0.55000000000000004">
      <c r="B3" t="s">
        <v>64</v>
      </c>
      <c r="C3" t="s">
        <v>61</v>
      </c>
      <c r="D3">
        <f>'Oleo Sizing'!B16</f>
        <v>1254.7209322703725</v>
      </c>
      <c r="E3" t="s">
        <v>46</v>
      </c>
      <c r="F3" t="s">
        <v>66</v>
      </c>
      <c r="G3">
        <f>'Worksheet Inputs'!B6</f>
        <v>327.60000000000002</v>
      </c>
      <c r="J3" s="13" t="str">
        <f>IF(L46&gt;25,"Tipback Greater than goal &lt; 25 degrees","Tipback passes goal &lt; 25 degrees")</f>
        <v>Tipback passes goal &lt; 25 degrees</v>
      </c>
      <c r="K3" s="5"/>
      <c r="L3" s="5"/>
      <c r="M3" s="5"/>
      <c r="N3" s="6">
        <f>L46</f>
        <v>24.72665148326703</v>
      </c>
    </row>
    <row r="4" spans="2:16" ht="14.7" thickBot="1" x14ac:dyDescent="0.6">
      <c r="B4" t="s">
        <v>65</v>
      </c>
      <c r="C4" t="s">
        <v>61</v>
      </c>
      <c r="D4">
        <f>'Oleo Sizing'!I16</f>
        <v>1965.6000000000001</v>
      </c>
      <c r="E4" t="s">
        <v>46</v>
      </c>
      <c r="F4" t="s">
        <v>66</v>
      </c>
      <c r="G4">
        <f>'Worksheet Inputs'!B12</f>
        <v>327.60000000000002</v>
      </c>
      <c r="J4" s="14" t="str">
        <f>IF(S25&gt;55,"Turnover greater than goal &lt; 55 degrees","Turnover passes goal &lt; 55 degrees")</f>
        <v>Turnover passes goal &lt; 55 degrees</v>
      </c>
      <c r="K4" s="10"/>
      <c r="L4" s="10"/>
      <c r="M4" s="10"/>
      <c r="N4" s="11">
        <f>S25</f>
        <v>36.31619763633816</v>
      </c>
    </row>
    <row r="5" spans="2:16" x14ac:dyDescent="0.55000000000000004">
      <c r="B5" t="s">
        <v>58</v>
      </c>
      <c r="C5" t="s">
        <v>62</v>
      </c>
      <c r="D5" s="12">
        <v>22</v>
      </c>
      <c r="E5" t="s">
        <v>46</v>
      </c>
    </row>
    <row r="6" spans="2:16" x14ac:dyDescent="0.55000000000000004">
      <c r="B6" t="s">
        <v>59</v>
      </c>
      <c r="C6" t="s">
        <v>62</v>
      </c>
      <c r="D6" s="12">
        <v>30.7</v>
      </c>
      <c r="E6" t="s">
        <v>46</v>
      </c>
      <c r="F6">
        <f>D6/2</f>
        <v>15.35</v>
      </c>
    </row>
    <row r="7" spans="2:16" x14ac:dyDescent="0.55000000000000004">
      <c r="B7" t="s">
        <v>60</v>
      </c>
      <c r="C7" t="s">
        <v>61</v>
      </c>
      <c r="D7" s="12">
        <v>46.5</v>
      </c>
      <c r="E7" t="s">
        <v>46</v>
      </c>
      <c r="F7">
        <f>D7/2</f>
        <v>23.25</v>
      </c>
    </row>
    <row r="8" spans="2:16" x14ac:dyDescent="0.55000000000000004">
      <c r="B8" t="s">
        <v>63</v>
      </c>
      <c r="C8" t="s">
        <v>62</v>
      </c>
      <c r="D8" s="15">
        <f>'Oleo Sizing'!J16</f>
        <v>164.6</v>
      </c>
      <c r="E8" t="s">
        <v>46</v>
      </c>
    </row>
    <row r="10" spans="2:16" x14ac:dyDescent="0.55000000000000004">
      <c r="N10">
        <f>D7</f>
        <v>46.5</v>
      </c>
    </row>
    <row r="13" spans="2:16" x14ac:dyDescent="0.55000000000000004">
      <c r="I13" t="s">
        <v>73</v>
      </c>
      <c r="L13">
        <f>D6</f>
        <v>30.7</v>
      </c>
    </row>
    <row r="14" spans="2:16" x14ac:dyDescent="0.55000000000000004">
      <c r="I14">
        <f>M26-D22</f>
        <v>710.87906772962765</v>
      </c>
    </row>
    <row r="16" spans="2:16" x14ac:dyDescent="0.55000000000000004">
      <c r="D16">
        <f>C18/2/TAN(G19)</f>
        <v>50.909308235845728</v>
      </c>
      <c r="G16" s="15">
        <f>'Worksheet Inputs'!B17-D22</f>
        <v>641.15906772962762</v>
      </c>
      <c r="H16" t="s">
        <v>134</v>
      </c>
      <c r="P16">
        <f>2*D8</f>
        <v>329.2</v>
      </c>
    </row>
    <row r="18" spans="3:20" x14ac:dyDescent="0.55000000000000004">
      <c r="C18">
        <f>D5</f>
        <v>22</v>
      </c>
      <c r="M18" t="s">
        <v>70</v>
      </c>
    </row>
    <row r="19" spans="3:20" x14ac:dyDescent="0.55000000000000004">
      <c r="G19">
        <f>(ATAN((P19-C18/2)/I14))</f>
        <v>0.21279914299410468</v>
      </c>
      <c r="P19">
        <f>D8</f>
        <v>164.6</v>
      </c>
    </row>
    <row r="21" spans="3:20" x14ac:dyDescent="0.55000000000000004">
      <c r="D21" s="1" t="s">
        <v>71</v>
      </c>
      <c r="R21" t="s">
        <v>128</v>
      </c>
      <c r="S21" s="15">
        <f>'Worksheet Inputs'!B19</f>
        <v>479.15999999999997</v>
      </c>
      <c r="T21" t="s">
        <v>46</v>
      </c>
    </row>
    <row r="22" spans="3:20" x14ac:dyDescent="0.55000000000000004">
      <c r="D22" s="1">
        <f>D3</f>
        <v>1254.7209322703725</v>
      </c>
      <c r="J22">
        <f>G16+D16*SIN(G19)</f>
        <v>651.91094705337127</v>
      </c>
    </row>
    <row r="24" spans="3:20" x14ac:dyDescent="0.55000000000000004">
      <c r="S24" t="s">
        <v>127</v>
      </c>
    </row>
    <row r="25" spans="3:20" x14ac:dyDescent="0.55000000000000004">
      <c r="M25" t="s">
        <v>72</v>
      </c>
      <c r="S25">
        <f>DEGREES(ATAN(S21/J22))</f>
        <v>36.31619763633816</v>
      </c>
    </row>
    <row r="26" spans="3:20" x14ac:dyDescent="0.55000000000000004">
      <c r="M26">
        <f>D4</f>
        <v>1965.6000000000001</v>
      </c>
    </row>
    <row r="36" spans="4:18" x14ac:dyDescent="0.55000000000000004">
      <c r="D36" t="s">
        <v>140</v>
      </c>
      <c r="E36">
        <f>D3</f>
        <v>1254.7209322703725</v>
      </c>
      <c r="F36" t="s">
        <v>46</v>
      </c>
      <c r="K36" t="s">
        <v>138</v>
      </c>
      <c r="L36">
        <f>'Worksheet Inputs'!B17</f>
        <v>1895.88</v>
      </c>
      <c r="M36" t="s">
        <v>46</v>
      </c>
      <c r="N36" t="s">
        <v>139</v>
      </c>
      <c r="O36">
        <f>'Oleo Sizing'!I16</f>
        <v>1965.6000000000001</v>
      </c>
      <c r="P36" t="s">
        <v>46</v>
      </c>
    </row>
    <row r="37" spans="4:18" x14ac:dyDescent="0.55000000000000004">
      <c r="K37" t="s">
        <v>156</v>
      </c>
      <c r="L37">
        <f>'Worksheet Inputs'!B19</f>
        <v>479.15999999999997</v>
      </c>
    </row>
    <row r="39" spans="4:18" x14ac:dyDescent="0.55000000000000004">
      <c r="H39">
        <f>L36-E36</f>
        <v>641.15906772962762</v>
      </c>
      <c r="M39">
        <f>O36-L36</f>
        <v>69.720000000000027</v>
      </c>
    </row>
    <row r="46" spans="4:18" x14ac:dyDescent="0.55000000000000004">
      <c r="K46" t="s">
        <v>157</v>
      </c>
      <c r="L46" s="15">
        <f>DEGREES(ATAN(M39/(L37-M49)))</f>
        <v>24.72665148326703</v>
      </c>
    </row>
    <row r="47" spans="4:18" x14ac:dyDescent="0.55000000000000004">
      <c r="R47">
        <f>DEGREES(ATAN(('Worksheet Inputs'!B29-'Gear Geom'!M49)/('Worksheet Inputs'!B27-'Gear Geom'!O36)))+E49</f>
        <v>13.840695214636412</v>
      </c>
    </row>
    <row r="49" spans="5:13" x14ac:dyDescent="0.55000000000000004">
      <c r="E49">
        <f>'Oleo Sizing'!N14</f>
        <v>-1.9074374500810697E-3</v>
      </c>
      <c r="F49" t="s">
        <v>148</v>
      </c>
      <c r="L49" t="s">
        <v>141</v>
      </c>
      <c r="M49">
        <f>'Oleo Sizing'!K16</f>
        <v>327.76338979850095</v>
      </c>
    </row>
    <row r="52" spans="5:13" x14ac:dyDescent="0.55000000000000004">
      <c r="E52" s="49"/>
      <c r="F52" s="49"/>
      <c r="G52" s="49"/>
    </row>
  </sheetData>
  <mergeCells count="1">
    <mergeCell ref="E52:G52"/>
  </mergeCells>
  <conditionalFormatting sqref="N3">
    <cfRule type="cellIs" dxfId="6" priority="3" operator="lessThanOrEqual">
      <formula>25</formula>
    </cfRule>
    <cfRule type="cellIs" dxfId="5" priority="4" operator="greaterThan">
      <formula>25</formula>
    </cfRule>
  </conditionalFormatting>
  <conditionalFormatting sqref="N4">
    <cfRule type="cellIs" dxfId="4" priority="1" operator="lessThanOrEqual">
      <formula>55</formula>
    </cfRule>
    <cfRule type="cellIs" dxfId="3" priority="2" operator="greaterThan">
      <formula>55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6AA7-108E-422F-B084-BCAD712DF323}">
  <dimension ref="B2:BC172"/>
  <sheetViews>
    <sheetView topLeftCell="B1" zoomScaleNormal="100" workbookViewId="0">
      <selection activeCell="H13" sqref="H13"/>
    </sheetView>
  </sheetViews>
  <sheetFormatPr defaultRowHeight="14.4" x14ac:dyDescent="0.55000000000000004"/>
  <cols>
    <col min="2" max="2" width="24.41796875" style="1" bestFit="1" customWidth="1"/>
    <col min="3" max="3" width="11.68359375" bestFit="1" customWidth="1"/>
    <col min="4" max="4" width="10.68359375" bestFit="1" customWidth="1"/>
    <col min="5" max="5" width="9.68359375" bestFit="1" customWidth="1"/>
    <col min="8" max="8" width="11.68359375" bestFit="1" customWidth="1"/>
    <col min="10" max="10" width="11.89453125" customWidth="1"/>
    <col min="11" max="11" width="8.68359375" customWidth="1"/>
    <col min="12" max="12" width="8.26171875" customWidth="1"/>
  </cols>
  <sheetData>
    <row r="2" spans="2:12" x14ac:dyDescent="0.55000000000000004">
      <c r="B2" s="1" t="s">
        <v>209</v>
      </c>
    </row>
    <row r="3" spans="2:12" x14ac:dyDescent="0.55000000000000004">
      <c r="B3" s="1" t="s">
        <v>337</v>
      </c>
    </row>
    <row r="4" spans="2:12" x14ac:dyDescent="0.55000000000000004">
      <c r="C4" s="12"/>
    </row>
    <row r="5" spans="2:12" x14ac:dyDescent="0.55000000000000004">
      <c r="B5" s="1" t="s">
        <v>269</v>
      </c>
      <c r="C5">
        <f>'Worksheet Inputs'!A20</f>
        <v>415000</v>
      </c>
      <c r="D5" t="s">
        <v>215</v>
      </c>
      <c r="E5">
        <f>C5*0.453592</f>
        <v>188240.68</v>
      </c>
      <c r="F5" t="s">
        <v>340</v>
      </c>
      <c r="K5" s="36"/>
      <c r="L5" s="36"/>
    </row>
    <row r="6" spans="2:12" x14ac:dyDescent="0.55000000000000004">
      <c r="B6" s="1" t="s">
        <v>213</v>
      </c>
      <c r="C6">
        <f>'Worksheet Inputs'!A23</f>
        <v>185</v>
      </c>
      <c r="D6" t="s">
        <v>214</v>
      </c>
      <c r="K6" s="36"/>
      <c r="L6" s="36"/>
    </row>
    <row r="7" spans="2:12" x14ac:dyDescent="0.55000000000000004">
      <c r="B7" s="1" t="s">
        <v>213</v>
      </c>
      <c r="C7" s="12">
        <v>200</v>
      </c>
      <c r="D7" t="s">
        <v>323</v>
      </c>
      <c r="E7">
        <f>C7*0.514</f>
        <v>102.8</v>
      </c>
      <c r="F7" t="s">
        <v>339</v>
      </c>
      <c r="K7" s="36"/>
      <c r="L7" s="36"/>
    </row>
    <row r="8" spans="2:12" x14ac:dyDescent="0.55000000000000004">
      <c r="B8" s="1" t="s">
        <v>270</v>
      </c>
      <c r="C8">
        <f>C5*0.65</f>
        <v>269750</v>
      </c>
      <c r="E8">
        <f>C8*0.453592</f>
        <v>122356.442</v>
      </c>
      <c r="F8" t="s">
        <v>340</v>
      </c>
      <c r="K8" s="36"/>
      <c r="L8" s="36"/>
    </row>
    <row r="9" spans="2:12" x14ac:dyDescent="0.55000000000000004">
      <c r="B9" s="1" t="s">
        <v>266</v>
      </c>
      <c r="C9">
        <f>'Worksheet Inputs'!A24</f>
        <v>165</v>
      </c>
      <c r="D9" t="s">
        <v>214</v>
      </c>
      <c r="K9" s="36"/>
      <c r="L9" s="36"/>
    </row>
    <row r="10" spans="2:12" x14ac:dyDescent="0.55000000000000004">
      <c r="B10" s="1" t="s">
        <v>266</v>
      </c>
      <c r="C10" s="12">
        <v>178</v>
      </c>
      <c r="D10" t="s">
        <v>323</v>
      </c>
      <c r="E10">
        <f>C10*0.514</f>
        <v>91.492000000000004</v>
      </c>
      <c r="F10" t="s">
        <v>339</v>
      </c>
      <c r="K10" s="36"/>
      <c r="L10" s="36"/>
    </row>
    <row r="11" spans="2:12" x14ac:dyDescent="0.55000000000000004">
      <c r="K11" s="36"/>
      <c r="L11" s="36"/>
    </row>
    <row r="12" spans="2:12" x14ac:dyDescent="0.55000000000000004">
      <c r="B12" s="1" t="s">
        <v>338</v>
      </c>
      <c r="C12" s="40">
        <f>0.5*E5*E7^2</f>
        <v>994648693.86559999</v>
      </c>
      <c r="D12" t="s">
        <v>342</v>
      </c>
      <c r="E12" t="s">
        <v>344</v>
      </c>
      <c r="F12">
        <v>50</v>
      </c>
      <c r="G12" t="s">
        <v>211</v>
      </c>
      <c r="H12" s="40">
        <f>C12/1.356</f>
        <v>733516735.88908553</v>
      </c>
      <c r="K12" s="37"/>
      <c r="L12" s="36"/>
    </row>
    <row r="13" spans="2:12" x14ac:dyDescent="0.55000000000000004">
      <c r="B13" s="1" t="s">
        <v>341</v>
      </c>
      <c r="C13" s="40">
        <f>0.5*E8*E10^2</f>
        <v>512109799.76711226</v>
      </c>
      <c r="D13" t="s">
        <v>342</v>
      </c>
      <c r="E13" t="s">
        <v>345</v>
      </c>
      <c r="F13" s="39">
        <v>1800</v>
      </c>
      <c r="G13" t="s">
        <v>211</v>
      </c>
      <c r="H13" s="40">
        <f>C13/1.356</f>
        <v>377662094.22353411</v>
      </c>
      <c r="K13" s="37"/>
      <c r="L13" s="36"/>
    </row>
    <row r="14" spans="2:12" x14ac:dyDescent="0.55000000000000004">
      <c r="E14" t="s">
        <v>346</v>
      </c>
      <c r="F14">
        <v>1.42</v>
      </c>
      <c r="K14" s="37"/>
      <c r="L14" s="36"/>
    </row>
    <row r="15" spans="2:12" x14ac:dyDescent="0.55000000000000004">
      <c r="K15" s="37"/>
      <c r="L15" s="36"/>
    </row>
    <row r="16" spans="2:12" x14ac:dyDescent="0.55000000000000004">
      <c r="C16" t="s">
        <v>362</v>
      </c>
      <c r="F16" t="s">
        <v>359</v>
      </c>
      <c r="H16" t="s">
        <v>360</v>
      </c>
      <c r="K16" s="37"/>
      <c r="L16" s="36"/>
    </row>
    <row r="17" spans="2:12" x14ac:dyDescent="0.55000000000000004">
      <c r="B17" s="1" t="s">
        <v>343</v>
      </c>
      <c r="C17" s="41">
        <f>C12/F14/(F13-F12)/1000</f>
        <v>400.26104380909459</v>
      </c>
      <c r="D17" t="s">
        <v>340</v>
      </c>
      <c r="E17" t="s">
        <v>356</v>
      </c>
      <c r="F17" s="27">
        <f>C12/2000/1000</f>
        <v>497.32434693280004</v>
      </c>
      <c r="G17" s="39" t="s">
        <v>340</v>
      </c>
      <c r="H17" s="27">
        <f>C12/2700/1000</f>
        <v>368.38840513540742</v>
      </c>
      <c r="I17" s="39" t="s">
        <v>340</v>
      </c>
      <c r="K17" s="37"/>
      <c r="L17" s="36"/>
    </row>
    <row r="18" spans="2:12" x14ac:dyDescent="0.55000000000000004">
      <c r="C18" s="41">
        <f>C17*2.205</f>
        <v>882.57560159905358</v>
      </c>
      <c r="D18" t="s">
        <v>48</v>
      </c>
      <c r="F18" s="41">
        <f>F17*2.205</f>
        <v>1096.6001849868242</v>
      </c>
      <c r="G18" s="39" t="s">
        <v>48</v>
      </c>
      <c r="H18" s="41">
        <f>H17*2.205</f>
        <v>812.29643332357341</v>
      </c>
      <c r="I18" s="39" t="s">
        <v>48</v>
      </c>
      <c r="K18" s="37"/>
      <c r="L18" s="36"/>
    </row>
    <row r="19" spans="2:12" x14ac:dyDescent="0.55000000000000004">
      <c r="C19">
        <f>C18/12</f>
        <v>73.547966799921127</v>
      </c>
      <c r="D19" t="s">
        <v>347</v>
      </c>
      <c r="F19" s="41">
        <f>F18/12</f>
        <v>91.383348748902009</v>
      </c>
      <c r="G19" s="39" t="s">
        <v>347</v>
      </c>
      <c r="H19" s="41">
        <f>H18/12</f>
        <v>67.691369443631118</v>
      </c>
      <c r="I19" s="39" t="s">
        <v>347</v>
      </c>
      <c r="K19" s="37"/>
      <c r="L19" s="36"/>
    </row>
    <row r="20" spans="2:12" x14ac:dyDescent="0.55000000000000004">
      <c r="F20" s="39"/>
      <c r="H20" s="39"/>
      <c r="K20" s="37"/>
      <c r="L20" s="36"/>
    </row>
    <row r="21" spans="2:12" x14ac:dyDescent="0.55000000000000004">
      <c r="B21" s="1" t="s">
        <v>300</v>
      </c>
      <c r="C21">
        <f>C17*1000/1.8</f>
        <v>222367.2465606081</v>
      </c>
      <c r="D21" t="s">
        <v>354</v>
      </c>
      <c r="F21">
        <f>F17*1000/1.8</f>
        <v>276291.30385155557</v>
      </c>
      <c r="G21" t="s">
        <v>354</v>
      </c>
      <c r="H21">
        <f>H17*1000/1.8</f>
        <v>204660.22507522634</v>
      </c>
      <c r="I21" t="s">
        <v>354</v>
      </c>
      <c r="K21" s="37"/>
      <c r="L21" s="36"/>
    </row>
    <row r="22" spans="2:12" x14ac:dyDescent="0.55000000000000004">
      <c r="C22">
        <f>C21/16.387</f>
        <v>13569.734946030883</v>
      </c>
      <c r="D22" t="s">
        <v>89</v>
      </c>
      <c r="F22">
        <f>F21/16.387</f>
        <v>16860.395670443373</v>
      </c>
      <c r="G22" t="s">
        <v>89</v>
      </c>
      <c r="H22">
        <f>H21/16.387</f>
        <v>12489.181978106202</v>
      </c>
      <c r="I22" t="s">
        <v>89</v>
      </c>
      <c r="K22" s="37"/>
      <c r="L22" s="36"/>
    </row>
    <row r="23" spans="2:12" x14ac:dyDescent="0.55000000000000004">
      <c r="C23">
        <f>C22/12</f>
        <v>1130.8112455025737</v>
      </c>
      <c r="D23" t="s">
        <v>355</v>
      </c>
      <c r="F23">
        <f>F22/12</f>
        <v>1405.0329725369477</v>
      </c>
      <c r="G23" t="s">
        <v>355</v>
      </c>
      <c r="H23">
        <f>H22/12</f>
        <v>1040.7651648421836</v>
      </c>
      <c r="I23" t="s">
        <v>355</v>
      </c>
      <c r="K23" s="37"/>
      <c r="L23" s="36"/>
    </row>
    <row r="24" spans="2:12" x14ac:dyDescent="0.55000000000000004">
      <c r="F24" s="39"/>
      <c r="K24" s="37"/>
      <c r="L24" s="36"/>
    </row>
    <row r="25" spans="2:12" x14ac:dyDescent="0.55000000000000004">
      <c r="D25" s="40"/>
      <c r="K25" s="37"/>
      <c r="L25" s="36"/>
    </row>
    <row r="26" spans="2:12" x14ac:dyDescent="0.55000000000000004">
      <c r="B26" s="1" t="s">
        <v>4</v>
      </c>
      <c r="C26">
        <v>19</v>
      </c>
      <c r="F26" s="39"/>
    </row>
    <row r="27" spans="2:12" x14ac:dyDescent="0.55000000000000004">
      <c r="B27" s="1" t="s">
        <v>348</v>
      </c>
      <c r="C27">
        <f>0.7091*C26+2.286</f>
        <v>15.758899999999999</v>
      </c>
    </row>
    <row r="28" spans="2:12" x14ac:dyDescent="0.55000000000000004">
      <c r="B28" s="1" t="s">
        <v>349</v>
      </c>
      <c r="C28">
        <f>0.417*C26+0.391</f>
        <v>8.3140000000000001</v>
      </c>
    </row>
    <row r="29" spans="2:12" x14ac:dyDescent="0.55000000000000004">
      <c r="B29" s="1" t="s">
        <v>350</v>
      </c>
      <c r="C29">
        <f>1.442*C26-11.25</f>
        <v>16.148</v>
      </c>
    </row>
    <row r="30" spans="2:12" x14ac:dyDescent="0.55000000000000004">
      <c r="B30" s="1" t="s">
        <v>351</v>
      </c>
      <c r="C30">
        <f>0.788*C26+2.322</f>
        <v>17.294</v>
      </c>
    </row>
    <row r="31" spans="2:12" x14ac:dyDescent="0.55000000000000004">
      <c r="B31" s="1" t="s">
        <v>352</v>
      </c>
      <c r="C31">
        <f>0.6645*C26-2.361</f>
        <v>10.264499999999998</v>
      </c>
    </row>
    <row r="32" spans="2:12" x14ac:dyDescent="0.55000000000000004">
      <c r="B32" s="1" t="s">
        <v>353</v>
      </c>
      <c r="C32">
        <f>0.35*C26+2.217</f>
        <v>8.8669999999999991</v>
      </c>
    </row>
    <row r="33" spans="2:9" x14ac:dyDescent="0.55000000000000004">
      <c r="F33" s="30"/>
    </row>
    <row r="34" spans="2:9" x14ac:dyDescent="0.55000000000000004">
      <c r="B34" s="1" t="s">
        <v>357</v>
      </c>
      <c r="C34" s="35">
        <f>3.1415*C27^2/4-3.1415*C31^2/4</f>
        <v>112.29524924696001</v>
      </c>
      <c r="D34" t="s">
        <v>358</v>
      </c>
    </row>
    <row r="35" spans="2:9" x14ac:dyDescent="0.55000000000000004">
      <c r="C35" s="35"/>
    </row>
    <row r="36" spans="2:9" x14ac:dyDescent="0.55000000000000004">
      <c r="C36" s="35"/>
    </row>
    <row r="37" spans="2:9" x14ac:dyDescent="0.55000000000000004">
      <c r="B37" s="1" t="s">
        <v>361</v>
      </c>
      <c r="C37">
        <f>C23/C34</f>
        <v>10.069982951956325</v>
      </c>
      <c r="E37" t="s">
        <v>361</v>
      </c>
      <c r="F37">
        <f>F23/C34</f>
        <v>12.511953817805733</v>
      </c>
      <c r="G37" t="s">
        <v>46</v>
      </c>
      <c r="H37">
        <f>H23/C34</f>
        <v>9.2681139391153593</v>
      </c>
      <c r="I37" t="s">
        <v>46</v>
      </c>
    </row>
    <row r="38" spans="2:9" x14ac:dyDescent="0.55000000000000004">
      <c r="B38" s="1" t="s">
        <v>363</v>
      </c>
      <c r="C38">
        <f>C37+3.5</f>
        <v>13.569982951956325</v>
      </c>
      <c r="F38">
        <f>F37+3.5</f>
        <v>16.011953817805733</v>
      </c>
      <c r="H38">
        <f>H37+3.5</f>
        <v>12.768113939115359</v>
      </c>
    </row>
    <row r="46" spans="2:9" x14ac:dyDescent="0.55000000000000004">
      <c r="G46" s="39"/>
      <c r="H46" s="39"/>
      <c r="I46" s="39"/>
    </row>
    <row r="80" spans="3:3" x14ac:dyDescent="0.55000000000000004">
      <c r="C80" s="12"/>
    </row>
    <row r="102" spans="3:3" x14ac:dyDescent="0.55000000000000004">
      <c r="C102" s="12"/>
    </row>
    <row r="149" spans="2:55" x14ac:dyDescent="0.55000000000000004">
      <c r="B149" s="1" t="s">
        <v>335</v>
      </c>
    </row>
    <row r="150" spans="2:55" x14ac:dyDescent="0.55000000000000004">
      <c r="B150" s="1" t="s">
        <v>336</v>
      </c>
    </row>
    <row r="152" spans="2:55" x14ac:dyDescent="0.55000000000000004">
      <c r="B152" s="1" t="s">
        <v>318</v>
      </c>
    </row>
    <row r="153" spans="2:55" x14ac:dyDescent="0.55000000000000004">
      <c r="B153" s="1" t="s">
        <v>317</v>
      </c>
      <c r="C153">
        <v>0</v>
      </c>
      <c r="D153">
        <v>6</v>
      </c>
      <c r="E153">
        <v>12</v>
      </c>
      <c r="F153">
        <v>18</v>
      </c>
      <c r="G153">
        <v>24</v>
      </c>
      <c r="X153">
        <v>114</v>
      </c>
      <c r="Y153">
        <v>120</v>
      </c>
      <c r="Z153">
        <v>126</v>
      </c>
      <c r="AA153">
        <v>132</v>
      </c>
      <c r="AB153">
        <v>138</v>
      </c>
      <c r="AC153">
        <v>144</v>
      </c>
      <c r="AD153">
        <v>150</v>
      </c>
      <c r="AE153">
        <v>156</v>
      </c>
      <c r="AF153">
        <v>162</v>
      </c>
      <c r="AG153">
        <v>168</v>
      </c>
      <c r="AH153">
        <v>174</v>
      </c>
      <c r="AI153">
        <v>180</v>
      </c>
      <c r="AJ153">
        <v>186</v>
      </c>
      <c r="AK153">
        <v>192</v>
      </c>
      <c r="AL153">
        <v>198</v>
      </c>
      <c r="AM153">
        <v>204</v>
      </c>
      <c r="AN153">
        <v>210</v>
      </c>
      <c r="AO153">
        <v>216</v>
      </c>
      <c r="AP153">
        <v>222</v>
      </c>
      <c r="AQ153">
        <v>228</v>
      </c>
      <c r="AR153">
        <v>234</v>
      </c>
      <c r="AS153">
        <v>240</v>
      </c>
      <c r="AT153">
        <v>246</v>
      </c>
      <c r="AU153">
        <v>252</v>
      </c>
      <c r="AV153">
        <v>258</v>
      </c>
      <c r="AW153">
        <v>264</v>
      </c>
      <c r="AX153">
        <v>270</v>
      </c>
      <c r="AY153">
        <v>276</v>
      </c>
      <c r="AZ153">
        <v>282</v>
      </c>
      <c r="BA153">
        <v>288</v>
      </c>
      <c r="BB153">
        <v>294</v>
      </c>
      <c r="BC153">
        <v>300</v>
      </c>
    </row>
    <row r="154" spans="2:55" x14ac:dyDescent="0.55000000000000004">
      <c r="B154" s="1" t="s">
        <v>310</v>
      </c>
      <c r="C154">
        <v>200</v>
      </c>
      <c r="D154">
        <f t="shared" ref="D154:BC154" si="0">C154</f>
        <v>200</v>
      </c>
      <c r="E154">
        <f t="shared" si="0"/>
        <v>200</v>
      </c>
      <c r="F154">
        <f t="shared" si="0"/>
        <v>200</v>
      </c>
      <c r="G154">
        <f t="shared" si="0"/>
        <v>200</v>
      </c>
      <c r="X154">
        <f t="shared" si="0"/>
        <v>0</v>
      </c>
      <c r="Y154">
        <f t="shared" si="0"/>
        <v>0</v>
      </c>
      <c r="Z154">
        <f t="shared" si="0"/>
        <v>0</v>
      </c>
      <c r="AA154">
        <f t="shared" si="0"/>
        <v>0</v>
      </c>
      <c r="AB154">
        <f t="shared" si="0"/>
        <v>0</v>
      </c>
      <c r="AC154">
        <f t="shared" si="0"/>
        <v>0</v>
      </c>
      <c r="AD154">
        <f t="shared" si="0"/>
        <v>0</v>
      </c>
      <c r="AE154">
        <f t="shared" si="0"/>
        <v>0</v>
      </c>
      <c r="AF154">
        <f t="shared" si="0"/>
        <v>0</v>
      </c>
      <c r="AG154">
        <f t="shared" si="0"/>
        <v>0</v>
      </c>
      <c r="AH154">
        <f t="shared" si="0"/>
        <v>0</v>
      </c>
      <c r="AI154">
        <f t="shared" si="0"/>
        <v>0</v>
      </c>
      <c r="AJ154">
        <f t="shared" si="0"/>
        <v>0</v>
      </c>
      <c r="AK154">
        <f t="shared" si="0"/>
        <v>0</v>
      </c>
      <c r="AL154">
        <f t="shared" si="0"/>
        <v>0</v>
      </c>
      <c r="AM154">
        <f t="shared" si="0"/>
        <v>0</v>
      </c>
      <c r="AN154">
        <f t="shared" si="0"/>
        <v>0</v>
      </c>
      <c r="AO154">
        <f t="shared" si="0"/>
        <v>0</v>
      </c>
      <c r="AP154">
        <f t="shared" si="0"/>
        <v>0</v>
      </c>
      <c r="AQ154">
        <f t="shared" si="0"/>
        <v>0</v>
      </c>
      <c r="AR154">
        <f t="shared" si="0"/>
        <v>0</v>
      </c>
      <c r="AS154">
        <f t="shared" si="0"/>
        <v>0</v>
      </c>
      <c r="AT154">
        <f t="shared" si="0"/>
        <v>0</v>
      </c>
      <c r="AU154">
        <f t="shared" si="0"/>
        <v>0</v>
      </c>
      <c r="AV154">
        <f t="shared" si="0"/>
        <v>0</v>
      </c>
      <c r="AW154">
        <f t="shared" si="0"/>
        <v>0</v>
      </c>
      <c r="AX154">
        <f t="shared" si="0"/>
        <v>0</v>
      </c>
      <c r="AY154">
        <f t="shared" si="0"/>
        <v>0</v>
      </c>
      <c r="AZ154">
        <f t="shared" si="0"/>
        <v>0</v>
      </c>
      <c r="BA154">
        <f t="shared" si="0"/>
        <v>0</v>
      </c>
      <c r="BB154">
        <f t="shared" si="0"/>
        <v>0</v>
      </c>
      <c r="BC154">
        <f t="shared" si="0"/>
        <v>0</v>
      </c>
    </row>
    <row r="155" spans="2:55" x14ac:dyDescent="0.55000000000000004">
      <c r="B155" s="1" t="s">
        <v>311</v>
      </c>
      <c r="C155">
        <v>400</v>
      </c>
      <c r="D155" t="e">
        <f t="shared" ref="D155:BC155" si="1">C155-C161/10</f>
        <v>#DIV/0!</v>
      </c>
      <c r="E155" t="e">
        <f t="shared" si="1"/>
        <v>#DIV/0!</v>
      </c>
      <c r="F155" t="e">
        <f t="shared" si="1"/>
        <v>#DIV/0!</v>
      </c>
      <c r="G155" t="e">
        <f t="shared" si="1"/>
        <v>#DIV/0!</v>
      </c>
      <c r="X155">
        <f t="shared" si="1"/>
        <v>0</v>
      </c>
      <c r="Y155" t="e">
        <f t="shared" si="1"/>
        <v>#DIV/0!</v>
      </c>
      <c r="Z155" t="e">
        <f t="shared" si="1"/>
        <v>#DIV/0!</v>
      </c>
      <c r="AA155" t="e">
        <f t="shared" si="1"/>
        <v>#DIV/0!</v>
      </c>
      <c r="AB155" t="e">
        <f t="shared" si="1"/>
        <v>#DIV/0!</v>
      </c>
      <c r="AC155" t="e">
        <f t="shared" si="1"/>
        <v>#DIV/0!</v>
      </c>
      <c r="AD155" t="e">
        <f t="shared" si="1"/>
        <v>#DIV/0!</v>
      </c>
      <c r="AE155" t="e">
        <f t="shared" si="1"/>
        <v>#DIV/0!</v>
      </c>
      <c r="AF155" t="e">
        <f t="shared" si="1"/>
        <v>#DIV/0!</v>
      </c>
      <c r="AG155" t="e">
        <f t="shared" si="1"/>
        <v>#DIV/0!</v>
      </c>
      <c r="AH155" t="e">
        <f t="shared" si="1"/>
        <v>#DIV/0!</v>
      </c>
      <c r="AI155" t="e">
        <f t="shared" si="1"/>
        <v>#DIV/0!</v>
      </c>
      <c r="AJ155" t="e">
        <f t="shared" si="1"/>
        <v>#DIV/0!</v>
      </c>
      <c r="AK155" t="e">
        <f t="shared" si="1"/>
        <v>#DIV/0!</v>
      </c>
      <c r="AL155" t="e">
        <f t="shared" si="1"/>
        <v>#DIV/0!</v>
      </c>
      <c r="AM155" t="e">
        <f t="shared" si="1"/>
        <v>#DIV/0!</v>
      </c>
      <c r="AN155" t="e">
        <f t="shared" si="1"/>
        <v>#DIV/0!</v>
      </c>
      <c r="AO155" t="e">
        <f t="shared" si="1"/>
        <v>#DIV/0!</v>
      </c>
      <c r="AP155" t="e">
        <f t="shared" si="1"/>
        <v>#DIV/0!</v>
      </c>
      <c r="AQ155" t="e">
        <f t="shared" si="1"/>
        <v>#DIV/0!</v>
      </c>
      <c r="AR155" t="e">
        <f t="shared" si="1"/>
        <v>#DIV/0!</v>
      </c>
      <c r="AS155" t="e">
        <f t="shared" si="1"/>
        <v>#DIV/0!</v>
      </c>
      <c r="AT155" t="e">
        <f t="shared" si="1"/>
        <v>#DIV/0!</v>
      </c>
      <c r="AU155" t="e">
        <f t="shared" si="1"/>
        <v>#DIV/0!</v>
      </c>
      <c r="AV155" t="e">
        <f t="shared" si="1"/>
        <v>#DIV/0!</v>
      </c>
      <c r="AW155" t="e">
        <f t="shared" si="1"/>
        <v>#DIV/0!</v>
      </c>
      <c r="AX155" t="e">
        <f t="shared" si="1"/>
        <v>#DIV/0!</v>
      </c>
      <c r="AY155" t="e">
        <f t="shared" si="1"/>
        <v>#DIV/0!</v>
      </c>
      <c r="AZ155" t="e">
        <f t="shared" si="1"/>
        <v>#DIV/0!</v>
      </c>
      <c r="BA155" t="e">
        <f t="shared" si="1"/>
        <v>#DIV/0!</v>
      </c>
      <c r="BB155" t="e">
        <f t="shared" si="1"/>
        <v>#DIV/0!</v>
      </c>
      <c r="BC155" t="e">
        <f t="shared" si="1"/>
        <v>#DIV/0!</v>
      </c>
    </row>
    <row r="156" spans="2:55" x14ac:dyDescent="0.55000000000000004">
      <c r="B156" s="1" t="s">
        <v>312</v>
      </c>
      <c r="C156">
        <f>$C$36/144</f>
        <v>0</v>
      </c>
      <c r="D156">
        <f t="shared" ref="D156:BC159" si="2">C156</f>
        <v>0</v>
      </c>
      <c r="E156">
        <f t="shared" si="2"/>
        <v>0</v>
      </c>
      <c r="F156">
        <f t="shared" si="2"/>
        <v>0</v>
      </c>
      <c r="G156">
        <f t="shared" si="2"/>
        <v>0</v>
      </c>
      <c r="X156">
        <f t="shared" si="2"/>
        <v>0</v>
      </c>
      <c r="Y156">
        <f t="shared" si="2"/>
        <v>0</v>
      </c>
      <c r="Z156">
        <f t="shared" si="2"/>
        <v>0</v>
      </c>
      <c r="AA156">
        <f t="shared" si="2"/>
        <v>0</v>
      </c>
      <c r="AB156">
        <f t="shared" si="2"/>
        <v>0</v>
      </c>
      <c r="AC156">
        <f t="shared" si="2"/>
        <v>0</v>
      </c>
      <c r="AD156">
        <f t="shared" si="2"/>
        <v>0</v>
      </c>
      <c r="AE156">
        <f t="shared" si="2"/>
        <v>0</v>
      </c>
      <c r="AF156">
        <f t="shared" si="2"/>
        <v>0</v>
      </c>
      <c r="AG156">
        <f t="shared" si="2"/>
        <v>0</v>
      </c>
      <c r="AH156">
        <f t="shared" si="2"/>
        <v>0</v>
      </c>
      <c r="AI156">
        <f t="shared" si="2"/>
        <v>0</v>
      </c>
      <c r="AJ156">
        <f t="shared" si="2"/>
        <v>0</v>
      </c>
      <c r="AK156">
        <f t="shared" si="2"/>
        <v>0</v>
      </c>
      <c r="AL156">
        <f t="shared" si="2"/>
        <v>0</v>
      </c>
      <c r="AM156">
        <f t="shared" si="2"/>
        <v>0</v>
      </c>
      <c r="AN156">
        <f t="shared" si="2"/>
        <v>0</v>
      </c>
      <c r="AO156">
        <f t="shared" si="2"/>
        <v>0</v>
      </c>
      <c r="AP156">
        <f t="shared" si="2"/>
        <v>0</v>
      </c>
      <c r="AQ156">
        <f t="shared" si="2"/>
        <v>0</v>
      </c>
      <c r="AR156">
        <f t="shared" si="2"/>
        <v>0</v>
      </c>
      <c r="AS156">
        <f t="shared" si="2"/>
        <v>0</v>
      </c>
      <c r="AT156">
        <f t="shared" si="2"/>
        <v>0</v>
      </c>
      <c r="AU156">
        <f t="shared" si="2"/>
        <v>0</v>
      </c>
      <c r="AV156">
        <f t="shared" si="2"/>
        <v>0</v>
      </c>
      <c r="AW156">
        <f t="shared" si="2"/>
        <v>0</v>
      </c>
      <c r="AX156">
        <f t="shared" si="2"/>
        <v>0</v>
      </c>
      <c r="AY156">
        <f t="shared" si="2"/>
        <v>0</v>
      </c>
      <c r="AZ156">
        <f t="shared" si="2"/>
        <v>0</v>
      </c>
      <c r="BA156">
        <f t="shared" si="2"/>
        <v>0</v>
      </c>
      <c r="BB156">
        <f t="shared" si="2"/>
        <v>0</v>
      </c>
      <c r="BC156">
        <f t="shared" si="2"/>
        <v>0</v>
      </c>
    </row>
    <row r="157" spans="2:55" x14ac:dyDescent="0.55000000000000004">
      <c r="B157" s="1" t="s">
        <v>313</v>
      </c>
      <c r="C157">
        <f>$C$53*0.33</f>
        <v>0</v>
      </c>
      <c r="D157">
        <f t="shared" si="2"/>
        <v>0</v>
      </c>
      <c r="E157">
        <f t="shared" si="2"/>
        <v>0</v>
      </c>
      <c r="F157">
        <f t="shared" si="2"/>
        <v>0</v>
      </c>
      <c r="G157">
        <f t="shared" si="2"/>
        <v>0</v>
      </c>
      <c r="X157">
        <f t="shared" si="2"/>
        <v>0</v>
      </c>
      <c r="Y157">
        <f t="shared" si="2"/>
        <v>0</v>
      </c>
      <c r="Z157">
        <f t="shared" si="2"/>
        <v>0</v>
      </c>
      <c r="AA157">
        <f t="shared" si="2"/>
        <v>0</v>
      </c>
      <c r="AB157">
        <f t="shared" si="2"/>
        <v>0</v>
      </c>
      <c r="AC157">
        <f t="shared" si="2"/>
        <v>0</v>
      </c>
      <c r="AD157">
        <f t="shared" si="2"/>
        <v>0</v>
      </c>
      <c r="AE157">
        <f t="shared" si="2"/>
        <v>0</v>
      </c>
      <c r="AF157">
        <f t="shared" si="2"/>
        <v>0</v>
      </c>
      <c r="AG157">
        <f t="shared" si="2"/>
        <v>0</v>
      </c>
      <c r="AH157">
        <f t="shared" si="2"/>
        <v>0</v>
      </c>
      <c r="AI157">
        <f t="shared" si="2"/>
        <v>0</v>
      </c>
      <c r="AJ157">
        <f t="shared" si="2"/>
        <v>0</v>
      </c>
      <c r="AK157">
        <f t="shared" si="2"/>
        <v>0</v>
      </c>
      <c r="AL157">
        <f t="shared" si="2"/>
        <v>0</v>
      </c>
      <c r="AM157">
        <f t="shared" si="2"/>
        <v>0</v>
      </c>
      <c r="AN157">
        <f t="shared" si="2"/>
        <v>0</v>
      </c>
      <c r="AO157">
        <f t="shared" si="2"/>
        <v>0</v>
      </c>
      <c r="AP157">
        <f t="shared" si="2"/>
        <v>0</v>
      </c>
      <c r="AQ157">
        <f t="shared" si="2"/>
        <v>0</v>
      </c>
      <c r="AR157">
        <f t="shared" si="2"/>
        <v>0</v>
      </c>
      <c r="AS157">
        <f t="shared" si="2"/>
        <v>0</v>
      </c>
      <c r="AT157">
        <f t="shared" si="2"/>
        <v>0</v>
      </c>
      <c r="AU157">
        <f t="shared" si="2"/>
        <v>0</v>
      </c>
      <c r="AV157">
        <f t="shared" si="2"/>
        <v>0</v>
      </c>
      <c r="AW157">
        <f t="shared" si="2"/>
        <v>0</v>
      </c>
      <c r="AX157">
        <f t="shared" si="2"/>
        <v>0</v>
      </c>
      <c r="AY157">
        <f t="shared" si="2"/>
        <v>0</v>
      </c>
      <c r="AZ157">
        <f t="shared" si="2"/>
        <v>0</v>
      </c>
      <c r="BA157">
        <f t="shared" si="2"/>
        <v>0</v>
      </c>
      <c r="BB157">
        <f t="shared" si="2"/>
        <v>0</v>
      </c>
      <c r="BC157">
        <f t="shared" si="2"/>
        <v>0</v>
      </c>
    </row>
    <row r="158" spans="2:55" x14ac:dyDescent="0.55000000000000004">
      <c r="B158" s="1" t="s">
        <v>120</v>
      </c>
      <c r="C158">
        <f>$C$46</f>
        <v>0</v>
      </c>
      <c r="D158">
        <f t="shared" si="2"/>
        <v>0</v>
      </c>
      <c r="E158">
        <f t="shared" si="2"/>
        <v>0</v>
      </c>
      <c r="F158">
        <f t="shared" si="2"/>
        <v>0</v>
      </c>
      <c r="G158">
        <f t="shared" si="2"/>
        <v>0</v>
      </c>
      <c r="X158">
        <f t="shared" si="2"/>
        <v>0</v>
      </c>
      <c r="Y158">
        <f t="shared" si="2"/>
        <v>0</v>
      </c>
      <c r="Z158">
        <f t="shared" si="2"/>
        <v>0</v>
      </c>
      <c r="AA158">
        <f t="shared" si="2"/>
        <v>0</v>
      </c>
      <c r="AB158">
        <f t="shared" si="2"/>
        <v>0</v>
      </c>
      <c r="AC158">
        <f t="shared" si="2"/>
        <v>0</v>
      </c>
      <c r="AD158">
        <f t="shared" si="2"/>
        <v>0</v>
      </c>
      <c r="AE158">
        <f t="shared" si="2"/>
        <v>0</v>
      </c>
      <c r="AF158">
        <f t="shared" si="2"/>
        <v>0</v>
      </c>
      <c r="AG158">
        <f t="shared" si="2"/>
        <v>0</v>
      </c>
      <c r="AH158">
        <f t="shared" si="2"/>
        <v>0</v>
      </c>
      <c r="AI158">
        <f t="shared" si="2"/>
        <v>0</v>
      </c>
      <c r="AJ158">
        <f t="shared" si="2"/>
        <v>0</v>
      </c>
      <c r="AK158">
        <f t="shared" si="2"/>
        <v>0</v>
      </c>
      <c r="AL158">
        <f t="shared" si="2"/>
        <v>0</v>
      </c>
      <c r="AM158">
        <f t="shared" si="2"/>
        <v>0</v>
      </c>
      <c r="AN158">
        <f t="shared" si="2"/>
        <v>0</v>
      </c>
      <c r="AO158">
        <f t="shared" si="2"/>
        <v>0</v>
      </c>
      <c r="AP158">
        <f t="shared" si="2"/>
        <v>0</v>
      </c>
      <c r="AQ158">
        <f t="shared" si="2"/>
        <v>0</v>
      </c>
      <c r="AR158">
        <f t="shared" si="2"/>
        <v>0</v>
      </c>
      <c r="AS158">
        <f t="shared" si="2"/>
        <v>0</v>
      </c>
      <c r="AT158">
        <f t="shared" si="2"/>
        <v>0</v>
      </c>
      <c r="AU158">
        <f t="shared" si="2"/>
        <v>0</v>
      </c>
      <c r="AV158">
        <f t="shared" si="2"/>
        <v>0</v>
      </c>
      <c r="AW158">
        <f t="shared" si="2"/>
        <v>0</v>
      </c>
      <c r="AX158">
        <f t="shared" si="2"/>
        <v>0</v>
      </c>
      <c r="AY158">
        <f t="shared" si="2"/>
        <v>0</v>
      </c>
      <c r="AZ158">
        <f t="shared" si="2"/>
        <v>0</v>
      </c>
      <c r="BA158">
        <f t="shared" si="2"/>
        <v>0</v>
      </c>
      <c r="BB158">
        <f t="shared" si="2"/>
        <v>0</v>
      </c>
      <c r="BC158">
        <f t="shared" si="2"/>
        <v>0</v>
      </c>
    </row>
    <row r="159" spans="2:55" x14ac:dyDescent="0.55000000000000004">
      <c r="B159" s="1" t="s">
        <v>314</v>
      </c>
      <c r="C159">
        <f>$C$48</f>
        <v>0</v>
      </c>
      <c r="D159">
        <f t="shared" si="2"/>
        <v>0</v>
      </c>
      <c r="E159">
        <f t="shared" si="2"/>
        <v>0</v>
      </c>
      <c r="F159">
        <f t="shared" si="2"/>
        <v>0</v>
      </c>
      <c r="G159">
        <f t="shared" si="2"/>
        <v>0</v>
      </c>
      <c r="X159">
        <f t="shared" si="2"/>
        <v>0</v>
      </c>
      <c r="Y159">
        <f t="shared" si="2"/>
        <v>0</v>
      </c>
      <c r="Z159">
        <f t="shared" si="2"/>
        <v>0</v>
      </c>
      <c r="AA159">
        <f t="shared" si="2"/>
        <v>0</v>
      </c>
      <c r="AB159">
        <f t="shared" si="2"/>
        <v>0</v>
      </c>
      <c r="AC159">
        <f t="shared" si="2"/>
        <v>0</v>
      </c>
      <c r="AD159">
        <f t="shared" si="2"/>
        <v>0</v>
      </c>
      <c r="AE159">
        <f t="shared" si="2"/>
        <v>0</v>
      </c>
      <c r="AF159">
        <f t="shared" si="2"/>
        <v>0</v>
      </c>
      <c r="AG159">
        <f t="shared" si="2"/>
        <v>0</v>
      </c>
      <c r="AH159">
        <f t="shared" si="2"/>
        <v>0</v>
      </c>
      <c r="AI159">
        <f t="shared" si="2"/>
        <v>0</v>
      </c>
      <c r="AJ159">
        <f t="shared" si="2"/>
        <v>0</v>
      </c>
      <c r="AK159">
        <f t="shared" si="2"/>
        <v>0</v>
      </c>
      <c r="AL159">
        <f t="shared" si="2"/>
        <v>0</v>
      </c>
      <c r="AM159">
        <f t="shared" si="2"/>
        <v>0</v>
      </c>
      <c r="AN159">
        <f t="shared" si="2"/>
        <v>0</v>
      </c>
      <c r="AO159">
        <f t="shared" si="2"/>
        <v>0</v>
      </c>
      <c r="AP159">
        <f t="shared" si="2"/>
        <v>0</v>
      </c>
      <c r="AQ159">
        <f t="shared" si="2"/>
        <v>0</v>
      </c>
      <c r="AR159">
        <f t="shared" si="2"/>
        <v>0</v>
      </c>
      <c r="AS159">
        <f t="shared" si="2"/>
        <v>0</v>
      </c>
      <c r="AT159">
        <f t="shared" si="2"/>
        <v>0</v>
      </c>
      <c r="AU159">
        <f t="shared" si="2"/>
        <v>0</v>
      </c>
      <c r="AV159">
        <f t="shared" si="2"/>
        <v>0</v>
      </c>
      <c r="AW159">
        <f t="shared" si="2"/>
        <v>0</v>
      </c>
      <c r="AX159">
        <f t="shared" si="2"/>
        <v>0</v>
      </c>
      <c r="AY159">
        <f t="shared" si="2"/>
        <v>0</v>
      </c>
      <c r="AZ159">
        <f t="shared" si="2"/>
        <v>0</v>
      </c>
      <c r="BA159">
        <f t="shared" si="2"/>
        <v>0</v>
      </c>
      <c r="BB159">
        <f t="shared" si="2"/>
        <v>0</v>
      </c>
      <c r="BC159">
        <f t="shared" si="2"/>
        <v>0</v>
      </c>
    </row>
    <row r="160" spans="2:55" x14ac:dyDescent="0.55000000000000004">
      <c r="B160" s="1" t="s">
        <v>315</v>
      </c>
      <c r="C160">
        <f>(C155-C154)*C157*C156</f>
        <v>0</v>
      </c>
      <c r="D160" t="e">
        <f>(D155-D154)*D157*D156</f>
        <v>#DIV/0!</v>
      </c>
      <c r="E160" t="e">
        <f t="shared" ref="E160:BC160" si="3">(E155-E154)*E157*E156</f>
        <v>#DIV/0!</v>
      </c>
      <c r="F160" t="e">
        <f t="shared" si="3"/>
        <v>#DIV/0!</v>
      </c>
      <c r="G160" t="e">
        <f t="shared" si="3"/>
        <v>#DIV/0!</v>
      </c>
      <c r="X160">
        <f t="shared" si="3"/>
        <v>0</v>
      </c>
      <c r="Y160" t="e">
        <f t="shared" si="3"/>
        <v>#DIV/0!</v>
      </c>
      <c r="Z160" t="e">
        <f t="shared" si="3"/>
        <v>#DIV/0!</v>
      </c>
      <c r="AA160" t="e">
        <f t="shared" si="3"/>
        <v>#DIV/0!</v>
      </c>
      <c r="AB160" t="e">
        <f t="shared" si="3"/>
        <v>#DIV/0!</v>
      </c>
      <c r="AC160" t="e">
        <f t="shared" si="3"/>
        <v>#DIV/0!</v>
      </c>
      <c r="AD160" t="e">
        <f t="shared" si="3"/>
        <v>#DIV/0!</v>
      </c>
      <c r="AE160" t="e">
        <f t="shared" si="3"/>
        <v>#DIV/0!</v>
      </c>
      <c r="AF160" t="e">
        <f t="shared" si="3"/>
        <v>#DIV/0!</v>
      </c>
      <c r="AG160" t="e">
        <f t="shared" si="3"/>
        <v>#DIV/0!</v>
      </c>
      <c r="AH160" t="e">
        <f t="shared" si="3"/>
        <v>#DIV/0!</v>
      </c>
      <c r="AI160" t="e">
        <f t="shared" si="3"/>
        <v>#DIV/0!</v>
      </c>
      <c r="AJ160" t="e">
        <f t="shared" si="3"/>
        <v>#DIV/0!</v>
      </c>
      <c r="AK160" t="e">
        <f t="shared" si="3"/>
        <v>#DIV/0!</v>
      </c>
      <c r="AL160" t="e">
        <f t="shared" si="3"/>
        <v>#DIV/0!</v>
      </c>
      <c r="AM160" t="e">
        <f t="shared" si="3"/>
        <v>#DIV/0!</v>
      </c>
      <c r="AN160" t="e">
        <f t="shared" si="3"/>
        <v>#DIV/0!</v>
      </c>
      <c r="AO160" t="e">
        <f t="shared" si="3"/>
        <v>#DIV/0!</v>
      </c>
      <c r="AP160" t="e">
        <f t="shared" si="3"/>
        <v>#DIV/0!</v>
      </c>
      <c r="AQ160" t="e">
        <f t="shared" si="3"/>
        <v>#DIV/0!</v>
      </c>
      <c r="AR160" t="e">
        <f t="shared" si="3"/>
        <v>#DIV/0!</v>
      </c>
      <c r="AS160" t="e">
        <f t="shared" si="3"/>
        <v>#DIV/0!</v>
      </c>
      <c r="AT160" t="e">
        <f t="shared" si="3"/>
        <v>#DIV/0!</v>
      </c>
      <c r="AU160" t="e">
        <f t="shared" si="3"/>
        <v>#DIV/0!</v>
      </c>
      <c r="AV160" t="e">
        <f t="shared" si="3"/>
        <v>#DIV/0!</v>
      </c>
      <c r="AW160" t="e">
        <f t="shared" si="3"/>
        <v>#DIV/0!</v>
      </c>
      <c r="AX160" t="e">
        <f t="shared" si="3"/>
        <v>#DIV/0!</v>
      </c>
      <c r="AY160" t="e">
        <f t="shared" si="3"/>
        <v>#DIV/0!</v>
      </c>
      <c r="AZ160" t="e">
        <f t="shared" si="3"/>
        <v>#DIV/0!</v>
      </c>
      <c r="BA160" t="e">
        <f t="shared" si="3"/>
        <v>#DIV/0!</v>
      </c>
      <c r="BB160" t="e">
        <f t="shared" si="3"/>
        <v>#DIV/0!</v>
      </c>
      <c r="BC160" t="e">
        <f t="shared" si="3"/>
        <v>#DIV/0!</v>
      </c>
    </row>
    <row r="161" spans="2:55" x14ac:dyDescent="0.55000000000000004">
      <c r="B161" s="1" t="s">
        <v>316</v>
      </c>
      <c r="C161" t="e">
        <f>C160/C159/C158</f>
        <v>#DIV/0!</v>
      </c>
      <c r="D161" t="e">
        <f t="shared" ref="D161:BC161" si="4">D160/D159/D158</f>
        <v>#DIV/0!</v>
      </c>
      <c r="E161" t="e">
        <f t="shared" si="4"/>
        <v>#DIV/0!</v>
      </c>
      <c r="F161" t="e">
        <f t="shared" si="4"/>
        <v>#DIV/0!</v>
      </c>
      <c r="G161" t="e">
        <f t="shared" si="4"/>
        <v>#DIV/0!</v>
      </c>
      <c r="X161" t="e">
        <f t="shared" si="4"/>
        <v>#DIV/0!</v>
      </c>
      <c r="Y161" t="e">
        <f t="shared" si="4"/>
        <v>#DIV/0!</v>
      </c>
      <c r="Z161" t="e">
        <f t="shared" si="4"/>
        <v>#DIV/0!</v>
      </c>
      <c r="AA161" t="e">
        <f t="shared" si="4"/>
        <v>#DIV/0!</v>
      </c>
      <c r="AB161" t="e">
        <f t="shared" si="4"/>
        <v>#DIV/0!</v>
      </c>
      <c r="AC161" t="e">
        <f t="shared" si="4"/>
        <v>#DIV/0!</v>
      </c>
      <c r="AD161" t="e">
        <f t="shared" si="4"/>
        <v>#DIV/0!</v>
      </c>
      <c r="AE161" t="e">
        <f t="shared" si="4"/>
        <v>#DIV/0!</v>
      </c>
      <c r="AF161" t="e">
        <f t="shared" si="4"/>
        <v>#DIV/0!</v>
      </c>
      <c r="AG161" t="e">
        <f t="shared" si="4"/>
        <v>#DIV/0!</v>
      </c>
      <c r="AH161" t="e">
        <f t="shared" si="4"/>
        <v>#DIV/0!</v>
      </c>
      <c r="AI161" t="e">
        <f t="shared" si="4"/>
        <v>#DIV/0!</v>
      </c>
      <c r="AJ161" t="e">
        <f t="shared" si="4"/>
        <v>#DIV/0!</v>
      </c>
      <c r="AK161" t="e">
        <f t="shared" si="4"/>
        <v>#DIV/0!</v>
      </c>
      <c r="AL161" t="e">
        <f t="shared" si="4"/>
        <v>#DIV/0!</v>
      </c>
      <c r="AM161" t="e">
        <f t="shared" si="4"/>
        <v>#DIV/0!</v>
      </c>
      <c r="AN161" t="e">
        <f t="shared" si="4"/>
        <v>#DIV/0!</v>
      </c>
      <c r="AO161" t="e">
        <f t="shared" si="4"/>
        <v>#DIV/0!</v>
      </c>
      <c r="AP161" t="e">
        <f t="shared" si="4"/>
        <v>#DIV/0!</v>
      </c>
      <c r="AQ161" t="e">
        <f t="shared" si="4"/>
        <v>#DIV/0!</v>
      </c>
      <c r="AR161" t="e">
        <f t="shared" si="4"/>
        <v>#DIV/0!</v>
      </c>
      <c r="AS161" t="e">
        <f t="shared" si="4"/>
        <v>#DIV/0!</v>
      </c>
      <c r="AT161" t="e">
        <f t="shared" si="4"/>
        <v>#DIV/0!</v>
      </c>
      <c r="AU161" t="e">
        <f t="shared" si="4"/>
        <v>#DIV/0!</v>
      </c>
      <c r="AV161" t="e">
        <f t="shared" si="4"/>
        <v>#DIV/0!</v>
      </c>
      <c r="AW161" t="e">
        <f t="shared" si="4"/>
        <v>#DIV/0!</v>
      </c>
      <c r="AX161" t="e">
        <f t="shared" si="4"/>
        <v>#DIV/0!</v>
      </c>
      <c r="AY161" t="e">
        <f t="shared" si="4"/>
        <v>#DIV/0!</v>
      </c>
      <c r="AZ161" t="e">
        <f t="shared" si="4"/>
        <v>#DIV/0!</v>
      </c>
      <c r="BA161" t="e">
        <f t="shared" si="4"/>
        <v>#DIV/0!</v>
      </c>
      <c r="BB161" t="e">
        <f t="shared" si="4"/>
        <v>#DIV/0!</v>
      </c>
      <c r="BC161" t="e">
        <f t="shared" si="4"/>
        <v>#DIV/0!</v>
      </c>
    </row>
    <row r="164" spans="2:55" x14ac:dyDescent="0.55000000000000004">
      <c r="B164" s="1" t="s">
        <v>319</v>
      </c>
      <c r="C164">
        <v>0</v>
      </c>
      <c r="D164">
        <v>6</v>
      </c>
      <c r="E164">
        <v>12</v>
      </c>
      <c r="F164">
        <v>18</v>
      </c>
      <c r="G164">
        <v>24</v>
      </c>
      <c r="X164">
        <v>114</v>
      </c>
      <c r="Y164">
        <v>120</v>
      </c>
      <c r="Z164">
        <v>126</v>
      </c>
      <c r="AA164">
        <v>132</v>
      </c>
      <c r="AB164">
        <v>138</v>
      </c>
      <c r="AC164">
        <v>144</v>
      </c>
      <c r="AD164">
        <v>150</v>
      </c>
      <c r="AE164">
        <v>156</v>
      </c>
      <c r="AF164">
        <v>162</v>
      </c>
      <c r="AG164">
        <v>168</v>
      </c>
      <c r="AH164">
        <v>174</v>
      </c>
      <c r="AI164">
        <v>180</v>
      </c>
      <c r="AJ164">
        <v>186</v>
      </c>
      <c r="AK164">
        <v>192</v>
      </c>
      <c r="AL164">
        <v>198</v>
      </c>
      <c r="AM164">
        <v>204</v>
      </c>
      <c r="AN164">
        <v>210</v>
      </c>
      <c r="AO164">
        <v>216</v>
      </c>
      <c r="AP164">
        <v>222</v>
      </c>
      <c r="AQ164">
        <v>228</v>
      </c>
      <c r="AR164">
        <v>234</v>
      </c>
      <c r="AS164">
        <v>240</v>
      </c>
      <c r="AT164">
        <v>246</v>
      </c>
      <c r="AU164">
        <v>252</v>
      </c>
      <c r="AV164">
        <v>258</v>
      </c>
      <c r="AW164">
        <v>264</v>
      </c>
      <c r="AX164">
        <v>270</v>
      </c>
      <c r="AY164">
        <v>276</v>
      </c>
      <c r="AZ164">
        <v>282</v>
      </c>
      <c r="BA164">
        <v>288</v>
      </c>
      <c r="BB164">
        <v>294</v>
      </c>
      <c r="BC164">
        <v>300</v>
      </c>
    </row>
    <row r="165" spans="2:55" x14ac:dyDescent="0.55000000000000004">
      <c r="B165" s="1" t="s">
        <v>310</v>
      </c>
      <c r="C165">
        <v>200</v>
      </c>
      <c r="D165">
        <f t="shared" ref="D165:BC165" si="5">C165</f>
        <v>200</v>
      </c>
      <c r="E165">
        <f t="shared" si="5"/>
        <v>200</v>
      </c>
      <c r="F165">
        <f t="shared" si="5"/>
        <v>200</v>
      </c>
      <c r="G165">
        <f t="shared" si="5"/>
        <v>200</v>
      </c>
      <c r="X165">
        <f t="shared" si="5"/>
        <v>0</v>
      </c>
      <c r="Y165">
        <f t="shared" si="5"/>
        <v>0</v>
      </c>
      <c r="Z165">
        <f t="shared" si="5"/>
        <v>0</v>
      </c>
      <c r="AA165">
        <f t="shared" si="5"/>
        <v>0</v>
      </c>
      <c r="AB165">
        <f t="shared" si="5"/>
        <v>0</v>
      </c>
      <c r="AC165">
        <f t="shared" si="5"/>
        <v>0</v>
      </c>
      <c r="AD165">
        <f t="shared" si="5"/>
        <v>0</v>
      </c>
      <c r="AE165">
        <f t="shared" si="5"/>
        <v>0</v>
      </c>
      <c r="AF165">
        <f t="shared" si="5"/>
        <v>0</v>
      </c>
      <c r="AG165">
        <f t="shared" si="5"/>
        <v>0</v>
      </c>
      <c r="AH165">
        <f t="shared" si="5"/>
        <v>0</v>
      </c>
      <c r="AI165">
        <f t="shared" si="5"/>
        <v>0</v>
      </c>
      <c r="AJ165">
        <f t="shared" si="5"/>
        <v>0</v>
      </c>
      <c r="AK165">
        <f t="shared" si="5"/>
        <v>0</v>
      </c>
      <c r="AL165">
        <f t="shared" si="5"/>
        <v>0</v>
      </c>
      <c r="AM165">
        <f t="shared" si="5"/>
        <v>0</v>
      </c>
      <c r="AN165">
        <f t="shared" si="5"/>
        <v>0</v>
      </c>
      <c r="AO165">
        <f t="shared" si="5"/>
        <v>0</v>
      </c>
      <c r="AP165">
        <f t="shared" si="5"/>
        <v>0</v>
      </c>
      <c r="AQ165">
        <f t="shared" si="5"/>
        <v>0</v>
      </c>
      <c r="AR165">
        <f t="shared" si="5"/>
        <v>0</v>
      </c>
      <c r="AS165">
        <f t="shared" si="5"/>
        <v>0</v>
      </c>
      <c r="AT165">
        <f t="shared" si="5"/>
        <v>0</v>
      </c>
      <c r="AU165">
        <f t="shared" si="5"/>
        <v>0</v>
      </c>
      <c r="AV165">
        <f t="shared" si="5"/>
        <v>0</v>
      </c>
      <c r="AW165">
        <f t="shared" si="5"/>
        <v>0</v>
      </c>
      <c r="AX165">
        <f t="shared" si="5"/>
        <v>0</v>
      </c>
      <c r="AY165">
        <f t="shared" si="5"/>
        <v>0</v>
      </c>
      <c r="AZ165">
        <f t="shared" si="5"/>
        <v>0</v>
      </c>
      <c r="BA165">
        <f t="shared" si="5"/>
        <v>0</v>
      </c>
      <c r="BB165">
        <f t="shared" si="5"/>
        <v>0</v>
      </c>
      <c r="BC165">
        <f t="shared" si="5"/>
        <v>0</v>
      </c>
    </row>
    <row r="166" spans="2:55" x14ac:dyDescent="0.55000000000000004">
      <c r="B166" s="1" t="s">
        <v>311</v>
      </c>
      <c r="C166">
        <v>400</v>
      </c>
      <c r="D166" t="e">
        <f t="shared" ref="D166:BC166" si="6">C166-C172/10</f>
        <v>#DIV/0!</v>
      </c>
      <c r="E166" t="e">
        <f t="shared" si="6"/>
        <v>#DIV/0!</v>
      </c>
      <c r="F166" t="e">
        <f t="shared" si="6"/>
        <v>#DIV/0!</v>
      </c>
      <c r="G166" t="e">
        <f t="shared" si="6"/>
        <v>#DIV/0!</v>
      </c>
      <c r="X166">
        <f t="shared" si="6"/>
        <v>0</v>
      </c>
      <c r="Y166" t="e">
        <f t="shared" si="6"/>
        <v>#DIV/0!</v>
      </c>
      <c r="Z166" t="e">
        <f t="shared" si="6"/>
        <v>#DIV/0!</v>
      </c>
      <c r="AA166" t="e">
        <f t="shared" si="6"/>
        <v>#DIV/0!</v>
      </c>
      <c r="AB166" t="e">
        <f t="shared" si="6"/>
        <v>#DIV/0!</v>
      </c>
      <c r="AC166" t="e">
        <f t="shared" si="6"/>
        <v>#DIV/0!</v>
      </c>
      <c r="AD166" t="e">
        <f t="shared" si="6"/>
        <v>#DIV/0!</v>
      </c>
      <c r="AE166" t="e">
        <f t="shared" si="6"/>
        <v>#DIV/0!</v>
      </c>
      <c r="AF166" t="e">
        <f t="shared" si="6"/>
        <v>#DIV/0!</v>
      </c>
      <c r="AG166" t="e">
        <f t="shared" si="6"/>
        <v>#DIV/0!</v>
      </c>
      <c r="AH166" t="e">
        <f t="shared" si="6"/>
        <v>#DIV/0!</v>
      </c>
      <c r="AI166" t="e">
        <f t="shared" si="6"/>
        <v>#DIV/0!</v>
      </c>
      <c r="AJ166" t="e">
        <f t="shared" si="6"/>
        <v>#DIV/0!</v>
      </c>
      <c r="AK166" t="e">
        <f t="shared" si="6"/>
        <v>#DIV/0!</v>
      </c>
      <c r="AL166" t="e">
        <f t="shared" si="6"/>
        <v>#DIV/0!</v>
      </c>
      <c r="AM166" t="e">
        <f t="shared" si="6"/>
        <v>#DIV/0!</v>
      </c>
      <c r="AN166" t="e">
        <f t="shared" si="6"/>
        <v>#DIV/0!</v>
      </c>
      <c r="AO166" t="e">
        <f t="shared" si="6"/>
        <v>#DIV/0!</v>
      </c>
      <c r="AP166" t="e">
        <f t="shared" si="6"/>
        <v>#DIV/0!</v>
      </c>
      <c r="AQ166" t="e">
        <f t="shared" si="6"/>
        <v>#DIV/0!</v>
      </c>
      <c r="AR166" t="e">
        <f t="shared" si="6"/>
        <v>#DIV/0!</v>
      </c>
      <c r="AS166" t="e">
        <f t="shared" si="6"/>
        <v>#DIV/0!</v>
      </c>
      <c r="AT166" t="e">
        <f t="shared" si="6"/>
        <v>#DIV/0!</v>
      </c>
      <c r="AU166" t="e">
        <f t="shared" si="6"/>
        <v>#DIV/0!</v>
      </c>
      <c r="AV166" t="e">
        <f t="shared" si="6"/>
        <v>#DIV/0!</v>
      </c>
      <c r="AW166" t="e">
        <f t="shared" si="6"/>
        <v>#DIV/0!</v>
      </c>
      <c r="AX166" t="e">
        <f t="shared" si="6"/>
        <v>#DIV/0!</v>
      </c>
      <c r="AY166" t="e">
        <f t="shared" si="6"/>
        <v>#DIV/0!</v>
      </c>
      <c r="AZ166" t="e">
        <f t="shared" si="6"/>
        <v>#DIV/0!</v>
      </c>
      <c r="BA166" t="e">
        <f t="shared" si="6"/>
        <v>#DIV/0!</v>
      </c>
      <c r="BB166" t="e">
        <f t="shared" si="6"/>
        <v>#DIV/0!</v>
      </c>
      <c r="BC166" t="e">
        <f t="shared" si="6"/>
        <v>#DIV/0!</v>
      </c>
    </row>
    <row r="167" spans="2:55" x14ac:dyDescent="0.55000000000000004">
      <c r="B167" s="1" t="s">
        <v>312</v>
      </c>
      <c r="C167">
        <f>$C$36/144</f>
        <v>0</v>
      </c>
      <c r="D167">
        <f>$C$36/144</f>
        <v>0</v>
      </c>
      <c r="E167">
        <f>$C$36/144</f>
        <v>0</v>
      </c>
      <c r="F167">
        <f>$C$36/144</f>
        <v>0</v>
      </c>
      <c r="G167">
        <f>$C$36/144</f>
        <v>0</v>
      </c>
      <c r="X167">
        <f t="shared" ref="X167:BC167" si="7">$C$36/144</f>
        <v>0</v>
      </c>
      <c r="Y167">
        <f t="shared" si="7"/>
        <v>0</v>
      </c>
      <c r="Z167">
        <f t="shared" si="7"/>
        <v>0</v>
      </c>
      <c r="AA167">
        <f t="shared" si="7"/>
        <v>0</v>
      </c>
      <c r="AB167">
        <f t="shared" si="7"/>
        <v>0</v>
      </c>
      <c r="AC167">
        <f t="shared" si="7"/>
        <v>0</v>
      </c>
      <c r="AD167">
        <f t="shared" si="7"/>
        <v>0</v>
      </c>
      <c r="AE167">
        <f t="shared" si="7"/>
        <v>0</v>
      </c>
      <c r="AF167">
        <f t="shared" si="7"/>
        <v>0</v>
      </c>
      <c r="AG167">
        <f t="shared" si="7"/>
        <v>0</v>
      </c>
      <c r="AH167">
        <f t="shared" si="7"/>
        <v>0</v>
      </c>
      <c r="AI167">
        <f t="shared" si="7"/>
        <v>0</v>
      </c>
      <c r="AJ167">
        <f t="shared" si="7"/>
        <v>0</v>
      </c>
      <c r="AK167">
        <f t="shared" si="7"/>
        <v>0</v>
      </c>
      <c r="AL167">
        <f t="shared" si="7"/>
        <v>0</v>
      </c>
      <c r="AM167">
        <f t="shared" si="7"/>
        <v>0</v>
      </c>
      <c r="AN167">
        <f t="shared" si="7"/>
        <v>0</v>
      </c>
      <c r="AO167">
        <f t="shared" si="7"/>
        <v>0</v>
      </c>
      <c r="AP167">
        <f t="shared" si="7"/>
        <v>0</v>
      </c>
      <c r="AQ167">
        <f t="shared" si="7"/>
        <v>0</v>
      </c>
      <c r="AR167">
        <f t="shared" si="7"/>
        <v>0</v>
      </c>
      <c r="AS167">
        <f t="shared" si="7"/>
        <v>0</v>
      </c>
      <c r="AT167">
        <f t="shared" si="7"/>
        <v>0</v>
      </c>
      <c r="AU167">
        <f t="shared" si="7"/>
        <v>0</v>
      </c>
      <c r="AV167">
        <f t="shared" si="7"/>
        <v>0</v>
      </c>
      <c r="AW167">
        <f t="shared" si="7"/>
        <v>0</v>
      </c>
      <c r="AX167">
        <f t="shared" si="7"/>
        <v>0</v>
      </c>
      <c r="AY167">
        <f t="shared" si="7"/>
        <v>0</v>
      </c>
      <c r="AZ167">
        <f t="shared" si="7"/>
        <v>0</v>
      </c>
      <c r="BA167">
        <f t="shared" si="7"/>
        <v>0</v>
      </c>
      <c r="BB167">
        <f t="shared" si="7"/>
        <v>0</v>
      </c>
      <c r="BC167">
        <f t="shared" si="7"/>
        <v>0</v>
      </c>
    </row>
    <row r="168" spans="2:55" x14ac:dyDescent="0.55000000000000004">
      <c r="B168" s="1" t="s">
        <v>313</v>
      </c>
      <c r="C168">
        <f>$D$53*0.3</f>
        <v>0</v>
      </c>
      <c r="D168">
        <f>C168</f>
        <v>0</v>
      </c>
      <c r="E168">
        <f>$D$53*0.3</f>
        <v>0</v>
      </c>
      <c r="F168">
        <f>E168</f>
        <v>0</v>
      </c>
      <c r="G168">
        <f>$D$53*0.3</f>
        <v>0</v>
      </c>
      <c r="X168">
        <f>W168</f>
        <v>0</v>
      </c>
      <c r="Y168">
        <f>$D$53*0.3</f>
        <v>0</v>
      </c>
      <c r="Z168">
        <f>Y168</f>
        <v>0</v>
      </c>
      <c r="AA168">
        <f>$D$53*0.3</f>
        <v>0</v>
      </c>
      <c r="AB168">
        <f>AA168</f>
        <v>0</v>
      </c>
      <c r="AC168">
        <f>$D$53*0.3</f>
        <v>0</v>
      </c>
      <c r="AD168">
        <f>AC168</f>
        <v>0</v>
      </c>
      <c r="AE168">
        <f>$D$53*0.3</f>
        <v>0</v>
      </c>
      <c r="AF168">
        <f>AE168</f>
        <v>0</v>
      </c>
      <c r="AG168">
        <f>$D$53*0.3</f>
        <v>0</v>
      </c>
      <c r="AH168">
        <f>AG168</f>
        <v>0</v>
      </c>
      <c r="AI168">
        <f>$D$53*0.3</f>
        <v>0</v>
      </c>
      <c r="AJ168">
        <f>$D$53*0.3</f>
        <v>0</v>
      </c>
      <c r="AK168">
        <f>AJ168</f>
        <v>0</v>
      </c>
      <c r="AL168">
        <f t="shared" ref="AL168:AR168" si="8">$D$53*0.3</f>
        <v>0</v>
      </c>
      <c r="AM168">
        <f>$D$53*0.3</f>
        <v>0</v>
      </c>
      <c r="AN168">
        <f>AM168</f>
        <v>0</v>
      </c>
      <c r="AO168">
        <f t="shared" si="8"/>
        <v>0</v>
      </c>
      <c r="AP168">
        <f>$D$53*0.3</f>
        <v>0</v>
      </c>
      <c r="AQ168">
        <f>AP168</f>
        <v>0</v>
      </c>
      <c r="AR168">
        <f t="shared" si="8"/>
        <v>0</v>
      </c>
      <c r="AS168">
        <f>$D$53*0.3</f>
        <v>0</v>
      </c>
      <c r="AT168">
        <f>$D$53*0.3</f>
        <v>0</v>
      </c>
      <c r="AU168">
        <f>AT168</f>
        <v>0</v>
      </c>
      <c r="AV168">
        <f>$D$53*0.3</f>
        <v>0</v>
      </c>
      <c r="AW168">
        <f>$D$53*0.3</f>
        <v>0</v>
      </c>
      <c r="AX168">
        <f>AW168</f>
        <v>0</v>
      </c>
      <c r="AY168">
        <f>$D$53*0.3</f>
        <v>0</v>
      </c>
      <c r="AZ168">
        <f>$D$53*0.3</f>
        <v>0</v>
      </c>
      <c r="BA168">
        <f>AZ168</f>
        <v>0</v>
      </c>
      <c r="BB168">
        <f>$D$53*0.3</f>
        <v>0</v>
      </c>
      <c r="BC168">
        <f>$D$53*0.3</f>
        <v>0</v>
      </c>
    </row>
    <row r="169" spans="2:55" x14ac:dyDescent="0.55000000000000004">
      <c r="B169" s="1" t="s">
        <v>120</v>
      </c>
      <c r="C169">
        <f>$D$46</f>
        <v>0</v>
      </c>
      <c r="D169">
        <f>$D$46</f>
        <v>0</v>
      </c>
      <c r="E169">
        <f>$D$46</f>
        <v>0</v>
      </c>
      <c r="F169">
        <f>$D$46</f>
        <v>0</v>
      </c>
      <c r="G169">
        <f>$D$46</f>
        <v>0</v>
      </c>
      <c r="X169">
        <f t="shared" ref="X169:BC169" si="9">$D$46</f>
        <v>0</v>
      </c>
      <c r="Y169">
        <f t="shared" si="9"/>
        <v>0</v>
      </c>
      <c r="Z169">
        <f t="shared" si="9"/>
        <v>0</v>
      </c>
      <c r="AA169">
        <f t="shared" si="9"/>
        <v>0</v>
      </c>
      <c r="AB169">
        <f t="shared" si="9"/>
        <v>0</v>
      </c>
      <c r="AC169">
        <f t="shared" si="9"/>
        <v>0</v>
      </c>
      <c r="AD169">
        <f t="shared" si="9"/>
        <v>0</v>
      </c>
      <c r="AE169">
        <f t="shared" si="9"/>
        <v>0</v>
      </c>
      <c r="AF169">
        <f t="shared" si="9"/>
        <v>0</v>
      </c>
      <c r="AG169">
        <f t="shared" si="9"/>
        <v>0</v>
      </c>
      <c r="AH169">
        <f t="shared" si="9"/>
        <v>0</v>
      </c>
      <c r="AI169">
        <f t="shared" si="9"/>
        <v>0</v>
      </c>
      <c r="AJ169">
        <f t="shared" si="9"/>
        <v>0</v>
      </c>
      <c r="AK169">
        <f t="shared" si="9"/>
        <v>0</v>
      </c>
      <c r="AL169">
        <f t="shared" si="9"/>
        <v>0</v>
      </c>
      <c r="AM169">
        <f t="shared" si="9"/>
        <v>0</v>
      </c>
      <c r="AN169">
        <f t="shared" si="9"/>
        <v>0</v>
      </c>
      <c r="AO169">
        <f t="shared" si="9"/>
        <v>0</v>
      </c>
      <c r="AP169">
        <f t="shared" si="9"/>
        <v>0</v>
      </c>
      <c r="AQ169">
        <f t="shared" si="9"/>
        <v>0</v>
      </c>
      <c r="AR169">
        <f t="shared" si="9"/>
        <v>0</v>
      </c>
      <c r="AS169">
        <f t="shared" si="9"/>
        <v>0</v>
      </c>
      <c r="AT169">
        <f t="shared" si="9"/>
        <v>0</v>
      </c>
      <c r="AU169">
        <f t="shared" si="9"/>
        <v>0</v>
      </c>
      <c r="AV169">
        <f t="shared" si="9"/>
        <v>0</v>
      </c>
      <c r="AW169">
        <f t="shared" si="9"/>
        <v>0</v>
      </c>
      <c r="AX169">
        <f t="shared" si="9"/>
        <v>0</v>
      </c>
      <c r="AY169">
        <f t="shared" si="9"/>
        <v>0</v>
      </c>
      <c r="AZ169">
        <f t="shared" si="9"/>
        <v>0</v>
      </c>
      <c r="BA169">
        <f t="shared" si="9"/>
        <v>0</v>
      </c>
      <c r="BB169">
        <f t="shared" si="9"/>
        <v>0</v>
      </c>
      <c r="BC169">
        <f t="shared" si="9"/>
        <v>0</v>
      </c>
    </row>
    <row r="170" spans="2:55" x14ac:dyDescent="0.55000000000000004">
      <c r="B170" s="1" t="s">
        <v>314</v>
      </c>
      <c r="C170">
        <f>$D$48</f>
        <v>0</v>
      </c>
      <c r="D170">
        <f>$D$48</f>
        <v>0</v>
      </c>
      <c r="E170">
        <f>$D$48</f>
        <v>0</v>
      </c>
      <c r="F170">
        <f>$D$48</f>
        <v>0</v>
      </c>
      <c r="G170">
        <f>$D$48</f>
        <v>0</v>
      </c>
      <c r="X170">
        <f t="shared" ref="X170:BC170" si="10">$D$48</f>
        <v>0</v>
      </c>
      <c r="Y170">
        <f t="shared" si="10"/>
        <v>0</v>
      </c>
      <c r="Z170">
        <f t="shared" si="10"/>
        <v>0</v>
      </c>
      <c r="AA170">
        <f t="shared" si="10"/>
        <v>0</v>
      </c>
      <c r="AB170">
        <f t="shared" si="10"/>
        <v>0</v>
      </c>
      <c r="AC170">
        <f t="shared" si="10"/>
        <v>0</v>
      </c>
      <c r="AD170">
        <f t="shared" si="10"/>
        <v>0</v>
      </c>
      <c r="AE170">
        <f t="shared" si="10"/>
        <v>0</v>
      </c>
      <c r="AF170">
        <f t="shared" si="10"/>
        <v>0</v>
      </c>
      <c r="AG170">
        <f t="shared" si="10"/>
        <v>0</v>
      </c>
      <c r="AH170">
        <f t="shared" si="10"/>
        <v>0</v>
      </c>
      <c r="AI170">
        <f t="shared" si="10"/>
        <v>0</v>
      </c>
      <c r="AJ170">
        <f t="shared" si="10"/>
        <v>0</v>
      </c>
      <c r="AK170">
        <f t="shared" si="10"/>
        <v>0</v>
      </c>
      <c r="AL170">
        <f t="shared" si="10"/>
        <v>0</v>
      </c>
      <c r="AM170">
        <f t="shared" si="10"/>
        <v>0</v>
      </c>
      <c r="AN170">
        <f t="shared" si="10"/>
        <v>0</v>
      </c>
      <c r="AO170">
        <f t="shared" si="10"/>
        <v>0</v>
      </c>
      <c r="AP170">
        <f t="shared" si="10"/>
        <v>0</v>
      </c>
      <c r="AQ170">
        <f t="shared" si="10"/>
        <v>0</v>
      </c>
      <c r="AR170">
        <f t="shared" si="10"/>
        <v>0</v>
      </c>
      <c r="AS170">
        <f t="shared" si="10"/>
        <v>0</v>
      </c>
      <c r="AT170">
        <f t="shared" si="10"/>
        <v>0</v>
      </c>
      <c r="AU170">
        <f t="shared" si="10"/>
        <v>0</v>
      </c>
      <c r="AV170">
        <f t="shared" si="10"/>
        <v>0</v>
      </c>
      <c r="AW170">
        <f t="shared" si="10"/>
        <v>0</v>
      </c>
      <c r="AX170">
        <f t="shared" si="10"/>
        <v>0</v>
      </c>
      <c r="AY170">
        <f t="shared" si="10"/>
        <v>0</v>
      </c>
      <c r="AZ170">
        <f t="shared" si="10"/>
        <v>0</v>
      </c>
      <c r="BA170">
        <f t="shared" si="10"/>
        <v>0</v>
      </c>
      <c r="BB170">
        <f t="shared" si="10"/>
        <v>0</v>
      </c>
      <c r="BC170">
        <f t="shared" si="10"/>
        <v>0</v>
      </c>
    </row>
    <row r="171" spans="2:55" x14ac:dyDescent="0.55000000000000004">
      <c r="B171" s="1" t="s">
        <v>315</v>
      </c>
      <c r="C171">
        <f>(C166-C165)*C168*C167</f>
        <v>0</v>
      </c>
      <c r="D171" t="e">
        <f>(D166-D165)*D168*D167</f>
        <v>#DIV/0!</v>
      </c>
      <c r="E171" t="e">
        <f t="shared" ref="E171:BC171" si="11">(E166-E165)*E168*E167</f>
        <v>#DIV/0!</v>
      </c>
      <c r="F171" t="e">
        <f t="shared" si="11"/>
        <v>#DIV/0!</v>
      </c>
      <c r="G171" t="e">
        <f t="shared" si="11"/>
        <v>#DIV/0!</v>
      </c>
      <c r="X171">
        <f t="shared" si="11"/>
        <v>0</v>
      </c>
      <c r="Y171" t="e">
        <f t="shared" si="11"/>
        <v>#DIV/0!</v>
      </c>
      <c r="Z171" t="e">
        <f t="shared" si="11"/>
        <v>#DIV/0!</v>
      </c>
      <c r="AA171" t="e">
        <f t="shared" si="11"/>
        <v>#DIV/0!</v>
      </c>
      <c r="AB171" t="e">
        <f t="shared" si="11"/>
        <v>#DIV/0!</v>
      </c>
      <c r="AC171" t="e">
        <f t="shared" si="11"/>
        <v>#DIV/0!</v>
      </c>
      <c r="AD171" t="e">
        <f t="shared" si="11"/>
        <v>#DIV/0!</v>
      </c>
      <c r="AE171" t="e">
        <f t="shared" si="11"/>
        <v>#DIV/0!</v>
      </c>
      <c r="AF171" t="e">
        <f t="shared" si="11"/>
        <v>#DIV/0!</v>
      </c>
      <c r="AG171" t="e">
        <f t="shared" si="11"/>
        <v>#DIV/0!</v>
      </c>
      <c r="AH171" t="e">
        <f t="shared" si="11"/>
        <v>#DIV/0!</v>
      </c>
      <c r="AI171" t="e">
        <f t="shared" si="11"/>
        <v>#DIV/0!</v>
      </c>
      <c r="AJ171" t="e">
        <f t="shared" si="11"/>
        <v>#DIV/0!</v>
      </c>
      <c r="AK171" t="e">
        <f t="shared" si="11"/>
        <v>#DIV/0!</v>
      </c>
      <c r="AL171" t="e">
        <f t="shared" si="11"/>
        <v>#DIV/0!</v>
      </c>
      <c r="AM171" t="e">
        <f t="shared" si="11"/>
        <v>#DIV/0!</v>
      </c>
      <c r="AN171" t="e">
        <f t="shared" si="11"/>
        <v>#DIV/0!</v>
      </c>
      <c r="AO171" t="e">
        <f t="shared" si="11"/>
        <v>#DIV/0!</v>
      </c>
      <c r="AP171" t="e">
        <f t="shared" si="11"/>
        <v>#DIV/0!</v>
      </c>
      <c r="AQ171" t="e">
        <f t="shared" si="11"/>
        <v>#DIV/0!</v>
      </c>
      <c r="AR171" t="e">
        <f t="shared" si="11"/>
        <v>#DIV/0!</v>
      </c>
      <c r="AS171" t="e">
        <f t="shared" si="11"/>
        <v>#DIV/0!</v>
      </c>
      <c r="AT171" t="e">
        <f t="shared" si="11"/>
        <v>#DIV/0!</v>
      </c>
      <c r="AU171" t="e">
        <f t="shared" si="11"/>
        <v>#DIV/0!</v>
      </c>
      <c r="AV171" t="e">
        <f t="shared" si="11"/>
        <v>#DIV/0!</v>
      </c>
      <c r="AW171" t="e">
        <f t="shared" si="11"/>
        <v>#DIV/0!</v>
      </c>
      <c r="AX171" t="e">
        <f t="shared" si="11"/>
        <v>#DIV/0!</v>
      </c>
      <c r="AY171" t="e">
        <f t="shared" si="11"/>
        <v>#DIV/0!</v>
      </c>
      <c r="AZ171" t="e">
        <f t="shared" si="11"/>
        <v>#DIV/0!</v>
      </c>
      <c r="BA171" t="e">
        <f t="shared" si="11"/>
        <v>#DIV/0!</v>
      </c>
      <c r="BB171" t="e">
        <f t="shared" si="11"/>
        <v>#DIV/0!</v>
      </c>
      <c r="BC171" t="e">
        <f t="shared" si="11"/>
        <v>#DIV/0!</v>
      </c>
    </row>
    <row r="172" spans="2:55" x14ac:dyDescent="0.55000000000000004">
      <c r="B172" s="1" t="s">
        <v>316</v>
      </c>
      <c r="C172" t="e">
        <f>C171/C170/C169</f>
        <v>#DIV/0!</v>
      </c>
      <c r="D172" t="e">
        <f t="shared" ref="D172:BC172" si="12">D171/D170/D169</f>
        <v>#DIV/0!</v>
      </c>
      <c r="E172" t="e">
        <f t="shared" si="12"/>
        <v>#DIV/0!</v>
      </c>
      <c r="F172" t="e">
        <f t="shared" si="12"/>
        <v>#DIV/0!</v>
      </c>
      <c r="G172" t="e">
        <f t="shared" si="12"/>
        <v>#DIV/0!</v>
      </c>
      <c r="X172" t="e">
        <f t="shared" si="12"/>
        <v>#DIV/0!</v>
      </c>
      <c r="Y172" t="e">
        <f t="shared" si="12"/>
        <v>#DIV/0!</v>
      </c>
      <c r="Z172" t="e">
        <f t="shared" si="12"/>
        <v>#DIV/0!</v>
      </c>
      <c r="AA172" t="e">
        <f t="shared" si="12"/>
        <v>#DIV/0!</v>
      </c>
      <c r="AB172" t="e">
        <f t="shared" si="12"/>
        <v>#DIV/0!</v>
      </c>
      <c r="AC172" t="e">
        <f t="shared" si="12"/>
        <v>#DIV/0!</v>
      </c>
      <c r="AD172" t="e">
        <f t="shared" si="12"/>
        <v>#DIV/0!</v>
      </c>
      <c r="AE172" t="e">
        <f t="shared" si="12"/>
        <v>#DIV/0!</v>
      </c>
      <c r="AF172" t="e">
        <f t="shared" si="12"/>
        <v>#DIV/0!</v>
      </c>
      <c r="AG172" t="e">
        <f t="shared" si="12"/>
        <v>#DIV/0!</v>
      </c>
      <c r="AH172" t="e">
        <f t="shared" si="12"/>
        <v>#DIV/0!</v>
      </c>
      <c r="AI172" t="e">
        <f t="shared" si="12"/>
        <v>#DIV/0!</v>
      </c>
      <c r="AJ172" t="e">
        <f t="shared" si="12"/>
        <v>#DIV/0!</v>
      </c>
      <c r="AK172" t="e">
        <f t="shared" si="12"/>
        <v>#DIV/0!</v>
      </c>
      <c r="AL172" t="e">
        <f t="shared" si="12"/>
        <v>#DIV/0!</v>
      </c>
      <c r="AM172" t="e">
        <f t="shared" si="12"/>
        <v>#DIV/0!</v>
      </c>
      <c r="AN172" t="e">
        <f t="shared" si="12"/>
        <v>#DIV/0!</v>
      </c>
      <c r="AO172" t="e">
        <f t="shared" si="12"/>
        <v>#DIV/0!</v>
      </c>
      <c r="AP172" t="e">
        <f t="shared" si="12"/>
        <v>#DIV/0!</v>
      </c>
      <c r="AQ172" t="e">
        <f t="shared" si="12"/>
        <v>#DIV/0!</v>
      </c>
      <c r="AR172" t="e">
        <f t="shared" si="12"/>
        <v>#DIV/0!</v>
      </c>
      <c r="AS172" t="e">
        <f t="shared" si="12"/>
        <v>#DIV/0!</v>
      </c>
      <c r="AT172" t="e">
        <f t="shared" si="12"/>
        <v>#DIV/0!</v>
      </c>
      <c r="AU172" t="e">
        <f t="shared" si="12"/>
        <v>#DIV/0!</v>
      </c>
      <c r="AV172" t="e">
        <f t="shared" si="12"/>
        <v>#DIV/0!</v>
      </c>
      <c r="AW172" t="e">
        <f t="shared" si="12"/>
        <v>#DIV/0!</v>
      </c>
      <c r="AX172" t="e">
        <f t="shared" si="12"/>
        <v>#DIV/0!</v>
      </c>
      <c r="AY172" t="e">
        <f t="shared" si="12"/>
        <v>#DIV/0!</v>
      </c>
      <c r="AZ172" t="e">
        <f t="shared" si="12"/>
        <v>#DIV/0!</v>
      </c>
      <c r="BA172" t="e">
        <f t="shared" si="12"/>
        <v>#DIV/0!</v>
      </c>
      <c r="BB172" t="e">
        <f t="shared" si="12"/>
        <v>#DIV/0!</v>
      </c>
      <c r="BC172" t="e">
        <f t="shared" si="1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E0B8-052F-478E-8201-AC41AE1F8F65}">
  <dimension ref="B2:P47"/>
  <sheetViews>
    <sheetView zoomScale="70" zoomScaleNormal="70" workbookViewId="0">
      <selection activeCell="G21" sqref="G21"/>
    </sheetView>
  </sheetViews>
  <sheetFormatPr defaultRowHeight="14.4" x14ac:dyDescent="0.55000000000000004"/>
  <cols>
    <col min="2" max="2" width="19.68359375" bestFit="1" customWidth="1"/>
  </cols>
  <sheetData>
    <row r="2" spans="2:16" x14ac:dyDescent="0.55000000000000004">
      <c r="B2" t="s">
        <v>193</v>
      </c>
      <c r="C2" s="12">
        <v>45</v>
      </c>
      <c r="D2" t="s">
        <v>194</v>
      </c>
      <c r="F2" t="s">
        <v>261</v>
      </c>
    </row>
    <row r="3" spans="2:16" x14ac:dyDescent="0.55000000000000004">
      <c r="B3" t="s">
        <v>204</v>
      </c>
      <c r="C3" s="12">
        <v>2227.94</v>
      </c>
      <c r="D3" t="s">
        <v>83</v>
      </c>
      <c r="N3" s="28">
        <f>E24</f>
        <v>103.85831961237601</v>
      </c>
    </row>
    <row r="4" spans="2:16" x14ac:dyDescent="0.55000000000000004">
      <c r="B4" t="s">
        <v>205</v>
      </c>
      <c r="C4" s="12">
        <v>565</v>
      </c>
      <c r="D4" t="s">
        <v>83</v>
      </c>
      <c r="N4" t="s">
        <v>129</v>
      </c>
    </row>
    <row r="5" spans="2:16" x14ac:dyDescent="0.55000000000000004">
      <c r="B5" t="s">
        <v>206</v>
      </c>
      <c r="C5" s="12">
        <v>500</v>
      </c>
      <c r="D5" t="s">
        <v>83</v>
      </c>
      <c r="K5" s="28">
        <f>E22</f>
        <v>108.54753410470761</v>
      </c>
      <c r="P5">
        <f>C2</f>
        <v>45</v>
      </c>
    </row>
    <row r="6" spans="2:16" x14ac:dyDescent="0.55000000000000004">
      <c r="B6" t="s">
        <v>258</v>
      </c>
      <c r="C6" s="12">
        <v>1972.4</v>
      </c>
      <c r="K6" t="s">
        <v>129</v>
      </c>
      <c r="P6" s="1" t="s">
        <v>208</v>
      </c>
    </row>
    <row r="7" spans="2:16" x14ac:dyDescent="0.55000000000000004">
      <c r="B7" t="s">
        <v>259</v>
      </c>
      <c r="C7" s="12">
        <v>417.7</v>
      </c>
      <c r="P7" s="1"/>
    </row>
    <row r="8" spans="2:16" x14ac:dyDescent="0.55000000000000004">
      <c r="B8" t="s">
        <v>331</v>
      </c>
      <c r="C8" s="12">
        <v>2835.1</v>
      </c>
    </row>
    <row r="9" spans="2:16" x14ac:dyDescent="0.55000000000000004">
      <c r="B9" t="s">
        <v>332</v>
      </c>
      <c r="C9" s="12">
        <v>182</v>
      </c>
      <c r="M9" s="28">
        <f>E23</f>
        <v>135.74210660845441</v>
      </c>
    </row>
    <row r="10" spans="2:16" x14ac:dyDescent="0.55000000000000004">
      <c r="C10" s="12"/>
      <c r="M10" t="s">
        <v>129</v>
      </c>
    </row>
    <row r="11" spans="2:16" x14ac:dyDescent="0.55000000000000004">
      <c r="B11" t="s">
        <v>140</v>
      </c>
      <c r="C11" s="26">
        <f>'Oleo Sizing'!B16</f>
        <v>1254.7209322703725</v>
      </c>
      <c r="D11" t="s">
        <v>83</v>
      </c>
    </row>
    <row r="12" spans="2:16" x14ac:dyDescent="0.55000000000000004">
      <c r="B12" t="s">
        <v>139</v>
      </c>
      <c r="C12" s="26">
        <f>'Oleo Sizing'!I16</f>
        <v>1965.6000000000001</v>
      </c>
      <c r="D12" t="s">
        <v>83</v>
      </c>
    </row>
    <row r="13" spans="2:16" x14ac:dyDescent="0.55000000000000004">
      <c r="B13" t="s">
        <v>195</v>
      </c>
      <c r="C13" s="26">
        <f>'Oleo Sizing'!J16</f>
        <v>164.6</v>
      </c>
      <c r="D13" t="s">
        <v>83</v>
      </c>
    </row>
    <row r="14" spans="2:16" x14ac:dyDescent="0.55000000000000004">
      <c r="B14" t="s">
        <v>196</v>
      </c>
      <c r="C14" s="26">
        <f>'Gear Geom'!D6</f>
        <v>30.7</v>
      </c>
      <c r="D14" t="s">
        <v>83</v>
      </c>
    </row>
    <row r="15" spans="2:16" x14ac:dyDescent="0.55000000000000004">
      <c r="B15" t="s">
        <v>165</v>
      </c>
      <c r="C15" s="26">
        <f>'Tire Selection'!I9</f>
        <v>13</v>
      </c>
      <c r="D15" t="s">
        <v>83</v>
      </c>
    </row>
    <row r="16" spans="2:16" x14ac:dyDescent="0.55000000000000004">
      <c r="B16" t="s">
        <v>197</v>
      </c>
      <c r="C16" s="26">
        <f>'Gear Geom'!D5</f>
        <v>22</v>
      </c>
      <c r="D16" t="s">
        <v>83</v>
      </c>
    </row>
    <row r="17" spans="2:16" x14ac:dyDescent="0.55000000000000004">
      <c r="B17" t="s">
        <v>167</v>
      </c>
      <c r="C17" s="26">
        <f>'Tire Selection'!I34</f>
        <v>11.5</v>
      </c>
      <c r="D17" t="s">
        <v>83</v>
      </c>
    </row>
    <row r="18" spans="2:16" x14ac:dyDescent="0.55000000000000004">
      <c r="B18" t="s">
        <v>198</v>
      </c>
      <c r="C18" s="26">
        <f>C12-C11</f>
        <v>710.87906772962765</v>
      </c>
      <c r="D18" t="s">
        <v>83</v>
      </c>
    </row>
    <row r="19" spans="2:16" x14ac:dyDescent="0.55000000000000004">
      <c r="B19" t="s">
        <v>199</v>
      </c>
      <c r="C19" s="29">
        <f>TAN(RADIANS(90-C2))*C18</f>
        <v>710.87906772962754</v>
      </c>
      <c r="D19" s="20" t="s">
        <v>83</v>
      </c>
      <c r="E19" s="21">
        <f t="shared" ref="E19:E25" si="0">C19/12</f>
        <v>59.239922310802292</v>
      </c>
      <c r="F19" s="20" t="s">
        <v>129</v>
      </c>
    </row>
    <row r="20" spans="2:16" x14ac:dyDescent="0.55000000000000004">
      <c r="B20" t="s">
        <v>200</v>
      </c>
      <c r="C20" s="29">
        <f>SQRT(C18^2+C19^2)+(C16+C17)/2</f>
        <v>1022.0848187903813</v>
      </c>
      <c r="D20" s="20" t="s">
        <v>83</v>
      </c>
      <c r="E20" s="21">
        <f t="shared" si="0"/>
        <v>85.173734899198436</v>
      </c>
      <c r="F20" s="20" t="s">
        <v>129</v>
      </c>
      <c r="P20" s="26">
        <f>C18</f>
        <v>710.87906772962765</v>
      </c>
    </row>
    <row r="21" spans="2:16" x14ac:dyDescent="0.55000000000000004">
      <c r="B21" t="s">
        <v>201</v>
      </c>
      <c r="C21" s="29">
        <f>C13+C19+(C14+C15)/2</f>
        <v>897.32906772962758</v>
      </c>
      <c r="D21" s="20" t="s">
        <v>83</v>
      </c>
      <c r="E21" s="21">
        <f t="shared" si="0"/>
        <v>74.777422310802294</v>
      </c>
      <c r="F21" s="20" t="s">
        <v>129</v>
      </c>
      <c r="P21" s="1" t="s">
        <v>129</v>
      </c>
    </row>
    <row r="22" spans="2:16" x14ac:dyDescent="0.55000000000000004">
      <c r="B22" t="s">
        <v>202</v>
      </c>
      <c r="C22" s="29">
        <f>SQRT((C12-C3)^2+(C19+C4)^2)</f>
        <v>1302.5704092564913</v>
      </c>
      <c r="D22" s="20" t="s">
        <v>83</v>
      </c>
      <c r="E22" s="21">
        <f t="shared" si="0"/>
        <v>108.54753410470761</v>
      </c>
      <c r="F22" s="20" t="s">
        <v>129</v>
      </c>
    </row>
    <row r="23" spans="2:16" x14ac:dyDescent="0.55000000000000004">
      <c r="B23" t="s">
        <v>203</v>
      </c>
      <c r="C23" s="29">
        <f>SQRT((C12-C5)^2+C19^2)</f>
        <v>1628.905279301453</v>
      </c>
      <c r="D23" s="20" t="s">
        <v>83</v>
      </c>
      <c r="E23" s="21">
        <f t="shared" si="0"/>
        <v>135.74210660845441</v>
      </c>
      <c r="F23" s="20" t="s">
        <v>129</v>
      </c>
    </row>
    <row r="24" spans="2:16" x14ac:dyDescent="0.55000000000000004">
      <c r="B24" t="s">
        <v>333</v>
      </c>
      <c r="C24" s="29">
        <f>SQRT((C12-C8)^2+(C19+C9)^2)</f>
        <v>1246.299835348512</v>
      </c>
      <c r="D24" s="20" t="s">
        <v>83</v>
      </c>
      <c r="E24" s="21">
        <f>C24/12</f>
        <v>103.85831961237601</v>
      </c>
      <c r="F24" s="20" t="s">
        <v>129</v>
      </c>
    </row>
    <row r="25" spans="2:16" x14ac:dyDescent="0.55000000000000004">
      <c r="B25" t="s">
        <v>207</v>
      </c>
      <c r="C25" s="29">
        <f>(C14+C15)/2+C13+C19+C20</f>
        <v>1919.4138865200089</v>
      </c>
      <c r="D25" s="20" t="s">
        <v>83</v>
      </c>
      <c r="E25" s="21">
        <f t="shared" si="0"/>
        <v>159.95115721000073</v>
      </c>
      <c r="F25" s="20" t="s">
        <v>129</v>
      </c>
      <c r="L25" s="27">
        <f>E20</f>
        <v>85.173734899198436</v>
      </c>
      <c r="M25" t="s">
        <v>129</v>
      </c>
    </row>
    <row r="28" spans="2:16" x14ac:dyDescent="0.55000000000000004">
      <c r="B28" t="s">
        <v>262</v>
      </c>
      <c r="C28" s="29">
        <f>SQRT((C12-C6)^2+(C19+C7)^2)</f>
        <v>1128.5995534809833</v>
      </c>
      <c r="D28" s="20" t="s">
        <v>83</v>
      </c>
      <c r="E28" s="21">
        <f>C28/12</f>
        <v>94.049962790081949</v>
      </c>
      <c r="F28" s="20" t="s">
        <v>129</v>
      </c>
    </row>
    <row r="29" spans="2:16" x14ac:dyDescent="0.55000000000000004">
      <c r="B29" t="s">
        <v>263</v>
      </c>
      <c r="C29" s="29">
        <f>C28+C20</f>
        <v>2150.6843722713647</v>
      </c>
      <c r="D29" s="20" t="s">
        <v>83</v>
      </c>
      <c r="E29" s="21">
        <f>C29/12</f>
        <v>179.22369768928039</v>
      </c>
      <c r="F29" s="20" t="s">
        <v>129</v>
      </c>
    </row>
    <row r="34" spans="14:16" x14ac:dyDescent="0.55000000000000004">
      <c r="P34" s="27">
        <f>E19</f>
        <v>59.239922310802292</v>
      </c>
    </row>
    <row r="35" spans="14:16" x14ac:dyDescent="0.55000000000000004">
      <c r="P35" s="1" t="s">
        <v>129</v>
      </c>
    </row>
    <row r="47" spans="14:16" x14ac:dyDescent="0.55000000000000004">
      <c r="N47" s="27">
        <f>E25</f>
        <v>159.95115721000073</v>
      </c>
      <c r="O47" t="s">
        <v>129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CBF93-F36C-4BCB-9009-BED6FB9F73DB}">
  <dimension ref="A2:Z45"/>
  <sheetViews>
    <sheetView tabSelected="1" zoomScale="90" zoomScaleNormal="90" workbookViewId="0">
      <selection activeCell="K22" sqref="K22"/>
    </sheetView>
  </sheetViews>
  <sheetFormatPr defaultRowHeight="14.4" x14ac:dyDescent="0.55000000000000004"/>
  <cols>
    <col min="1" max="1" width="14.7890625" bestFit="1" customWidth="1"/>
    <col min="4" max="4" width="11.26171875" bestFit="1" customWidth="1"/>
    <col min="8" max="8" width="14.7890625" bestFit="1" customWidth="1"/>
  </cols>
  <sheetData>
    <row r="2" spans="1:20" x14ac:dyDescent="0.55000000000000004">
      <c r="B2">
        <v>0</v>
      </c>
      <c r="H2" t="s">
        <v>392</v>
      </c>
      <c r="I2">
        <v>0</v>
      </c>
    </row>
    <row r="3" spans="1:20" x14ac:dyDescent="0.55000000000000004">
      <c r="A3" t="s">
        <v>142</v>
      </c>
      <c r="H3" t="s">
        <v>143</v>
      </c>
      <c r="N3" t="s">
        <v>119</v>
      </c>
    </row>
    <row r="4" spans="1:20" x14ac:dyDescent="0.55000000000000004">
      <c r="B4" t="s">
        <v>77</v>
      </c>
      <c r="C4" t="s">
        <v>78</v>
      </c>
      <c r="D4" t="s">
        <v>79</v>
      </c>
      <c r="I4" t="s">
        <v>77</v>
      </c>
      <c r="J4" t="s">
        <v>78</v>
      </c>
      <c r="K4" t="s">
        <v>79</v>
      </c>
      <c r="O4" t="s">
        <v>77</v>
      </c>
      <c r="P4" t="s">
        <v>78</v>
      </c>
      <c r="Q4" t="s">
        <v>79</v>
      </c>
    </row>
    <row r="5" spans="1:20" x14ac:dyDescent="0.55000000000000004">
      <c r="A5" t="s">
        <v>74</v>
      </c>
      <c r="B5">
        <f>'Worksheet Inputs'!B4+B2</f>
        <v>1250.4000000000001</v>
      </c>
      <c r="C5">
        <v>0</v>
      </c>
      <c r="D5" s="12">
        <v>329</v>
      </c>
      <c r="E5" t="s">
        <v>46</v>
      </c>
      <c r="H5" t="s">
        <v>74</v>
      </c>
      <c r="I5">
        <f>'Worksheet Inputs'!B10+I2</f>
        <v>1965.6000000000001</v>
      </c>
      <c r="J5" s="12">
        <v>164.6</v>
      </c>
      <c r="K5" s="12">
        <v>328.1</v>
      </c>
      <c r="L5" t="s">
        <v>46</v>
      </c>
      <c r="N5" t="s">
        <v>121</v>
      </c>
      <c r="O5" s="15">
        <f>O6</f>
        <v>1895.88</v>
      </c>
      <c r="P5" s="15">
        <v>0</v>
      </c>
      <c r="Q5" s="15">
        <f>'Worksheet Inputs'!B19</f>
        <v>479.15999999999997</v>
      </c>
      <c r="S5" t="s">
        <v>122</v>
      </c>
      <c r="T5" s="12">
        <v>1</v>
      </c>
    </row>
    <row r="6" spans="1:20" x14ac:dyDescent="0.55000000000000004">
      <c r="A6" t="s">
        <v>75</v>
      </c>
      <c r="B6">
        <f>B5+4</f>
        <v>1254.4000000000001</v>
      </c>
      <c r="C6">
        <v>0</v>
      </c>
      <c r="D6">
        <v>477</v>
      </c>
      <c r="E6" t="s">
        <v>46</v>
      </c>
      <c r="H6" t="s">
        <v>75</v>
      </c>
      <c r="I6">
        <f>I5</f>
        <v>1965.6000000000001</v>
      </c>
      <c r="J6">
        <f>J5</f>
        <v>164.6</v>
      </c>
      <c r="K6">
        <v>474</v>
      </c>
      <c r="L6" t="s">
        <v>46</v>
      </c>
      <c r="O6">
        <f>'Worksheet Inputs'!B17</f>
        <v>1895.88</v>
      </c>
      <c r="S6" t="s">
        <v>123</v>
      </c>
      <c r="T6">
        <v>0</v>
      </c>
    </row>
    <row r="7" spans="1:20" x14ac:dyDescent="0.55000000000000004">
      <c r="A7" t="s">
        <v>76</v>
      </c>
      <c r="B7">
        <f>B5</f>
        <v>1250.4000000000001</v>
      </c>
      <c r="C7">
        <v>0</v>
      </c>
      <c r="D7">
        <f>D5</f>
        <v>329</v>
      </c>
      <c r="E7" t="s">
        <v>46</v>
      </c>
      <c r="H7" t="s">
        <v>76</v>
      </c>
      <c r="I7">
        <f>I6</f>
        <v>1965.6000000000001</v>
      </c>
      <c r="J7">
        <f>J6</f>
        <v>164.6</v>
      </c>
      <c r="K7">
        <f>K5</f>
        <v>328.1</v>
      </c>
      <c r="L7" t="s">
        <v>46</v>
      </c>
      <c r="N7" t="s">
        <v>120</v>
      </c>
      <c r="O7" s="15">
        <f>'Worksheet Inputs'!A20</f>
        <v>415000</v>
      </c>
      <c r="S7" t="s">
        <v>126</v>
      </c>
      <c r="T7" s="12">
        <v>14</v>
      </c>
    </row>
    <row r="8" spans="1:20" x14ac:dyDescent="0.55000000000000004">
      <c r="H8" t="s">
        <v>231</v>
      </c>
      <c r="I8">
        <f>I6-12</f>
        <v>1953.6000000000001</v>
      </c>
      <c r="J8">
        <f>J6</f>
        <v>164.6</v>
      </c>
      <c r="K8">
        <f>K6</f>
        <v>474</v>
      </c>
      <c r="O8" s="15"/>
      <c r="T8" s="12"/>
    </row>
    <row r="9" spans="1:20" x14ac:dyDescent="0.55000000000000004">
      <c r="H9" t="s">
        <v>232</v>
      </c>
      <c r="I9">
        <f>I6+12</f>
        <v>1977.6000000000001</v>
      </c>
      <c r="J9">
        <f>J6</f>
        <v>164.6</v>
      </c>
      <c r="K9">
        <f>K6</f>
        <v>474</v>
      </c>
      <c r="O9" s="15"/>
      <c r="P9">
        <f>154.1*12</f>
        <v>1849.1999999999998</v>
      </c>
      <c r="T9" s="12"/>
    </row>
    <row r="10" spans="1:20" x14ac:dyDescent="0.55000000000000004">
      <c r="O10" s="15"/>
      <c r="T10" s="15"/>
    </row>
    <row r="11" spans="1:20" x14ac:dyDescent="0.55000000000000004">
      <c r="A11" t="s">
        <v>144</v>
      </c>
      <c r="O11" s="15"/>
      <c r="T11" s="15"/>
    </row>
    <row r="12" spans="1:20" x14ac:dyDescent="0.55000000000000004">
      <c r="B12" t="s">
        <v>77</v>
      </c>
      <c r="C12" t="s">
        <v>78</v>
      </c>
      <c r="D12" t="s">
        <v>79</v>
      </c>
      <c r="I12" t="s">
        <v>77</v>
      </c>
      <c r="J12" t="s">
        <v>78</v>
      </c>
      <c r="K12" t="s">
        <v>79</v>
      </c>
      <c r="O12" s="15"/>
      <c r="T12" s="15"/>
    </row>
    <row r="13" spans="1:20" x14ac:dyDescent="0.55000000000000004">
      <c r="A13" t="s">
        <v>74</v>
      </c>
      <c r="B13" s="22">
        <f>B43</f>
        <v>1254.7209322703725</v>
      </c>
      <c r="C13" s="20">
        <v>0</v>
      </c>
      <c r="D13" s="22">
        <f>C43</f>
        <v>340.87449400377841</v>
      </c>
      <c r="E13" s="20" t="s">
        <v>46</v>
      </c>
      <c r="H13" t="s">
        <v>74</v>
      </c>
      <c r="I13" s="20">
        <f>J43</f>
        <v>1965.6000000000001</v>
      </c>
      <c r="J13" s="20">
        <f>J5</f>
        <v>164.6</v>
      </c>
      <c r="K13" s="22">
        <f>K43</f>
        <v>344.42939888456931</v>
      </c>
      <c r="L13" s="20" t="s">
        <v>46</v>
      </c>
      <c r="N13" t="s">
        <v>146</v>
      </c>
      <c r="O13" s="15"/>
      <c r="T13" s="15">
        <f>1923.6-1522.9</f>
        <v>400.69999999999982</v>
      </c>
    </row>
    <row r="14" spans="1:20" x14ac:dyDescent="0.55000000000000004">
      <c r="A14" t="s">
        <v>75</v>
      </c>
      <c r="B14" s="22">
        <f>B6</f>
        <v>1254.4000000000001</v>
      </c>
      <c r="C14" s="20">
        <v>0</v>
      </c>
      <c r="D14" s="22">
        <f>D6</f>
        <v>477</v>
      </c>
      <c r="E14" s="20" t="s">
        <v>46</v>
      </c>
      <c r="H14" t="s">
        <v>75</v>
      </c>
      <c r="I14" s="20">
        <f>I13</f>
        <v>1965.6000000000001</v>
      </c>
      <c r="J14" s="20">
        <f>J13</f>
        <v>164.6</v>
      </c>
      <c r="K14" s="22">
        <f>K6</f>
        <v>474</v>
      </c>
      <c r="L14" s="20" t="s">
        <v>46</v>
      </c>
      <c r="N14" s="20">
        <f>DEGREES(V43)</f>
        <v>-1.9074374500810697E-3</v>
      </c>
      <c r="O14" s="20" t="s">
        <v>97</v>
      </c>
      <c r="P14" s="15" t="s">
        <v>147</v>
      </c>
      <c r="T14" s="15">
        <f>T13/749.5</f>
        <v>0.53462308205470288</v>
      </c>
    </row>
    <row r="15" spans="1:20" x14ac:dyDescent="0.55000000000000004">
      <c r="A15" t="s">
        <v>76</v>
      </c>
      <c r="B15" s="22">
        <f>B13</f>
        <v>1254.7209322703725</v>
      </c>
      <c r="C15" s="20">
        <v>0</v>
      </c>
      <c r="D15" s="22">
        <f>D13</f>
        <v>340.87449400377841</v>
      </c>
      <c r="E15" s="20" t="s">
        <v>46</v>
      </c>
      <c r="H15" t="s">
        <v>76</v>
      </c>
      <c r="I15" s="20">
        <f>I14</f>
        <v>1965.6000000000001</v>
      </c>
      <c r="J15" s="20">
        <f>J14</f>
        <v>164.6</v>
      </c>
      <c r="K15" s="22">
        <f>K13</f>
        <v>344.42939888456931</v>
      </c>
      <c r="L15" s="20" t="s">
        <v>46</v>
      </c>
      <c r="O15" s="15"/>
      <c r="T15" s="15"/>
    </row>
    <row r="16" spans="1:20" x14ac:dyDescent="0.55000000000000004">
      <c r="A16" t="s">
        <v>145</v>
      </c>
      <c r="B16" s="22">
        <f>B13</f>
        <v>1254.7209322703725</v>
      </c>
      <c r="C16" s="20">
        <f>C15</f>
        <v>0</v>
      </c>
      <c r="D16" s="22">
        <f>D15-D43</f>
        <v>327.7870557168568</v>
      </c>
      <c r="E16" s="20" t="s">
        <v>46</v>
      </c>
      <c r="H16" t="s">
        <v>145</v>
      </c>
      <c r="I16" s="20">
        <f>I13</f>
        <v>1965.6000000000001</v>
      </c>
      <c r="J16" s="20">
        <f>J15</f>
        <v>164.6</v>
      </c>
      <c r="K16" s="22">
        <f>K15-L43</f>
        <v>327.76338979850095</v>
      </c>
      <c r="L16" s="20" t="s">
        <v>46</v>
      </c>
      <c r="N16" t="s">
        <v>149</v>
      </c>
      <c r="O16" s="15"/>
      <c r="T16" s="15"/>
    </row>
    <row r="17" spans="1:22" x14ac:dyDescent="0.55000000000000004">
      <c r="D17">
        <f>'Worksheet Inputs'!B6</f>
        <v>327.60000000000002</v>
      </c>
      <c r="E17" s="15" t="s">
        <v>221</v>
      </c>
      <c r="K17">
        <f>'Worksheet Inputs'!B12</f>
        <v>327.60000000000002</v>
      </c>
      <c r="L17" s="15" t="s">
        <v>221</v>
      </c>
      <c r="N17" s="20" t="s">
        <v>150</v>
      </c>
      <c r="O17" s="20">
        <f>N43*2/O7*100</f>
        <v>90.193418492937454</v>
      </c>
      <c r="T17" s="15"/>
    </row>
    <row r="18" spans="1:22" x14ac:dyDescent="0.55000000000000004">
      <c r="D18" s="20">
        <f>H43</f>
        <v>11.878830134652784</v>
      </c>
      <c r="E18" s="20" t="s">
        <v>100</v>
      </c>
      <c r="H18" t="s">
        <v>137</v>
      </c>
      <c r="I18" s="12">
        <v>2</v>
      </c>
      <c r="K18" s="20">
        <f>P43</f>
        <v>16.329398884578787</v>
      </c>
      <c r="L18" s="20" t="s">
        <v>100</v>
      </c>
      <c r="N18" s="20" t="s">
        <v>151</v>
      </c>
      <c r="O18" s="20">
        <f>E43/O7*100</f>
        <v>9.8070634347731271</v>
      </c>
    </row>
    <row r="19" spans="1:22" x14ac:dyDescent="0.55000000000000004">
      <c r="A19" t="s">
        <v>159</v>
      </c>
      <c r="B19">
        <f>'Tire Selection'!I30</f>
        <v>2</v>
      </c>
      <c r="H19" t="s">
        <v>159</v>
      </c>
      <c r="I19" s="15">
        <f>'Tire Selection'!I5</f>
        <v>6</v>
      </c>
      <c r="K19" s="20">
        <f>I30+'Tire Selection'!N24+'Worksheet Inputs'!A21/2</f>
        <v>176.58453541264129</v>
      </c>
      <c r="L19" s="20" t="s">
        <v>222</v>
      </c>
      <c r="N19" s="15"/>
      <c r="O19" s="15"/>
    </row>
    <row r="20" spans="1:22" x14ac:dyDescent="0.55000000000000004">
      <c r="A20" t="s">
        <v>85</v>
      </c>
      <c r="B20" s="12">
        <v>150</v>
      </c>
      <c r="C20" t="s">
        <v>47</v>
      </c>
      <c r="H20" t="s">
        <v>85</v>
      </c>
      <c r="I20" s="12">
        <v>350</v>
      </c>
      <c r="J20" t="s">
        <v>47</v>
      </c>
      <c r="K20">
        <f>K18/I23</f>
        <v>0.81646994422893937</v>
      </c>
      <c r="L20" s="20" t="s">
        <v>265</v>
      </c>
    </row>
    <row r="21" spans="1:22" x14ac:dyDescent="0.55000000000000004">
      <c r="A21" t="s">
        <v>80</v>
      </c>
      <c r="B21" s="12">
        <v>7</v>
      </c>
      <c r="C21" t="s">
        <v>46</v>
      </c>
      <c r="H21" t="s">
        <v>80</v>
      </c>
      <c r="I21" s="12">
        <v>11</v>
      </c>
      <c r="J21" t="s">
        <v>46</v>
      </c>
      <c r="U21">
        <f>ASIN(13.24/32.95)</f>
        <v>0.41350451883996536</v>
      </c>
      <c r="V21">
        <f>DEGREES(U21)</f>
        <v>23.692063739117852</v>
      </c>
    </row>
    <row r="22" spans="1:22" x14ac:dyDescent="0.55000000000000004">
      <c r="A22" s="18" t="s">
        <v>87</v>
      </c>
      <c r="B22" s="19">
        <f>B24*B23</f>
        <v>538.78314009064945</v>
      </c>
      <c r="D22">
        <f>D6-D5</f>
        <v>148</v>
      </c>
      <c r="E22">
        <f>D22+B26</f>
        <v>163</v>
      </c>
      <c r="H22" s="18" t="s">
        <v>87</v>
      </c>
      <c r="I22" s="19">
        <f>I24*I23</f>
        <v>1900.6635554218249</v>
      </c>
      <c r="K22">
        <f>J5-K19</f>
        <v>-11.984535412641293</v>
      </c>
      <c r="L22" s="20" t="s">
        <v>365</v>
      </c>
    </row>
    <row r="23" spans="1:22" x14ac:dyDescent="0.55000000000000004">
      <c r="A23" t="s">
        <v>86</v>
      </c>
      <c r="B23" s="12">
        <v>14</v>
      </c>
      <c r="C23" t="s">
        <v>46</v>
      </c>
      <c r="D23" s="35">
        <f>D14-D13</f>
        <v>136.12550599622159</v>
      </c>
      <c r="H23" t="s">
        <v>86</v>
      </c>
      <c r="I23" s="12">
        <v>20</v>
      </c>
      <c r="J23" t="s">
        <v>46</v>
      </c>
      <c r="N23">
        <f>J16-5</f>
        <v>159.6</v>
      </c>
      <c r="U23">
        <f>SIN(U21)*46.1</f>
        <v>18.523945371775415</v>
      </c>
    </row>
    <row r="24" spans="1:22" x14ac:dyDescent="0.55000000000000004">
      <c r="A24" t="s">
        <v>84</v>
      </c>
      <c r="B24">
        <f>B21*B21*PI()/4</f>
        <v>38.484510006474963</v>
      </c>
      <c r="C24" t="s">
        <v>90</v>
      </c>
      <c r="H24" t="s">
        <v>84</v>
      </c>
      <c r="I24">
        <f>I21*I21*PI()/4</f>
        <v>95.033177771091246</v>
      </c>
      <c r="J24" t="s">
        <v>90</v>
      </c>
    </row>
    <row r="25" spans="1:22" x14ac:dyDescent="0.55000000000000004">
      <c r="A25" t="s">
        <v>88</v>
      </c>
      <c r="B25">
        <f>B24*B23</f>
        <v>538.78314009064945</v>
      </c>
      <c r="C25" t="s">
        <v>89</v>
      </c>
      <c r="H25" t="s">
        <v>88</v>
      </c>
      <c r="I25">
        <f>I24*I23</f>
        <v>1900.6635554218249</v>
      </c>
      <c r="J25" t="s">
        <v>89</v>
      </c>
      <c r="N25">
        <f>K6-K5+I26</f>
        <v>165.39999999999998</v>
      </c>
      <c r="O25">
        <f>N25+L43</f>
        <v>182.06600908606831</v>
      </c>
      <c r="P25">
        <f>O25-N23</f>
        <v>22.466009086068311</v>
      </c>
      <c r="U25">
        <f>(46.1^2-U23^2)^0.5</f>
        <v>42.214611781508545</v>
      </c>
    </row>
    <row r="26" spans="1:22" x14ac:dyDescent="0.55000000000000004">
      <c r="A26" t="s">
        <v>91</v>
      </c>
      <c r="B26" s="15">
        <f>'Tire Selection'!I32/2</f>
        <v>15</v>
      </c>
      <c r="C26" t="s">
        <v>46</v>
      </c>
      <c r="H26" t="s">
        <v>91</v>
      </c>
      <c r="I26" s="15">
        <f>'Tire Selection'!I7/2</f>
        <v>19.5</v>
      </c>
      <c r="J26" t="s">
        <v>46</v>
      </c>
      <c r="N26" s="35">
        <f>K14-K13</f>
        <v>129.57060111543069</v>
      </c>
    </row>
    <row r="27" spans="1:22" x14ac:dyDescent="0.55000000000000004">
      <c r="A27" t="s">
        <v>92</v>
      </c>
      <c r="B27" s="15">
        <f>'Tire Selection'!I43</f>
        <v>10640</v>
      </c>
      <c r="H27" t="s">
        <v>92</v>
      </c>
      <c r="I27" s="15">
        <f>'Tire Selection'!I18</f>
        <v>11006.289308176101</v>
      </c>
    </row>
    <row r="29" spans="1:22" x14ac:dyDescent="0.55000000000000004">
      <c r="A29" t="s">
        <v>93</v>
      </c>
      <c r="B29">
        <f>B6-B7</f>
        <v>4</v>
      </c>
      <c r="C29" t="s">
        <v>46</v>
      </c>
      <c r="H29" t="s">
        <v>93</v>
      </c>
      <c r="I29">
        <f>I6-I7</f>
        <v>0</v>
      </c>
      <c r="J29" t="s">
        <v>46</v>
      </c>
    </row>
    <row r="30" spans="1:22" x14ac:dyDescent="0.55000000000000004">
      <c r="A30" t="s">
        <v>94</v>
      </c>
      <c r="B30">
        <f>D6-D7</f>
        <v>148</v>
      </c>
      <c r="C30" t="s">
        <v>46</v>
      </c>
      <c r="H30" t="s">
        <v>94</v>
      </c>
      <c r="I30">
        <f>K6-K7</f>
        <v>145.89999999999998</v>
      </c>
      <c r="J30" t="s">
        <v>46</v>
      </c>
    </row>
    <row r="31" spans="1:22" x14ac:dyDescent="0.55000000000000004">
      <c r="A31" t="s">
        <v>95</v>
      </c>
      <c r="B31">
        <f>SQRT(B29^2+B30^2)</f>
        <v>148.05404418657398</v>
      </c>
      <c r="H31" t="s">
        <v>95</v>
      </c>
      <c r="I31">
        <f>SQRT(I29^2+I30^2)</f>
        <v>145.89999999999998</v>
      </c>
    </row>
    <row r="32" spans="1:22" x14ac:dyDescent="0.55000000000000004">
      <c r="A32" t="s">
        <v>96</v>
      </c>
      <c r="B32">
        <f>ATAN(B29/B30)</f>
        <v>2.7020449187264789E-2</v>
      </c>
      <c r="C32" t="s">
        <v>95</v>
      </c>
      <c r="D32">
        <f>DEGREES(B32)</f>
        <v>1.5481576989779677</v>
      </c>
      <c r="E32" t="s">
        <v>97</v>
      </c>
      <c r="H32" t="s">
        <v>96</v>
      </c>
      <c r="I32">
        <f>ATAN(I29/I30)</f>
        <v>0</v>
      </c>
      <c r="J32" t="s">
        <v>95</v>
      </c>
      <c r="K32">
        <f>DEGREES(I32)</f>
        <v>0</v>
      </c>
      <c r="L32" t="s">
        <v>97</v>
      </c>
    </row>
    <row r="35" spans="1:26" ht="14.7" thickBot="1" x14ac:dyDescent="0.6">
      <c r="A35" s="50" t="s">
        <v>98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</row>
    <row r="36" spans="1:26" ht="14.7" thickBot="1" x14ac:dyDescent="0.6">
      <c r="A36" s="51" t="s">
        <v>99</v>
      </c>
      <c r="B36" s="52"/>
      <c r="C36" s="52"/>
      <c r="D36" s="52"/>
      <c r="E36" s="52"/>
      <c r="F36" s="52"/>
      <c r="G36" s="52"/>
      <c r="H36" s="52"/>
      <c r="I36" s="51" t="s">
        <v>106</v>
      </c>
      <c r="J36" s="52"/>
      <c r="K36" s="52"/>
      <c r="L36" s="52"/>
      <c r="M36" s="52"/>
      <c r="N36" s="52"/>
      <c r="O36" s="52"/>
      <c r="P36" s="52"/>
      <c r="Q36" s="51" t="s">
        <v>107</v>
      </c>
      <c r="R36" s="52"/>
      <c r="S36" s="52"/>
      <c r="T36" s="52"/>
      <c r="U36" s="52"/>
      <c r="V36" s="53"/>
      <c r="W36" s="51" t="s">
        <v>114</v>
      </c>
      <c r="X36" s="52"/>
      <c r="Y36" s="52"/>
      <c r="Z36" s="53"/>
    </row>
    <row r="37" spans="1:26" x14ac:dyDescent="0.55000000000000004">
      <c r="A37" s="13" t="s">
        <v>125</v>
      </c>
      <c r="B37" s="5" t="s">
        <v>101</v>
      </c>
      <c r="C37" s="5" t="s">
        <v>102</v>
      </c>
      <c r="D37" s="5" t="s">
        <v>103</v>
      </c>
      <c r="E37" s="5" t="s">
        <v>104</v>
      </c>
      <c r="F37" s="7" t="s">
        <v>124</v>
      </c>
      <c r="G37" s="5" t="s">
        <v>105</v>
      </c>
      <c r="H37" s="6" t="s">
        <v>100</v>
      </c>
      <c r="I37" s="13" t="s">
        <v>125</v>
      </c>
      <c r="J37" s="5" t="s">
        <v>101</v>
      </c>
      <c r="K37" s="5" t="s">
        <v>102</v>
      </c>
      <c r="L37" s="5" t="s">
        <v>103</v>
      </c>
      <c r="M37" s="5" t="s">
        <v>104</v>
      </c>
      <c r="N37" s="7" t="s">
        <v>124</v>
      </c>
      <c r="O37" s="5" t="s">
        <v>105</v>
      </c>
      <c r="P37" s="5" t="s">
        <v>100</v>
      </c>
      <c r="Q37" s="16" t="s">
        <v>108</v>
      </c>
      <c r="R37" s="7" t="s">
        <v>109</v>
      </c>
      <c r="S37" s="7" t="s">
        <v>110</v>
      </c>
      <c r="T37" s="7" t="s">
        <v>111</v>
      </c>
      <c r="U37" s="7" t="s">
        <v>112</v>
      </c>
      <c r="V37" s="17" t="s">
        <v>113</v>
      </c>
      <c r="W37" s="16" t="s">
        <v>115</v>
      </c>
      <c r="X37" s="7" t="s">
        <v>116</v>
      </c>
      <c r="Y37" s="7" t="s">
        <v>117</v>
      </c>
      <c r="Z37" s="17" t="s">
        <v>118</v>
      </c>
    </row>
    <row r="38" spans="1:26" x14ac:dyDescent="0.55000000000000004">
      <c r="A38" s="13">
        <v>0</v>
      </c>
      <c r="B38" s="5">
        <f>B5+A38*SIN(B32)</f>
        <v>1250.4000000000001</v>
      </c>
      <c r="C38" s="5">
        <f>D5+A38*COS(B32)</f>
        <v>329</v>
      </c>
      <c r="D38" s="5">
        <f t="shared" ref="D38:D43" si="0">$B$26-E38/$B$27/$B$19</f>
        <v>13.067825164327196</v>
      </c>
      <c r="E38" s="5">
        <f>O7*T5-2*M38</f>
        <v>41116.68050311727</v>
      </c>
      <c r="F38" s="5">
        <f>E38+COS(B32+V38)</f>
        <v>41117.680313581295</v>
      </c>
      <c r="G38" s="5">
        <f t="shared" ref="G38:G43" si="1">MAX($F$38/$B$24,$B$20)</f>
        <v>1068.4215625108206</v>
      </c>
      <c r="H38" s="6">
        <f t="shared" ref="H38:H43" si="2">$B$25/$B$24*(1-($B$20+$T$7)/(G38+$T$7))</f>
        <v>11.878830134652784</v>
      </c>
      <c r="I38" s="13">
        <v>0</v>
      </c>
      <c r="J38" s="5">
        <f>I5+I38*SIN(I32)</f>
        <v>1965.6000000000001</v>
      </c>
      <c r="K38" s="5">
        <f>K5+I38*COS(I32)</f>
        <v>328.1</v>
      </c>
      <c r="L38" s="5">
        <f t="shared" ref="L38:L43" si="3">$I$26-M38/$I$27/$I$19</f>
        <v>16.669169152380746</v>
      </c>
      <c r="M38" s="5">
        <f>1/I18*O7*T5*((O5-W38)*COS(V38)+(Q5-X38)*SIN(V38))/(Q38*COS(U38)+T6*((Q5-X38)*COS(V38)-(O5-W38)*SIN(V38)))</f>
        <v>186941.65974844137</v>
      </c>
      <c r="N38" s="5">
        <f>M38+COS(I32+V38)</f>
        <v>186942.65971993745</v>
      </c>
      <c r="O38" s="5">
        <f t="shared" ref="O38:O43" si="4">MAX(N38/$I$24,$I$20)</f>
        <v>1967.1304706892033</v>
      </c>
      <c r="P38" s="5">
        <f t="shared" ref="P38:P43" si="5">$I$25/$I$24*(1-($I$20+$T$7)/(O38+$T$7))</f>
        <v>16.325330356729406</v>
      </c>
      <c r="Q38" s="13">
        <f t="shared" ref="Q38:R43" si="6">(J38-B38)</f>
        <v>715.2</v>
      </c>
      <c r="R38" s="5">
        <f t="shared" si="6"/>
        <v>-0.89999999999997726</v>
      </c>
      <c r="S38" s="5">
        <f t="shared" ref="S38:S43" si="7">SQRT(Q38^2+R38^2)</f>
        <v>715.20056627494364</v>
      </c>
      <c r="T38" s="5">
        <f t="shared" ref="T38:T43" si="8">ATAN(R38/Q38)</f>
        <v>-1.258388597507506E-3</v>
      </c>
      <c r="U38" s="5">
        <f>(ASIN((B26-I26)/S38))</f>
        <v>-6.2919828424650116E-3</v>
      </c>
      <c r="V38" s="6">
        <f t="shared" ref="V38:V43" si="9">T38+U38</f>
        <v>-7.5503714399725178E-3</v>
      </c>
      <c r="W38" s="13">
        <f>B38+B26*SIN(V38)</f>
        <v>1250.2867455044784</v>
      </c>
      <c r="X38" s="5">
        <f>C38-B26*COS(V38)</f>
        <v>314.00042755878542</v>
      </c>
      <c r="Y38" s="5">
        <f>J38+I26*SIN(V38)</f>
        <v>1965.4527691558219</v>
      </c>
      <c r="Z38" s="6">
        <f>K38-I26*COS(V38)</f>
        <v>308.60055582642104</v>
      </c>
    </row>
    <row r="39" spans="1:26" x14ac:dyDescent="0.55000000000000004">
      <c r="A39" s="13">
        <f>H38</f>
        <v>11.878830134652784</v>
      </c>
      <c r="B39" s="5">
        <f>$B$6+A39*SIN($B$32)</f>
        <v>1254.7209322703725</v>
      </c>
      <c r="C39" s="5">
        <f>$D$5+A39*COS($B$32)</f>
        <v>340.87449400377841</v>
      </c>
      <c r="D39" s="5">
        <f t="shared" si="0"/>
        <v>13.087301604751122</v>
      </c>
      <c r="E39" s="5">
        <f>$O$7*$T$5-2*M39</f>
        <v>40702.221850896138</v>
      </c>
      <c r="F39" s="5">
        <f>E39+COS($B$32+V39)</f>
        <v>40703.221487783048</v>
      </c>
      <c r="G39" s="5">
        <f t="shared" si="1"/>
        <v>1068.4215625108206</v>
      </c>
      <c r="H39" s="6">
        <f t="shared" si="2"/>
        <v>11.878830134652784</v>
      </c>
      <c r="I39" s="13">
        <f>P38</f>
        <v>16.325330356729406</v>
      </c>
      <c r="J39" s="5">
        <f>$I$5+I39*SIN($I$32)</f>
        <v>1965.6000000000001</v>
      </c>
      <c r="K39" s="5">
        <f>$K$5+I39*COS($I$32)</f>
        <v>344.42533035672943</v>
      </c>
      <c r="L39" s="5">
        <f t="shared" si="3"/>
        <v>16.666031108299642</v>
      </c>
      <c r="M39" s="5">
        <f>0.5*$O$7*$T$5*(($O$5-W39)*COS(V39)+($Q$5-X39)*SIN(V39))/(Q39*COS(U39)+$T$6*(($Q$5-X39)*COS(V39)-($O$5-W39)*SIN(V39)))</f>
        <v>187148.88907455193</v>
      </c>
      <c r="N39" s="5">
        <f>M39+COS($I$32+V39)</f>
        <v>187149.8890745494</v>
      </c>
      <c r="O39" s="5">
        <f t="shared" si="4"/>
        <v>1969.3110707645906</v>
      </c>
      <c r="P39" s="5">
        <f t="shared" si="5"/>
        <v>16.329370562534361</v>
      </c>
      <c r="Q39" s="13">
        <f t="shared" si="6"/>
        <v>710.87906772962765</v>
      </c>
      <c r="R39" s="5">
        <f t="shared" si="6"/>
        <v>3.5508363529510234</v>
      </c>
      <c r="S39" s="5">
        <f t="shared" si="7"/>
        <v>710.88793587664009</v>
      </c>
      <c r="T39" s="5">
        <f t="shared" si="8"/>
        <v>4.994952001692669E-3</v>
      </c>
      <c r="U39" s="5">
        <f>(ASIN((D38-L38)/S39))</f>
        <v>-5.0660015604716497E-3</v>
      </c>
      <c r="V39" s="6">
        <f t="shared" si="9"/>
        <v>-7.1049558778980663E-5</v>
      </c>
      <c r="W39" s="13">
        <f>B39+L38*SIN(V39)</f>
        <v>1254.7197479332599</v>
      </c>
      <c r="X39" s="5">
        <f>C39-D38*COS(V39)</f>
        <v>327.80666887243467</v>
      </c>
      <c r="Y39" s="5">
        <f>J39+L38*SIN(V39)</f>
        <v>1965.5988156628875</v>
      </c>
      <c r="Z39" s="6">
        <f>K39-L38*COS(V39)</f>
        <v>327.75616124642198</v>
      </c>
    </row>
    <row r="40" spans="1:26" x14ac:dyDescent="0.55000000000000004">
      <c r="A40" s="13">
        <f>H39</f>
        <v>11.878830134652784</v>
      </c>
      <c r="B40" s="5">
        <f>$B$6+A40*SIN($B$32)</f>
        <v>1254.7209322703725</v>
      </c>
      <c r="C40" s="5">
        <f>$D$5+A40*COS($B$32)</f>
        <v>340.87449400377841</v>
      </c>
      <c r="D40" s="5">
        <f t="shared" si="0"/>
        <v>13.087437334418988</v>
      </c>
      <c r="E40" s="5">
        <f>$O$7*$T$5-2*M40</f>
        <v>40699.333523563924</v>
      </c>
      <c r="F40" s="5">
        <f>E40+COS($B$32+V40)</f>
        <v>40700.333159439775</v>
      </c>
      <c r="G40" s="5">
        <f t="shared" si="1"/>
        <v>1068.4215625108206</v>
      </c>
      <c r="H40" s="6">
        <f t="shared" si="2"/>
        <v>11.878830134652784</v>
      </c>
      <c r="I40" s="13">
        <f>P39</f>
        <v>16.329370562534361</v>
      </c>
      <c r="J40" s="5">
        <f>$I$5+I40*SIN($I$32)</f>
        <v>1965.6000000000001</v>
      </c>
      <c r="K40" s="5">
        <f>$K$5+I40*COS($I$32)</f>
        <v>344.42937056253436</v>
      </c>
      <c r="L40" s="5">
        <f t="shared" si="3"/>
        <v>16.666009239535555</v>
      </c>
      <c r="M40" s="5">
        <f>0.5*$O$7*$T$5*(($O$5-W40)*COS(V40)+($Q$5-X40)*SIN(V40))/(Q40*COS(U40)+$T$6*(($Q$5-X40)*COS(V40)-($O$5-W40)*SIN(V40)))</f>
        <v>187150.33323821804</v>
      </c>
      <c r="N40" s="5">
        <f>M40+COS($I$32+V40)</f>
        <v>187151.33323821748</v>
      </c>
      <c r="O40" s="5">
        <f t="shared" si="4"/>
        <v>1969.3262671802211</v>
      </c>
      <c r="P40" s="5">
        <f t="shared" si="5"/>
        <v>16.329398687211317</v>
      </c>
      <c r="Q40" s="13">
        <f t="shared" si="6"/>
        <v>710.87906772962765</v>
      </c>
      <c r="R40" s="5">
        <f t="shared" si="6"/>
        <v>3.5548765587559501</v>
      </c>
      <c r="S40" s="5">
        <f t="shared" si="7"/>
        <v>710.88795606867086</v>
      </c>
      <c r="T40" s="5">
        <f t="shared" si="8"/>
        <v>5.0006352537015327E-3</v>
      </c>
      <c r="U40" s="5">
        <f>(ASIN((D39-L39)/S40))</f>
        <v>-5.0341894092267615E-3</v>
      </c>
      <c r="V40" s="6">
        <f t="shared" si="9"/>
        <v>-3.3554155525228856E-5</v>
      </c>
      <c r="W40" s="13">
        <f>B40+L39*SIN(V40)</f>
        <v>1254.7203730557728</v>
      </c>
      <c r="X40" s="5">
        <f>C40-D39*COS(V40)</f>
        <v>327.78719240639464</v>
      </c>
      <c r="Y40" s="5">
        <f>J40+L39*SIN(V40)</f>
        <v>1965.5994407854005</v>
      </c>
      <c r="Z40" s="6">
        <f>K40-L39*COS(V40)</f>
        <v>327.76333946361672</v>
      </c>
    </row>
    <row r="41" spans="1:26" x14ac:dyDescent="0.55000000000000004">
      <c r="A41" s="13">
        <f>H40</f>
        <v>11.878830134652784</v>
      </c>
      <c r="B41" s="5">
        <f>$B$6+A41*SIN($B$32)</f>
        <v>1254.7209322703725</v>
      </c>
      <c r="C41" s="5">
        <f>$D$5+A41*COS($B$32)</f>
        <v>340.87449400377841</v>
      </c>
      <c r="D41" s="5">
        <f t="shared" si="0"/>
        <v>13.087438280284179</v>
      </c>
      <c r="E41" s="5">
        <f>$O$7*$T$5-2*M41</f>
        <v>40699.313395552686</v>
      </c>
      <c r="F41" s="5">
        <f>E41+COS($B$32+V41)</f>
        <v>40700.313031421487</v>
      </c>
      <c r="G41" s="5">
        <f t="shared" si="1"/>
        <v>1068.4215625108206</v>
      </c>
      <c r="H41" s="6">
        <f t="shared" si="2"/>
        <v>11.878830134652784</v>
      </c>
      <c r="I41" s="13">
        <f>P40</f>
        <v>16.329398687211317</v>
      </c>
      <c r="J41" s="5">
        <f>$I$5+I41*SIN($I$32)</f>
        <v>1965.6000000000001</v>
      </c>
      <c r="K41" s="5">
        <f>$K$5+I41*COS($I$32)</f>
        <v>344.42939868721135</v>
      </c>
      <c r="L41" s="5">
        <f t="shared" si="3"/>
        <v>16.666009087137756</v>
      </c>
      <c r="M41" s="5">
        <f>0.5*$O$7*$T$5*(($O$5-W41)*COS(V41)+($Q$5-X41)*SIN(V41))/(Q41*COS(U41)+$T$6*(($Q$5-X41)*COS(V41)-($O$5-W41)*SIN(V41)))</f>
        <v>187150.34330222366</v>
      </c>
      <c r="N41" s="5">
        <f>M41+COS($I$32+V41)</f>
        <v>187151.3433022231</v>
      </c>
      <c r="O41" s="5">
        <f t="shared" si="4"/>
        <v>1969.326373080138</v>
      </c>
      <c r="P41" s="5">
        <f t="shared" si="5"/>
        <v>16.329398883203453</v>
      </c>
      <c r="Q41" s="13">
        <f t="shared" si="6"/>
        <v>710.87906772962765</v>
      </c>
      <c r="R41" s="5">
        <f t="shared" si="6"/>
        <v>3.5549046834329374</v>
      </c>
      <c r="S41" s="5">
        <f t="shared" si="7"/>
        <v>710.88795620931205</v>
      </c>
      <c r="T41" s="5">
        <f t="shared" si="8"/>
        <v>5.0006748159491339E-3</v>
      </c>
      <c r="U41" s="5">
        <f>(ASIN((D40-L40)/S41))</f>
        <v>-5.033967713057144E-3</v>
      </c>
      <c r="V41" s="6">
        <f t="shared" si="9"/>
        <v>-3.3292897108010144E-5</v>
      </c>
      <c r="W41" s="13">
        <f>B41+L40*SIN(V41)</f>
        <v>1254.7203774106417</v>
      </c>
      <c r="X41" s="5">
        <f>C41-D40*COS(V41)</f>
        <v>327.78705667661256</v>
      </c>
      <c r="Y41" s="5">
        <f>J41+L40*SIN(V41)</f>
        <v>1965.5994451402694</v>
      </c>
      <c r="Z41" s="6">
        <f>K41-L40*COS(V41)</f>
        <v>327.76338945691225</v>
      </c>
    </row>
    <row r="42" spans="1:26" x14ac:dyDescent="0.55000000000000004">
      <c r="A42" s="13">
        <f>H41</f>
        <v>11.878830134652784</v>
      </c>
      <c r="B42" s="5">
        <f>$B$6+A42*SIN($B$32)</f>
        <v>1254.7209322703725</v>
      </c>
      <c r="C42" s="5">
        <f>$D$5+A42*COS($B$32)</f>
        <v>340.87449400377841</v>
      </c>
      <c r="D42" s="5">
        <f t="shared" si="0"/>
        <v>13.087438286875665</v>
      </c>
      <c r="E42" s="5">
        <f>$O$7*$T$5-2*M42</f>
        <v>40699.313255285844</v>
      </c>
      <c r="F42" s="5">
        <f>E42+COS($B$32+V42)</f>
        <v>40700.312891154594</v>
      </c>
      <c r="G42" s="5">
        <f t="shared" si="1"/>
        <v>1068.4215625108206</v>
      </c>
      <c r="H42" s="6">
        <f t="shared" si="2"/>
        <v>11.878830134652784</v>
      </c>
      <c r="I42" s="13">
        <f>P41</f>
        <v>16.329398883203453</v>
      </c>
      <c r="J42" s="5">
        <f>$I$5+I42*SIN($I$32)</f>
        <v>1965.6000000000001</v>
      </c>
      <c r="K42" s="5">
        <f>$K$5+I42*COS($I$32)</f>
        <v>344.42939888320348</v>
      </c>
      <c r="L42" s="5">
        <f t="shared" si="3"/>
        <v>16.666009086075736</v>
      </c>
      <c r="M42" s="5">
        <f>0.5*$O$7*$T$5*(($O$5-W42)*COS(V42)+($Q$5-X42)*SIN(V42))/(Q42*COS(U42)+$T$6*(($Q$5-X42)*COS(V42)-($O$5-W42)*SIN(V42)))</f>
        <v>187150.34337235708</v>
      </c>
      <c r="N42" s="5">
        <f>M42+COS($I$32+V42)</f>
        <v>187151.34337235652</v>
      </c>
      <c r="O42" s="5">
        <f t="shared" si="4"/>
        <v>1969.3263738181267</v>
      </c>
      <c r="P42" s="5">
        <f t="shared" si="5"/>
        <v>16.329398884569272</v>
      </c>
      <c r="Q42" s="13">
        <f t="shared" si="6"/>
        <v>710.87906772962765</v>
      </c>
      <c r="R42" s="5">
        <f t="shared" si="6"/>
        <v>3.5549048794250666</v>
      </c>
      <c r="S42" s="5">
        <f t="shared" si="7"/>
        <v>710.88795621029215</v>
      </c>
      <c r="T42" s="5">
        <f t="shared" si="8"/>
        <v>5.0006750916461356E-3</v>
      </c>
      <c r="U42" s="5">
        <f>(ASIN((D41-L41)/S42))</f>
        <v>-5.0339661681134858E-3</v>
      </c>
      <c r="V42" s="6">
        <f t="shared" si="9"/>
        <v>-3.329107646735021E-5</v>
      </c>
      <c r="W42" s="13">
        <f>B42+L41*SIN(V42)</f>
        <v>1254.7203774409898</v>
      </c>
      <c r="X42" s="5">
        <f>C42-D41*COS(V42)</f>
        <v>327.7870557307466</v>
      </c>
      <c r="Y42" s="5">
        <f>J42+L41*SIN(V42)</f>
        <v>1965.5994451706174</v>
      </c>
      <c r="Z42" s="6">
        <f>K42-L41*COS(V42)</f>
        <v>327.76338980530113</v>
      </c>
    </row>
    <row r="43" spans="1:26" x14ac:dyDescent="0.55000000000000004">
      <c r="A43" s="13">
        <f>H42</f>
        <v>11.878830134652784</v>
      </c>
      <c r="B43" s="5">
        <f>$B$6+A43*SIN($B$32)</f>
        <v>1254.7209322703725</v>
      </c>
      <c r="C43" s="5">
        <f>$D$5+A43*COS($B$32)</f>
        <v>340.87449400377841</v>
      </c>
      <c r="D43" s="5">
        <f t="shared" si="0"/>
        <v>13.087438286921595</v>
      </c>
      <c r="E43" s="5">
        <f>$O$7*$T$5-2*M43</f>
        <v>40699.313254308479</v>
      </c>
      <c r="F43" s="5">
        <f>E43+COS($B$32+V43)</f>
        <v>40700.312890177229</v>
      </c>
      <c r="G43" s="5">
        <f t="shared" si="1"/>
        <v>1068.4215625108206</v>
      </c>
      <c r="H43" s="6">
        <f t="shared" si="2"/>
        <v>11.878830134652784</v>
      </c>
      <c r="I43" s="13">
        <f>P42</f>
        <v>16.329398884569272</v>
      </c>
      <c r="J43" s="5">
        <f>$I$5+I43*SIN($I$32)</f>
        <v>1965.6000000000001</v>
      </c>
      <c r="K43" s="5">
        <f>$K$5+I43*COS($I$32)</f>
        <v>344.42939888456931</v>
      </c>
      <c r="L43" s="5">
        <f t="shared" si="3"/>
        <v>16.666009086068335</v>
      </c>
      <c r="M43" s="5">
        <f>0.5*$O$7*$T$5*(($O$5-W43)*COS(V43)+($Q$5-X43)*SIN(V43))/(Q43*COS(U43)+$T$6*(($Q$5-X43)*COS(V43)-($O$5-W43)*SIN(V43)))</f>
        <v>187150.34337284576</v>
      </c>
      <c r="N43" s="5">
        <f>M43+COS($I$32+V43)</f>
        <v>187151.34337284521</v>
      </c>
      <c r="O43" s="5">
        <f t="shared" si="4"/>
        <v>1969.3263738232688</v>
      </c>
      <c r="P43" s="5">
        <f t="shared" si="5"/>
        <v>16.329398884578787</v>
      </c>
      <c r="Q43" s="13">
        <f t="shared" si="6"/>
        <v>710.87906772962765</v>
      </c>
      <c r="R43" s="5">
        <f t="shared" si="6"/>
        <v>3.5549048807909003</v>
      </c>
      <c r="S43" s="5">
        <f t="shared" si="7"/>
        <v>710.88795621029897</v>
      </c>
      <c r="T43" s="5">
        <f t="shared" si="8"/>
        <v>5.000675093567419E-3</v>
      </c>
      <c r="U43" s="5">
        <f>(ASIN((D42-L42)/S43))</f>
        <v>-5.0339661573471787E-3</v>
      </c>
      <c r="V43" s="6">
        <f t="shared" si="9"/>
        <v>-3.3291063779759648E-5</v>
      </c>
      <c r="W43" s="13">
        <f>B43+L42*SIN(V43)</f>
        <v>1254.7203774412012</v>
      </c>
      <c r="X43" s="5">
        <f>C43-D42*COS(V43)</f>
        <v>327.7870557241551</v>
      </c>
      <c r="Y43" s="5">
        <f>J43+L42*SIN(V43)</f>
        <v>1965.5994451708289</v>
      </c>
      <c r="Z43" s="6">
        <f>K43-L42*COS(V43)</f>
        <v>327.76338980772903</v>
      </c>
    </row>
    <row r="44" spans="1:26" x14ac:dyDescent="0.55000000000000004">
      <c r="A44" s="13"/>
      <c r="B44" s="5"/>
      <c r="C44" s="5"/>
      <c r="D44" s="5"/>
      <c r="E44" s="5"/>
      <c r="F44" s="5"/>
      <c r="G44" s="5"/>
      <c r="H44" s="6"/>
      <c r="I44" s="13"/>
      <c r="J44" s="5"/>
      <c r="K44" s="5"/>
      <c r="L44" s="5"/>
      <c r="M44" s="5"/>
      <c r="N44" s="5"/>
      <c r="O44" s="5"/>
      <c r="P44" s="5"/>
      <c r="Q44" s="13"/>
      <c r="R44" s="5"/>
      <c r="S44" s="5"/>
      <c r="T44" s="5"/>
      <c r="U44" s="5"/>
      <c r="V44" s="6"/>
      <c r="W44" s="13"/>
      <c r="X44" s="5"/>
      <c r="Y44" s="5"/>
      <c r="Z44" s="6"/>
    </row>
    <row r="45" spans="1:26" ht="14.7" thickBot="1" x14ac:dyDescent="0.6">
      <c r="A45" s="14"/>
      <c r="B45" s="10"/>
      <c r="C45" s="10"/>
      <c r="D45" s="10"/>
      <c r="E45" s="10"/>
      <c r="F45" s="10"/>
      <c r="G45" s="10"/>
      <c r="H45" s="11"/>
      <c r="I45" s="14"/>
      <c r="J45" s="10"/>
      <c r="K45" s="10"/>
      <c r="L45" s="10"/>
      <c r="M45" s="10"/>
      <c r="N45" s="10"/>
      <c r="O45" s="10"/>
      <c r="P45" s="10"/>
      <c r="Q45" s="14"/>
      <c r="R45" s="10"/>
      <c r="S45" s="10"/>
      <c r="T45" s="10"/>
      <c r="U45" s="10"/>
      <c r="V45" s="11"/>
      <c r="W45" s="14"/>
      <c r="X45" s="10"/>
      <c r="Y45" s="10"/>
      <c r="Z45" s="11"/>
    </row>
  </sheetData>
  <mergeCells count="5">
    <mergeCell ref="A35:N35"/>
    <mergeCell ref="I36:P36"/>
    <mergeCell ref="A36:H36"/>
    <mergeCell ref="Q36:V36"/>
    <mergeCell ref="W36:Z36"/>
  </mergeCells>
  <conditionalFormatting sqref="K17">
    <cfRule type="cellIs" dxfId="2" priority="4" operator="notBetween">
      <formula>$K$16-0.5</formula>
      <formula>$K$16+0.5</formula>
    </cfRule>
  </conditionalFormatting>
  <conditionalFormatting sqref="D17">
    <cfRule type="cellIs" dxfId="1" priority="2" operator="notBetween">
      <formula>$D$16-0.5</formula>
      <formula>$D$16+0.5</formula>
    </cfRule>
  </conditionalFormatting>
  <conditionalFormatting sqref="J5">
    <cfRule type="cellIs" dxfId="0" priority="1" operator="lessThan">
      <formula>$K$19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CAD Design Inputs</vt:lpstr>
      <vt:lpstr>Worksheet Inputs</vt:lpstr>
      <vt:lpstr>Tire Selection</vt:lpstr>
      <vt:lpstr>Brake Stack Sizing</vt:lpstr>
      <vt:lpstr>Gear Geom</vt:lpstr>
      <vt:lpstr>Brake Stack Sizing (2)</vt:lpstr>
      <vt:lpstr>Turning Radius</vt:lpstr>
      <vt:lpstr>Oleo Sizing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Klutzke</dc:creator>
  <cp:lastModifiedBy>Douglas Klutzke</cp:lastModifiedBy>
  <dcterms:created xsi:type="dcterms:W3CDTF">2020-12-11T21:07:01Z</dcterms:created>
  <dcterms:modified xsi:type="dcterms:W3CDTF">2022-01-13T17:42:27Z</dcterms:modified>
</cp:coreProperties>
</file>