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Desktop/Artigos/PET/Artigo_PNAD/"/>
    </mc:Choice>
  </mc:AlternateContent>
  <xr:revisionPtr revIDLastSave="0" documentId="13_ncr:1_{D8D46FC1-FC6D-6C47-9DB3-19829E61F883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R" sheetId="3" r:id="rId1"/>
    <sheet name="decomp_medias" sheetId="1" r:id="rId2"/>
    <sheet name="decomp_gini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D2" i="3"/>
  <c r="E96" i="3"/>
  <c r="E105" i="3" s="1"/>
  <c r="D96" i="3"/>
  <c r="D105" i="3" s="1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E104" i="3" s="1"/>
  <c r="D87" i="3"/>
  <c r="D104" i="3" s="1"/>
  <c r="E86" i="3"/>
  <c r="E103" i="3" s="1"/>
  <c r="D86" i="3"/>
  <c r="D103" i="3" s="1"/>
  <c r="E85" i="3"/>
  <c r="E102" i="3" s="1"/>
  <c r="D85" i="3"/>
  <c r="D102" i="3" s="1"/>
  <c r="E84" i="3"/>
  <c r="E101" i="3" s="1"/>
  <c r="D84" i="3"/>
  <c r="D101" i="3" s="1"/>
  <c r="E83" i="3"/>
  <c r="E100" i="3" s="1"/>
  <c r="D83" i="3"/>
  <c r="D100" i="3" s="1"/>
  <c r="E82" i="3"/>
  <c r="E99" i="3" s="1"/>
  <c r="D82" i="3"/>
  <c r="D99" i="3" s="1"/>
  <c r="E81" i="3"/>
  <c r="E98" i="3" s="1"/>
  <c r="D81" i="3"/>
  <c r="D98" i="3" s="1"/>
  <c r="E80" i="3"/>
  <c r="E97" i="3" s="1"/>
  <c r="D80" i="3"/>
  <c r="D97" i="3" s="1"/>
  <c r="E70" i="3"/>
  <c r="E79" i="3" s="1"/>
  <c r="D70" i="3"/>
  <c r="D79" i="3" s="1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E78" i="3" s="1"/>
  <c r="D61" i="3"/>
  <c r="D78" i="3" s="1"/>
  <c r="E60" i="3"/>
  <c r="E77" i="3" s="1"/>
  <c r="D60" i="3"/>
  <c r="D77" i="3" s="1"/>
  <c r="E59" i="3"/>
  <c r="E76" i="3" s="1"/>
  <c r="D59" i="3"/>
  <c r="D76" i="3" s="1"/>
  <c r="E58" i="3"/>
  <c r="E75" i="3" s="1"/>
  <c r="D58" i="3"/>
  <c r="D75" i="3" s="1"/>
  <c r="E57" i="3"/>
  <c r="E74" i="3" s="1"/>
  <c r="D57" i="3"/>
  <c r="D74" i="3" s="1"/>
  <c r="E56" i="3"/>
  <c r="E73" i="3" s="1"/>
  <c r="D56" i="3"/>
  <c r="D73" i="3" s="1"/>
  <c r="E55" i="3"/>
  <c r="E72" i="3" s="1"/>
  <c r="D55" i="3"/>
  <c r="D72" i="3" s="1"/>
  <c r="E54" i="3"/>
  <c r="E71" i="3" s="1"/>
  <c r="D54" i="3"/>
  <c r="D71" i="3" s="1"/>
  <c r="E44" i="3"/>
  <c r="E53" i="3" s="1"/>
  <c r="D44" i="3"/>
  <c r="D53" i="3" s="1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E52" i="3" s="1"/>
  <c r="D35" i="3"/>
  <c r="D52" i="3" s="1"/>
  <c r="E34" i="3"/>
  <c r="E51" i="3" s="1"/>
  <c r="D34" i="3"/>
  <c r="D51" i="3" s="1"/>
  <c r="E33" i="3"/>
  <c r="E50" i="3" s="1"/>
  <c r="D33" i="3"/>
  <c r="D50" i="3" s="1"/>
  <c r="E32" i="3"/>
  <c r="E49" i="3" s="1"/>
  <c r="D32" i="3"/>
  <c r="D49" i="3" s="1"/>
  <c r="E31" i="3"/>
  <c r="E48" i="3" s="1"/>
  <c r="D31" i="3"/>
  <c r="D48" i="3" s="1"/>
  <c r="E30" i="3"/>
  <c r="E47" i="3" s="1"/>
  <c r="D30" i="3"/>
  <c r="D47" i="3" s="1"/>
  <c r="E29" i="3"/>
  <c r="E46" i="3" s="1"/>
  <c r="D29" i="3"/>
  <c r="D46" i="3" s="1"/>
  <c r="E28" i="3"/>
  <c r="E45" i="3" s="1"/>
  <c r="D28" i="3"/>
  <c r="D45" i="3" s="1"/>
  <c r="D10" i="3"/>
  <c r="D19" i="3" s="1"/>
  <c r="E18" i="3"/>
  <c r="E27" i="3" s="1"/>
  <c r="D18" i="3"/>
  <c r="D27" i="3" s="1"/>
  <c r="E17" i="3"/>
  <c r="D17" i="3"/>
  <c r="E16" i="3"/>
  <c r="D16" i="3"/>
  <c r="E15" i="3"/>
  <c r="D15" i="3"/>
  <c r="E14" i="3"/>
  <c r="D14" i="3"/>
  <c r="D23" i="3" s="1"/>
  <c r="E13" i="3"/>
  <c r="D13" i="3"/>
  <c r="E12" i="3"/>
  <c r="D12" i="3"/>
  <c r="E11" i="3"/>
  <c r="D11" i="3"/>
  <c r="E10" i="3"/>
  <c r="E9" i="3"/>
  <c r="D9" i="3"/>
  <c r="E8" i="3"/>
  <c r="E25" i="3" s="1"/>
  <c r="D8" i="3"/>
  <c r="E7" i="3"/>
  <c r="D7" i="3"/>
  <c r="E6" i="3"/>
  <c r="E23" i="3" s="1"/>
  <c r="D6" i="3"/>
  <c r="E5" i="3"/>
  <c r="D5" i="3"/>
  <c r="E4" i="3"/>
  <c r="E21" i="3" s="1"/>
  <c r="D4" i="3"/>
  <c r="E3" i="3"/>
  <c r="D3" i="3"/>
  <c r="E2" i="3"/>
  <c r="E19" i="3" s="1"/>
  <c r="A28" i="1"/>
  <c r="B28" i="1"/>
  <c r="C28" i="1"/>
  <c r="D28" i="1"/>
  <c r="E28" i="1"/>
  <c r="F28" i="1"/>
  <c r="G28" i="1"/>
  <c r="H28" i="1"/>
  <c r="I28" i="1"/>
  <c r="A29" i="1"/>
  <c r="B29" i="2"/>
  <c r="A1" i="2"/>
  <c r="A2" i="2"/>
  <c r="B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A1" i="1"/>
  <c r="A2" i="1"/>
  <c r="B2" i="1"/>
  <c r="C2" i="1"/>
  <c r="D2" i="1"/>
  <c r="E2" i="1"/>
  <c r="F2" i="1"/>
  <c r="G2" i="1"/>
  <c r="I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E20" i="3" l="1"/>
  <c r="E22" i="3"/>
  <c r="E24" i="3"/>
  <c r="E26" i="3"/>
  <c r="D21" i="3"/>
  <c r="D25" i="3"/>
  <c r="D20" i="3"/>
  <c r="D22" i="3"/>
  <c r="D24" i="3"/>
  <c r="D26" i="3"/>
</calcChain>
</file>

<file path=xl/sharedStrings.xml><?xml version="1.0" encoding="utf-8"?>
<sst xmlns="http://schemas.openxmlformats.org/spreadsheetml/2006/main" count="387" uniqueCount="41">
  <si>
    <t>="Grupo 1: 2¬∫ Ano</t>
  </si>
  <si>
    <t>="* p&lt;0.05</t>
  </si>
  <si>
    <t xml:space="preserve"> ** p&lt;0.01</t>
  </si>
  <si>
    <t xml:space="preserve"> *** p&lt;0.001"</t>
  </si>
  <si>
    <t>Geral</t>
  </si>
  <si>
    <t>Efeito Composição</t>
  </si>
  <si>
    <t>Efeito Estrutural</t>
  </si>
  <si>
    <t>\hspace{.5cm} Educação</t>
  </si>
  <si>
    <t>\hspace{.5cm} Experiência</t>
  </si>
  <si>
    <t>\hspace{.5cm} Gênero (Feminino)</t>
  </si>
  <si>
    <t>\hspace{.5cm} Etnia (PPIs)</t>
  </si>
  <si>
    <t>\hspace{.5cm} Local de Domicílio (Rural)</t>
  </si>
  <si>
    <t>\hspace{.5cm} Formalização</t>
  </si>
  <si>
    <t>\hspace{.5cm} Região</t>
  </si>
  <si>
    <t>\hspace{.5cm} Setor Econômico</t>
  </si>
  <si>
    <t>\hspace{.5cm} Intercepto</t>
  </si>
  <si>
    <t>\footnotesize Erros-padrão robustos em parênteses e calculados usando o método delta. Educação e Experiência são polinômios de 4º grau.</t>
  </si>
  <si>
    <t>\footnotesize Todas as variáveis categóricas foram normalizadas para evitar a sensitividade da decomposição a variáveis omitidas.</t>
  </si>
  <si>
    <t>2015-2020</t>
  </si>
  <si>
    <t>2012-2020</t>
  </si>
  <si>
    <t>2020-2021E</t>
  </si>
  <si>
    <t>* p&lt;0.05,  ** p&lt;0.01,  *** p&lt;0.001</t>
  </si>
  <si>
    <t>Efeito Total</t>
  </si>
  <si>
    <t>label</t>
  </si>
  <si>
    <t>effect</t>
  </si>
  <si>
    <t>years</t>
  </si>
  <si>
    <t>media</t>
  </si>
  <si>
    <t>gini</t>
  </si>
  <si>
    <t>Fim do Período</t>
  </si>
  <si>
    <t>Início do Período</t>
  </si>
  <si>
    <t xml:space="preserve">Diferença </t>
  </si>
  <si>
    <t>Educação</t>
  </si>
  <si>
    <t>Experiência</t>
  </si>
  <si>
    <t>Gênero (Feminino)</t>
  </si>
  <si>
    <t>Etnia (PPIs)</t>
  </si>
  <si>
    <t>Local de Domicílio (Rural)</t>
  </si>
  <si>
    <t>Formalização</t>
  </si>
  <si>
    <t>Região</t>
  </si>
  <si>
    <t>Setor Econômico</t>
  </si>
  <si>
    <t>Intercepto</t>
  </si>
  <si>
    <t>2012-2015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</si>
</sst>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/>
    <xf numFmtId="171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"/>
  <sheetViews>
    <sheetView tabSelected="1" topLeftCell="B88" zoomScaleNormal="100" workbookViewId="0">
      <selection activeCell="F10" sqref="F10"/>
    </sheetView>
  </sheetViews>
  <sheetFormatPr baseColWidth="10" defaultRowHeight="16" x14ac:dyDescent="0.2"/>
  <cols>
    <col min="1" max="1" width="34.6640625" bestFit="1" customWidth="1"/>
    <col min="2" max="2" width="16.5" bestFit="1" customWidth="1"/>
  </cols>
  <sheetData>
    <row r="1" spans="1:5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 t="s">
        <v>31</v>
      </c>
      <c r="B2" s="5" t="s">
        <v>5</v>
      </c>
      <c r="C2" t="s">
        <v>40</v>
      </c>
      <c r="D2" s="2" t="str">
        <f>IFERROR(
SUBSTITUTE(SUBSTITUTE(INDEX(decomp_medias!$A$10:$I$27,MATCH('R'!$A2,decomp_medias!$A$10:$A$17,0),MATCH('R'!$C2,decomp_medias!$A$2:$I$2,0)),".",","),"*",""),
SUBSTITUTE(INDEX(decomp_medias!$A$10:$I$27,MATCH('R'!$A2,decomp_medias!$A$10:$A$17,0),MATCH('R'!$C2,decomp_medias!$A$2:$I$2,0)),".",","))</f>
        <v>0,039</v>
      </c>
      <c r="E2" s="2" t="str">
        <f>IFERROR(
SUBSTITUTE(SUBSTITUTE(INDEX(decomp_gini!$A$10:$I$27,MATCH('R'!$A2,decomp_gini!$A$10:$A$17,0),MATCH('R'!$C2,decomp_gini!$A$2:$I$2,0)),".",","),"*",""),
SUBSTITUTE(INDEX(decomp_gini!$A$10:$I$27,MATCH('R'!$A2,decomp_gini!$A$10:$A$17,0),MATCH('R'!$C2,decomp_gini!$A$2:$I$2,0)),".",","))</f>
        <v>1,012</v>
      </c>
    </row>
    <row r="3" spans="1:5" x14ac:dyDescent="0.2">
      <c r="A3" t="s">
        <v>32</v>
      </c>
      <c r="B3" s="5" t="s">
        <v>5</v>
      </c>
      <c r="C3" t="s">
        <v>40</v>
      </c>
      <c r="D3" s="2" t="str">
        <f>IFERROR(
SUBSTITUTE(SUBSTITUTE(INDEX(decomp_medias!$A$10:$I$27,MATCH('R'!$A3,decomp_medias!$A$10:$A$17,0),MATCH('R'!$C3,decomp_medias!$A$2:$I$2,0)),".",","),"*",""),
SUBSTITUTE(INDEX(decomp_medias!$A$10:$I$27,MATCH('R'!$A3,decomp_medias!$A$10:$A$17,0),MATCH('R'!$C3,decomp_medias!$A$2:$I$2,0)),".",","))</f>
        <v>0,011</v>
      </c>
      <c r="E3" s="2" t="str">
        <f>IFERROR(
SUBSTITUTE(SUBSTITUTE(INDEX(decomp_gini!$A$10:$I$27,MATCH('R'!$A3,decomp_gini!$A$10:$A$17,0),MATCH('R'!$C3,decomp_gini!$A$2:$I$2,0)),".",","),"*",""),
SUBSTITUTE(INDEX(decomp_gini!$A$10:$I$27,MATCH('R'!$A3,decomp_gini!$A$10:$A$17,0),MATCH('R'!$C3,decomp_gini!$A$2:$I$2,0)),".",","))</f>
        <v>0,253</v>
      </c>
    </row>
    <row r="4" spans="1:5" x14ac:dyDescent="0.2">
      <c r="A4" t="s">
        <v>33</v>
      </c>
      <c r="B4" s="5" t="s">
        <v>5</v>
      </c>
      <c r="C4" t="s">
        <v>40</v>
      </c>
      <c r="D4" s="2" t="str">
        <f>IFERROR(
SUBSTITUTE(SUBSTITUTE(INDEX(decomp_medias!$A$10:$I$27,MATCH('R'!$A4,decomp_medias!$A$10:$A$17,0),MATCH('R'!$C4,decomp_medias!$A$2:$I$2,0)),".",","),"*",""),
SUBSTITUTE(INDEX(decomp_medias!$A$10:$I$27,MATCH('R'!$A4,decomp_medias!$A$10:$A$17,0),MATCH('R'!$C4,decomp_medias!$A$2:$I$2,0)),".",","))</f>
        <v>-0,002</v>
      </c>
      <c r="E4" s="2" t="str">
        <f>IFERROR(
SUBSTITUTE(SUBSTITUTE(INDEX(decomp_gini!$A$10:$I$27,MATCH('R'!$A4,decomp_gini!$A$10:$A$17,0),MATCH('R'!$C4,decomp_gini!$A$2:$I$2,0)),".",","),"*",""),
SUBSTITUTE(INDEX(decomp_gini!$A$10:$I$27,MATCH('R'!$A4,decomp_gini!$A$10:$A$17,0),MATCH('R'!$C4,decomp_gini!$A$2:$I$2,0)),".",","))</f>
        <v>-0,043</v>
      </c>
    </row>
    <row r="5" spans="1:5" x14ac:dyDescent="0.2">
      <c r="A5" t="s">
        <v>34</v>
      </c>
      <c r="B5" s="5" t="s">
        <v>5</v>
      </c>
      <c r="C5" t="s">
        <v>40</v>
      </c>
      <c r="D5" s="2" t="str">
        <f>IFERROR(
SUBSTITUTE(SUBSTITUTE(INDEX(decomp_medias!$A$10:$I$27,MATCH('R'!$A5,decomp_medias!$A$10:$A$17,0),MATCH('R'!$C5,decomp_medias!$A$2:$I$2,0)),".",","),"*",""),
SUBSTITUTE(INDEX(decomp_medias!$A$10:$I$27,MATCH('R'!$A5,decomp_medias!$A$10:$A$17,0),MATCH('R'!$C5,decomp_medias!$A$2:$I$2,0)),".",","))</f>
        <v>-0,003</v>
      </c>
      <c r="E5" s="2" t="str">
        <f>IFERROR(
SUBSTITUTE(SUBSTITUTE(INDEX(decomp_gini!$A$10:$I$27,MATCH('R'!$A5,decomp_gini!$A$10:$A$17,0),MATCH('R'!$C5,decomp_gini!$A$2:$I$2,0)),".",","),"*",""),
SUBSTITUTE(INDEX(decomp_gini!$A$10:$I$27,MATCH('R'!$A5,decomp_gini!$A$10:$A$17,0),MATCH('R'!$C5,decomp_gini!$A$2:$I$2,0)),".",","))</f>
        <v>-0,075</v>
      </c>
    </row>
    <row r="6" spans="1:5" x14ac:dyDescent="0.2">
      <c r="A6" t="s">
        <v>35</v>
      </c>
      <c r="B6" s="5" t="s">
        <v>5</v>
      </c>
      <c r="C6" t="s">
        <v>40</v>
      </c>
      <c r="D6" s="2" t="str">
        <f>IFERROR(
SUBSTITUTE(SUBSTITUTE(INDEX(decomp_medias!$A$10:$I$27,MATCH('R'!$A6,decomp_medias!$A$10:$A$17,0),MATCH('R'!$C6,decomp_medias!$A$2:$I$2,0)),".",","),"*",""),
SUBSTITUTE(INDEX(decomp_medias!$A$10:$I$27,MATCH('R'!$A6,decomp_medias!$A$10:$A$17,0),MATCH('R'!$C6,decomp_medias!$A$2:$I$2,0)),".",","))</f>
        <v>0,000</v>
      </c>
      <c r="E6" s="2" t="str">
        <f>IFERROR(
SUBSTITUTE(SUBSTITUTE(INDEX(decomp_gini!$A$10:$I$27,MATCH('R'!$A6,decomp_gini!$A$10:$A$17,0),MATCH('R'!$C6,decomp_gini!$A$2:$I$2,0)),".",","),"*",""),
SUBSTITUTE(INDEX(decomp_gini!$A$10:$I$27,MATCH('R'!$A6,decomp_gini!$A$10:$A$17,0),MATCH('R'!$C6,decomp_gini!$A$2:$I$2,0)),".",","))</f>
        <v>-0,011</v>
      </c>
    </row>
    <row r="7" spans="1:5" x14ac:dyDescent="0.2">
      <c r="A7" t="s">
        <v>36</v>
      </c>
      <c r="B7" s="5" t="s">
        <v>5</v>
      </c>
      <c r="C7" t="s">
        <v>40</v>
      </c>
      <c r="D7" s="2" t="str">
        <f>IFERROR(
SUBSTITUTE(SUBSTITUTE(INDEX(decomp_medias!$A$10:$I$27,MATCH('R'!$A7,decomp_medias!$A$10:$A$17,0),MATCH('R'!$C7,decomp_medias!$A$2:$I$2,0)),".",","),"*",""),
SUBSTITUTE(INDEX(decomp_medias!$A$10:$I$27,MATCH('R'!$A7,decomp_medias!$A$10:$A$17,0),MATCH('R'!$C7,decomp_medias!$A$2:$I$2,0)),".",","))</f>
        <v>0,002</v>
      </c>
      <c r="E7" s="2" t="str">
        <f>IFERROR(
SUBSTITUTE(SUBSTITUTE(INDEX(decomp_gini!$A$10:$I$27,MATCH('R'!$A7,decomp_gini!$A$10:$A$17,0),MATCH('R'!$C7,decomp_gini!$A$2:$I$2,0)),".",","),"*",""),
SUBSTITUTE(INDEX(decomp_gini!$A$10:$I$27,MATCH('R'!$A7,decomp_gini!$A$10:$A$17,0),MATCH('R'!$C7,decomp_gini!$A$2:$I$2,0)),".",","))</f>
        <v>-0,129</v>
      </c>
    </row>
    <row r="8" spans="1:5" x14ac:dyDescent="0.2">
      <c r="A8" t="s">
        <v>37</v>
      </c>
      <c r="B8" s="5" t="s">
        <v>5</v>
      </c>
      <c r="C8" t="s">
        <v>40</v>
      </c>
      <c r="D8" s="2" t="str">
        <f>IFERROR(
SUBSTITUTE(SUBSTITUTE(INDEX(decomp_medias!$A$10:$I$27,MATCH('R'!$A8,decomp_medias!$A$10:$A$17,0),MATCH('R'!$C8,decomp_medias!$A$2:$I$2,0)),".",","),"*",""),
SUBSTITUTE(INDEX(decomp_medias!$A$10:$I$27,MATCH('R'!$A8,decomp_medias!$A$10:$A$17,0),MATCH('R'!$C8,decomp_medias!$A$2:$I$2,0)),".",","))</f>
        <v>0,000</v>
      </c>
      <c r="E8" s="2" t="str">
        <f>IFERROR(
SUBSTITUTE(SUBSTITUTE(INDEX(decomp_gini!$A$10:$I$27,MATCH('R'!$A8,decomp_gini!$A$10:$A$17,0),MATCH('R'!$C8,decomp_gini!$A$2:$I$2,0)),".",","),"*",""),
SUBSTITUTE(INDEX(decomp_gini!$A$10:$I$27,MATCH('R'!$A8,decomp_gini!$A$10:$A$17,0),MATCH('R'!$C8,decomp_gini!$A$2:$I$2,0)),".",","))</f>
        <v>0,009</v>
      </c>
    </row>
    <row r="9" spans="1:5" x14ac:dyDescent="0.2">
      <c r="A9" t="s">
        <v>38</v>
      </c>
      <c r="B9" s="5" t="s">
        <v>5</v>
      </c>
      <c r="C9" t="s">
        <v>40</v>
      </c>
      <c r="D9" s="2" t="str">
        <f>IFERROR(
SUBSTITUTE(SUBSTITUTE(INDEX(decomp_medias!$A$10:$I$27,MATCH('R'!$A9,decomp_medias!$A$10:$A$17,0),MATCH('R'!$C9,decomp_medias!$A$2:$I$2,0)),".",","),"*",""),
SUBSTITUTE(INDEX(decomp_medias!$A$10:$I$27,MATCH('R'!$A9,decomp_medias!$A$10:$A$17,0),MATCH('R'!$C9,decomp_medias!$A$2:$I$2,0)),".",","))</f>
        <v>0,003</v>
      </c>
      <c r="E9" s="2" t="str">
        <f>IFERROR(
SUBSTITUTE(SUBSTITUTE(INDEX(decomp_gini!$A$10:$I$27,MATCH('R'!$A9,decomp_gini!$A$10:$A$17,0),MATCH('R'!$C9,decomp_gini!$A$2:$I$2,0)),".",","),"*",""),
SUBSTITUTE(INDEX(decomp_gini!$A$10:$I$27,MATCH('R'!$A9,decomp_gini!$A$10:$A$17,0),MATCH('R'!$C9,decomp_gini!$A$2:$I$2,0)),".",","))</f>
        <v>-0,242</v>
      </c>
    </row>
    <row r="10" spans="1:5" x14ac:dyDescent="0.2">
      <c r="A10" t="s">
        <v>31</v>
      </c>
      <c r="B10" s="5" t="s">
        <v>6</v>
      </c>
      <c r="C10" t="s">
        <v>40</v>
      </c>
      <c r="D10" s="2" t="str">
        <f>IFERROR(
SUBSTITUTE(SUBSTITUTE(INDEX(decomp_medias!$A$19:$I$27,MATCH('R'!$A10,decomp_medias!$A$19:$A$27,0),MATCH('R'!$C10,decomp_medias!$A$2:$I$2,0)),".",","),"*",""),
SUBSTITUTE(INDEX(decomp_medias!$A$19:$I$27,MATCH('R'!$A10,decomp_medias!$A$19:$A$27,0),MATCH('R'!$C10,decomp_medias!$A$2:$I$2,0)),".",","))</f>
        <v>-0,079</v>
      </c>
      <c r="E10" s="2" t="str">
        <f>IFERROR(
SUBSTITUTE(SUBSTITUTE(INDEX(decomp_gini!$A$19:$I$27,MATCH('R'!$A10,decomp_gini!$A$19:$A$27,0),MATCH('R'!$C10,decomp_gini!$A$2:$I$2,0)),".",","),"*",""),
SUBSTITUTE(INDEX(decomp_gini!$A$19:$I$27,MATCH('R'!$A10,decomp_gini!$A$19:$A$27,0),MATCH('R'!$C10,decomp_gini!$A$2:$I$2,0)),".",","))</f>
        <v>-1,653</v>
      </c>
    </row>
    <row r="11" spans="1:5" x14ac:dyDescent="0.2">
      <c r="A11" t="s">
        <v>32</v>
      </c>
      <c r="B11" s="5" t="s">
        <v>6</v>
      </c>
      <c r="C11" t="s">
        <v>40</v>
      </c>
      <c r="D11" s="2" t="str">
        <f>IFERROR(
SUBSTITUTE(SUBSTITUTE(INDEX(decomp_medias!$A$19:$I$27,MATCH('R'!$A11,decomp_medias!$A$19:$A$27,0),MATCH('R'!$C11,decomp_medias!$A$2:$I$2,0)),".",","),"*",""),
SUBSTITUTE(INDEX(decomp_medias!$A$19:$I$27,MATCH('R'!$A11,decomp_medias!$A$19:$A$27,0),MATCH('R'!$C11,decomp_medias!$A$2:$I$2,0)),".",","))</f>
        <v>-0,037</v>
      </c>
      <c r="E11" s="2" t="str">
        <f>IFERROR(
SUBSTITUTE(SUBSTITUTE(INDEX(decomp_gini!$A$19:$I$27,MATCH('R'!$A11,decomp_gini!$A$19:$A$27,0),MATCH('R'!$C11,decomp_gini!$A$2:$I$2,0)),".",","),"*",""),
SUBSTITUTE(INDEX(decomp_gini!$A$19:$I$27,MATCH('R'!$A11,decomp_gini!$A$19:$A$27,0),MATCH('R'!$C11,decomp_gini!$A$2:$I$2,0)),".",","))</f>
        <v>-2,439</v>
      </c>
    </row>
    <row r="12" spans="1:5" x14ac:dyDescent="0.2">
      <c r="A12" t="s">
        <v>33</v>
      </c>
      <c r="B12" s="5" t="s">
        <v>6</v>
      </c>
      <c r="C12" t="s">
        <v>40</v>
      </c>
      <c r="D12" s="2" t="str">
        <f>IFERROR(
SUBSTITUTE(SUBSTITUTE(INDEX(decomp_medias!$A$19:$I$27,MATCH('R'!$A12,decomp_medias!$A$19:$A$27,0),MATCH('R'!$C12,decomp_medias!$A$2:$I$2,0)),".",","),"*",""),
SUBSTITUTE(INDEX(decomp_medias!$A$19:$I$27,MATCH('R'!$A12,decomp_medias!$A$19:$A$27,0),MATCH('R'!$C12,decomp_medias!$A$2:$I$2,0)),".",","))</f>
        <v>0,002</v>
      </c>
      <c r="E12" s="2" t="str">
        <f>IFERROR(
SUBSTITUTE(SUBSTITUTE(INDEX(decomp_gini!$A$19:$I$27,MATCH('R'!$A12,decomp_gini!$A$19:$A$27,0),MATCH('R'!$C12,decomp_gini!$A$2:$I$2,0)),".",","),"*",""),
SUBSTITUTE(INDEX(decomp_gini!$A$19:$I$27,MATCH('R'!$A12,decomp_gini!$A$19:$A$27,0),MATCH('R'!$C12,decomp_gini!$A$2:$I$2,0)),".",","))</f>
        <v>0,418</v>
      </c>
    </row>
    <row r="13" spans="1:5" x14ac:dyDescent="0.2">
      <c r="A13" t="s">
        <v>34</v>
      </c>
      <c r="B13" s="5" t="s">
        <v>6</v>
      </c>
      <c r="C13" t="s">
        <v>40</v>
      </c>
      <c r="D13" s="2" t="str">
        <f>IFERROR(
SUBSTITUTE(SUBSTITUTE(INDEX(decomp_medias!$A$19:$I$27,MATCH('R'!$A13,decomp_medias!$A$19:$A$27,0),MATCH('R'!$C13,decomp_medias!$A$2:$I$2,0)),".",","),"*",""),
SUBSTITUTE(INDEX(decomp_medias!$A$19:$I$27,MATCH('R'!$A13,decomp_medias!$A$19:$A$27,0),MATCH('R'!$C13,decomp_medias!$A$2:$I$2,0)),".",","))</f>
        <v>0,006</v>
      </c>
      <c r="E13" s="2" t="str">
        <f>IFERROR(
SUBSTITUTE(SUBSTITUTE(INDEX(decomp_gini!$A$19:$I$27,MATCH('R'!$A13,decomp_gini!$A$19:$A$27,0),MATCH('R'!$C13,decomp_gini!$A$2:$I$2,0)),".",","),"*",""),
SUBSTITUTE(INDEX(decomp_gini!$A$19:$I$27,MATCH('R'!$A13,decomp_gini!$A$19:$A$27,0),MATCH('R'!$C13,decomp_gini!$A$2:$I$2,0)),".",","))</f>
        <v>-0,384</v>
      </c>
    </row>
    <row r="14" spans="1:5" x14ac:dyDescent="0.2">
      <c r="A14" t="s">
        <v>35</v>
      </c>
      <c r="B14" s="5" t="s">
        <v>6</v>
      </c>
      <c r="C14" t="s">
        <v>40</v>
      </c>
      <c r="D14" s="2" t="str">
        <f>IFERROR(
SUBSTITUTE(SUBSTITUTE(INDEX(decomp_medias!$A$19:$I$27,MATCH('R'!$A14,decomp_medias!$A$19:$A$27,0),MATCH('R'!$C14,decomp_medias!$A$2:$I$2,0)),".",","),"*",""),
SUBSTITUTE(INDEX(decomp_medias!$A$19:$I$27,MATCH('R'!$A14,decomp_medias!$A$19:$A$27,0),MATCH('R'!$C14,decomp_medias!$A$2:$I$2,0)),".",","))</f>
        <v>0,001</v>
      </c>
      <c r="E14" s="2" t="str">
        <f>IFERROR(
SUBSTITUTE(SUBSTITUTE(INDEX(decomp_gini!$A$19:$I$27,MATCH('R'!$A14,decomp_gini!$A$19:$A$27,0),MATCH('R'!$C14,decomp_gini!$A$2:$I$2,0)),".",","),"*",""),
SUBSTITUTE(INDEX(decomp_gini!$A$19:$I$27,MATCH('R'!$A14,decomp_gini!$A$19:$A$27,0),MATCH('R'!$C14,decomp_gini!$A$2:$I$2,0)),".",","))</f>
        <v>-0,077</v>
      </c>
    </row>
    <row r="15" spans="1:5" x14ac:dyDescent="0.2">
      <c r="A15" t="s">
        <v>36</v>
      </c>
      <c r="B15" s="5" t="s">
        <v>6</v>
      </c>
      <c r="C15" t="s">
        <v>40</v>
      </c>
      <c r="D15" s="2" t="str">
        <f>IFERROR(
SUBSTITUTE(SUBSTITUTE(INDEX(decomp_medias!$A$19:$I$27,MATCH('R'!$A15,decomp_medias!$A$19:$A$27,0),MATCH('R'!$C15,decomp_medias!$A$2:$I$2,0)),".",","),"*",""),
SUBSTITUTE(INDEX(decomp_medias!$A$19:$I$27,MATCH('R'!$A15,decomp_medias!$A$19:$A$27,0),MATCH('R'!$C15,decomp_medias!$A$2:$I$2,0)),".",","))</f>
        <v>-0,007</v>
      </c>
      <c r="E15" s="2" t="str">
        <f>IFERROR(
SUBSTITUTE(SUBSTITUTE(INDEX(decomp_gini!$A$19:$I$27,MATCH('R'!$A15,decomp_gini!$A$19:$A$27,0),MATCH('R'!$C15,decomp_gini!$A$2:$I$2,0)),".",","),"*",""),
SUBSTITUTE(INDEX(decomp_gini!$A$19:$I$27,MATCH('R'!$A15,decomp_gini!$A$19:$A$27,0),MATCH('R'!$C15,decomp_gini!$A$2:$I$2,0)),".",","))</f>
        <v>0,890</v>
      </c>
    </row>
    <row r="16" spans="1:5" x14ac:dyDescent="0.2">
      <c r="A16" t="s">
        <v>37</v>
      </c>
      <c r="B16" s="5" t="s">
        <v>6</v>
      </c>
      <c r="C16" t="s">
        <v>40</v>
      </c>
      <c r="D16" s="2" t="str">
        <f>IFERROR(
SUBSTITUTE(SUBSTITUTE(INDEX(decomp_medias!$A$19:$I$27,MATCH('R'!$A16,decomp_medias!$A$19:$A$27,0),MATCH('R'!$C16,decomp_medias!$A$2:$I$2,0)),".",","),"*",""),
SUBSTITUTE(INDEX(decomp_medias!$A$19:$I$27,MATCH('R'!$A16,decomp_medias!$A$19:$A$27,0),MATCH('R'!$C16,decomp_medias!$A$2:$I$2,0)),".",","))</f>
        <v>0,004</v>
      </c>
      <c r="E16" s="2" t="str">
        <f>IFERROR(
SUBSTITUTE(SUBSTITUTE(INDEX(decomp_gini!$A$19:$I$27,MATCH('R'!$A16,decomp_gini!$A$19:$A$27,0),MATCH('R'!$C16,decomp_gini!$A$2:$I$2,0)),".",","),"*",""),
SUBSTITUTE(INDEX(decomp_gini!$A$19:$I$27,MATCH('R'!$A16,decomp_gini!$A$19:$A$27,0),MATCH('R'!$C16,decomp_gini!$A$2:$I$2,0)),".",","))</f>
        <v>0,562</v>
      </c>
    </row>
    <row r="17" spans="1:5" x14ac:dyDescent="0.2">
      <c r="A17" t="s">
        <v>38</v>
      </c>
      <c r="B17" s="5" t="s">
        <v>6</v>
      </c>
      <c r="C17" t="s">
        <v>40</v>
      </c>
      <c r="D17" s="2" t="str">
        <f>IFERROR(
SUBSTITUTE(SUBSTITUTE(INDEX(decomp_medias!$A$19:$I$27,MATCH('R'!$A17,decomp_medias!$A$19:$A$27,0),MATCH('R'!$C17,decomp_medias!$A$2:$I$2,0)),".",","),"*",""),
SUBSTITUTE(INDEX(decomp_medias!$A$19:$I$27,MATCH('R'!$A17,decomp_medias!$A$19:$A$27,0),MATCH('R'!$C17,decomp_medias!$A$2:$I$2,0)),".",","))</f>
        <v>-0,003</v>
      </c>
      <c r="E17" s="2" t="str">
        <f>IFERROR(
SUBSTITUTE(SUBSTITUTE(INDEX(decomp_gini!$A$19:$I$27,MATCH('R'!$A17,decomp_gini!$A$19:$A$27,0),MATCH('R'!$C17,decomp_gini!$A$2:$I$2,0)),".",","),"*",""),
SUBSTITUTE(INDEX(decomp_gini!$A$19:$I$27,MATCH('R'!$A17,decomp_gini!$A$19:$A$27,0),MATCH('R'!$C17,decomp_gini!$A$2:$I$2,0)),".",","))</f>
        <v>0,832</v>
      </c>
    </row>
    <row r="18" spans="1:5" x14ac:dyDescent="0.2">
      <c r="A18" t="s">
        <v>39</v>
      </c>
      <c r="B18" s="5" t="s">
        <v>6</v>
      </c>
      <c r="C18" t="s">
        <v>40</v>
      </c>
      <c r="D18" s="2" t="str">
        <f>IFERROR(
SUBSTITUTE(SUBSTITUTE(INDEX(decomp_medias!$A$19:$I$27,MATCH('R'!$A18,decomp_medias!$A$19:$A$27,0),MATCH('R'!$C18,decomp_medias!$A$2:$I$2,0)),".",","),"*",""),
SUBSTITUTE(INDEX(decomp_medias!$A$19:$I$27,MATCH('R'!$A18,decomp_medias!$A$19:$A$27,0),MATCH('R'!$C18,decomp_medias!$A$2:$I$2,0)),".",","))</f>
        <v>0,170</v>
      </c>
      <c r="E18" s="2" t="str">
        <f>IFERROR(
SUBSTITUTE(SUBSTITUTE(INDEX(decomp_gini!$A$19:$I$27,MATCH('R'!$A18,decomp_gini!$A$19:$A$27,0),MATCH('R'!$C18,decomp_gini!$A$2:$I$2,0)),".",","),"*",""),
SUBSTITUTE(INDEX(decomp_gini!$A$19:$I$27,MATCH('R'!$A18,decomp_gini!$A$19:$A$27,0),MATCH('R'!$C18,decomp_gini!$A$2:$I$2,0)),".",","))</f>
        <v>-0,498</v>
      </c>
    </row>
    <row r="19" spans="1:5" x14ac:dyDescent="0.2">
      <c r="A19" t="s">
        <v>31</v>
      </c>
      <c r="B19" s="5" t="s">
        <v>22</v>
      </c>
      <c r="C19" t="s">
        <v>40</v>
      </c>
      <c r="D19" s="2">
        <f>D2+D10</f>
        <v>-0.04</v>
      </c>
      <c r="E19" s="2">
        <f t="shared" ref="E19:E26" si="0">E2+E10</f>
        <v>-0.64100000000000001</v>
      </c>
    </row>
    <row r="20" spans="1:5" x14ac:dyDescent="0.2">
      <c r="A20" t="s">
        <v>32</v>
      </c>
      <c r="B20" s="5" t="s">
        <v>22</v>
      </c>
      <c r="C20" t="s">
        <v>40</v>
      </c>
      <c r="D20" s="2">
        <f t="shared" ref="D20:E20" si="1">D3+D11</f>
        <v>-2.5999999999999999E-2</v>
      </c>
      <c r="E20" s="2">
        <f t="shared" si="0"/>
        <v>-2.1859999999999999</v>
      </c>
    </row>
    <row r="21" spans="1:5" x14ac:dyDescent="0.2">
      <c r="A21" t="s">
        <v>33</v>
      </c>
      <c r="B21" s="5" t="s">
        <v>22</v>
      </c>
      <c r="C21" t="s">
        <v>40</v>
      </c>
      <c r="D21" s="2">
        <f t="shared" ref="D21:E21" si="2">D4+D12</f>
        <v>0</v>
      </c>
      <c r="E21" s="2">
        <f t="shared" si="0"/>
        <v>0.375</v>
      </c>
    </row>
    <row r="22" spans="1:5" x14ac:dyDescent="0.2">
      <c r="A22" t="s">
        <v>34</v>
      </c>
      <c r="B22" s="5" t="s">
        <v>22</v>
      </c>
      <c r="C22" t="s">
        <v>40</v>
      </c>
      <c r="D22" s="2">
        <f t="shared" ref="D22:E22" si="3">D5+D13</f>
        <v>3.0000000000000001E-3</v>
      </c>
      <c r="E22" s="2">
        <f t="shared" si="0"/>
        <v>-0.45900000000000002</v>
      </c>
    </row>
    <row r="23" spans="1:5" x14ac:dyDescent="0.2">
      <c r="A23" t="s">
        <v>35</v>
      </c>
      <c r="B23" s="5" t="s">
        <v>22</v>
      </c>
      <c r="C23" t="s">
        <v>40</v>
      </c>
      <c r="D23" s="2">
        <f t="shared" ref="D23:E23" si="4">D6+D14</f>
        <v>1E-3</v>
      </c>
      <c r="E23" s="2">
        <f t="shared" si="0"/>
        <v>-8.7999999999999995E-2</v>
      </c>
    </row>
    <row r="24" spans="1:5" x14ac:dyDescent="0.2">
      <c r="A24" t="s">
        <v>36</v>
      </c>
      <c r="B24" s="5" t="s">
        <v>22</v>
      </c>
      <c r="C24" t="s">
        <v>40</v>
      </c>
      <c r="D24" s="2">
        <f t="shared" ref="D24:E24" si="5">D7+D15</f>
        <v>-5.0000000000000001E-3</v>
      </c>
      <c r="E24" s="2">
        <f t="shared" si="0"/>
        <v>0.76100000000000001</v>
      </c>
    </row>
    <row r="25" spans="1:5" x14ac:dyDescent="0.2">
      <c r="A25" t="s">
        <v>37</v>
      </c>
      <c r="B25" s="5" t="s">
        <v>22</v>
      </c>
      <c r="C25" t="s">
        <v>40</v>
      </c>
      <c r="D25" s="2">
        <f t="shared" ref="D25:E25" si="6">D8+D16</f>
        <v>4.0000000000000001E-3</v>
      </c>
      <c r="E25" s="2">
        <f t="shared" si="0"/>
        <v>0.57100000000000006</v>
      </c>
    </row>
    <row r="26" spans="1:5" x14ac:dyDescent="0.2">
      <c r="A26" t="s">
        <v>38</v>
      </c>
      <c r="B26" s="5" t="s">
        <v>22</v>
      </c>
      <c r="C26" t="s">
        <v>40</v>
      </c>
      <c r="D26" s="6">
        <f t="shared" ref="D26:E26" si="7">D9+D17</f>
        <v>0</v>
      </c>
      <c r="E26" s="2">
        <f t="shared" si="0"/>
        <v>0.59</v>
      </c>
    </row>
    <row r="27" spans="1:5" x14ac:dyDescent="0.2">
      <c r="A27" t="s">
        <v>39</v>
      </c>
      <c r="B27" s="5" t="s">
        <v>22</v>
      </c>
      <c r="C27" t="s">
        <v>40</v>
      </c>
      <c r="D27" s="2" t="str">
        <f>D18</f>
        <v>0,170</v>
      </c>
      <c r="E27" s="2" t="str">
        <f>E18</f>
        <v>-0,498</v>
      </c>
    </row>
    <row r="28" spans="1:5" x14ac:dyDescent="0.2">
      <c r="A28" t="s">
        <v>31</v>
      </c>
      <c r="B28" s="5" t="s">
        <v>5</v>
      </c>
      <c r="C28" t="s">
        <v>18</v>
      </c>
      <c r="D28" s="2" t="str">
        <f>IFERROR(
SUBSTITUTE(SUBSTITUTE(INDEX(decomp_medias!$A$10:$I$27,MATCH('R'!$A28,decomp_medias!$A$10:$A$17,0),MATCH('R'!$C28,decomp_medias!$A$2:$I$2,0)),".",","),"*",""),
SUBSTITUTE(INDEX(decomp_medias!$A$10:$I$27,MATCH('R'!$A28,decomp_medias!$A$10:$A$17,0),MATCH('R'!$C28,decomp_medias!$A$2:$I$2,0)),".",","))</f>
        <v>0,075</v>
      </c>
      <c r="E28" s="2" t="str">
        <f>IFERROR(
SUBSTITUTE(SUBSTITUTE(INDEX(decomp_gini!$A$10:$I$27,MATCH('R'!$A28,decomp_gini!$A$10:$A$17,0),MATCH('R'!$C28,decomp_gini!$A$2:$I$2,0)),".",","),"*",""),
SUBSTITUTE(INDEX(decomp_gini!$A$10:$I$27,MATCH('R'!$A28,decomp_gini!$A$10:$A$17,0),MATCH('R'!$C28,decomp_gini!$A$2:$I$2,0)),".",","))</f>
        <v>2,126</v>
      </c>
    </row>
    <row r="29" spans="1:5" x14ac:dyDescent="0.2">
      <c r="A29" t="s">
        <v>32</v>
      </c>
      <c r="B29" s="5" t="s">
        <v>5</v>
      </c>
      <c r="C29" t="s">
        <v>18</v>
      </c>
      <c r="D29" s="2" t="str">
        <f>IFERROR(
SUBSTITUTE(SUBSTITUTE(INDEX(decomp_medias!$A$10:$I$27,MATCH('R'!$A29,decomp_medias!$A$10:$A$17,0),MATCH('R'!$C29,decomp_medias!$A$2:$I$2,0)),".",","),"*",""),
SUBSTITUTE(INDEX(decomp_medias!$A$10:$I$27,MATCH('R'!$A29,decomp_medias!$A$10:$A$17,0),MATCH('R'!$C29,decomp_medias!$A$2:$I$2,0)),".",","))</f>
        <v>0,009</v>
      </c>
      <c r="E29" s="2" t="str">
        <f>IFERROR(
SUBSTITUTE(SUBSTITUTE(INDEX(decomp_gini!$A$10:$I$27,MATCH('R'!$A29,decomp_gini!$A$10:$A$17,0),MATCH('R'!$C29,decomp_gini!$A$2:$I$2,0)),".",","),"*",""),
SUBSTITUTE(INDEX(decomp_gini!$A$10:$I$27,MATCH('R'!$A29,decomp_gini!$A$10:$A$17,0),MATCH('R'!$C29,decomp_gini!$A$2:$I$2,0)),".",","))</f>
        <v>0,203</v>
      </c>
    </row>
    <row r="30" spans="1:5" x14ac:dyDescent="0.2">
      <c r="A30" t="s">
        <v>33</v>
      </c>
      <c r="B30" s="5" t="s">
        <v>5</v>
      </c>
      <c r="C30" t="s">
        <v>18</v>
      </c>
      <c r="D30" s="2" t="str">
        <f>IFERROR(
SUBSTITUTE(SUBSTITUTE(INDEX(decomp_medias!$A$10:$I$27,MATCH('R'!$A30,decomp_medias!$A$10:$A$17,0),MATCH('R'!$C30,decomp_medias!$A$2:$I$2,0)),".",","),"*",""),
SUBSTITUTE(INDEX(decomp_medias!$A$10:$I$27,MATCH('R'!$A30,decomp_medias!$A$10:$A$17,0),MATCH('R'!$C30,decomp_medias!$A$2:$I$2,0)),".",","))</f>
        <v>-0,003</v>
      </c>
      <c r="E30" s="2" t="str">
        <f>IFERROR(
SUBSTITUTE(SUBSTITUTE(INDEX(decomp_gini!$A$10:$I$27,MATCH('R'!$A30,decomp_gini!$A$10:$A$17,0),MATCH('R'!$C30,decomp_gini!$A$2:$I$2,0)),".",","),"*",""),
SUBSTITUTE(INDEX(decomp_gini!$A$10:$I$27,MATCH('R'!$A30,decomp_gini!$A$10:$A$17,0),MATCH('R'!$C30,decomp_gini!$A$2:$I$2,0)),".",","))</f>
        <v>-0,061</v>
      </c>
    </row>
    <row r="31" spans="1:5" x14ac:dyDescent="0.2">
      <c r="A31" t="s">
        <v>34</v>
      </c>
      <c r="B31" s="5" t="s">
        <v>5</v>
      </c>
      <c r="C31" t="s">
        <v>18</v>
      </c>
      <c r="D31" s="2" t="str">
        <f>IFERROR(
SUBSTITUTE(SUBSTITUTE(INDEX(decomp_medias!$A$10:$I$27,MATCH('R'!$A31,decomp_medias!$A$10:$A$17,0),MATCH('R'!$C31,decomp_medias!$A$2:$I$2,0)),".",","),"*",""),
SUBSTITUTE(INDEX(decomp_medias!$A$10:$I$27,MATCH('R'!$A31,decomp_medias!$A$10:$A$17,0),MATCH('R'!$C31,decomp_medias!$A$2:$I$2,0)),".",","))</f>
        <v>-0,002</v>
      </c>
      <c r="E31" s="2" t="str">
        <f>IFERROR(
SUBSTITUTE(SUBSTITUTE(INDEX(decomp_gini!$A$10:$I$27,MATCH('R'!$A31,decomp_gini!$A$10:$A$17,0),MATCH('R'!$C31,decomp_gini!$A$2:$I$2,0)),".",","),"*",""),
SUBSTITUTE(INDEX(decomp_gini!$A$10:$I$27,MATCH('R'!$A31,decomp_gini!$A$10:$A$17,0),MATCH('R'!$C31,decomp_gini!$A$2:$I$2,0)),".",","))</f>
        <v>-0,084</v>
      </c>
    </row>
    <row r="32" spans="1:5" x14ac:dyDescent="0.2">
      <c r="A32" t="s">
        <v>35</v>
      </c>
      <c r="B32" s="5" t="s">
        <v>5</v>
      </c>
      <c r="C32" t="s">
        <v>18</v>
      </c>
      <c r="D32" s="2" t="str">
        <f>IFERROR(
SUBSTITUTE(SUBSTITUTE(INDEX(decomp_medias!$A$10:$I$27,MATCH('R'!$A32,decomp_medias!$A$10:$A$17,0),MATCH('R'!$C32,decomp_medias!$A$2:$I$2,0)),".",","),"*",""),
SUBSTITUTE(INDEX(decomp_medias!$A$10:$I$27,MATCH('R'!$A32,decomp_medias!$A$10:$A$17,0),MATCH('R'!$C32,decomp_medias!$A$2:$I$2,0)),".",","))</f>
        <v>0,001</v>
      </c>
      <c r="E32" s="2" t="str">
        <f>IFERROR(
SUBSTITUTE(SUBSTITUTE(INDEX(decomp_gini!$A$10:$I$27,MATCH('R'!$A32,decomp_gini!$A$10:$A$17,0),MATCH('R'!$C32,decomp_gini!$A$2:$I$2,0)),".",","),"*",""),
SUBSTITUTE(INDEX(decomp_gini!$A$10:$I$27,MATCH('R'!$A32,decomp_gini!$A$10:$A$17,0),MATCH('R'!$C32,decomp_gini!$A$2:$I$2,0)),".",","))</f>
        <v>-0,031</v>
      </c>
    </row>
    <row r="33" spans="1:5" x14ac:dyDescent="0.2">
      <c r="A33" t="s">
        <v>36</v>
      </c>
      <c r="B33" s="5" t="s">
        <v>5</v>
      </c>
      <c r="C33" t="s">
        <v>18</v>
      </c>
      <c r="D33" s="2" t="str">
        <f>IFERROR(
SUBSTITUTE(SUBSTITUTE(INDEX(decomp_medias!$A$10:$I$27,MATCH('R'!$A33,decomp_medias!$A$10:$A$17,0),MATCH('R'!$C33,decomp_medias!$A$2:$I$2,0)),".",","),"*",""),
SUBSTITUTE(INDEX(decomp_medias!$A$10:$I$27,MATCH('R'!$A33,decomp_medias!$A$10:$A$17,0),MATCH('R'!$C33,decomp_medias!$A$2:$I$2,0)),".",","))</f>
        <v>-0,006</v>
      </c>
      <c r="E33" s="2" t="str">
        <f>IFERROR(
SUBSTITUTE(SUBSTITUTE(INDEX(decomp_gini!$A$10:$I$27,MATCH('R'!$A33,decomp_gini!$A$10:$A$17,0),MATCH('R'!$C33,decomp_gini!$A$2:$I$2,0)),".",","),"*",""),
SUBSTITUTE(INDEX(decomp_gini!$A$10:$I$27,MATCH('R'!$A33,decomp_gini!$A$10:$A$17,0),MATCH('R'!$C33,decomp_gini!$A$2:$I$2,0)),".",","))</f>
        <v>0,274</v>
      </c>
    </row>
    <row r="34" spans="1:5" x14ac:dyDescent="0.2">
      <c r="A34" t="s">
        <v>37</v>
      </c>
      <c r="B34" s="5" t="s">
        <v>5</v>
      </c>
      <c r="C34" t="s">
        <v>18</v>
      </c>
      <c r="D34" s="2" t="str">
        <f>IFERROR(
SUBSTITUTE(SUBSTITUTE(INDEX(decomp_medias!$A$10:$I$27,MATCH('R'!$A34,decomp_medias!$A$10:$A$17,0),MATCH('R'!$C34,decomp_medias!$A$2:$I$2,0)),".",","),"*",""),
SUBSTITUTE(INDEX(decomp_medias!$A$10:$I$27,MATCH('R'!$A34,decomp_medias!$A$10:$A$17,0),MATCH('R'!$C34,decomp_medias!$A$2:$I$2,0)),".",","))</f>
        <v>0,003</v>
      </c>
      <c r="E34" s="2" t="str">
        <f>IFERROR(
SUBSTITUTE(SUBSTITUTE(INDEX(decomp_gini!$A$10:$I$27,MATCH('R'!$A34,decomp_gini!$A$10:$A$17,0),MATCH('R'!$C34,decomp_gini!$A$2:$I$2,0)),".",","),"*",""),
SUBSTITUTE(INDEX(decomp_gini!$A$10:$I$27,MATCH('R'!$A34,decomp_gini!$A$10:$A$17,0),MATCH('R'!$C34,decomp_gini!$A$2:$I$2,0)),".",","))</f>
        <v>-0,099</v>
      </c>
    </row>
    <row r="35" spans="1:5" x14ac:dyDescent="0.2">
      <c r="A35" t="s">
        <v>38</v>
      </c>
      <c r="B35" s="5" t="s">
        <v>5</v>
      </c>
      <c r="C35" t="s">
        <v>18</v>
      </c>
      <c r="D35" s="2" t="str">
        <f>IFERROR(
SUBSTITUTE(SUBSTITUTE(INDEX(decomp_medias!$A$10:$I$27,MATCH('R'!$A35,decomp_medias!$A$10:$A$17,0),MATCH('R'!$C35,decomp_medias!$A$2:$I$2,0)),".",","),"*",""),
SUBSTITUTE(INDEX(decomp_medias!$A$10:$I$27,MATCH('R'!$A35,decomp_medias!$A$10:$A$17,0),MATCH('R'!$C35,decomp_medias!$A$2:$I$2,0)),".",","))</f>
        <v>0,000</v>
      </c>
      <c r="E35" s="2" t="str">
        <f>IFERROR(
SUBSTITUTE(SUBSTITUTE(INDEX(decomp_gini!$A$10:$I$27,MATCH('R'!$A35,decomp_gini!$A$10:$A$17,0),MATCH('R'!$C35,decomp_gini!$A$2:$I$2,0)),".",","),"*",""),
SUBSTITUTE(INDEX(decomp_gini!$A$10:$I$27,MATCH('R'!$A35,decomp_gini!$A$10:$A$17,0),MATCH('R'!$C35,decomp_gini!$A$2:$I$2,0)),".",","))</f>
        <v>-0,146</v>
      </c>
    </row>
    <row r="36" spans="1:5" x14ac:dyDescent="0.2">
      <c r="A36" t="s">
        <v>31</v>
      </c>
      <c r="B36" s="5" t="s">
        <v>6</v>
      </c>
      <c r="C36" t="s">
        <v>18</v>
      </c>
      <c r="D36" s="2" t="str">
        <f>IFERROR(
SUBSTITUTE(SUBSTITUTE(INDEX(decomp_medias!$A$19:$I$27,MATCH('R'!$A36,decomp_medias!$A$19:$A$27,0),MATCH('R'!$C36,decomp_medias!$A$2:$I$2,0)),".",","),"*",""),
SUBSTITUTE(INDEX(decomp_medias!$A$19:$I$27,MATCH('R'!$A36,decomp_medias!$A$19:$A$27,0),MATCH('R'!$C36,decomp_medias!$A$2:$I$2,0)),".",","))</f>
        <v>0,018</v>
      </c>
      <c r="E36" s="2" t="str">
        <f>IFERROR(
SUBSTITUTE(SUBSTITUTE(INDEX(decomp_gini!$A$19:$I$27,MATCH('R'!$A36,decomp_gini!$A$19:$A$27,0),MATCH('R'!$C36,decomp_gini!$A$2:$I$2,0)),".",","),"*",""),
SUBSTITUTE(INDEX(decomp_gini!$A$19:$I$27,MATCH('R'!$A36,decomp_gini!$A$19:$A$27,0),MATCH('R'!$C36,decomp_gini!$A$2:$I$2,0)),".",","))</f>
        <v>-7,063</v>
      </c>
    </row>
    <row r="37" spans="1:5" x14ac:dyDescent="0.2">
      <c r="A37" t="s">
        <v>32</v>
      </c>
      <c r="B37" s="5" t="s">
        <v>6</v>
      </c>
      <c r="C37" t="s">
        <v>18</v>
      </c>
      <c r="D37" s="2" t="str">
        <f>IFERROR(
SUBSTITUTE(SUBSTITUTE(INDEX(decomp_medias!$A$19:$I$27,MATCH('R'!$A37,decomp_medias!$A$19:$A$27,0),MATCH('R'!$C37,decomp_medias!$A$2:$I$2,0)),".",","),"*",""),
SUBSTITUTE(INDEX(decomp_medias!$A$19:$I$27,MATCH('R'!$A37,decomp_medias!$A$19:$A$27,0),MATCH('R'!$C37,decomp_medias!$A$2:$I$2,0)),".",","))</f>
        <v>0,043</v>
      </c>
      <c r="E37" s="2" t="str">
        <f>IFERROR(
SUBSTITUTE(SUBSTITUTE(INDEX(decomp_gini!$A$19:$I$27,MATCH('R'!$A37,decomp_gini!$A$19:$A$27,0),MATCH('R'!$C37,decomp_gini!$A$2:$I$2,0)),".",","),"*",""),
SUBSTITUTE(INDEX(decomp_gini!$A$19:$I$27,MATCH('R'!$A37,decomp_gini!$A$19:$A$27,0),MATCH('R'!$C37,decomp_gini!$A$2:$I$2,0)),".",","))</f>
        <v>0,123</v>
      </c>
    </row>
    <row r="38" spans="1:5" x14ac:dyDescent="0.2">
      <c r="A38" t="s">
        <v>33</v>
      </c>
      <c r="B38" s="5" t="s">
        <v>6</v>
      </c>
      <c r="C38" t="s">
        <v>18</v>
      </c>
      <c r="D38" s="2" t="str">
        <f>IFERROR(
SUBSTITUTE(SUBSTITUTE(INDEX(decomp_medias!$A$19:$I$27,MATCH('R'!$A38,decomp_medias!$A$19:$A$27,0),MATCH('R'!$C38,decomp_medias!$A$2:$I$2,0)),".",","),"*",""),
SUBSTITUTE(INDEX(decomp_medias!$A$19:$I$27,MATCH('R'!$A38,decomp_medias!$A$19:$A$27,0),MATCH('R'!$C38,decomp_medias!$A$2:$I$2,0)),".",","))</f>
        <v>0,009</v>
      </c>
      <c r="E38" s="2" t="str">
        <f>IFERROR(
SUBSTITUTE(SUBSTITUTE(INDEX(decomp_gini!$A$19:$I$27,MATCH('R'!$A38,decomp_gini!$A$19:$A$27,0),MATCH('R'!$C38,decomp_gini!$A$2:$I$2,0)),".",","),"*",""),
SUBSTITUTE(INDEX(decomp_gini!$A$19:$I$27,MATCH('R'!$A38,decomp_gini!$A$19:$A$27,0),MATCH('R'!$C38,decomp_gini!$A$2:$I$2,0)),".",","))</f>
        <v>-0,608</v>
      </c>
    </row>
    <row r="39" spans="1:5" x14ac:dyDescent="0.2">
      <c r="A39" t="s">
        <v>34</v>
      </c>
      <c r="B39" s="5" t="s">
        <v>6</v>
      </c>
      <c r="C39" t="s">
        <v>18</v>
      </c>
      <c r="D39" s="2" t="str">
        <f>IFERROR(
SUBSTITUTE(SUBSTITUTE(INDEX(decomp_medias!$A$19:$I$27,MATCH('R'!$A39,decomp_medias!$A$19:$A$27,0),MATCH('R'!$C39,decomp_medias!$A$2:$I$2,0)),".",","),"*",""),
SUBSTITUTE(INDEX(decomp_medias!$A$19:$I$27,MATCH('R'!$A39,decomp_medias!$A$19:$A$27,0),MATCH('R'!$C39,decomp_medias!$A$2:$I$2,0)),".",","))</f>
        <v>-0,008</v>
      </c>
      <c r="E39" s="2" t="str">
        <f>IFERROR(
SUBSTITUTE(SUBSTITUTE(INDEX(decomp_gini!$A$19:$I$27,MATCH('R'!$A39,decomp_gini!$A$19:$A$27,0),MATCH('R'!$C39,decomp_gini!$A$2:$I$2,0)),".",","),"*",""),
SUBSTITUTE(INDEX(decomp_gini!$A$19:$I$27,MATCH('R'!$A39,decomp_gini!$A$19:$A$27,0),MATCH('R'!$C39,decomp_gini!$A$2:$I$2,0)),".",","))</f>
        <v>-0,516</v>
      </c>
    </row>
    <row r="40" spans="1:5" x14ac:dyDescent="0.2">
      <c r="A40" t="s">
        <v>35</v>
      </c>
      <c r="B40" s="5" t="s">
        <v>6</v>
      </c>
      <c r="C40" t="s">
        <v>18</v>
      </c>
      <c r="D40" s="2" t="str">
        <f>IFERROR(
SUBSTITUTE(SUBSTITUTE(INDEX(decomp_medias!$A$19:$I$27,MATCH('R'!$A40,decomp_medias!$A$19:$A$27,0),MATCH('R'!$C40,decomp_medias!$A$2:$I$2,0)),".",","),"*",""),
SUBSTITUTE(INDEX(decomp_medias!$A$19:$I$27,MATCH('R'!$A40,decomp_medias!$A$19:$A$27,0),MATCH('R'!$C40,decomp_medias!$A$2:$I$2,0)),".",","))</f>
        <v>-0,000</v>
      </c>
      <c r="E40" s="2" t="str">
        <f>IFERROR(
SUBSTITUTE(SUBSTITUTE(INDEX(decomp_gini!$A$19:$I$27,MATCH('R'!$A40,decomp_gini!$A$19:$A$27,0),MATCH('R'!$C40,decomp_gini!$A$2:$I$2,0)),".",","),"*",""),
SUBSTITUTE(INDEX(decomp_gini!$A$19:$I$27,MATCH('R'!$A40,decomp_gini!$A$19:$A$27,0),MATCH('R'!$C40,decomp_gini!$A$2:$I$2,0)),".",","))</f>
        <v>-0,035</v>
      </c>
    </row>
    <row r="41" spans="1:5" x14ac:dyDescent="0.2">
      <c r="A41" t="s">
        <v>36</v>
      </c>
      <c r="B41" s="5" t="s">
        <v>6</v>
      </c>
      <c r="C41" t="s">
        <v>18</v>
      </c>
      <c r="D41" s="2" t="str">
        <f>IFERROR(
SUBSTITUTE(SUBSTITUTE(INDEX(decomp_medias!$A$19:$I$27,MATCH('R'!$A41,decomp_medias!$A$19:$A$27,0),MATCH('R'!$C41,decomp_medias!$A$2:$I$2,0)),".",","),"*",""),
SUBSTITUTE(INDEX(decomp_medias!$A$19:$I$27,MATCH('R'!$A41,decomp_medias!$A$19:$A$27,0),MATCH('R'!$C41,decomp_medias!$A$2:$I$2,0)),".",","))</f>
        <v>0,030</v>
      </c>
      <c r="E41" s="2" t="str">
        <f>IFERROR(
SUBSTITUTE(SUBSTITUTE(INDEX(decomp_gini!$A$19:$I$27,MATCH('R'!$A41,decomp_gini!$A$19:$A$27,0),MATCH('R'!$C41,decomp_gini!$A$2:$I$2,0)),".",","),"*",""),
SUBSTITUTE(INDEX(decomp_gini!$A$19:$I$27,MATCH('R'!$A41,decomp_gini!$A$19:$A$27,0),MATCH('R'!$C41,decomp_gini!$A$2:$I$2,0)),".",","))</f>
        <v>-0,380</v>
      </c>
    </row>
    <row r="42" spans="1:5" x14ac:dyDescent="0.2">
      <c r="A42" t="s">
        <v>37</v>
      </c>
      <c r="B42" s="5" t="s">
        <v>6</v>
      </c>
      <c r="C42" t="s">
        <v>18</v>
      </c>
      <c r="D42" s="2" t="str">
        <f>IFERROR(
SUBSTITUTE(SUBSTITUTE(INDEX(decomp_medias!$A$19:$I$27,MATCH('R'!$A42,decomp_medias!$A$19:$A$27,0),MATCH('R'!$C42,decomp_medias!$A$2:$I$2,0)),".",","),"*",""),
SUBSTITUTE(INDEX(decomp_medias!$A$19:$I$27,MATCH('R'!$A42,decomp_medias!$A$19:$A$27,0),MATCH('R'!$C42,decomp_medias!$A$2:$I$2,0)),".",","))</f>
        <v>0,008</v>
      </c>
      <c r="E42" s="2" t="str">
        <f>IFERROR(
SUBSTITUTE(SUBSTITUTE(INDEX(decomp_gini!$A$19:$I$27,MATCH('R'!$A42,decomp_gini!$A$19:$A$27,0),MATCH('R'!$C42,decomp_gini!$A$2:$I$2,0)),".",","),"*",""),
SUBSTITUTE(INDEX(decomp_gini!$A$19:$I$27,MATCH('R'!$A42,decomp_gini!$A$19:$A$27,0),MATCH('R'!$C42,decomp_gini!$A$2:$I$2,0)),".",","))</f>
        <v>0,491</v>
      </c>
    </row>
    <row r="43" spans="1:5" x14ac:dyDescent="0.2">
      <c r="A43" t="s">
        <v>38</v>
      </c>
      <c r="B43" s="5" t="s">
        <v>6</v>
      </c>
      <c r="C43" t="s">
        <v>18</v>
      </c>
      <c r="D43" s="2" t="str">
        <f>IFERROR(
SUBSTITUTE(SUBSTITUTE(INDEX(decomp_medias!$A$19:$I$27,MATCH('R'!$A43,decomp_medias!$A$19:$A$27,0),MATCH('R'!$C43,decomp_medias!$A$2:$I$2,0)),".",","),"*",""),
SUBSTITUTE(INDEX(decomp_medias!$A$19:$I$27,MATCH('R'!$A43,decomp_medias!$A$19:$A$27,0),MATCH('R'!$C43,decomp_medias!$A$2:$I$2,0)),".",","))</f>
        <v>-0,002</v>
      </c>
      <c r="E43" s="2" t="str">
        <f>IFERROR(
SUBSTITUTE(SUBSTITUTE(INDEX(decomp_gini!$A$19:$I$27,MATCH('R'!$A43,decomp_gini!$A$19:$A$27,0),MATCH('R'!$C43,decomp_gini!$A$2:$I$2,0)),".",","),"*",""),
SUBSTITUTE(INDEX(decomp_gini!$A$19:$I$27,MATCH('R'!$A43,decomp_gini!$A$19:$A$27,0),MATCH('R'!$C43,decomp_gini!$A$2:$I$2,0)),".",","))</f>
        <v>-0,647</v>
      </c>
    </row>
    <row r="44" spans="1:5" x14ac:dyDescent="0.2">
      <c r="A44" t="s">
        <v>39</v>
      </c>
      <c r="B44" s="5" t="s">
        <v>6</v>
      </c>
      <c r="C44" t="s">
        <v>18</v>
      </c>
      <c r="D44" s="2" t="str">
        <f>IFERROR(
SUBSTITUTE(SUBSTITUTE(INDEX(decomp_medias!$A$19:$I$27,MATCH('R'!$A44,decomp_medias!$A$19:$A$27,0),MATCH('R'!$C44,decomp_medias!$A$2:$I$2,0)),".",","),"*",""),
SUBSTITUTE(INDEX(decomp_medias!$A$19:$I$27,MATCH('R'!$A44,decomp_medias!$A$19:$A$27,0),MATCH('R'!$C44,decomp_medias!$A$2:$I$2,0)),".",","))</f>
        <v>-0,182</v>
      </c>
      <c r="E44" s="2" t="str">
        <f>IFERROR(
SUBSTITUTE(SUBSTITUTE(INDEX(decomp_gini!$A$19:$I$27,MATCH('R'!$A44,decomp_gini!$A$19:$A$27,0),MATCH('R'!$C44,decomp_gini!$A$2:$I$2,0)),".",","),"*",""),
SUBSTITUTE(INDEX(decomp_gini!$A$19:$I$27,MATCH('R'!$A44,decomp_gini!$A$19:$A$27,0),MATCH('R'!$C44,decomp_gini!$A$2:$I$2,0)),".",","))</f>
        <v>7,628</v>
      </c>
    </row>
    <row r="45" spans="1:5" x14ac:dyDescent="0.2">
      <c r="A45" t="s">
        <v>31</v>
      </c>
      <c r="B45" s="5" t="s">
        <v>22</v>
      </c>
      <c r="C45" t="s">
        <v>18</v>
      </c>
      <c r="D45" s="2">
        <f>D28+D36</f>
        <v>9.2999999999999999E-2</v>
      </c>
      <c r="E45" s="2">
        <f t="shared" ref="E45:E52" si="8">E28+E36</f>
        <v>-4.9369999999999994</v>
      </c>
    </row>
    <row r="46" spans="1:5" x14ac:dyDescent="0.2">
      <c r="A46" t="s">
        <v>32</v>
      </c>
      <c r="B46" s="5" t="s">
        <v>22</v>
      </c>
      <c r="C46" t="s">
        <v>18</v>
      </c>
      <c r="D46" s="2">
        <f t="shared" ref="D46:E46" si="9">D29+D37</f>
        <v>5.1999999999999998E-2</v>
      </c>
      <c r="E46" s="2">
        <f t="shared" si="8"/>
        <v>0.32600000000000001</v>
      </c>
    </row>
    <row r="47" spans="1:5" x14ac:dyDescent="0.2">
      <c r="A47" t="s">
        <v>33</v>
      </c>
      <c r="B47" s="5" t="s">
        <v>22</v>
      </c>
      <c r="C47" t="s">
        <v>18</v>
      </c>
      <c r="D47" s="2">
        <f t="shared" ref="D47:E47" si="10">D30+D38</f>
        <v>5.9999999999999993E-3</v>
      </c>
      <c r="E47" s="2">
        <f t="shared" si="8"/>
        <v>-0.66900000000000004</v>
      </c>
    </row>
    <row r="48" spans="1:5" x14ac:dyDescent="0.2">
      <c r="A48" t="s">
        <v>34</v>
      </c>
      <c r="B48" s="5" t="s">
        <v>22</v>
      </c>
      <c r="C48" t="s">
        <v>18</v>
      </c>
      <c r="D48" s="2">
        <f t="shared" ref="D48:E48" si="11">D31+D39</f>
        <v>-0.01</v>
      </c>
      <c r="E48" s="2">
        <f t="shared" si="8"/>
        <v>-0.6</v>
      </c>
    </row>
    <row r="49" spans="1:5" x14ac:dyDescent="0.2">
      <c r="A49" t="s">
        <v>35</v>
      </c>
      <c r="B49" s="5" t="s">
        <v>22</v>
      </c>
      <c r="C49" t="s">
        <v>18</v>
      </c>
      <c r="D49" s="2">
        <f t="shared" ref="D49:E49" si="12">D32+D40</f>
        <v>1E-3</v>
      </c>
      <c r="E49" s="2">
        <f t="shared" si="8"/>
        <v>-6.6000000000000003E-2</v>
      </c>
    </row>
    <row r="50" spans="1:5" x14ac:dyDescent="0.2">
      <c r="A50" t="s">
        <v>36</v>
      </c>
      <c r="B50" s="5" t="s">
        <v>22</v>
      </c>
      <c r="C50" t="s">
        <v>18</v>
      </c>
      <c r="D50" s="2">
        <f t="shared" ref="D50:E50" si="13">D33+D41</f>
        <v>2.4E-2</v>
      </c>
      <c r="E50" s="2">
        <f t="shared" si="8"/>
        <v>-0.10599999999999998</v>
      </c>
    </row>
    <row r="51" spans="1:5" x14ac:dyDescent="0.2">
      <c r="A51" t="s">
        <v>37</v>
      </c>
      <c r="B51" s="5" t="s">
        <v>22</v>
      </c>
      <c r="C51" t="s">
        <v>18</v>
      </c>
      <c r="D51" s="2">
        <f t="shared" ref="D51:E51" si="14">D34+D42</f>
        <v>1.0999999999999999E-2</v>
      </c>
      <c r="E51" s="2">
        <f t="shared" si="8"/>
        <v>0.39200000000000002</v>
      </c>
    </row>
    <row r="52" spans="1:5" x14ac:dyDescent="0.2">
      <c r="A52" t="s">
        <v>38</v>
      </c>
      <c r="B52" s="5" t="s">
        <v>22</v>
      </c>
      <c r="C52" t="s">
        <v>18</v>
      </c>
      <c r="D52" s="6">
        <f t="shared" ref="D52:E52" si="15">D35+D43</f>
        <v>-2E-3</v>
      </c>
      <c r="E52" s="2">
        <f t="shared" si="8"/>
        <v>-0.79300000000000004</v>
      </c>
    </row>
    <row r="53" spans="1:5" x14ac:dyDescent="0.2">
      <c r="A53" t="s">
        <v>39</v>
      </c>
      <c r="B53" s="5" t="s">
        <v>22</v>
      </c>
      <c r="C53" t="s">
        <v>18</v>
      </c>
      <c r="D53" s="2" t="str">
        <f>D44</f>
        <v>-0,182</v>
      </c>
      <c r="E53" s="2" t="str">
        <f>E44</f>
        <v>7,628</v>
      </c>
    </row>
    <row r="54" spans="1:5" x14ac:dyDescent="0.2">
      <c r="A54" t="s">
        <v>31</v>
      </c>
      <c r="B54" s="5" t="s">
        <v>5</v>
      </c>
      <c r="C54" t="s">
        <v>19</v>
      </c>
      <c r="D54" s="2" t="str">
        <f>IFERROR(
SUBSTITUTE(SUBSTITUTE(INDEX(decomp_medias!$A$10:$I$27,MATCH('R'!$A54,decomp_medias!$A$10:$A$17,0),MATCH('R'!$C54,decomp_medias!$A$2:$I$2,0)),".",","),"*",""),
SUBSTITUTE(INDEX(decomp_medias!$A$10:$I$27,MATCH('R'!$A54,decomp_medias!$A$10:$A$17,0),MATCH('R'!$C54,decomp_medias!$A$2:$I$2,0)),".",","))</f>
        <v>0,120</v>
      </c>
      <c r="E54" s="2" t="str">
        <f>IFERROR(
SUBSTITUTE(SUBSTITUTE(INDEX(decomp_gini!$A$10:$I$27,MATCH('R'!$A54,decomp_gini!$A$10:$A$17,0),MATCH('R'!$C54,decomp_gini!$A$2:$I$2,0)),".",","),"*",""),
SUBSTITUTE(INDEX(decomp_gini!$A$10:$I$27,MATCH('R'!$A54,decomp_gini!$A$10:$A$17,0),MATCH('R'!$C54,decomp_gini!$A$2:$I$2,0)),".",","))</f>
        <v>3,402</v>
      </c>
    </row>
    <row r="55" spans="1:5" x14ac:dyDescent="0.2">
      <c r="A55" t="s">
        <v>32</v>
      </c>
      <c r="B55" s="5" t="s">
        <v>5</v>
      </c>
      <c r="C55" t="s">
        <v>19</v>
      </c>
      <c r="D55" s="2" t="str">
        <f>IFERROR(
SUBSTITUTE(SUBSTITUTE(INDEX(decomp_medias!$A$10:$I$27,MATCH('R'!$A55,decomp_medias!$A$10:$A$17,0),MATCH('R'!$C55,decomp_medias!$A$2:$I$2,0)),".",","),"*",""),
SUBSTITUTE(INDEX(decomp_medias!$A$10:$I$27,MATCH('R'!$A55,decomp_medias!$A$10:$A$17,0),MATCH('R'!$C55,decomp_medias!$A$2:$I$2,0)),".",","))</f>
        <v>0,021</v>
      </c>
      <c r="E55" s="2" t="str">
        <f>IFERROR(
SUBSTITUTE(SUBSTITUTE(INDEX(decomp_gini!$A$10:$I$27,MATCH('R'!$A55,decomp_gini!$A$10:$A$17,0),MATCH('R'!$C55,decomp_gini!$A$2:$I$2,0)),".",","),"*",""),
SUBSTITUTE(INDEX(decomp_gini!$A$10:$I$27,MATCH('R'!$A55,decomp_gini!$A$10:$A$17,0),MATCH('R'!$C55,decomp_gini!$A$2:$I$2,0)),".",","))</f>
        <v>0,482</v>
      </c>
    </row>
    <row r="56" spans="1:5" x14ac:dyDescent="0.2">
      <c r="A56" t="s">
        <v>33</v>
      </c>
      <c r="B56" s="5" t="s">
        <v>5</v>
      </c>
      <c r="C56" t="s">
        <v>19</v>
      </c>
      <c r="D56" s="2" t="str">
        <f>IFERROR(
SUBSTITUTE(SUBSTITUTE(INDEX(decomp_medias!$A$10:$I$27,MATCH('R'!$A56,decomp_medias!$A$10:$A$17,0),MATCH('R'!$C56,decomp_medias!$A$2:$I$2,0)),".",","),"*",""),
SUBSTITUTE(INDEX(decomp_medias!$A$10:$I$27,MATCH('R'!$A56,decomp_medias!$A$10:$A$17,0),MATCH('R'!$C56,decomp_medias!$A$2:$I$2,0)),".",","))</f>
        <v>-0,005</v>
      </c>
      <c r="E56" s="2" t="str">
        <f>IFERROR(
SUBSTITUTE(SUBSTITUTE(INDEX(decomp_gini!$A$10:$I$27,MATCH('R'!$A56,decomp_gini!$A$10:$A$17,0),MATCH('R'!$C56,decomp_gini!$A$2:$I$2,0)),".",","),"*",""),
SUBSTITUTE(INDEX(decomp_gini!$A$10:$I$27,MATCH('R'!$A56,decomp_gini!$A$10:$A$17,0),MATCH('R'!$C56,decomp_gini!$A$2:$I$2,0)),".",","))</f>
        <v>-0,116</v>
      </c>
    </row>
    <row r="57" spans="1:5" x14ac:dyDescent="0.2">
      <c r="A57" t="s">
        <v>34</v>
      </c>
      <c r="B57" s="5" t="s">
        <v>5</v>
      </c>
      <c r="C57" t="s">
        <v>19</v>
      </c>
      <c r="D57" s="2" t="str">
        <f>IFERROR(
SUBSTITUTE(SUBSTITUTE(INDEX(decomp_medias!$A$10:$I$27,MATCH('R'!$A57,decomp_medias!$A$10:$A$17,0),MATCH('R'!$C57,decomp_medias!$A$2:$I$2,0)),".",","),"*",""),
SUBSTITUTE(INDEX(decomp_medias!$A$10:$I$27,MATCH('R'!$A57,decomp_medias!$A$10:$A$17,0),MATCH('R'!$C57,decomp_medias!$A$2:$I$2,0)),".",","))</f>
        <v>-0,005</v>
      </c>
      <c r="E57" s="2" t="str">
        <f>IFERROR(
SUBSTITUTE(SUBSTITUTE(INDEX(decomp_gini!$A$10:$I$27,MATCH('R'!$A57,decomp_gini!$A$10:$A$17,0),MATCH('R'!$C57,decomp_gini!$A$2:$I$2,0)),".",","),"*",""),
SUBSTITUTE(INDEX(decomp_gini!$A$10:$I$27,MATCH('R'!$A57,decomp_gini!$A$10:$A$17,0),MATCH('R'!$C57,decomp_gini!$A$2:$I$2,0)),".",","))</f>
        <v>-0,145</v>
      </c>
    </row>
    <row r="58" spans="1:5" x14ac:dyDescent="0.2">
      <c r="A58" t="s">
        <v>35</v>
      </c>
      <c r="B58" s="5" t="s">
        <v>5</v>
      </c>
      <c r="C58" t="s">
        <v>19</v>
      </c>
      <c r="D58" s="2" t="str">
        <f>IFERROR(
SUBSTITUTE(SUBSTITUTE(INDEX(decomp_medias!$A$10:$I$27,MATCH('R'!$A58,decomp_medias!$A$10:$A$17,0),MATCH('R'!$C58,decomp_medias!$A$2:$I$2,0)),".",","),"*",""),
SUBSTITUTE(INDEX(decomp_medias!$A$10:$I$27,MATCH('R'!$A58,decomp_medias!$A$10:$A$17,0),MATCH('R'!$C58,decomp_medias!$A$2:$I$2,0)),".",","))</f>
        <v>0,002</v>
      </c>
      <c r="E58" s="2" t="str">
        <f>IFERROR(
SUBSTITUTE(SUBSTITUTE(INDEX(decomp_gini!$A$10:$I$27,MATCH('R'!$A58,decomp_gini!$A$10:$A$17,0),MATCH('R'!$C58,decomp_gini!$A$2:$I$2,0)),".",","),"*",""),
SUBSTITUTE(INDEX(decomp_gini!$A$10:$I$27,MATCH('R'!$A58,decomp_gini!$A$10:$A$17,0),MATCH('R'!$C58,decomp_gini!$A$2:$I$2,0)),".",","))</f>
        <v>-0,049</v>
      </c>
    </row>
    <row r="59" spans="1:5" x14ac:dyDescent="0.2">
      <c r="A59" t="s">
        <v>36</v>
      </c>
      <c r="B59" s="5" t="s">
        <v>5</v>
      </c>
      <c r="C59" t="s">
        <v>19</v>
      </c>
      <c r="D59" s="2" t="str">
        <f>IFERROR(
SUBSTITUTE(SUBSTITUTE(INDEX(decomp_medias!$A$10:$I$27,MATCH('R'!$A59,decomp_medias!$A$10:$A$17,0),MATCH('R'!$C59,decomp_medias!$A$2:$I$2,0)),".",","),"*",""),
SUBSTITUTE(INDEX(decomp_medias!$A$10:$I$27,MATCH('R'!$A59,decomp_medias!$A$10:$A$17,0),MATCH('R'!$C59,decomp_medias!$A$2:$I$2,0)),".",","))</f>
        <v>-0,004</v>
      </c>
      <c r="E59" s="2" t="str">
        <f>IFERROR(
SUBSTITUTE(SUBSTITUTE(INDEX(decomp_gini!$A$10:$I$27,MATCH('R'!$A59,decomp_gini!$A$10:$A$17,0),MATCH('R'!$C59,decomp_gini!$A$2:$I$2,0)),".",","),"*",""),
SUBSTITUTE(INDEX(decomp_gini!$A$10:$I$27,MATCH('R'!$A59,decomp_gini!$A$10:$A$17,0),MATCH('R'!$C59,decomp_gini!$A$2:$I$2,0)),".",","))</f>
        <v>0,206</v>
      </c>
    </row>
    <row r="60" spans="1:5" x14ac:dyDescent="0.2">
      <c r="A60" t="s">
        <v>37</v>
      </c>
      <c r="B60" s="5" t="s">
        <v>5</v>
      </c>
      <c r="C60" t="s">
        <v>19</v>
      </c>
      <c r="D60" s="2" t="str">
        <f>IFERROR(
SUBSTITUTE(SUBSTITUTE(INDEX(decomp_medias!$A$10:$I$27,MATCH('R'!$A60,decomp_medias!$A$10:$A$17,0),MATCH('R'!$C60,decomp_medias!$A$2:$I$2,0)),".",","),"*",""),
SUBSTITUTE(INDEX(decomp_medias!$A$10:$I$27,MATCH('R'!$A60,decomp_medias!$A$10:$A$17,0),MATCH('R'!$C60,decomp_medias!$A$2:$I$2,0)),".",","))</f>
        <v>0,004</v>
      </c>
      <c r="E60" s="2" t="str">
        <f>IFERROR(
SUBSTITUTE(SUBSTITUTE(INDEX(decomp_gini!$A$10:$I$27,MATCH('R'!$A60,decomp_gini!$A$10:$A$17,0),MATCH('R'!$C60,decomp_gini!$A$2:$I$2,0)),".",","),"*",""),
SUBSTITUTE(INDEX(decomp_gini!$A$10:$I$27,MATCH('R'!$A60,decomp_gini!$A$10:$A$17,0),MATCH('R'!$C60,decomp_gini!$A$2:$I$2,0)),".",","))</f>
        <v>-0,068</v>
      </c>
    </row>
    <row r="61" spans="1:5" x14ac:dyDescent="0.2">
      <c r="A61" t="s">
        <v>38</v>
      </c>
      <c r="B61" s="5" t="s">
        <v>5</v>
      </c>
      <c r="C61" t="s">
        <v>19</v>
      </c>
      <c r="D61" s="2" t="str">
        <f>IFERROR(
SUBSTITUTE(SUBSTITUTE(INDEX(decomp_medias!$A$10:$I$27,MATCH('R'!$A61,decomp_medias!$A$10:$A$17,0),MATCH('R'!$C61,decomp_medias!$A$2:$I$2,0)),".",","),"*",""),
SUBSTITUTE(INDEX(decomp_medias!$A$10:$I$27,MATCH('R'!$A61,decomp_medias!$A$10:$A$17,0),MATCH('R'!$C61,decomp_medias!$A$2:$I$2,0)),".",","))</f>
        <v>0,005</v>
      </c>
      <c r="E61" s="2" t="str">
        <f>IFERROR(
SUBSTITUTE(SUBSTITUTE(INDEX(decomp_gini!$A$10:$I$27,MATCH('R'!$A61,decomp_gini!$A$10:$A$17,0),MATCH('R'!$C61,decomp_gini!$A$2:$I$2,0)),".",","),"*",""),
SUBSTITUTE(INDEX(decomp_gini!$A$10:$I$27,MATCH('R'!$A61,decomp_gini!$A$10:$A$17,0),MATCH('R'!$C61,decomp_gini!$A$2:$I$2,0)),".",","))</f>
        <v>-0,409</v>
      </c>
    </row>
    <row r="62" spans="1:5" x14ac:dyDescent="0.2">
      <c r="A62" t="s">
        <v>31</v>
      </c>
      <c r="B62" s="5" t="s">
        <v>6</v>
      </c>
      <c r="C62" t="s">
        <v>19</v>
      </c>
      <c r="D62" s="2" t="str">
        <f>IFERROR(
SUBSTITUTE(SUBSTITUTE(INDEX(decomp_medias!$A$19:$I$27,MATCH('R'!$A62,decomp_medias!$A$19:$A$27,0),MATCH('R'!$C62,decomp_medias!$A$2:$I$2,0)),".",","),"*",""),
SUBSTITUTE(INDEX(decomp_medias!$A$19:$I$27,MATCH('R'!$A62,decomp_medias!$A$19:$A$27,0),MATCH('R'!$C62,decomp_medias!$A$2:$I$2,0)),".",","))</f>
        <v>-0,067</v>
      </c>
      <c r="E62" s="2" t="str">
        <f>IFERROR(
SUBSTITUTE(SUBSTITUTE(INDEX(decomp_gini!$A$19:$I$27,MATCH('R'!$A62,decomp_gini!$A$19:$A$27,0),MATCH('R'!$C62,decomp_gini!$A$2:$I$2,0)),".",","),"*",""),
SUBSTITUTE(INDEX(decomp_gini!$A$19:$I$27,MATCH('R'!$A62,decomp_gini!$A$19:$A$27,0),MATCH('R'!$C62,decomp_gini!$A$2:$I$2,0)),".",","))</f>
        <v>-8,980</v>
      </c>
    </row>
    <row r="63" spans="1:5" x14ac:dyDescent="0.2">
      <c r="A63" t="s">
        <v>32</v>
      </c>
      <c r="B63" s="5" t="s">
        <v>6</v>
      </c>
      <c r="C63" t="s">
        <v>19</v>
      </c>
      <c r="D63" s="2" t="str">
        <f>IFERROR(
SUBSTITUTE(SUBSTITUTE(INDEX(decomp_medias!$A$19:$I$27,MATCH('R'!$A63,decomp_medias!$A$19:$A$27,0),MATCH('R'!$C63,decomp_medias!$A$2:$I$2,0)),".",","),"*",""),
SUBSTITUTE(INDEX(decomp_medias!$A$19:$I$27,MATCH('R'!$A63,decomp_medias!$A$19:$A$27,0),MATCH('R'!$C63,decomp_medias!$A$2:$I$2,0)),".",","))</f>
        <v>0,006</v>
      </c>
      <c r="E63" s="2" t="str">
        <f>IFERROR(
SUBSTITUTE(SUBSTITUTE(INDEX(decomp_gini!$A$19:$I$27,MATCH('R'!$A63,decomp_gini!$A$19:$A$27,0),MATCH('R'!$C63,decomp_gini!$A$2:$I$2,0)),".",","),"*",""),
SUBSTITUTE(INDEX(decomp_gini!$A$19:$I$27,MATCH('R'!$A63,decomp_gini!$A$19:$A$27,0),MATCH('R'!$C63,decomp_gini!$A$2:$I$2,0)),".",","))</f>
        <v>-2,342</v>
      </c>
    </row>
    <row r="64" spans="1:5" x14ac:dyDescent="0.2">
      <c r="A64" t="s">
        <v>33</v>
      </c>
      <c r="B64" s="5" t="s">
        <v>6</v>
      </c>
      <c r="C64" t="s">
        <v>19</v>
      </c>
      <c r="D64" s="2" t="str">
        <f>IFERROR(
SUBSTITUTE(SUBSTITUTE(INDEX(decomp_medias!$A$19:$I$27,MATCH('R'!$A64,decomp_medias!$A$19:$A$27,0),MATCH('R'!$C64,decomp_medias!$A$2:$I$2,0)),".",","),"*",""),
SUBSTITUTE(INDEX(decomp_medias!$A$19:$I$27,MATCH('R'!$A64,decomp_medias!$A$19:$A$27,0),MATCH('R'!$C64,decomp_medias!$A$2:$I$2,0)),".",","))</f>
        <v>0,012</v>
      </c>
      <c r="E64" s="2" t="str">
        <f>IFERROR(
SUBSTITUTE(SUBSTITUTE(INDEX(decomp_gini!$A$19:$I$27,MATCH('R'!$A64,decomp_gini!$A$19:$A$27,0),MATCH('R'!$C64,decomp_gini!$A$2:$I$2,0)),".",","),"*",""),
SUBSTITUTE(INDEX(decomp_gini!$A$19:$I$27,MATCH('R'!$A64,decomp_gini!$A$19:$A$27,0),MATCH('R'!$C64,decomp_gini!$A$2:$I$2,0)),".",","))</f>
        <v>-0,177</v>
      </c>
    </row>
    <row r="65" spans="1:5" x14ac:dyDescent="0.2">
      <c r="A65" t="s">
        <v>34</v>
      </c>
      <c r="B65" s="5" t="s">
        <v>6</v>
      </c>
      <c r="C65" t="s">
        <v>19</v>
      </c>
      <c r="D65" s="2" t="str">
        <f>IFERROR(
SUBSTITUTE(SUBSTITUTE(INDEX(decomp_medias!$A$19:$I$27,MATCH('R'!$A65,decomp_medias!$A$19:$A$27,0),MATCH('R'!$C65,decomp_medias!$A$2:$I$2,0)),".",","),"*",""),
SUBSTITUTE(INDEX(decomp_medias!$A$19:$I$27,MATCH('R'!$A65,decomp_medias!$A$19:$A$27,0),MATCH('R'!$C65,decomp_medias!$A$2:$I$2,0)),".",","))</f>
        <v>-0,002</v>
      </c>
      <c r="E65" s="2" t="str">
        <f>IFERROR(
SUBSTITUTE(SUBSTITUTE(INDEX(decomp_gini!$A$19:$I$27,MATCH('R'!$A65,decomp_gini!$A$19:$A$27,0),MATCH('R'!$C65,decomp_gini!$A$2:$I$2,0)),".",","),"*",""),
SUBSTITUTE(INDEX(decomp_gini!$A$19:$I$27,MATCH('R'!$A65,decomp_gini!$A$19:$A$27,0),MATCH('R'!$C65,decomp_gini!$A$2:$I$2,0)),".",","))</f>
        <v>-0,914</v>
      </c>
    </row>
    <row r="66" spans="1:5" x14ac:dyDescent="0.2">
      <c r="A66" t="s">
        <v>35</v>
      </c>
      <c r="B66" s="5" t="s">
        <v>6</v>
      </c>
      <c r="C66" t="s">
        <v>19</v>
      </c>
      <c r="D66" s="2" t="str">
        <f>IFERROR(
SUBSTITUTE(SUBSTITUTE(INDEX(decomp_medias!$A$19:$I$27,MATCH('R'!$A66,decomp_medias!$A$19:$A$27,0),MATCH('R'!$C66,decomp_medias!$A$2:$I$2,0)),".",","),"*",""),
SUBSTITUTE(INDEX(decomp_medias!$A$19:$I$27,MATCH('R'!$A66,decomp_medias!$A$19:$A$27,0),MATCH('R'!$C66,decomp_medias!$A$2:$I$2,0)),".",","))</f>
        <v>0,001</v>
      </c>
      <c r="E66" s="2" t="str">
        <f>IFERROR(
SUBSTITUTE(SUBSTITUTE(INDEX(decomp_gini!$A$19:$I$27,MATCH('R'!$A66,decomp_gini!$A$19:$A$27,0),MATCH('R'!$C66,decomp_gini!$A$2:$I$2,0)),".",","),"*",""),
SUBSTITUTE(INDEX(decomp_gini!$A$19:$I$27,MATCH('R'!$A66,decomp_gini!$A$19:$A$27,0),MATCH('R'!$C66,decomp_gini!$A$2:$I$2,0)),".",","))</f>
        <v>-0,105</v>
      </c>
    </row>
    <row r="67" spans="1:5" x14ac:dyDescent="0.2">
      <c r="A67" t="s">
        <v>36</v>
      </c>
      <c r="B67" s="5" t="s">
        <v>6</v>
      </c>
      <c r="C67" t="s">
        <v>19</v>
      </c>
      <c r="D67" s="2" t="str">
        <f>IFERROR(
SUBSTITUTE(SUBSTITUTE(INDEX(decomp_medias!$A$19:$I$27,MATCH('R'!$A67,decomp_medias!$A$19:$A$27,0),MATCH('R'!$C67,decomp_medias!$A$2:$I$2,0)),".",","),"*",""),
SUBSTITUTE(INDEX(decomp_medias!$A$19:$I$27,MATCH('R'!$A67,decomp_medias!$A$19:$A$27,0),MATCH('R'!$C67,decomp_medias!$A$2:$I$2,0)),".",","))</f>
        <v>0,023</v>
      </c>
      <c r="E67" s="2" t="str">
        <f>IFERROR(
SUBSTITUTE(SUBSTITUTE(INDEX(decomp_gini!$A$19:$I$27,MATCH('R'!$A67,decomp_gini!$A$19:$A$27,0),MATCH('R'!$C67,decomp_gini!$A$2:$I$2,0)),".",","),"*",""),
SUBSTITUTE(INDEX(decomp_gini!$A$19:$I$27,MATCH('R'!$A67,decomp_gini!$A$19:$A$27,0),MATCH('R'!$C67,decomp_gini!$A$2:$I$2,0)),".",","))</f>
        <v>0,449</v>
      </c>
    </row>
    <row r="68" spans="1:5" x14ac:dyDescent="0.2">
      <c r="A68" t="s">
        <v>37</v>
      </c>
      <c r="B68" s="5" t="s">
        <v>6</v>
      </c>
      <c r="C68" t="s">
        <v>19</v>
      </c>
      <c r="D68" s="2" t="str">
        <f>IFERROR(
SUBSTITUTE(SUBSTITUTE(INDEX(decomp_medias!$A$19:$I$27,MATCH('R'!$A68,decomp_medias!$A$19:$A$27,0),MATCH('R'!$C68,decomp_medias!$A$2:$I$2,0)),".",","),"*",""),
SUBSTITUTE(INDEX(decomp_medias!$A$19:$I$27,MATCH('R'!$A68,decomp_medias!$A$19:$A$27,0),MATCH('R'!$C68,decomp_medias!$A$2:$I$2,0)),".",","))</f>
        <v>0,011</v>
      </c>
      <c r="E68" s="2" t="str">
        <f>IFERROR(
SUBSTITUTE(SUBSTITUTE(INDEX(decomp_gini!$A$19:$I$27,MATCH('R'!$A68,decomp_gini!$A$19:$A$27,0),MATCH('R'!$C68,decomp_gini!$A$2:$I$2,0)),".",","),"*",""),
SUBSTITUTE(INDEX(decomp_gini!$A$19:$I$27,MATCH('R'!$A68,decomp_gini!$A$19:$A$27,0),MATCH('R'!$C68,decomp_gini!$A$2:$I$2,0)),".",","))</f>
        <v>1,031</v>
      </c>
    </row>
    <row r="69" spans="1:5" x14ac:dyDescent="0.2">
      <c r="A69" t="s">
        <v>38</v>
      </c>
      <c r="B69" s="5" t="s">
        <v>6</v>
      </c>
      <c r="C69" t="s">
        <v>19</v>
      </c>
      <c r="D69" s="2" t="str">
        <f>IFERROR(
SUBSTITUTE(SUBSTITUTE(INDEX(decomp_medias!$A$19:$I$27,MATCH('R'!$A69,decomp_medias!$A$19:$A$27,0),MATCH('R'!$C69,decomp_medias!$A$2:$I$2,0)),".",","),"*",""),
SUBSTITUTE(INDEX(decomp_medias!$A$19:$I$27,MATCH('R'!$A69,decomp_medias!$A$19:$A$27,0),MATCH('R'!$C69,decomp_medias!$A$2:$I$2,0)),".",","))</f>
        <v>-0,006</v>
      </c>
      <c r="E69" s="2" t="str">
        <f>IFERROR(
SUBSTITUTE(SUBSTITUTE(INDEX(decomp_gini!$A$19:$I$27,MATCH('R'!$A69,decomp_gini!$A$19:$A$27,0),MATCH('R'!$C69,decomp_gini!$A$2:$I$2,0)),".",","),"*",""),
SUBSTITUTE(INDEX(decomp_gini!$A$19:$I$27,MATCH('R'!$A69,decomp_gini!$A$19:$A$27,0),MATCH('R'!$C69,decomp_gini!$A$2:$I$2,0)),".",","))</f>
        <v>0,206</v>
      </c>
    </row>
    <row r="70" spans="1:5" x14ac:dyDescent="0.2">
      <c r="A70" t="s">
        <v>39</v>
      </c>
      <c r="B70" s="5" t="s">
        <v>6</v>
      </c>
      <c r="C70" t="s">
        <v>19</v>
      </c>
      <c r="D70" s="2" t="str">
        <f>IFERROR(
SUBSTITUTE(SUBSTITUTE(INDEX(decomp_medias!$A$19:$I$27,MATCH('R'!$A70,decomp_medias!$A$19:$A$27,0),MATCH('R'!$C70,decomp_medias!$A$2:$I$2,0)),".",","),"*",""),
SUBSTITUTE(INDEX(decomp_medias!$A$19:$I$27,MATCH('R'!$A70,decomp_medias!$A$19:$A$27,0),MATCH('R'!$C70,decomp_medias!$A$2:$I$2,0)),".",","))</f>
        <v>-0,011</v>
      </c>
      <c r="E70" s="2" t="str">
        <f>IFERROR(
SUBSTITUTE(SUBSTITUTE(INDEX(decomp_gini!$A$19:$I$27,MATCH('R'!$A70,decomp_gini!$A$19:$A$27,0),MATCH('R'!$C70,decomp_gini!$A$2:$I$2,0)),".",","),"*",""),
SUBSTITUTE(INDEX(decomp_gini!$A$19:$I$27,MATCH('R'!$A70,decomp_gini!$A$19:$A$27,0),MATCH('R'!$C70,decomp_gini!$A$2:$I$2,0)),".",","))</f>
        <v>7,130</v>
      </c>
    </row>
    <row r="71" spans="1:5" x14ac:dyDescent="0.2">
      <c r="A71" t="s">
        <v>31</v>
      </c>
      <c r="B71" s="5" t="s">
        <v>22</v>
      </c>
      <c r="C71" t="s">
        <v>19</v>
      </c>
      <c r="D71" s="2">
        <f>D54+D62</f>
        <v>5.2999999999999992E-2</v>
      </c>
      <c r="E71" s="2">
        <f t="shared" ref="E71:E78" si="16">E54+E62</f>
        <v>-5.5780000000000003</v>
      </c>
    </row>
    <row r="72" spans="1:5" x14ac:dyDescent="0.2">
      <c r="A72" t="s">
        <v>32</v>
      </c>
      <c r="B72" s="5" t="s">
        <v>22</v>
      </c>
      <c r="C72" t="s">
        <v>19</v>
      </c>
      <c r="D72" s="2">
        <f t="shared" ref="D72:E72" si="17">D55+D63</f>
        <v>2.7000000000000003E-2</v>
      </c>
      <c r="E72" s="2">
        <f t="shared" si="16"/>
        <v>-1.86</v>
      </c>
    </row>
    <row r="73" spans="1:5" x14ac:dyDescent="0.2">
      <c r="A73" t="s">
        <v>33</v>
      </c>
      <c r="B73" s="5" t="s">
        <v>22</v>
      </c>
      <c r="C73" t="s">
        <v>19</v>
      </c>
      <c r="D73" s="2">
        <f t="shared" ref="D73:E73" si="18">D56+D64</f>
        <v>7.0000000000000001E-3</v>
      </c>
      <c r="E73" s="2">
        <f t="shared" si="16"/>
        <v>-0.29299999999999998</v>
      </c>
    </row>
    <row r="74" spans="1:5" x14ac:dyDescent="0.2">
      <c r="A74" t="s">
        <v>34</v>
      </c>
      <c r="B74" s="5" t="s">
        <v>22</v>
      </c>
      <c r="C74" t="s">
        <v>19</v>
      </c>
      <c r="D74" s="2">
        <f t="shared" ref="D74:E74" si="19">D57+D65</f>
        <v>-7.0000000000000001E-3</v>
      </c>
      <c r="E74" s="2">
        <f t="shared" si="16"/>
        <v>-1.0589999999999999</v>
      </c>
    </row>
    <row r="75" spans="1:5" x14ac:dyDescent="0.2">
      <c r="A75" t="s">
        <v>35</v>
      </c>
      <c r="B75" s="5" t="s">
        <v>22</v>
      </c>
      <c r="C75" t="s">
        <v>19</v>
      </c>
      <c r="D75" s="2">
        <f t="shared" ref="D75:E75" si="20">D58+D66</f>
        <v>3.0000000000000001E-3</v>
      </c>
      <c r="E75" s="2">
        <f t="shared" si="16"/>
        <v>-0.154</v>
      </c>
    </row>
    <row r="76" spans="1:5" x14ac:dyDescent="0.2">
      <c r="A76" t="s">
        <v>36</v>
      </c>
      <c r="B76" s="5" t="s">
        <v>22</v>
      </c>
      <c r="C76" t="s">
        <v>19</v>
      </c>
      <c r="D76" s="2">
        <f t="shared" ref="D76:E76" si="21">D59+D67</f>
        <v>1.9E-2</v>
      </c>
      <c r="E76" s="2">
        <f t="shared" si="16"/>
        <v>0.65500000000000003</v>
      </c>
    </row>
    <row r="77" spans="1:5" x14ac:dyDescent="0.2">
      <c r="A77" t="s">
        <v>37</v>
      </c>
      <c r="B77" s="5" t="s">
        <v>22</v>
      </c>
      <c r="C77" t="s">
        <v>19</v>
      </c>
      <c r="D77" s="2">
        <f t="shared" ref="D77:E77" si="22">D60+D68</f>
        <v>1.4999999999999999E-2</v>
      </c>
      <c r="E77" s="2">
        <f t="shared" si="16"/>
        <v>0.96299999999999986</v>
      </c>
    </row>
    <row r="78" spans="1:5" x14ac:dyDescent="0.2">
      <c r="A78" t="s">
        <v>38</v>
      </c>
      <c r="B78" s="5" t="s">
        <v>22</v>
      </c>
      <c r="C78" t="s">
        <v>19</v>
      </c>
      <c r="D78" s="6">
        <f t="shared" ref="D78:E78" si="23">D61+D69</f>
        <v>-1E-3</v>
      </c>
      <c r="E78" s="2">
        <f t="shared" si="16"/>
        <v>-0.20299999999999999</v>
      </c>
    </row>
    <row r="79" spans="1:5" x14ac:dyDescent="0.2">
      <c r="A79" t="s">
        <v>39</v>
      </c>
      <c r="B79" s="5" t="s">
        <v>22</v>
      </c>
      <c r="C79" t="s">
        <v>19</v>
      </c>
      <c r="D79" s="2" t="str">
        <f>D70</f>
        <v>-0,011</v>
      </c>
      <c r="E79" s="2" t="str">
        <f>E70</f>
        <v>7,130</v>
      </c>
    </row>
    <row r="80" spans="1:5" x14ac:dyDescent="0.2">
      <c r="A80" t="s">
        <v>31</v>
      </c>
      <c r="B80" s="5" t="s">
        <v>5</v>
      </c>
      <c r="C80" t="s">
        <v>20</v>
      </c>
      <c r="D80" s="2" t="str">
        <f>IFERROR(
SUBSTITUTE(SUBSTITUTE(INDEX(decomp_medias!$A$10:$I$27,MATCH('R'!$A80,decomp_medias!$A$10:$A$17,0),MATCH('R'!$C80,decomp_medias!$A$2:$I$2,0)),".",","),"*",""),
SUBSTITUTE(INDEX(decomp_medias!$A$10:$I$27,MATCH('R'!$A80,decomp_medias!$A$10:$A$17,0),MATCH('R'!$C80,decomp_medias!$A$2:$I$2,0)),".",","))</f>
        <v>0,033</v>
      </c>
      <c r="E80" s="2" t="str">
        <f>IFERROR(
SUBSTITUTE(SUBSTITUTE(INDEX(decomp_gini!$A$10:$I$27,MATCH('R'!$A80,decomp_gini!$A$10:$A$17,0),MATCH('R'!$C80,decomp_gini!$A$2:$I$2,0)),".",","),"*",""),
SUBSTITUTE(INDEX(decomp_gini!$A$10:$I$27,MATCH('R'!$A80,decomp_gini!$A$10:$A$17,0),MATCH('R'!$C80,decomp_gini!$A$2:$I$2,0)),".",","))</f>
        <v>0,787</v>
      </c>
    </row>
    <row r="81" spans="1:5" x14ac:dyDescent="0.2">
      <c r="A81" t="s">
        <v>32</v>
      </c>
      <c r="B81" s="5" t="s">
        <v>5</v>
      </c>
      <c r="C81" t="s">
        <v>20</v>
      </c>
      <c r="D81" s="2" t="str">
        <f>IFERROR(
SUBSTITUTE(SUBSTITUTE(INDEX(decomp_medias!$A$10:$I$27,MATCH('R'!$A81,decomp_medias!$A$10:$A$17,0),MATCH('R'!$C81,decomp_medias!$A$2:$I$2,0)),".",","),"*",""),
SUBSTITUTE(INDEX(decomp_medias!$A$10:$I$27,MATCH('R'!$A81,decomp_medias!$A$10:$A$17,0),MATCH('R'!$C81,decomp_medias!$A$2:$I$2,0)),".",","))</f>
        <v>0,010</v>
      </c>
      <c r="E81" s="2" t="str">
        <f>IFERROR(
SUBSTITUTE(SUBSTITUTE(INDEX(decomp_gini!$A$10:$I$27,MATCH('R'!$A81,decomp_gini!$A$10:$A$17,0),MATCH('R'!$C81,decomp_gini!$A$2:$I$2,0)),".",","),"*",""),
SUBSTITUTE(INDEX(decomp_gini!$A$10:$I$27,MATCH('R'!$A81,decomp_gini!$A$10:$A$17,0),MATCH('R'!$C81,decomp_gini!$A$2:$I$2,0)),".",","))</f>
        <v>0,150</v>
      </c>
    </row>
    <row r="82" spans="1:5" x14ac:dyDescent="0.2">
      <c r="A82" t="s">
        <v>33</v>
      </c>
      <c r="B82" s="5" t="s">
        <v>5</v>
      </c>
      <c r="C82" t="s">
        <v>20</v>
      </c>
      <c r="D82" s="2" t="str">
        <f>IFERROR(
SUBSTITUTE(SUBSTITUTE(INDEX(decomp_medias!$A$10:$I$27,MATCH('R'!$A82,decomp_medias!$A$10:$A$17,0),MATCH('R'!$C82,decomp_medias!$A$2:$I$2,0)),".",","),"*",""),
SUBSTITUTE(INDEX(decomp_medias!$A$10:$I$27,MATCH('R'!$A82,decomp_medias!$A$10:$A$17,0),MATCH('R'!$C82,decomp_medias!$A$2:$I$2,0)),".",","))</f>
        <v>0,000</v>
      </c>
      <c r="E82" s="2" t="str">
        <f>IFERROR(
SUBSTITUTE(SUBSTITUTE(INDEX(decomp_gini!$A$10:$I$27,MATCH('R'!$A82,decomp_gini!$A$10:$A$17,0),MATCH('R'!$C82,decomp_gini!$A$2:$I$2,0)),".",","),"*",""),
SUBSTITUTE(INDEX(decomp_gini!$A$10:$I$27,MATCH('R'!$A82,decomp_gini!$A$10:$A$17,0),MATCH('R'!$C82,decomp_gini!$A$2:$I$2,0)),".",","))</f>
        <v>0,026</v>
      </c>
    </row>
    <row r="83" spans="1:5" x14ac:dyDescent="0.2">
      <c r="A83" t="s">
        <v>34</v>
      </c>
      <c r="B83" s="5" t="s">
        <v>5</v>
      </c>
      <c r="C83" t="s">
        <v>20</v>
      </c>
      <c r="D83" s="2" t="str">
        <f>IFERROR(
SUBSTITUTE(SUBSTITUTE(INDEX(decomp_medias!$A$10:$I$27,MATCH('R'!$A83,decomp_medias!$A$10:$A$17,0),MATCH('R'!$C83,decomp_medias!$A$2:$I$2,0)),".",","),"*",""),
SUBSTITUTE(INDEX(decomp_medias!$A$10:$I$27,MATCH('R'!$A83,decomp_medias!$A$10:$A$17,0),MATCH('R'!$C83,decomp_medias!$A$2:$I$2,0)),".",","))</f>
        <v>0,002</v>
      </c>
      <c r="E83" s="2" t="str">
        <f>IFERROR(
SUBSTITUTE(SUBSTITUTE(INDEX(decomp_gini!$A$10:$I$27,MATCH('R'!$A83,decomp_gini!$A$10:$A$17,0),MATCH('R'!$C83,decomp_gini!$A$2:$I$2,0)),".",","),"*",""),
SUBSTITUTE(INDEX(decomp_gini!$A$10:$I$27,MATCH('R'!$A83,decomp_gini!$A$10:$A$17,0),MATCH('R'!$C83,decomp_gini!$A$2:$I$2,0)),".",","))</f>
        <v>0,054</v>
      </c>
    </row>
    <row r="84" spans="1:5" x14ac:dyDescent="0.2">
      <c r="A84" t="s">
        <v>35</v>
      </c>
      <c r="B84" s="5" t="s">
        <v>5</v>
      </c>
      <c r="C84" t="s">
        <v>20</v>
      </c>
      <c r="D84" s="2" t="str">
        <f>IFERROR(
SUBSTITUTE(SUBSTITUTE(INDEX(decomp_medias!$A$10:$I$27,MATCH('R'!$A84,decomp_medias!$A$10:$A$17,0),MATCH('R'!$C84,decomp_medias!$A$2:$I$2,0)),".",","),"*",""),
SUBSTITUTE(INDEX(decomp_medias!$A$10:$I$27,MATCH('R'!$A84,decomp_medias!$A$10:$A$17,0),MATCH('R'!$C84,decomp_medias!$A$2:$I$2,0)),".",","))</f>
        <v>-0,001</v>
      </c>
      <c r="E84" s="2" t="str">
        <f>IFERROR(
SUBSTITUTE(SUBSTITUTE(INDEX(decomp_gini!$A$10:$I$27,MATCH('R'!$A84,decomp_gini!$A$10:$A$17,0),MATCH('R'!$C84,decomp_gini!$A$2:$I$2,0)),".",","),"*",""),
SUBSTITUTE(INDEX(decomp_gini!$A$10:$I$27,MATCH('R'!$A84,decomp_gini!$A$10:$A$17,0),MATCH('R'!$C84,decomp_gini!$A$2:$I$2,0)),".",","))</f>
        <v>0,018</v>
      </c>
    </row>
    <row r="85" spans="1:5" x14ac:dyDescent="0.2">
      <c r="A85" t="s">
        <v>36</v>
      </c>
      <c r="B85" s="5" t="s">
        <v>5</v>
      </c>
      <c r="C85" t="s">
        <v>20</v>
      </c>
      <c r="D85" s="2" t="str">
        <f>IFERROR(
SUBSTITUTE(SUBSTITUTE(INDEX(decomp_medias!$A$10:$I$27,MATCH('R'!$A85,decomp_medias!$A$10:$A$17,0),MATCH('R'!$C85,decomp_medias!$A$2:$I$2,0)),".",","),"*",""),
SUBSTITUTE(INDEX(decomp_medias!$A$10:$I$27,MATCH('R'!$A85,decomp_medias!$A$10:$A$17,0),MATCH('R'!$C85,decomp_medias!$A$2:$I$2,0)),".",","))</f>
        <v>-0,002</v>
      </c>
      <c r="E85" s="2" t="str">
        <f>IFERROR(
SUBSTITUTE(SUBSTITUTE(INDEX(decomp_gini!$A$10:$I$27,MATCH('R'!$A85,decomp_gini!$A$10:$A$17,0),MATCH('R'!$C85,decomp_gini!$A$2:$I$2,0)),".",","),"*",""),
SUBSTITUTE(INDEX(decomp_gini!$A$10:$I$27,MATCH('R'!$A85,decomp_gini!$A$10:$A$17,0),MATCH('R'!$C85,decomp_gini!$A$2:$I$2,0)),".",","))</f>
        <v>0,047</v>
      </c>
    </row>
    <row r="86" spans="1:5" x14ac:dyDescent="0.2">
      <c r="A86" t="s">
        <v>37</v>
      </c>
      <c r="B86" s="5" t="s">
        <v>5</v>
      </c>
      <c r="C86" t="s">
        <v>20</v>
      </c>
      <c r="D86" s="2" t="str">
        <f>IFERROR(
SUBSTITUTE(SUBSTITUTE(INDEX(decomp_medias!$A$10:$I$27,MATCH('R'!$A86,decomp_medias!$A$10:$A$17,0),MATCH('R'!$C86,decomp_medias!$A$2:$I$2,0)),".",","),"*",""),
SUBSTITUTE(INDEX(decomp_medias!$A$10:$I$27,MATCH('R'!$A86,decomp_medias!$A$10:$A$17,0),MATCH('R'!$C86,decomp_medias!$A$2:$I$2,0)),".",","))</f>
        <v>0,001</v>
      </c>
      <c r="E86" s="2" t="str">
        <f>IFERROR(
SUBSTITUTE(SUBSTITUTE(INDEX(decomp_gini!$A$10:$I$27,MATCH('R'!$A86,decomp_gini!$A$10:$A$17,0),MATCH('R'!$C86,decomp_gini!$A$2:$I$2,0)),".",","),"*",""),
SUBSTITUTE(INDEX(decomp_gini!$A$10:$I$27,MATCH('R'!$A86,decomp_gini!$A$10:$A$17,0),MATCH('R'!$C86,decomp_gini!$A$2:$I$2,0)),".",","))</f>
        <v>-0,022</v>
      </c>
    </row>
    <row r="87" spans="1:5" x14ac:dyDescent="0.2">
      <c r="A87" t="s">
        <v>38</v>
      </c>
      <c r="B87" s="5" t="s">
        <v>5</v>
      </c>
      <c r="C87" t="s">
        <v>20</v>
      </c>
      <c r="D87" s="2" t="str">
        <f>IFERROR(
SUBSTITUTE(SUBSTITUTE(INDEX(decomp_medias!$A$10:$I$27,MATCH('R'!$A87,decomp_medias!$A$10:$A$17,0),MATCH('R'!$C87,decomp_medias!$A$2:$I$2,0)),".",","),"*",""),
SUBSTITUTE(INDEX(decomp_medias!$A$10:$I$27,MATCH('R'!$A87,decomp_medias!$A$10:$A$17,0),MATCH('R'!$C87,decomp_medias!$A$2:$I$2,0)),".",","))</f>
        <v>0,003</v>
      </c>
      <c r="E87" s="2" t="str">
        <f>IFERROR(
SUBSTITUTE(SUBSTITUTE(INDEX(decomp_gini!$A$10:$I$27,MATCH('R'!$A87,decomp_gini!$A$10:$A$17,0),MATCH('R'!$C87,decomp_gini!$A$2:$I$2,0)),".",","),"*",""),
SUBSTITUTE(INDEX(decomp_gini!$A$10:$I$27,MATCH('R'!$A87,decomp_gini!$A$10:$A$17,0),MATCH('R'!$C87,decomp_gini!$A$2:$I$2,0)),".",","))</f>
        <v>-0,030</v>
      </c>
    </row>
    <row r="88" spans="1:5" x14ac:dyDescent="0.2">
      <c r="A88" t="s">
        <v>31</v>
      </c>
      <c r="B88" s="5" t="s">
        <v>6</v>
      </c>
      <c r="C88" t="s">
        <v>20</v>
      </c>
      <c r="D88" s="2" t="str">
        <f>IFERROR(
SUBSTITUTE(SUBSTITUTE(INDEX(decomp_medias!$A$19:$I$27,MATCH('R'!$A88,decomp_medias!$A$19:$A$27,0),MATCH('R'!$C88,decomp_medias!$A$2:$I$2,0)),".",","),"*",""),
SUBSTITUTE(INDEX(decomp_medias!$A$19:$I$27,MATCH('R'!$A88,decomp_medias!$A$19:$A$27,0),MATCH('R'!$C88,decomp_medias!$A$2:$I$2,0)),".",","))</f>
        <v>-0,124</v>
      </c>
      <c r="E88" s="2" t="str">
        <f>IFERROR(
SUBSTITUTE(SUBSTITUTE(INDEX(decomp_gini!$A$19:$I$27,MATCH('R'!$A88,decomp_gini!$A$19:$A$27,0),MATCH('R'!$C88,decomp_gini!$A$2:$I$2,0)),".",","),"*",""),
SUBSTITUTE(INDEX(decomp_gini!$A$19:$I$27,MATCH('R'!$A88,decomp_gini!$A$19:$A$27,0),MATCH('R'!$C88,decomp_gini!$A$2:$I$2,0)),".",","))</f>
        <v>1,429</v>
      </c>
    </row>
    <row r="89" spans="1:5" x14ac:dyDescent="0.2">
      <c r="A89" t="s">
        <v>32</v>
      </c>
      <c r="B89" s="5" t="s">
        <v>6</v>
      </c>
      <c r="C89" t="s">
        <v>20</v>
      </c>
      <c r="D89" s="2" t="str">
        <f>IFERROR(
SUBSTITUTE(SUBSTITUTE(INDEX(decomp_medias!$A$19:$I$27,MATCH('R'!$A89,decomp_medias!$A$19:$A$27,0),MATCH('R'!$C89,decomp_medias!$A$2:$I$2,0)),".",","),"*",""),
SUBSTITUTE(INDEX(decomp_medias!$A$19:$I$27,MATCH('R'!$A89,decomp_medias!$A$19:$A$27,0),MATCH('R'!$C89,decomp_medias!$A$2:$I$2,0)),".",","))</f>
        <v>-0,072</v>
      </c>
      <c r="E89" s="2" t="str">
        <f>IFERROR(
SUBSTITUTE(SUBSTITUTE(INDEX(decomp_gini!$A$19:$I$27,MATCH('R'!$A89,decomp_gini!$A$19:$A$27,0),MATCH('R'!$C89,decomp_gini!$A$2:$I$2,0)),".",","),"*",""),
SUBSTITUTE(INDEX(decomp_gini!$A$19:$I$27,MATCH('R'!$A89,decomp_gini!$A$19:$A$27,0),MATCH('R'!$C89,decomp_gini!$A$2:$I$2,0)),".",","))</f>
        <v>-0,454</v>
      </c>
    </row>
    <row r="90" spans="1:5" x14ac:dyDescent="0.2">
      <c r="A90" t="s">
        <v>33</v>
      </c>
      <c r="B90" s="5" t="s">
        <v>6</v>
      </c>
      <c r="C90" t="s">
        <v>20</v>
      </c>
      <c r="D90" s="2" t="str">
        <f>IFERROR(
SUBSTITUTE(SUBSTITUTE(INDEX(decomp_medias!$A$19:$I$27,MATCH('R'!$A90,decomp_medias!$A$19:$A$27,0),MATCH('R'!$C90,decomp_medias!$A$2:$I$2,0)),".",","),"*",""),
SUBSTITUTE(INDEX(decomp_medias!$A$19:$I$27,MATCH('R'!$A90,decomp_medias!$A$19:$A$27,0),MATCH('R'!$C90,decomp_medias!$A$2:$I$2,0)),".",","))</f>
        <v>0,007</v>
      </c>
      <c r="E90" s="2" t="str">
        <f>IFERROR(
SUBSTITUTE(SUBSTITUTE(INDEX(decomp_gini!$A$19:$I$27,MATCH('R'!$A90,decomp_gini!$A$19:$A$27,0),MATCH('R'!$C90,decomp_gini!$A$2:$I$2,0)),".",","),"*",""),
SUBSTITUTE(INDEX(decomp_gini!$A$19:$I$27,MATCH('R'!$A90,decomp_gini!$A$19:$A$27,0),MATCH('R'!$C90,decomp_gini!$A$2:$I$2,0)),".",","))</f>
        <v>-0,004</v>
      </c>
    </row>
    <row r="91" spans="1:5" x14ac:dyDescent="0.2">
      <c r="A91" t="s">
        <v>34</v>
      </c>
      <c r="B91" s="5" t="s">
        <v>6</v>
      </c>
      <c r="C91" t="s">
        <v>20</v>
      </c>
      <c r="D91" s="2" t="str">
        <f>IFERROR(
SUBSTITUTE(SUBSTITUTE(INDEX(decomp_medias!$A$19:$I$27,MATCH('R'!$A91,decomp_medias!$A$19:$A$27,0),MATCH('R'!$C91,decomp_medias!$A$2:$I$2,0)),".",","),"*",""),
SUBSTITUTE(INDEX(decomp_medias!$A$19:$I$27,MATCH('R'!$A91,decomp_medias!$A$19:$A$27,0),MATCH('R'!$C91,decomp_medias!$A$2:$I$2,0)),".",","))</f>
        <v>0,005</v>
      </c>
      <c r="E91" s="2" t="str">
        <f>IFERROR(
SUBSTITUTE(SUBSTITUTE(INDEX(decomp_gini!$A$19:$I$27,MATCH('R'!$A91,decomp_gini!$A$19:$A$27,0),MATCH('R'!$C91,decomp_gini!$A$2:$I$2,0)),".",","),"*",""),
SUBSTITUTE(INDEX(decomp_gini!$A$19:$I$27,MATCH('R'!$A91,decomp_gini!$A$19:$A$27,0),MATCH('R'!$C91,decomp_gini!$A$2:$I$2,0)),".",","))</f>
        <v>-0,569</v>
      </c>
    </row>
    <row r="92" spans="1:5" x14ac:dyDescent="0.2">
      <c r="A92" t="s">
        <v>35</v>
      </c>
      <c r="B92" s="5" t="s">
        <v>6</v>
      </c>
      <c r="C92" t="s">
        <v>20</v>
      </c>
      <c r="D92" s="2" t="str">
        <f>IFERROR(
SUBSTITUTE(SUBSTITUTE(INDEX(decomp_medias!$A$19:$I$27,MATCH('R'!$A92,decomp_medias!$A$19:$A$27,0),MATCH('R'!$C92,decomp_medias!$A$2:$I$2,0)),".",","),"*",""),
SUBSTITUTE(INDEX(decomp_medias!$A$19:$I$27,MATCH('R'!$A92,decomp_medias!$A$19:$A$27,0),MATCH('R'!$C92,decomp_medias!$A$2:$I$2,0)),".",","))</f>
        <v>0,004</v>
      </c>
      <c r="E92" s="2" t="str">
        <f>IFERROR(
SUBSTITUTE(SUBSTITUTE(INDEX(decomp_gini!$A$19:$I$27,MATCH('R'!$A92,decomp_gini!$A$19:$A$27,0),MATCH('R'!$C92,decomp_gini!$A$2:$I$2,0)),".",","),"*",""),
SUBSTITUTE(INDEX(decomp_gini!$A$19:$I$27,MATCH('R'!$A92,decomp_gini!$A$19:$A$27,0),MATCH('R'!$C92,decomp_gini!$A$2:$I$2,0)),".",","))</f>
        <v>-0,313</v>
      </c>
    </row>
    <row r="93" spans="1:5" x14ac:dyDescent="0.2">
      <c r="A93" t="s">
        <v>36</v>
      </c>
      <c r="B93" s="5" t="s">
        <v>6</v>
      </c>
      <c r="C93" t="s">
        <v>20</v>
      </c>
      <c r="D93" s="2" t="str">
        <f>IFERROR(
SUBSTITUTE(SUBSTITUTE(INDEX(decomp_medias!$A$19:$I$27,MATCH('R'!$A93,decomp_medias!$A$19:$A$27,0),MATCH('R'!$C93,decomp_medias!$A$2:$I$2,0)),".",","),"*",""),
SUBSTITUTE(INDEX(decomp_medias!$A$19:$I$27,MATCH('R'!$A93,decomp_medias!$A$19:$A$27,0),MATCH('R'!$C93,decomp_medias!$A$2:$I$2,0)),".",","))</f>
        <v>-0,006</v>
      </c>
      <c r="E93" s="2" t="str">
        <f>IFERROR(
SUBSTITUTE(SUBSTITUTE(INDEX(decomp_gini!$A$19:$I$27,MATCH('R'!$A93,decomp_gini!$A$19:$A$27,0),MATCH('R'!$C93,decomp_gini!$A$2:$I$2,0)),".",","),"*",""),
SUBSTITUTE(INDEX(decomp_gini!$A$19:$I$27,MATCH('R'!$A93,decomp_gini!$A$19:$A$27,0),MATCH('R'!$C93,decomp_gini!$A$2:$I$2,0)),".",","))</f>
        <v>-1,243</v>
      </c>
    </row>
    <row r="94" spans="1:5" x14ac:dyDescent="0.2">
      <c r="A94" t="s">
        <v>37</v>
      </c>
      <c r="B94" s="5" t="s">
        <v>6</v>
      </c>
      <c r="C94" t="s">
        <v>20</v>
      </c>
      <c r="D94" s="2" t="str">
        <f>IFERROR(
SUBSTITUTE(SUBSTITUTE(INDEX(decomp_medias!$A$19:$I$27,MATCH('R'!$A94,decomp_medias!$A$19:$A$27,0),MATCH('R'!$C94,decomp_medias!$A$2:$I$2,0)),".",","),"*",""),
SUBSTITUTE(INDEX(decomp_medias!$A$19:$I$27,MATCH('R'!$A94,decomp_medias!$A$19:$A$27,0),MATCH('R'!$C94,decomp_medias!$A$2:$I$2,0)),".",","))</f>
        <v>-0,009</v>
      </c>
      <c r="E94" s="2" t="str">
        <f>IFERROR(
SUBSTITUTE(SUBSTITUTE(INDEX(decomp_gini!$A$19:$I$27,MATCH('R'!$A94,decomp_gini!$A$19:$A$27,0),MATCH('R'!$C94,decomp_gini!$A$2:$I$2,0)),".",","),"*",""),
SUBSTITUTE(INDEX(decomp_gini!$A$19:$I$27,MATCH('R'!$A94,decomp_gini!$A$19:$A$27,0),MATCH('R'!$C94,decomp_gini!$A$2:$I$2,0)),".",","))</f>
        <v>0,336</v>
      </c>
    </row>
    <row r="95" spans="1:5" x14ac:dyDescent="0.2">
      <c r="A95" t="s">
        <v>38</v>
      </c>
      <c r="B95" s="5" t="s">
        <v>6</v>
      </c>
      <c r="C95" t="s">
        <v>20</v>
      </c>
      <c r="D95" s="2" t="str">
        <f>IFERROR(
SUBSTITUTE(SUBSTITUTE(INDEX(decomp_medias!$A$19:$I$27,MATCH('R'!$A95,decomp_medias!$A$19:$A$27,0),MATCH('R'!$C95,decomp_medias!$A$2:$I$2,0)),".",","),"*",""),
SUBSTITUTE(INDEX(decomp_medias!$A$19:$I$27,MATCH('R'!$A95,decomp_medias!$A$19:$A$27,0),MATCH('R'!$C95,decomp_medias!$A$2:$I$2,0)),".",","))</f>
        <v>0,011</v>
      </c>
      <c r="E95" s="2" t="str">
        <f>IFERROR(
SUBSTITUTE(SUBSTITUTE(INDEX(decomp_gini!$A$19:$I$27,MATCH('R'!$A95,decomp_gini!$A$19:$A$27,0),MATCH('R'!$C95,decomp_gini!$A$2:$I$2,0)),".",","),"*",""),
SUBSTITUTE(INDEX(decomp_gini!$A$19:$I$27,MATCH('R'!$A95,decomp_gini!$A$19:$A$27,0),MATCH('R'!$C95,decomp_gini!$A$2:$I$2,0)),".",","))</f>
        <v>0,009</v>
      </c>
    </row>
    <row r="96" spans="1:5" x14ac:dyDescent="0.2">
      <c r="A96" t="s">
        <v>39</v>
      </c>
      <c r="B96" s="5" t="s">
        <v>6</v>
      </c>
      <c r="C96" t="s">
        <v>20</v>
      </c>
      <c r="D96" s="2" t="str">
        <f>IFERROR(
SUBSTITUTE(SUBSTITUTE(INDEX(decomp_medias!$A$19:$I$27,MATCH('R'!$A96,decomp_medias!$A$19:$A$27,0),MATCH('R'!$C96,decomp_medias!$A$2:$I$2,0)),".",","),"*",""),
SUBSTITUTE(INDEX(decomp_medias!$A$19:$I$27,MATCH('R'!$A96,decomp_medias!$A$19:$A$27,0),MATCH('R'!$C96,decomp_medias!$A$2:$I$2,0)),".",","))</f>
        <v>0,104</v>
      </c>
      <c r="E96" s="2" t="str">
        <f>IFERROR(
SUBSTITUTE(SUBSTITUTE(INDEX(decomp_gini!$A$19:$I$27,MATCH('R'!$A96,decomp_gini!$A$19:$A$27,0),MATCH('R'!$C96,decomp_gini!$A$2:$I$2,0)),".",","),"*",""),
SUBSTITUTE(INDEX(decomp_gini!$A$19:$I$27,MATCH('R'!$A96,decomp_gini!$A$19:$A$27,0),MATCH('R'!$C96,decomp_gini!$A$2:$I$2,0)),".",","))</f>
        <v>0,014</v>
      </c>
    </row>
    <row r="97" spans="1:5" x14ac:dyDescent="0.2">
      <c r="A97" t="s">
        <v>31</v>
      </c>
      <c r="B97" s="5" t="s">
        <v>22</v>
      </c>
      <c r="C97" t="s">
        <v>20</v>
      </c>
      <c r="D97" s="2">
        <f>D80+D88</f>
        <v>-9.0999999999999998E-2</v>
      </c>
      <c r="E97" s="2">
        <f t="shared" ref="E97:E104" si="24">E80+E88</f>
        <v>2.2160000000000002</v>
      </c>
    </row>
    <row r="98" spans="1:5" x14ac:dyDescent="0.2">
      <c r="A98" t="s">
        <v>32</v>
      </c>
      <c r="B98" s="5" t="s">
        <v>22</v>
      </c>
      <c r="C98" t="s">
        <v>20</v>
      </c>
      <c r="D98" s="2">
        <f t="shared" ref="D98:E98" si="25">D81+D89</f>
        <v>-6.1999999999999993E-2</v>
      </c>
      <c r="E98" s="2">
        <f t="shared" si="24"/>
        <v>-0.30400000000000005</v>
      </c>
    </row>
    <row r="99" spans="1:5" x14ac:dyDescent="0.2">
      <c r="A99" t="s">
        <v>33</v>
      </c>
      <c r="B99" s="5" t="s">
        <v>22</v>
      </c>
      <c r="C99" t="s">
        <v>20</v>
      </c>
      <c r="D99" s="2">
        <f t="shared" ref="D99:E99" si="26">D82+D90</f>
        <v>7.0000000000000001E-3</v>
      </c>
      <c r="E99" s="2">
        <f t="shared" si="24"/>
        <v>2.1999999999999999E-2</v>
      </c>
    </row>
    <row r="100" spans="1:5" x14ac:dyDescent="0.2">
      <c r="A100" t="s">
        <v>34</v>
      </c>
      <c r="B100" s="5" t="s">
        <v>22</v>
      </c>
      <c r="C100" t="s">
        <v>20</v>
      </c>
      <c r="D100" s="2">
        <f t="shared" ref="D100:E100" si="27">D83+D91</f>
        <v>7.0000000000000001E-3</v>
      </c>
      <c r="E100" s="2">
        <f t="shared" si="24"/>
        <v>-0.5149999999999999</v>
      </c>
    </row>
    <row r="101" spans="1:5" x14ac:dyDescent="0.2">
      <c r="A101" t="s">
        <v>35</v>
      </c>
      <c r="B101" s="5" t="s">
        <v>22</v>
      </c>
      <c r="C101" t="s">
        <v>20</v>
      </c>
      <c r="D101" s="2">
        <f t="shared" ref="D101:E101" si="28">D84+D92</f>
        <v>3.0000000000000001E-3</v>
      </c>
      <c r="E101" s="2">
        <f t="shared" si="24"/>
        <v>-0.29499999999999998</v>
      </c>
    </row>
    <row r="102" spans="1:5" x14ac:dyDescent="0.2">
      <c r="A102" t="s">
        <v>36</v>
      </c>
      <c r="B102" s="5" t="s">
        <v>22</v>
      </c>
      <c r="C102" t="s">
        <v>20</v>
      </c>
      <c r="D102" s="2">
        <f t="shared" ref="D102:E102" si="29">D85+D93</f>
        <v>-8.0000000000000002E-3</v>
      </c>
      <c r="E102" s="2">
        <f t="shared" si="24"/>
        <v>-1.1960000000000002</v>
      </c>
    </row>
    <row r="103" spans="1:5" x14ac:dyDescent="0.2">
      <c r="A103" t="s">
        <v>37</v>
      </c>
      <c r="B103" s="5" t="s">
        <v>22</v>
      </c>
      <c r="C103" t="s">
        <v>20</v>
      </c>
      <c r="D103" s="2">
        <f t="shared" ref="D103:E103" si="30">D86+D94</f>
        <v>-8.0000000000000002E-3</v>
      </c>
      <c r="E103" s="2">
        <f t="shared" si="24"/>
        <v>0.314</v>
      </c>
    </row>
    <row r="104" spans="1:5" x14ac:dyDescent="0.2">
      <c r="A104" t="s">
        <v>38</v>
      </c>
      <c r="B104" s="5" t="s">
        <v>22</v>
      </c>
      <c r="C104" t="s">
        <v>20</v>
      </c>
      <c r="D104" s="6">
        <f t="shared" ref="D104:E104" si="31">D87+D95</f>
        <v>1.3999999999999999E-2</v>
      </c>
      <c r="E104" s="2">
        <f t="shared" si="24"/>
        <v>-2.0999999999999998E-2</v>
      </c>
    </row>
    <row r="105" spans="1:5" x14ac:dyDescent="0.2">
      <c r="A105" t="s">
        <v>39</v>
      </c>
      <c r="B105" s="5" t="s">
        <v>22</v>
      </c>
      <c r="C105" t="s">
        <v>20</v>
      </c>
      <c r="D105" s="2" t="str">
        <f>D96</f>
        <v>0,104</v>
      </c>
      <c r="E105" s="2" t="str">
        <f>E96</f>
        <v>0,014</v>
      </c>
    </row>
    <row r="106" spans="1:5" x14ac:dyDescent="0.2">
      <c r="B106" s="5"/>
    </row>
    <row r="107" spans="1:5" x14ac:dyDescent="0.2">
      <c r="B107" s="5"/>
    </row>
    <row r="108" spans="1:5" x14ac:dyDescent="0.2">
      <c r="B108" s="5"/>
    </row>
    <row r="109" spans="1:5" x14ac:dyDescent="0.2">
      <c r="B109" s="5"/>
    </row>
    <row r="110" spans="1:5" x14ac:dyDescent="0.2">
      <c r="B110" s="5"/>
    </row>
    <row r="111" spans="1:5" x14ac:dyDescent="0.2">
      <c r="B111" s="5"/>
    </row>
    <row r="112" spans="1:5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>
      <selection activeCell="I2" sqref="I2"/>
    </sheetView>
  </sheetViews>
  <sheetFormatPr baseColWidth="10" defaultRowHeight="16" x14ac:dyDescent="0.2"/>
  <sheetData>
    <row r="1" spans="1:9" x14ac:dyDescent="0.2">
      <c r="A1" t="str">
        <f>"Resultados da Decomposi√ß√£o das M√©dias"</f>
        <v>Resultados da Decomposi√ß√£o das M√©dias</v>
      </c>
    </row>
    <row r="2" spans="1:9" x14ac:dyDescent="0.2">
      <c r="A2" t="str">
        <f>"             "</f>
        <v xml:space="preserve">             </v>
      </c>
      <c r="B2" t="str">
        <f>"2012-2015"</f>
        <v>2012-2015</v>
      </c>
      <c r="C2" t="str">
        <f>""</f>
        <v/>
      </c>
      <c r="D2" t="str">
        <f>"2015-2020"</f>
        <v>2015-2020</v>
      </c>
      <c r="E2" t="str">
        <f>""</f>
        <v/>
      </c>
      <c r="F2" t="str">
        <f>"2012-2020"</f>
        <v>2012-2020</v>
      </c>
      <c r="G2" t="str">
        <f>""</f>
        <v/>
      </c>
      <c r="H2" t="str">
        <f>"2020-2021E"</f>
        <v>2020-2021E</v>
      </c>
      <c r="I2" t="str">
        <f>""</f>
        <v/>
      </c>
    </row>
    <row r="3" spans="1:9" x14ac:dyDescent="0.2">
      <c r="A3" s="1" t="s">
        <v>4</v>
      </c>
      <c r="B3" t="str">
        <f>""</f>
        <v/>
      </c>
      <c r="C3" t="str">
        <f>""</f>
        <v/>
      </c>
      <c r="D3" t="str">
        <f>""</f>
        <v/>
      </c>
      <c r="E3" t="str">
        <f>""</f>
        <v/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</row>
    <row r="4" spans="1:9" x14ac:dyDescent="0.2">
      <c r="A4" t="s">
        <v>28</v>
      </c>
      <c r="B4" t="str">
        <f>"2.276***"</f>
        <v>2.276***</v>
      </c>
      <c r="C4" t="str">
        <f>"[0.002]"</f>
        <v>[0.002]</v>
      </c>
      <c r="D4" t="str">
        <f>"2.272***"</f>
        <v>2.272***</v>
      </c>
      <c r="E4" t="str">
        <f>"[0.003]"</f>
        <v>[0.003]</v>
      </c>
      <c r="F4" t="str">
        <f>"2.272***"</f>
        <v>2.272***</v>
      </c>
      <c r="G4" t="str">
        <f>"[0.003]"</f>
        <v>[0.003]</v>
      </c>
      <c r="H4" t="str">
        <f>"2.297***"</f>
        <v>2.297***</v>
      </c>
      <c r="I4" t="str">
        <f>"[0.005]"</f>
        <v>[0.005]</v>
      </c>
    </row>
    <row r="5" spans="1:9" x14ac:dyDescent="0.2">
      <c r="A5" t="s">
        <v>29</v>
      </c>
      <c r="B5" t="str">
        <f>"2.169***"</f>
        <v>2.169***</v>
      </c>
      <c r="C5" t="str">
        <f>"[0.002]"</f>
        <v>[0.002]</v>
      </c>
      <c r="D5" t="str">
        <f>"2.276***"</f>
        <v>2.276***</v>
      </c>
      <c r="E5" t="str">
        <f>"[0.002]"</f>
        <v>[0.002]</v>
      </c>
      <c r="F5" t="str">
        <f>"2.169***"</f>
        <v>2.169***</v>
      </c>
      <c r="G5" t="str">
        <f>"[0.002]"</f>
        <v>[0.002]</v>
      </c>
      <c r="H5" t="str">
        <f>"2.332***"</f>
        <v>2.332***</v>
      </c>
      <c r="I5" t="str">
        <f>"[0.004]"</f>
        <v>[0.004]</v>
      </c>
    </row>
    <row r="6" spans="1:9" x14ac:dyDescent="0.2">
      <c r="A6" t="s">
        <v>30</v>
      </c>
      <c r="B6" t="str">
        <f>"0.108***"</f>
        <v>0.108***</v>
      </c>
      <c r="C6" t="str">
        <f>"[0.003]"</f>
        <v>[0.003]</v>
      </c>
      <c r="D6" t="str">
        <f>"-0.005"</f>
        <v>-0.005</v>
      </c>
      <c r="E6" t="str">
        <f>"[0.004]"</f>
        <v>[0.004]</v>
      </c>
      <c r="F6" t="str">
        <f>"0.103***"</f>
        <v>0.103***</v>
      </c>
      <c r="G6" t="str">
        <f>"[0.004]"</f>
        <v>[0.004]</v>
      </c>
      <c r="H6" t="str">
        <f>"-0.035***"</f>
        <v>-0.035***</v>
      </c>
      <c r="I6" t="str">
        <f>"[0.006]"</f>
        <v>[0.006]</v>
      </c>
    </row>
    <row r="7" spans="1:9" x14ac:dyDescent="0.2">
      <c r="A7" t="s">
        <v>5</v>
      </c>
      <c r="B7" t="str">
        <f>"0.052***"</f>
        <v>0.052***</v>
      </c>
      <c r="C7" t="str">
        <f>"[0.002]"</f>
        <v>[0.002]</v>
      </c>
      <c r="D7" t="str">
        <f>"0.079***"</f>
        <v>0.079***</v>
      </c>
      <c r="E7" t="str">
        <f>"[0.003]"</f>
        <v>[0.003]</v>
      </c>
      <c r="F7" t="str">
        <f>"0.137***"</f>
        <v>0.137***</v>
      </c>
      <c r="G7" t="str">
        <f>"[0.003]"</f>
        <v>[0.003]</v>
      </c>
      <c r="H7" t="str">
        <f>"0.046***"</f>
        <v>0.046***</v>
      </c>
      <c r="I7" t="str">
        <f>"[0.004]"</f>
        <v>[0.004]</v>
      </c>
    </row>
    <row r="8" spans="1:9" x14ac:dyDescent="0.2">
      <c r="A8" t="s">
        <v>6</v>
      </c>
      <c r="B8" t="str">
        <f>"0.056***"</f>
        <v>0.056***</v>
      </c>
      <c r="C8" t="str">
        <f>"[0.002]"</f>
        <v>[0.002]</v>
      </c>
      <c r="D8" t="str">
        <f>"-0.083***"</f>
        <v>-0.083***</v>
      </c>
      <c r="E8" t="str">
        <f>"[0.003]"</f>
        <v>[0.003]</v>
      </c>
      <c r="F8" t="str">
        <f>"-0.034***"</f>
        <v>-0.034***</v>
      </c>
      <c r="G8" t="str">
        <f>"[0.003]"</f>
        <v>[0.003]</v>
      </c>
      <c r="H8" t="str">
        <f>"-0.081***"</f>
        <v>-0.081***</v>
      </c>
      <c r="I8" t="str">
        <f>"[0.005]"</f>
        <v>[0.005]</v>
      </c>
    </row>
    <row r="9" spans="1:9" x14ac:dyDescent="0.2">
      <c r="A9" s="1" t="s">
        <v>5</v>
      </c>
      <c r="B9" t="str">
        <f>""</f>
        <v/>
      </c>
      <c r="C9" t="str">
        <f>""</f>
        <v/>
      </c>
      <c r="D9" t="str">
        <f>""</f>
        <v/>
      </c>
      <c r="E9" t="str">
        <f>""</f>
        <v/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</row>
    <row r="10" spans="1:9" x14ac:dyDescent="0.2">
      <c r="A10" t="s">
        <v>31</v>
      </c>
      <c r="B10" t="str">
        <f>"0.039***"</f>
        <v>0.039***</v>
      </c>
      <c r="C10" t="str">
        <f>"[0.002]"</f>
        <v>[0.002]</v>
      </c>
      <c r="D10" t="str">
        <f>"0.075***"</f>
        <v>0.075***</v>
      </c>
      <c r="E10" t="str">
        <f>"[0.002]"</f>
        <v>[0.002]</v>
      </c>
      <c r="F10" t="str">
        <f>"0.120***"</f>
        <v>0.120***</v>
      </c>
      <c r="G10" t="str">
        <f>"[0.002]"</f>
        <v>[0.002]</v>
      </c>
      <c r="H10" t="str">
        <f>"0.033***"</f>
        <v>0.033***</v>
      </c>
      <c r="I10" t="str">
        <f>"[0.003]"</f>
        <v>[0.003]</v>
      </c>
    </row>
    <row r="11" spans="1:9" x14ac:dyDescent="0.2">
      <c r="A11" t="s">
        <v>32</v>
      </c>
      <c r="B11" t="str">
        <f>"0.011***"</f>
        <v>0.011***</v>
      </c>
      <c r="C11" t="str">
        <f>"[0.001]"</f>
        <v>[0.001]</v>
      </c>
      <c r="D11" t="str">
        <f>"0.009***"</f>
        <v>0.009***</v>
      </c>
      <c r="E11" t="str">
        <f>"[0.001]"</f>
        <v>[0.001]</v>
      </c>
      <c r="F11" t="str">
        <f>"0.021***"</f>
        <v>0.021***</v>
      </c>
      <c r="G11" t="str">
        <f>"[0.001]"</f>
        <v>[0.001]</v>
      </c>
      <c r="H11" t="str">
        <f>"0.010***"</f>
        <v>0.010***</v>
      </c>
      <c r="I11" t="str">
        <f>"[0.001]"</f>
        <v>[0.001]</v>
      </c>
    </row>
    <row r="12" spans="1:9" x14ac:dyDescent="0.2">
      <c r="A12" t="s">
        <v>33</v>
      </c>
      <c r="B12" t="str">
        <f>"-0.002***"</f>
        <v>-0.002***</v>
      </c>
      <c r="C12" t="str">
        <f>"[0.001]"</f>
        <v>[0.001]</v>
      </c>
      <c r="D12" t="str">
        <f>"-0.003***"</f>
        <v>-0.003***</v>
      </c>
      <c r="E12" t="str">
        <f>"[0.001]"</f>
        <v>[0.001]</v>
      </c>
      <c r="F12" t="str">
        <f>"-0.005***"</f>
        <v>-0.005***</v>
      </c>
      <c r="G12" t="str">
        <f>"[0.001]"</f>
        <v>[0.001]</v>
      </c>
      <c r="H12" t="str">
        <f>"0.000"</f>
        <v>0.000</v>
      </c>
      <c r="I12" t="str">
        <f>"[0.001]"</f>
        <v>[0.001]</v>
      </c>
    </row>
    <row r="13" spans="1:9" x14ac:dyDescent="0.2">
      <c r="A13" t="s">
        <v>34</v>
      </c>
      <c r="B13" t="str">
        <f>"-0.003***"</f>
        <v>-0.003***</v>
      </c>
      <c r="C13" t="str">
        <f>"[0.000]"</f>
        <v>[0.000]</v>
      </c>
      <c r="D13" t="str">
        <f>"-0.002***"</f>
        <v>-0.002***</v>
      </c>
      <c r="E13" t="str">
        <f>"[0.000]"</f>
        <v>[0.000]</v>
      </c>
      <c r="F13" t="str">
        <f>"-0.005***"</f>
        <v>-0.005***</v>
      </c>
      <c r="G13" t="str">
        <f>"[0.000]"</f>
        <v>[0.000]</v>
      </c>
      <c r="H13" t="str">
        <f>"0.002***"</f>
        <v>0.002***</v>
      </c>
      <c r="I13" t="str">
        <f>"[0.000]"</f>
        <v>[0.000]</v>
      </c>
    </row>
    <row r="14" spans="1:9" x14ac:dyDescent="0.2">
      <c r="A14" t="s">
        <v>35</v>
      </c>
      <c r="B14" t="str">
        <f>"0.000***"</f>
        <v>0.000***</v>
      </c>
      <c r="C14" t="str">
        <f>"[0.000]"</f>
        <v>[0.000]</v>
      </c>
      <c r="D14" t="str">
        <f>"0.001***"</f>
        <v>0.001***</v>
      </c>
      <c r="E14" t="str">
        <f>"[0.000]"</f>
        <v>[0.000]</v>
      </c>
      <c r="F14" t="str">
        <f>"0.002***"</f>
        <v>0.002***</v>
      </c>
      <c r="G14" t="str">
        <f>"[0.000]"</f>
        <v>[0.000]</v>
      </c>
      <c r="H14" t="str">
        <f>"-0.001*"</f>
        <v>-0.001*</v>
      </c>
      <c r="I14" t="str">
        <f>"[0.000]"</f>
        <v>[0.000]</v>
      </c>
    </row>
    <row r="15" spans="1:9" x14ac:dyDescent="0.2">
      <c r="A15" t="s">
        <v>36</v>
      </c>
      <c r="B15" t="str">
        <f>"0.002***"</f>
        <v>0.002***</v>
      </c>
      <c r="C15" t="str">
        <f>"[0.000]"</f>
        <v>[0.000]</v>
      </c>
      <c r="D15" t="str">
        <f>"-0.006***"</f>
        <v>-0.006***</v>
      </c>
      <c r="E15" t="str">
        <f>"[0.000]"</f>
        <v>[0.000]</v>
      </c>
      <c r="F15" t="str">
        <f>"-0.004***"</f>
        <v>-0.004***</v>
      </c>
      <c r="G15" t="str">
        <f>"[0.000]"</f>
        <v>[0.000]</v>
      </c>
      <c r="H15" t="str">
        <f>"-0.002"</f>
        <v>-0.002</v>
      </c>
      <c r="I15" t="str">
        <f>"[0.001]"</f>
        <v>[0.001]</v>
      </c>
    </row>
    <row r="16" spans="1:9" x14ac:dyDescent="0.2">
      <c r="A16" t="s">
        <v>37</v>
      </c>
      <c r="B16" t="str">
        <f>"0.000"</f>
        <v>0.000</v>
      </c>
      <c r="C16" t="str">
        <f>"[0.000]"</f>
        <v>[0.000]</v>
      </c>
      <c r="D16" t="str">
        <f>"0.003***"</f>
        <v>0.003***</v>
      </c>
      <c r="E16" t="str">
        <f>"[0.000]"</f>
        <v>[0.000]</v>
      </c>
      <c r="F16" t="str">
        <f>"0.004***"</f>
        <v>0.004***</v>
      </c>
      <c r="G16" t="str">
        <f>"[0.001]"</f>
        <v>[0.001]</v>
      </c>
      <c r="H16" t="str">
        <f>"0.001"</f>
        <v>0.001</v>
      </c>
      <c r="I16" t="str">
        <f>"[0.001]"</f>
        <v>[0.001]</v>
      </c>
    </row>
    <row r="17" spans="1:9" x14ac:dyDescent="0.2">
      <c r="A17" t="s">
        <v>38</v>
      </c>
      <c r="B17" t="str">
        <f>"0.003***"</f>
        <v>0.003***</v>
      </c>
      <c r="C17" t="str">
        <f>"[0.000]"</f>
        <v>[0.000]</v>
      </c>
      <c r="D17" t="str">
        <f>"0.000"</f>
        <v>0.000</v>
      </c>
      <c r="E17" t="str">
        <f>"[0.000]"</f>
        <v>[0.000]</v>
      </c>
      <c r="F17" t="str">
        <f>"0.005***"</f>
        <v>0.005***</v>
      </c>
      <c r="G17" t="str">
        <f>"[0.001]"</f>
        <v>[0.001]</v>
      </c>
      <c r="H17" t="str">
        <f>"0.003***"</f>
        <v>0.003***</v>
      </c>
      <c r="I17" t="str">
        <f>"[0.001]"</f>
        <v>[0.001]</v>
      </c>
    </row>
    <row r="18" spans="1:9" x14ac:dyDescent="0.2">
      <c r="A18" s="1" t="s">
        <v>6</v>
      </c>
      <c r="B18" t="str">
        <f>""</f>
        <v/>
      </c>
      <c r="C18" t="str">
        <f>""</f>
        <v/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""</f>
        <v/>
      </c>
      <c r="I18" t="str">
        <f>""</f>
        <v/>
      </c>
    </row>
    <row r="19" spans="1:9" x14ac:dyDescent="0.2">
      <c r="A19" t="s">
        <v>31</v>
      </c>
      <c r="B19" t="str">
        <f>"-0.079***"</f>
        <v>-0.079***</v>
      </c>
      <c r="C19" t="str">
        <f>"[0.014]"</f>
        <v>[0.014]</v>
      </c>
      <c r="D19" t="str">
        <f>"0.018"</f>
        <v>0.018</v>
      </c>
      <c r="E19" t="str">
        <f>"[0.019]"</f>
        <v>[0.019]</v>
      </c>
      <c r="F19" t="str">
        <f>"-0.067***"</f>
        <v>-0.067***</v>
      </c>
      <c r="G19" t="str">
        <f>"[0.019]"</f>
        <v>[0.019]</v>
      </c>
      <c r="H19" t="str">
        <f>"-0.124***"</f>
        <v>-0.124***</v>
      </c>
      <c r="I19" t="str">
        <f>"[0.028]"</f>
        <v>[0.028]</v>
      </c>
    </row>
    <row r="20" spans="1:9" x14ac:dyDescent="0.2">
      <c r="A20" t="s">
        <v>32</v>
      </c>
      <c r="B20" t="str">
        <f>"-0.037***"</f>
        <v>-0.037***</v>
      </c>
      <c r="C20" t="str">
        <f>"[0.009]"</f>
        <v>[0.009]</v>
      </c>
      <c r="D20" t="str">
        <f>"0.043***"</f>
        <v>0.043***</v>
      </c>
      <c r="E20" t="str">
        <f>"[0.011]"</f>
        <v>[0.011]</v>
      </c>
      <c r="F20" t="str">
        <f>"0.006"</f>
        <v>0.006</v>
      </c>
      <c r="G20" t="str">
        <f>"[0.011]"</f>
        <v>[0.011]</v>
      </c>
      <c r="H20" t="str">
        <f>"-0.072***"</f>
        <v>-0.072***</v>
      </c>
      <c r="I20" t="str">
        <f>"[0.019]"</f>
        <v>[0.019]</v>
      </c>
    </row>
    <row r="21" spans="1:9" x14ac:dyDescent="0.2">
      <c r="A21" t="s">
        <v>33</v>
      </c>
      <c r="B21" t="str">
        <f>"0.002"</f>
        <v>0.002</v>
      </c>
      <c r="C21" t="str">
        <f>"[0.003]"</f>
        <v>[0.003]</v>
      </c>
      <c r="D21" t="str">
        <f>"0.009**"</f>
        <v>0.009**</v>
      </c>
      <c r="E21" t="str">
        <f>"[0.003]"</f>
        <v>[0.003]</v>
      </c>
      <c r="F21" t="str">
        <f>"0.012***"</f>
        <v>0.012***</v>
      </c>
      <c r="G21" t="str">
        <f>"[0.003]"</f>
        <v>[0.003]</v>
      </c>
      <c r="H21" t="str">
        <f>"0.007"</f>
        <v>0.007</v>
      </c>
      <c r="I21" t="str">
        <f>"[0.005]"</f>
        <v>[0.005]</v>
      </c>
    </row>
    <row r="22" spans="1:9" x14ac:dyDescent="0.2">
      <c r="A22" t="s">
        <v>34</v>
      </c>
      <c r="B22" t="str">
        <f>"0.006*"</f>
        <v>0.006*</v>
      </c>
      <c r="C22" t="str">
        <f>"[0.003]"</f>
        <v>[0.003]</v>
      </c>
      <c r="D22" t="str">
        <f>"-0.008*"</f>
        <v>-0.008*</v>
      </c>
      <c r="E22" t="str">
        <f>"[0.003]"</f>
        <v>[0.003]</v>
      </c>
      <c r="F22" t="str">
        <f>"-0.002"</f>
        <v>-0.002</v>
      </c>
      <c r="G22" t="str">
        <f>"[0.003]"</f>
        <v>[0.003]</v>
      </c>
      <c r="H22" t="str">
        <f>"0.005"</f>
        <v>0.005</v>
      </c>
      <c r="I22" t="str">
        <f>"[0.006]"</f>
        <v>[0.006]</v>
      </c>
    </row>
    <row r="23" spans="1:9" x14ac:dyDescent="0.2">
      <c r="A23" t="s">
        <v>35</v>
      </c>
      <c r="B23" t="str">
        <f>"0.001"</f>
        <v>0.001</v>
      </c>
      <c r="C23" t="str">
        <f>"[0.001]"</f>
        <v>[0.001]</v>
      </c>
      <c r="D23" t="str">
        <f>"-0.000"</f>
        <v>-0.000</v>
      </c>
      <c r="E23" t="str">
        <f>"[0.001]"</f>
        <v>[0.001]</v>
      </c>
      <c r="F23" t="str">
        <f>"0.001"</f>
        <v>0.001</v>
      </c>
      <c r="G23" t="str">
        <f>"[0.001]"</f>
        <v>[0.001]</v>
      </c>
      <c r="H23" t="str">
        <f>"0.004*"</f>
        <v>0.004*</v>
      </c>
      <c r="I23" t="str">
        <f>"[0.002]"</f>
        <v>[0.002]</v>
      </c>
    </row>
    <row r="24" spans="1:9" x14ac:dyDescent="0.2">
      <c r="A24" t="s">
        <v>36</v>
      </c>
      <c r="B24" t="str">
        <f>"-0.007*"</f>
        <v>-0.007*</v>
      </c>
      <c r="C24" t="str">
        <f>"[0.003]"</f>
        <v>[0.003]</v>
      </c>
      <c r="D24" t="str">
        <f>"0.030***"</f>
        <v>0.030***</v>
      </c>
      <c r="E24" t="str">
        <f>"[0.003]"</f>
        <v>[0.003]</v>
      </c>
      <c r="F24" t="str">
        <f>"0.023***"</f>
        <v>0.023***</v>
      </c>
      <c r="G24" t="str">
        <f>"[0.004]"</f>
        <v>[0.004]</v>
      </c>
      <c r="H24" t="str">
        <f>"-0.006"</f>
        <v>-0.006</v>
      </c>
      <c r="I24" t="str">
        <f>"[0.007]"</f>
        <v>[0.007]</v>
      </c>
    </row>
    <row r="25" spans="1:9" x14ac:dyDescent="0.2">
      <c r="A25" t="s">
        <v>37</v>
      </c>
      <c r="B25" t="str">
        <f>"0.004*"</f>
        <v>0.004*</v>
      </c>
      <c r="C25" t="str">
        <f>"[0.002]"</f>
        <v>[0.002]</v>
      </c>
      <c r="D25" t="str">
        <f>"0.008***"</f>
        <v>0.008***</v>
      </c>
      <c r="E25" t="str">
        <f>"[0.002]"</f>
        <v>[0.002]</v>
      </c>
      <c r="F25" t="str">
        <f>"0.011***"</f>
        <v>0.011***</v>
      </c>
      <c r="G25" t="str">
        <f>"[0.002]"</f>
        <v>[0.002]</v>
      </c>
      <c r="H25" t="str">
        <f>"-0.009**"</f>
        <v>-0.009**</v>
      </c>
      <c r="I25" t="str">
        <f>"[0.003]"</f>
        <v>[0.003]</v>
      </c>
    </row>
    <row r="26" spans="1:9" x14ac:dyDescent="0.2">
      <c r="A26" t="s">
        <v>38</v>
      </c>
      <c r="B26" t="str">
        <f>"-0.003"</f>
        <v>-0.003</v>
      </c>
      <c r="C26" t="str">
        <f>"[0.011]"</f>
        <v>[0.011]</v>
      </c>
      <c r="D26" t="str">
        <f>"-0.002"</f>
        <v>-0.002</v>
      </c>
      <c r="E26" t="str">
        <f>"[0.013]"</f>
        <v>[0.013]</v>
      </c>
      <c r="F26" t="str">
        <f>"-0.006"</f>
        <v>-0.006</v>
      </c>
      <c r="G26" t="str">
        <f>"[0.013]"</f>
        <v>[0.013]</v>
      </c>
      <c r="H26" t="str">
        <f>"0.011"</f>
        <v>0.011</v>
      </c>
      <c r="I26" t="str">
        <f>"[0.011]"</f>
        <v>[0.011]</v>
      </c>
    </row>
    <row r="27" spans="1:9" x14ac:dyDescent="0.2">
      <c r="A27" t="s">
        <v>39</v>
      </c>
      <c r="B27" t="str">
        <f>"0.170***"</f>
        <v>0.170***</v>
      </c>
      <c r="C27" t="str">
        <f>"[0.020]"</f>
        <v>[0.020]</v>
      </c>
      <c r="D27" t="str">
        <f>"-0.182***"</f>
        <v>-0.182***</v>
      </c>
      <c r="E27" t="str">
        <f>"[0.026]"</f>
        <v>[0.026]</v>
      </c>
      <c r="F27" t="str">
        <f>"-0.011"</f>
        <v>-0.011</v>
      </c>
      <c r="G27" t="str">
        <f>"[0.026]"</f>
        <v>[0.026]</v>
      </c>
      <c r="H27" t="str">
        <f>"0.104**"</f>
        <v>0.104**</v>
      </c>
      <c r="I27" t="str">
        <f>"[0.038]"</f>
        <v>[0.038]</v>
      </c>
    </row>
    <row r="28" spans="1:9" x14ac:dyDescent="0.2">
      <c r="A28" t="str">
        <f>"N            "</f>
        <v xml:space="preserve">N            </v>
      </c>
      <c r="B28" t="str">
        <f>""</f>
        <v/>
      </c>
      <c r="C28" t="str">
        <f>""</f>
        <v/>
      </c>
      <c r="D28" t="str">
        <f>""</f>
        <v/>
      </c>
      <c r="E28" t="str">
        <f>""</f>
        <v/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</row>
    <row r="29" spans="1:9" x14ac:dyDescent="0.2">
      <c r="A29" t="str">
        <f>"Standard errors in brackets"</f>
        <v>Standard errors in brackets</v>
      </c>
    </row>
    <row r="30" spans="1:9" x14ac:dyDescent="0.2">
      <c r="A30" t="s">
        <v>0</v>
      </c>
    </row>
    <row r="31" spans="1:9" x14ac:dyDescent="0.2">
      <c r="A31" t="s">
        <v>1</v>
      </c>
      <c r="B31" t="s">
        <v>2</v>
      </c>
      <c r="C31" t="s">
        <v>3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workbookViewId="0">
      <selection activeCell="H3" sqref="H3"/>
    </sheetView>
  </sheetViews>
  <sheetFormatPr baseColWidth="10" defaultRowHeight="16" x14ac:dyDescent="0.2"/>
  <cols>
    <col min="1" max="1" width="35.6640625" bestFit="1" customWidth="1"/>
  </cols>
  <sheetData>
    <row r="1" spans="1:19" x14ac:dyDescent="0.2">
      <c r="A1" t="str">
        <f>"Resultados da Decomposi√ß√£o dos Ginis"</f>
        <v>Resultados da Decomposi√ß√£o dos Ginis</v>
      </c>
    </row>
    <row r="2" spans="1:19" x14ac:dyDescent="0.2">
      <c r="A2" t="str">
        <f>"             "</f>
        <v xml:space="preserve">             </v>
      </c>
      <c r="B2" s="3" t="str">
        <f>"2012-2015"</f>
        <v>2012-2015</v>
      </c>
      <c r="C2" s="3"/>
      <c r="D2" s="3" t="s">
        <v>18</v>
      </c>
      <c r="E2" s="3"/>
      <c r="F2" s="3" t="s">
        <v>19</v>
      </c>
      <c r="G2" s="3"/>
      <c r="H2" s="3" t="s">
        <v>20</v>
      </c>
      <c r="I2" s="3"/>
    </row>
    <row r="3" spans="1:19" x14ac:dyDescent="0.2">
      <c r="A3" s="1" t="s">
        <v>4</v>
      </c>
      <c r="B3" t="str">
        <f>""</f>
        <v/>
      </c>
      <c r="C3" t="str">
        <f>""</f>
        <v/>
      </c>
      <c r="D3" t="str">
        <f>""</f>
        <v/>
      </c>
      <c r="E3" t="str">
        <f>""</f>
        <v/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K3" s="4" t="s">
        <v>16</v>
      </c>
      <c r="L3" s="4"/>
      <c r="M3" s="4"/>
      <c r="N3" s="4"/>
      <c r="O3" s="4"/>
      <c r="P3" s="4"/>
      <c r="Q3" s="4"/>
      <c r="R3" s="4"/>
      <c r="S3" s="4"/>
    </row>
    <row r="4" spans="1:19" x14ac:dyDescent="0.2">
      <c r="A4" t="s">
        <v>28</v>
      </c>
      <c r="B4" s="2" t="str">
        <f>"48.689***"</f>
        <v>48.689***</v>
      </c>
      <c r="C4" s="2" t="str">
        <f>"[0.204]"</f>
        <v>[0.204]</v>
      </c>
      <c r="D4" s="2" t="str">
        <f>"49.862***"</f>
        <v>49.862***</v>
      </c>
      <c r="E4" s="2" t="str">
        <f>"[0.301]"</f>
        <v>[0.301]</v>
      </c>
      <c r="F4" s="2" t="str">
        <f>"49.862***"</f>
        <v>49.862***</v>
      </c>
      <c r="G4" s="2" t="str">
        <f>"[0.301]"</f>
        <v>[0.301]</v>
      </c>
      <c r="H4" s="2" t="str">
        <f>"53.365***"</f>
        <v>53.365***</v>
      </c>
      <c r="I4" s="2" t="str">
        <f>"[0.430]"</f>
        <v>[0.430]</v>
      </c>
      <c r="K4" s="4" t="s">
        <v>17</v>
      </c>
      <c r="L4" s="4"/>
      <c r="M4" s="4"/>
      <c r="N4" s="4"/>
      <c r="O4" s="4"/>
      <c r="P4" s="4"/>
      <c r="Q4" s="4"/>
      <c r="R4" s="4"/>
      <c r="S4" s="4"/>
    </row>
    <row r="5" spans="1:19" x14ac:dyDescent="0.2">
      <c r="A5" t="s">
        <v>29</v>
      </c>
      <c r="B5" s="2" t="str">
        <f>"50.263***"</f>
        <v>50.263***</v>
      </c>
      <c r="C5" s="2" t="str">
        <f>"[0.180]"</f>
        <v>[0.180]</v>
      </c>
      <c r="D5" s="2" t="str">
        <f>"48.689***"</f>
        <v>48.689***</v>
      </c>
      <c r="E5" s="2" t="str">
        <f>"[0.204]"</f>
        <v>[0.204]</v>
      </c>
      <c r="F5" s="2" t="str">
        <f>"50.263***"</f>
        <v>50.263***</v>
      </c>
      <c r="G5" s="2" t="str">
        <f>"[0.180]"</f>
        <v>[0.180]</v>
      </c>
      <c r="H5" s="2" t="str">
        <f>"53.130***"</f>
        <v>53.130***</v>
      </c>
      <c r="I5" s="2" t="str">
        <f>"[0.263]"</f>
        <v>[0.263]</v>
      </c>
      <c r="K5" s="4" t="s">
        <v>21</v>
      </c>
      <c r="L5" s="4"/>
      <c r="M5" s="4"/>
      <c r="N5" s="4"/>
      <c r="O5" s="4"/>
      <c r="P5" s="4"/>
      <c r="Q5" s="4"/>
      <c r="R5" s="4"/>
      <c r="S5" s="4"/>
    </row>
    <row r="6" spans="1:19" x14ac:dyDescent="0.2">
      <c r="A6" t="s">
        <v>30</v>
      </c>
      <c r="B6" s="2" t="str">
        <f>"-1.575***"</f>
        <v>-1.575***</v>
      </c>
      <c r="C6" s="2" t="str">
        <f>"[0.273]"</f>
        <v>[0.273]</v>
      </c>
      <c r="D6" s="2" t="str">
        <f>"1.174**"</f>
        <v>1.174**</v>
      </c>
      <c r="E6" s="2" t="str">
        <f>"[0.364]"</f>
        <v>[0.364]</v>
      </c>
      <c r="F6" s="2" t="str">
        <f>"-0.401"</f>
        <v>-0.401</v>
      </c>
      <c r="G6" s="2" t="str">
        <f>"[0.351]"</f>
        <v>[0.351]</v>
      </c>
      <c r="H6" s="2" t="str">
        <f>"0.235"</f>
        <v>0.235</v>
      </c>
      <c r="I6" s="2" t="str">
        <f>"[0.504]"</f>
        <v>[0.504]</v>
      </c>
    </row>
    <row r="7" spans="1:19" x14ac:dyDescent="0.2">
      <c r="A7" t="s">
        <v>5</v>
      </c>
      <c r="B7" s="2" t="str">
        <f>"0.774***"</f>
        <v>0.774***</v>
      </c>
      <c r="C7" s="2" t="str">
        <f>"[0.079]"</f>
        <v>[0.079]</v>
      </c>
      <c r="D7" s="2" t="str">
        <f>"2.181***"</f>
        <v>2.181***</v>
      </c>
      <c r="E7" s="2" t="str">
        <f>"[0.114]"</f>
        <v>[0.114]</v>
      </c>
      <c r="F7" s="2" t="str">
        <f>"3.302***"</f>
        <v>3.302***</v>
      </c>
      <c r="G7" s="2" t="str">
        <f>"[0.136]"</f>
        <v>[0.136]</v>
      </c>
      <c r="H7" s="2" t="str">
        <f>"1.031***"</f>
        <v>1.031***</v>
      </c>
      <c r="I7" s="2" t="str">
        <f>"[0.105]"</f>
        <v>[0.105]</v>
      </c>
    </row>
    <row r="8" spans="1:19" x14ac:dyDescent="0.2">
      <c r="A8" t="s">
        <v>6</v>
      </c>
      <c r="B8" s="2" t="str">
        <f>"-2.349***"</f>
        <v>-2.349***</v>
      </c>
      <c r="C8" s="2" t="str">
        <f>"[0.285]"</f>
        <v>[0.285]</v>
      </c>
      <c r="D8" s="2" t="str">
        <f>"-1.007*"</f>
        <v>-1.007*</v>
      </c>
      <c r="E8" s="2" t="str">
        <f>"[0.398]"</f>
        <v>[0.398]</v>
      </c>
      <c r="F8" s="2" t="str">
        <f>"-3.703***"</f>
        <v>-3.703***</v>
      </c>
      <c r="G8" s="2" t="str">
        <f>"[0.399]"</f>
        <v>[0.399]</v>
      </c>
      <c r="H8" s="2" t="str">
        <f>"-0.796"</f>
        <v>-0.796</v>
      </c>
      <c r="I8" s="2" t="str">
        <f>"[0.525]"</f>
        <v>[0.525]</v>
      </c>
    </row>
    <row r="9" spans="1:19" x14ac:dyDescent="0.2">
      <c r="A9" s="1" t="s">
        <v>5</v>
      </c>
      <c r="B9" s="2" t="str">
        <f>""</f>
        <v/>
      </c>
      <c r="C9" s="2" t="str">
        <f>""</f>
        <v/>
      </c>
      <c r="D9" s="2" t="str">
        <f>""</f>
        <v/>
      </c>
      <c r="E9" s="2" t="str">
        <f>""</f>
        <v/>
      </c>
      <c r="F9" s="2" t="str">
        <f>""</f>
        <v/>
      </c>
      <c r="G9" s="2" t="str">
        <f>""</f>
        <v/>
      </c>
      <c r="H9" s="2" t="str">
        <f>""</f>
        <v/>
      </c>
      <c r="I9" s="2" t="str">
        <f>""</f>
        <v/>
      </c>
    </row>
    <row r="10" spans="1:19" x14ac:dyDescent="0.2">
      <c r="A10" t="s">
        <v>31</v>
      </c>
      <c r="B10" s="2" t="str">
        <f>"1.012***"</f>
        <v>1.012***</v>
      </c>
      <c r="C10" s="2" t="str">
        <f>"[0.074]"</f>
        <v>[0.074]</v>
      </c>
      <c r="D10" s="2" t="str">
        <f>"2.126***"</f>
        <v>2.126***</v>
      </c>
      <c r="E10" s="2" t="str">
        <f>"[0.106]"</f>
        <v>[0.106]</v>
      </c>
      <c r="F10" s="2" t="str">
        <f>"3.402***"</f>
        <v>3.402***</v>
      </c>
      <c r="G10" s="2" t="str">
        <f>"[0.129]"</f>
        <v>[0.129]</v>
      </c>
      <c r="H10" s="2" t="str">
        <f>"0.787***"</f>
        <v>0.787***</v>
      </c>
      <c r="I10" s="2" t="str">
        <f>"[0.088]"</f>
        <v>[0.088]</v>
      </c>
    </row>
    <row r="11" spans="1:19" x14ac:dyDescent="0.2">
      <c r="A11" t="s">
        <v>32</v>
      </c>
      <c r="B11" s="2" t="str">
        <f>"0.253***"</f>
        <v>0.253***</v>
      </c>
      <c r="C11" s="2" t="str">
        <f>"[0.024]"</f>
        <v>[0.024]</v>
      </c>
      <c r="D11" s="2" t="str">
        <f>"0.203***"</f>
        <v>0.203***</v>
      </c>
      <c r="E11" s="2" t="str">
        <f>"[0.026]"</f>
        <v>[0.026]</v>
      </c>
      <c r="F11" s="2" t="str">
        <f>"0.482***"</f>
        <v>0.482***</v>
      </c>
      <c r="G11" s="2" t="str">
        <f>"[0.034]"</f>
        <v>[0.034]</v>
      </c>
      <c r="H11" s="2" t="str">
        <f>"0.150***"</f>
        <v>0.150***</v>
      </c>
      <c r="I11" s="2" t="str">
        <f>"[0.026]"</f>
        <v>[0.026]</v>
      </c>
    </row>
    <row r="12" spans="1:19" x14ac:dyDescent="0.2">
      <c r="A12" t="s">
        <v>33</v>
      </c>
      <c r="B12" s="2" t="str">
        <f>"-0.043***"</f>
        <v>-0.043***</v>
      </c>
      <c r="C12" s="2" t="str">
        <f>"[0.012]"</f>
        <v>[0.012]</v>
      </c>
      <c r="D12" s="2" t="str">
        <f>"-0.061***"</f>
        <v>-0.061***</v>
      </c>
      <c r="E12" s="2" t="str">
        <f>"[0.013]"</f>
        <v>[0.013]</v>
      </c>
      <c r="F12" s="2" t="str">
        <f>"-0.116***"</f>
        <v>-0.116***</v>
      </c>
      <c r="G12" s="2" t="str">
        <f>"[0.016]"</f>
        <v>[0.016]</v>
      </c>
      <c r="H12" s="2" t="str">
        <f>"0.026"</f>
        <v>0.026</v>
      </c>
      <c r="I12" s="2" t="str">
        <f>"[0.017]"</f>
        <v>[0.017]</v>
      </c>
    </row>
    <row r="13" spans="1:19" x14ac:dyDescent="0.2">
      <c r="A13" t="s">
        <v>34</v>
      </c>
      <c r="B13" s="2" t="str">
        <f>"-0.075***"</f>
        <v>-0.075***</v>
      </c>
      <c r="C13" s="2" t="str">
        <f>"[0.010]"</f>
        <v>[0.010]</v>
      </c>
      <c r="D13" s="2" t="str">
        <f>"-0.084***"</f>
        <v>-0.084***</v>
      </c>
      <c r="E13" s="2" t="str">
        <f>"[0.012]"</f>
        <v>[0.012]</v>
      </c>
      <c r="F13" s="2" t="str">
        <f>"-0.145***"</f>
        <v>-0.145***</v>
      </c>
      <c r="G13" s="2" t="str">
        <f>"[0.015]"</f>
        <v>[0.015]</v>
      </c>
      <c r="H13" s="2" t="str">
        <f>"0.054***"</f>
        <v>0.054***</v>
      </c>
      <c r="I13" s="2" t="str">
        <f>"[0.014]"</f>
        <v>[0.014]</v>
      </c>
    </row>
    <row r="14" spans="1:19" x14ac:dyDescent="0.2">
      <c r="A14" t="s">
        <v>35</v>
      </c>
      <c r="B14" s="2" t="str">
        <f>"-0.011**"</f>
        <v>-0.011**</v>
      </c>
      <c r="C14" s="2" t="str">
        <f>"[0.003]"</f>
        <v>[0.003]</v>
      </c>
      <c r="D14" s="2" t="str">
        <f>"-0.031***"</f>
        <v>-0.031***</v>
      </c>
      <c r="E14" s="2" t="str">
        <f>"[0.005]"</f>
        <v>[0.005]</v>
      </c>
      <c r="F14" s="2" t="str">
        <f>"-0.049***"</f>
        <v>-0.049***</v>
      </c>
      <c r="G14" s="2" t="str">
        <f>"[0.005]"</f>
        <v>[0.005]</v>
      </c>
      <c r="H14" s="2" t="str">
        <f>"0.018**"</f>
        <v>0.018**</v>
      </c>
      <c r="I14" s="2" t="str">
        <f>"[0.006]"</f>
        <v>[0.006]</v>
      </c>
    </row>
    <row r="15" spans="1:19" x14ac:dyDescent="0.2">
      <c r="A15" t="s">
        <v>36</v>
      </c>
      <c r="B15" s="2" t="str">
        <f>"-0.129***"</f>
        <v>-0.129***</v>
      </c>
      <c r="C15" s="2" t="str">
        <f>"[0.017]"</f>
        <v>[0.017]</v>
      </c>
      <c r="D15" s="2" t="str">
        <f>"0.274***"</f>
        <v>0.274***</v>
      </c>
      <c r="E15" s="2" t="str">
        <f>"[0.024]"</f>
        <v>[0.024]</v>
      </c>
      <c r="F15" s="2" t="str">
        <f>"0.206***"</f>
        <v>0.206***</v>
      </c>
      <c r="G15" s="2" t="str">
        <f>"[0.021]"</f>
        <v>[0.021]</v>
      </c>
      <c r="H15" s="2" t="str">
        <f>"0.047"</f>
        <v>0.047</v>
      </c>
      <c r="I15" s="2" t="str">
        <f>"[0.029]"</f>
        <v>[0.029]</v>
      </c>
    </row>
    <row r="16" spans="1:19" x14ac:dyDescent="0.2">
      <c r="A16" t="s">
        <v>37</v>
      </c>
      <c r="B16" s="2" t="str">
        <f>"0.009"</f>
        <v>0.009</v>
      </c>
      <c r="C16" s="2" t="str">
        <f>"[0.013]"</f>
        <v>[0.013]</v>
      </c>
      <c r="D16" s="2" t="str">
        <f>"-0.099***"</f>
        <v>-0.099***</v>
      </c>
      <c r="E16" s="2" t="str">
        <f>"[0.017]"</f>
        <v>[0.017]</v>
      </c>
      <c r="F16" s="2" t="str">
        <f>"-0.068***"</f>
        <v>-0.068***</v>
      </c>
      <c r="G16" s="2" t="str">
        <f>"[0.015]"</f>
        <v>[0.015]</v>
      </c>
      <c r="H16" s="2" t="str">
        <f>"-0.022"</f>
        <v>-0.022</v>
      </c>
      <c r="I16" s="2" t="str">
        <f>"[0.019]"</f>
        <v>[0.019]</v>
      </c>
    </row>
    <row r="17" spans="1:9" x14ac:dyDescent="0.2">
      <c r="A17" t="s">
        <v>38</v>
      </c>
      <c r="B17" s="2" t="str">
        <f>"-0.242***"</f>
        <v>-0.242***</v>
      </c>
      <c r="C17" s="2" t="str">
        <f>"[0.024]"</f>
        <v>[0.024]</v>
      </c>
      <c r="D17" s="2" t="str">
        <f>"-0.146***"</f>
        <v>-0.146***</v>
      </c>
      <c r="E17" s="2" t="str">
        <f>"[0.033]"</f>
        <v>[0.033]</v>
      </c>
      <c r="F17" s="2" t="str">
        <f>"-0.409***"</f>
        <v>-0.409***</v>
      </c>
      <c r="G17" s="2" t="str">
        <f>"[0.040]"</f>
        <v>[0.040]</v>
      </c>
      <c r="H17" s="2" t="str">
        <f>"-0.030"</f>
        <v>-0.030</v>
      </c>
      <c r="I17" s="2" t="str">
        <f>"[0.033]"</f>
        <v>[0.033]</v>
      </c>
    </row>
    <row r="18" spans="1:9" x14ac:dyDescent="0.2">
      <c r="A18" s="1" t="s">
        <v>6</v>
      </c>
      <c r="B18" s="2" t="str">
        <f>""</f>
        <v/>
      </c>
      <c r="C18" s="2" t="str">
        <f>""</f>
        <v/>
      </c>
      <c r="D18" s="2" t="str">
        <f>""</f>
        <v/>
      </c>
      <c r="E18" s="2" t="str">
        <f>""</f>
        <v/>
      </c>
      <c r="F18" s="2" t="str">
        <f>""</f>
        <v/>
      </c>
      <c r="G18" s="2" t="str">
        <f>""</f>
        <v/>
      </c>
      <c r="H18" s="2" t="str">
        <f>""</f>
        <v/>
      </c>
      <c r="I18" s="2" t="str">
        <f>""</f>
        <v/>
      </c>
    </row>
    <row r="19" spans="1:9" x14ac:dyDescent="0.2">
      <c r="A19" t="s">
        <v>31</v>
      </c>
      <c r="B19" s="2" t="str">
        <f>"-1.653*"</f>
        <v>-1.653*</v>
      </c>
      <c r="C19" s="2" t="str">
        <f>"[0.710]"</f>
        <v>[0.710]</v>
      </c>
      <c r="D19" s="2" t="str">
        <f>"-7.063***"</f>
        <v>-7.063***</v>
      </c>
      <c r="E19" s="2" t="str">
        <f>"[1.001]"</f>
        <v>[1.001]</v>
      </c>
      <c r="F19" s="2" t="str">
        <f>"-8.980***"</f>
        <v>-8.980***</v>
      </c>
      <c r="G19" s="2" t="str">
        <f>"[0.993]"</f>
        <v>[0.993]</v>
      </c>
      <c r="H19" s="2" t="str">
        <f>"1.429"</f>
        <v>1.429</v>
      </c>
      <c r="I19" s="2" t="str">
        <f>"[1.262]"</f>
        <v>[1.262]</v>
      </c>
    </row>
    <row r="20" spans="1:9" x14ac:dyDescent="0.2">
      <c r="A20" t="s">
        <v>32</v>
      </c>
      <c r="B20" s="2" t="str">
        <f>"-2.439***"</f>
        <v>-2.439***</v>
      </c>
      <c r="C20" s="2" t="str">
        <f>"[0.633]"</f>
        <v>[0.633]</v>
      </c>
      <c r="D20" s="2" t="str">
        <f>"0.123"</f>
        <v>0.123</v>
      </c>
      <c r="E20" s="2" t="str">
        <f>"[0.764]"</f>
        <v>[0.764]</v>
      </c>
      <c r="F20" s="2" t="str">
        <f>"-2.342**"</f>
        <v>-2.342**</v>
      </c>
      <c r="G20" s="2" t="str">
        <f>"[0.772]"</f>
        <v>[0.772]</v>
      </c>
      <c r="H20" s="2" t="str">
        <f>"-0.454"</f>
        <v>-0.454</v>
      </c>
      <c r="I20" s="2" t="str">
        <f>"[1.136]"</f>
        <v>[1.136]</v>
      </c>
    </row>
    <row r="21" spans="1:9" x14ac:dyDescent="0.2">
      <c r="A21" t="s">
        <v>33</v>
      </c>
      <c r="B21" s="2" t="str">
        <f>"0.418"</f>
        <v>0.418</v>
      </c>
      <c r="C21" s="2" t="str">
        <f>"[0.313]"</f>
        <v>[0.313]</v>
      </c>
      <c r="D21" s="2" t="str">
        <f>"-0.608"</f>
        <v>-0.608</v>
      </c>
      <c r="E21" s="2" t="str">
        <f>"[0.409]"</f>
        <v>[0.409]</v>
      </c>
      <c r="F21" s="2" t="str">
        <f>"-0.177"</f>
        <v>-0.177</v>
      </c>
      <c r="G21" s="2" t="str">
        <f>"[0.391]"</f>
        <v>[0.391]</v>
      </c>
      <c r="H21" s="2" t="str">
        <f>"-0.004"</f>
        <v>-0.004</v>
      </c>
      <c r="I21" s="2" t="str">
        <f>"[0.744]"</f>
        <v>[0.744]</v>
      </c>
    </row>
    <row r="22" spans="1:9" x14ac:dyDescent="0.2">
      <c r="A22" t="s">
        <v>34</v>
      </c>
      <c r="B22" s="2" t="str">
        <f>"-0.384"</f>
        <v>-0.384</v>
      </c>
      <c r="C22" s="2" t="str">
        <f>"[0.244]"</f>
        <v>[0.244]</v>
      </c>
      <c r="D22" s="2" t="str">
        <f>"-0.516"</f>
        <v>-0.516</v>
      </c>
      <c r="E22" s="2" t="str">
        <f>"[0.336]"</f>
        <v>[0.336]</v>
      </c>
      <c r="F22" s="2" t="str">
        <f>"-0.914**"</f>
        <v>-0.914**</v>
      </c>
      <c r="G22" s="2" t="str">
        <f>"[0.330]"</f>
        <v>[0.330]</v>
      </c>
      <c r="H22" s="2" t="str">
        <f>"-0.569"</f>
        <v>-0.569</v>
      </c>
      <c r="I22" s="2" t="str">
        <f>"[0.440]"</f>
        <v>[0.440]</v>
      </c>
    </row>
    <row r="23" spans="1:9" x14ac:dyDescent="0.2">
      <c r="A23" t="s">
        <v>35</v>
      </c>
      <c r="B23" s="2" t="str">
        <f>"-0.077"</f>
        <v>-0.077</v>
      </c>
      <c r="C23" s="2" t="str">
        <f>"[0.050]"</f>
        <v>[0.050]</v>
      </c>
      <c r="D23" s="2" t="str">
        <f>"-0.035"</f>
        <v>-0.035</v>
      </c>
      <c r="E23" s="2" t="str">
        <f>"[0.058]"</f>
        <v>[0.058]</v>
      </c>
      <c r="F23" s="2" t="str">
        <f>"-0.105*"</f>
        <v>-0.105*</v>
      </c>
      <c r="G23" s="2" t="str">
        <f>"[0.053]"</f>
        <v>[0.053]</v>
      </c>
      <c r="H23" s="2" t="str">
        <f>"-0.313***"</f>
        <v>-0.313***</v>
      </c>
      <c r="I23" s="2" t="str">
        <f>"[0.076]"</f>
        <v>[0.076]</v>
      </c>
    </row>
    <row r="24" spans="1:9" x14ac:dyDescent="0.2">
      <c r="A24" t="s">
        <v>36</v>
      </c>
      <c r="B24" s="2" t="str">
        <f>"0.890*"</f>
        <v>0.890*</v>
      </c>
      <c r="C24" s="2" t="str">
        <f>"[0.351]"</f>
        <v>[0.351]</v>
      </c>
      <c r="D24" s="2" t="str">
        <f>"-0.380"</f>
        <v>-0.380</v>
      </c>
      <c r="E24" s="2" t="str">
        <f>"[0.416]"</f>
        <v>[0.416]</v>
      </c>
      <c r="F24" s="2" t="str">
        <f>"0.449"</f>
        <v>0.449</v>
      </c>
      <c r="G24" s="2" t="str">
        <f>"[0.389]"</f>
        <v>[0.389]</v>
      </c>
      <c r="H24" s="2" t="str">
        <f>"-1.243"</f>
        <v>-1.243</v>
      </c>
      <c r="I24" s="2" t="str">
        <f>"[0.887]"</f>
        <v>[0.887]</v>
      </c>
    </row>
    <row r="25" spans="1:9" x14ac:dyDescent="0.2">
      <c r="A25" t="s">
        <v>37</v>
      </c>
      <c r="B25" s="2" t="str">
        <f>"0.562***"</f>
        <v>0.562***</v>
      </c>
      <c r="C25" s="2" t="str">
        <f>"[0.160]"</f>
        <v>[0.160]</v>
      </c>
      <c r="D25" s="2" t="str">
        <f>"0.491**"</f>
        <v>0.491**</v>
      </c>
      <c r="E25" s="2" t="str">
        <f>"[0.175]"</f>
        <v>[0.175]</v>
      </c>
      <c r="F25" s="2" t="str">
        <f>"1.031***"</f>
        <v>1.031***</v>
      </c>
      <c r="G25" s="2" t="str">
        <f>"[0.184]"</f>
        <v>[0.184]</v>
      </c>
      <c r="H25" s="2" t="str">
        <f>"0.336"</f>
        <v>0.336</v>
      </c>
      <c r="I25" s="2" t="str">
        <f>"[0.248]"</f>
        <v>[0.248]</v>
      </c>
    </row>
    <row r="26" spans="1:9" x14ac:dyDescent="0.2">
      <c r="A26" t="s">
        <v>38</v>
      </c>
      <c r="B26" s="2" t="str">
        <f>"0.832"</f>
        <v>0.832</v>
      </c>
      <c r="C26" s="2" t="str">
        <f>"[0.457]"</f>
        <v>[0.457]</v>
      </c>
      <c r="D26" s="2" t="str">
        <f>"-0.647"</f>
        <v>-0.647</v>
      </c>
      <c r="E26" s="2" t="str">
        <f>"[0.465]"</f>
        <v>[0.465]</v>
      </c>
      <c r="F26" s="2" t="str">
        <f>"0.206"</f>
        <v>0.206</v>
      </c>
      <c r="G26" s="2" t="str">
        <f>"[0.407]"</f>
        <v>[0.407]</v>
      </c>
      <c r="H26" s="2" t="str">
        <f>"0.009"</f>
        <v>0.009</v>
      </c>
      <c r="I26" s="2" t="str">
        <f>"[0.496]"</f>
        <v>[0.496]</v>
      </c>
    </row>
    <row r="27" spans="1:9" x14ac:dyDescent="0.2">
      <c r="A27" t="s">
        <v>39</v>
      </c>
      <c r="B27" s="2" t="str">
        <f>"-0.498"</f>
        <v>-0.498</v>
      </c>
      <c r="C27" s="2" t="str">
        <f>"[1.093]"</f>
        <v>[1.093]</v>
      </c>
      <c r="D27" s="2" t="str">
        <f>"7.628***"</f>
        <v>7.628***</v>
      </c>
      <c r="E27" s="2" t="str">
        <f>"[1.368]"</f>
        <v>[1.368]</v>
      </c>
      <c r="F27" s="2" t="str">
        <f>"7.130***"</f>
        <v>7.130***</v>
      </c>
      <c r="G27" s="2" t="str">
        <f>"[1.325]"</f>
        <v>[1.325]</v>
      </c>
      <c r="H27" s="2" t="str">
        <f>"0.014"</f>
        <v>0.014</v>
      </c>
      <c r="I27" s="2" t="str">
        <f>"[1.639]"</f>
        <v>[1.639]</v>
      </c>
    </row>
    <row r="28" spans="1:9" x14ac:dyDescent="0.2">
      <c r="A28" s="1" t="s">
        <v>22</v>
      </c>
    </row>
    <row r="29" spans="1:9" x14ac:dyDescent="0.2">
      <c r="A29" t="s">
        <v>7</v>
      </c>
      <c r="B29" s="2">
        <f>IFERROR(SUBSTITUTE(SUBSTITUTE(B10,".",","),"*",""),SUBSTITUTE(B10,".",",")) + IFERROR(SUBSTITUTE(SUBSTITUTE(B19,".",","),"*",""),SUBSTITUTE(B19,".",","))</f>
        <v>-0.64100000000000001</v>
      </c>
    </row>
    <row r="30" spans="1:9" x14ac:dyDescent="0.2">
      <c r="A30" t="s">
        <v>8</v>
      </c>
    </row>
    <row r="31" spans="1:9" x14ac:dyDescent="0.2">
      <c r="A31" t="s">
        <v>9</v>
      </c>
    </row>
    <row r="32" spans="1:9" x14ac:dyDescent="0.2">
      <c r="A32" t="s">
        <v>10</v>
      </c>
    </row>
    <row r="33" spans="1:1" x14ac:dyDescent="0.2">
      <c r="A33" t="s">
        <v>11</v>
      </c>
    </row>
    <row r="34" spans="1:1" x14ac:dyDescent="0.2">
      <c r="A34" t="s">
        <v>12</v>
      </c>
    </row>
    <row r="35" spans="1:1" x14ac:dyDescent="0.2">
      <c r="A35" t="s">
        <v>13</v>
      </c>
    </row>
    <row r="36" spans="1:1" x14ac:dyDescent="0.2">
      <c r="A36" t="s">
        <v>14</v>
      </c>
    </row>
    <row r="37" spans="1:1" x14ac:dyDescent="0.2">
      <c r="A37" t="s">
        <v>15</v>
      </c>
    </row>
  </sheetData>
  <mergeCells count="7">
    <mergeCell ref="K5:S5"/>
    <mergeCell ref="B2:C2"/>
    <mergeCell ref="D2:E2"/>
    <mergeCell ref="F2:G2"/>
    <mergeCell ref="H2:I2"/>
    <mergeCell ref="K3:S3"/>
    <mergeCell ref="K4:S4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</vt:lpstr>
      <vt:lpstr>decomp_medias</vt:lpstr>
      <vt:lpstr>decomp_gini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2021-07-26T01:55:11Z</dcterms:created>
  <dcterms:modified xsi:type="dcterms:W3CDTF">2021-07-26T12:06:06Z</dcterms:modified>
</cp:coreProperties>
</file>