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UniversityOfAuckland\ELECTENG 734\Wirlessly-Powered-RC-Car\Implementation\EE734 Design Report Student Package 2024\EE734 Design Report Student Package 2024\IPT\"/>
    </mc:Choice>
  </mc:AlternateContent>
  <xr:revisionPtr revIDLastSave="0" documentId="13_ncr:1_{B27A95FC-6D2D-4A8D-88EE-7B7F9BDAC494}" xr6:coauthVersionLast="47" xr6:coauthVersionMax="47" xr10:uidLastSave="{00000000-0000-0000-0000-000000000000}"/>
  <bookViews>
    <workbookView xWindow="28680" yWindow="-120" windowWidth="29040" windowHeight="15840" tabRatio="750" activeTab="4" xr2:uid="{00000000-000D-0000-FFFF-FFFF00000000}"/>
  </bookViews>
  <sheets>
    <sheet name="Operating Conditions" sheetId="1" r:id="rId1"/>
    <sheet name="Capacitor &amp; Controller" sheetId="2" r:id="rId2"/>
    <sheet name="Inductor" sheetId="6" r:id="rId3"/>
    <sheet name="Switch" sheetId="3" r:id="rId4"/>
    <sheet name="Diode" sheetId="5" r:id="rId5"/>
  </sheets>
  <definedNames>
    <definedName name="_xlnm._FilterDatabase" localSheetId="1" hidden="1">'Capacitor &amp; Controller'!$A$5:$C$9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5" l="1"/>
  <c r="D30" i="5"/>
  <c r="B30" i="5"/>
  <c r="F28" i="5"/>
  <c r="D28" i="5"/>
  <c r="B28" i="5"/>
  <c r="F27" i="5"/>
  <c r="D27" i="5"/>
  <c r="B27" i="5"/>
  <c r="B53" i="3"/>
  <c r="F47" i="3"/>
  <c r="D47" i="3"/>
  <c r="F45" i="3"/>
  <c r="D45" i="3"/>
  <c r="F46" i="3"/>
  <c r="D46" i="3"/>
  <c r="F44" i="3"/>
  <c r="D44" i="3"/>
  <c r="B44" i="3"/>
  <c r="F43" i="3"/>
  <c r="D43" i="3"/>
  <c r="B43" i="3"/>
  <c r="B42" i="3"/>
  <c r="F42" i="3"/>
  <c r="D42" i="3"/>
  <c r="B41" i="3"/>
  <c r="F41" i="3"/>
  <c r="D41" i="3"/>
  <c r="F40" i="3"/>
  <c r="D40" i="3"/>
  <c r="F39" i="3"/>
  <c r="D39" i="3"/>
  <c r="F37" i="3"/>
  <c r="D37" i="3"/>
  <c r="B37" i="3"/>
  <c r="B22" i="1"/>
  <c r="B21" i="1"/>
  <c r="F22" i="1"/>
  <c r="D22" i="1"/>
  <c r="D20" i="1"/>
  <c r="F19" i="1"/>
  <c r="F17" i="1"/>
  <c r="D17" i="1"/>
  <c r="B17" i="1"/>
  <c r="B19" i="1"/>
  <c r="B18" i="1"/>
  <c r="B42" i="2" l="1"/>
  <c r="B8" i="2"/>
  <c r="B6" i="5"/>
  <c r="B7" i="6" l="1"/>
  <c r="B20" i="6"/>
  <c r="B21" i="6"/>
  <c r="B7" i="3"/>
  <c r="B6" i="3"/>
  <c r="B28" i="3" s="1"/>
  <c r="B26" i="5"/>
  <c r="D26" i="5"/>
  <c r="B7" i="2"/>
  <c r="F26" i="5"/>
  <c r="F38" i="3" l="1"/>
  <c r="D38" i="3"/>
  <c r="B7" i="5"/>
  <c r="B6" i="6"/>
  <c r="D18" i="1" l="1"/>
  <c r="D19" i="1" s="1"/>
</calcChain>
</file>

<file path=xl/sharedStrings.xml><?xml version="1.0" encoding="utf-8"?>
<sst xmlns="http://schemas.openxmlformats.org/spreadsheetml/2006/main" count="384" uniqueCount="183">
  <si>
    <t>Specifications</t>
  </si>
  <si>
    <t>Vout</t>
  </si>
  <si>
    <t>Parameter</t>
  </si>
  <si>
    <t>Value</t>
  </si>
  <si>
    <t>Unit</t>
  </si>
  <si>
    <t>Load</t>
  </si>
  <si>
    <t>D</t>
  </si>
  <si>
    <t>Unit (eq)</t>
  </si>
  <si>
    <t>V</t>
  </si>
  <si>
    <t>A</t>
  </si>
  <si>
    <t>Ω</t>
  </si>
  <si>
    <t>%</t>
  </si>
  <si>
    <t>% (5)</t>
  </si>
  <si>
    <t>kHz</t>
  </si>
  <si>
    <t>µH</t>
  </si>
  <si>
    <t>IC,rms</t>
  </si>
  <si>
    <t>A (10)</t>
  </si>
  <si>
    <t>Evaluating Steady-State Operating Conditions</t>
  </si>
  <si>
    <t>Ptotal</t>
  </si>
  <si>
    <t>Minimum Capacitance to Meet ΔVo</t>
  </si>
  <si>
    <t>Design ΔVo</t>
  </si>
  <si>
    <t>C(min)</t>
  </si>
  <si>
    <t>Selecting a Capacitor</t>
  </si>
  <si>
    <t>Series</t>
  </si>
  <si>
    <t>Manufacturer</t>
  </si>
  <si>
    <t>Panasonic</t>
  </si>
  <si>
    <t>TP</t>
  </si>
  <si>
    <t>Voltage rating</t>
  </si>
  <si>
    <t>Capacitance</t>
  </si>
  <si>
    <t xml:space="preserve">µF </t>
  </si>
  <si>
    <t>ESR</t>
  </si>
  <si>
    <t xml:space="preserve">mΩ </t>
  </si>
  <si>
    <t>IC,rms rating</t>
  </si>
  <si>
    <t>Evaluating Steady-State Capacitor Losses</t>
  </si>
  <si>
    <t>PC</t>
  </si>
  <si>
    <t>Max Vsw</t>
  </si>
  <si>
    <t>Ta</t>
  </si>
  <si>
    <t>Degrees C</t>
  </si>
  <si>
    <t>Selecting a N-Channel MOSFET</t>
  </si>
  <si>
    <t>Model no</t>
  </si>
  <si>
    <t>Vdss</t>
  </si>
  <si>
    <t>ID(max)</t>
  </si>
  <si>
    <t>tr</t>
  </si>
  <si>
    <t>tf</t>
  </si>
  <si>
    <t>ns</t>
  </si>
  <si>
    <t>Crss @ Max Vsw/2</t>
  </si>
  <si>
    <t>pF</t>
  </si>
  <si>
    <t>Rds,on</t>
  </si>
  <si>
    <t>Vgs(Io)</t>
  </si>
  <si>
    <t>Evaluating Steady-State Switch Losses</t>
  </si>
  <si>
    <t>trv</t>
  </si>
  <si>
    <t>Gate Drive Details</t>
  </si>
  <si>
    <t>Rg</t>
  </si>
  <si>
    <t>Design Vgg</t>
  </si>
  <si>
    <t>Design Igg</t>
  </si>
  <si>
    <t>ts,on</t>
  </si>
  <si>
    <t>ts,off</t>
  </si>
  <si>
    <t>Pswitching</t>
  </si>
  <si>
    <t>Is,rms</t>
  </si>
  <si>
    <t>Max Is,rms</t>
  </si>
  <si>
    <t>Is @ on</t>
  </si>
  <si>
    <t>Is @ off</t>
  </si>
  <si>
    <t>Pconduction</t>
  </si>
  <si>
    <t>RthJA - no heatsink</t>
  </si>
  <si>
    <t>Tj,max</t>
  </si>
  <si>
    <t>C/W</t>
  </si>
  <si>
    <t>Max Vd</t>
  </si>
  <si>
    <t>Max Id,avg</t>
  </si>
  <si>
    <t>Selecting a Diode</t>
  </si>
  <si>
    <t>Vr(max)</t>
  </si>
  <si>
    <t>IF(max) - dual</t>
  </si>
  <si>
    <t>VF</t>
  </si>
  <si>
    <t>RthJA - D2Pak</t>
  </si>
  <si>
    <t>ID,avg</t>
  </si>
  <si>
    <t>Prr</t>
  </si>
  <si>
    <t xml:space="preserve">kΩ </t>
  </si>
  <si>
    <t>Nominal Vout(avg)</t>
  </si>
  <si>
    <t>Isc(rms)</t>
  </si>
  <si>
    <t>A (1)</t>
  </si>
  <si>
    <t>Io</t>
  </si>
  <si>
    <t>Po</t>
  </si>
  <si>
    <t>A (2)</t>
  </si>
  <si>
    <t>V (3)</t>
  </si>
  <si>
    <t>W (4)</t>
  </si>
  <si>
    <t>Qmax</t>
  </si>
  <si>
    <t>Qavg</t>
  </si>
  <si>
    <t xml:space="preserve"> (6)</t>
  </si>
  <si>
    <t xml:space="preserve"> (7)</t>
  </si>
  <si>
    <t>Evaluating Compensation Capacitor</t>
  </si>
  <si>
    <t>C2</t>
  </si>
  <si>
    <t>Track f0</t>
  </si>
  <si>
    <t>µF (8)</t>
  </si>
  <si>
    <t>Max IC2</t>
  </si>
  <si>
    <t>Max V2</t>
  </si>
  <si>
    <t>V (9)</t>
  </si>
  <si>
    <t>Max fs</t>
  </si>
  <si>
    <t>Nominal Vout</t>
  </si>
  <si>
    <t>Max Iout</t>
  </si>
  <si>
    <t>µF (11)</t>
  </si>
  <si>
    <t>Hz</t>
  </si>
  <si>
    <t>Vref</t>
  </si>
  <si>
    <t>fs</t>
  </si>
  <si>
    <t>Hz (12)</t>
  </si>
  <si>
    <t>A (13)</t>
  </si>
  <si>
    <t>mW (14)</t>
  </si>
  <si>
    <t>kΩ (15)</t>
  </si>
  <si>
    <t>kΩ (16)</t>
  </si>
  <si>
    <t>Pick-up Conveter Design - Part IV</t>
  </si>
  <si>
    <t>Vo,opamp</t>
  </si>
  <si>
    <t>Rf</t>
  </si>
  <si>
    <t>tfv</t>
  </si>
  <si>
    <t>Ripple fs</t>
  </si>
  <si>
    <t>Design Bmax</t>
  </si>
  <si>
    <t>T</t>
  </si>
  <si>
    <t>Design Jmax</t>
  </si>
  <si>
    <t>A/mm^2</t>
  </si>
  <si>
    <t>Core type</t>
  </si>
  <si>
    <t>Drum15</t>
  </si>
  <si>
    <t>Al</t>
  </si>
  <si>
    <t>Ae</t>
  </si>
  <si>
    <t>mm^2</t>
  </si>
  <si>
    <t>AN</t>
  </si>
  <si>
    <t>ln</t>
  </si>
  <si>
    <t>mm</t>
  </si>
  <si>
    <t>Wire ρ</t>
  </si>
  <si>
    <t>Ωm</t>
  </si>
  <si>
    <t>Wire µ0</t>
  </si>
  <si>
    <t>H/m</t>
  </si>
  <si>
    <t>Achievable Kf</t>
  </si>
  <si>
    <t>Design Choices</t>
  </si>
  <si>
    <t>Selected L</t>
  </si>
  <si>
    <t>Selected dcu</t>
  </si>
  <si>
    <t>Evaluating Inductor Parameters</t>
  </si>
  <si>
    <t>N</t>
  </si>
  <si>
    <t>Bc(max)</t>
  </si>
  <si>
    <t>Acu (1 strand)</t>
  </si>
  <si>
    <t>Jmax</t>
  </si>
  <si>
    <t>Bundle Rw(dc)</t>
  </si>
  <si>
    <t>Evaluating Steady-State Inductor Losses</t>
  </si>
  <si>
    <t>IL,rms</t>
  </si>
  <si>
    <t>Pcu</t>
  </si>
  <si>
    <t>Core &amp; Magnet Wire Details</t>
  </si>
  <si>
    <t>mm^2 (20)</t>
  </si>
  <si>
    <t>ns (27)</t>
  </si>
  <si>
    <t>ns (28)</t>
  </si>
  <si>
    <t>ns (29)</t>
  </si>
  <si>
    <t>mw (32)</t>
  </si>
  <si>
    <t>W (36)</t>
  </si>
  <si>
    <t>W (37)</t>
  </si>
  <si>
    <t>Used Winding Area</t>
  </si>
  <si>
    <t>Pick-up Converter Design - Part II</t>
  </si>
  <si>
    <t>Voc(rms)</t>
  </si>
  <si>
    <t>Winding L2</t>
  </si>
  <si>
    <t>Selected Rb</t>
  </si>
  <si>
    <t>Ra</t>
  </si>
  <si>
    <t>Pick-up Converter Design - Part I</t>
  </si>
  <si>
    <t>Pick-up Converter Design - Part III</t>
  </si>
  <si>
    <t>Pick-up Converter Design - Part V</t>
  </si>
  <si>
    <t>Evaluating Junction Temperature</t>
  </si>
  <si>
    <t>Evaluating Feedback Resistor Network</t>
  </si>
  <si>
    <t>Turns (17)</t>
  </si>
  <si>
    <t>T (18)</t>
  </si>
  <si>
    <t>mm^2 (19)</t>
  </si>
  <si>
    <t>A/mm^2 (21)</t>
  </si>
  <si>
    <t>mΩ (22)</t>
  </si>
  <si>
    <t>mW (23)</t>
  </si>
  <si>
    <t>Ω (24)</t>
  </si>
  <si>
    <t>A (25)</t>
  </si>
  <si>
    <t>ns (26)</t>
  </si>
  <si>
    <t>mW (30)</t>
  </si>
  <si>
    <t>mw (31)</t>
  </si>
  <si>
    <t>C (33)</t>
  </si>
  <si>
    <t>A (34)</t>
  </si>
  <si>
    <t>W (35)</t>
  </si>
  <si>
    <t>C (38)</t>
  </si>
  <si>
    <t>Max IL(Avg)</t>
  </si>
  <si>
    <t>V,peak to peak</t>
  </si>
  <si>
    <t>infineon</t>
  </si>
  <si>
    <t>IPP052N06L3</t>
  </si>
  <si>
    <t>Vishay</t>
  </si>
  <si>
    <t>VS-MBR1045-M3</t>
  </si>
  <si>
    <t>n/a</t>
  </si>
  <si>
    <t xml:space="preserve"> Approximation assuming similar RthJA to MOSFET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</si>
</sst>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rgb="FF3F3F3F"/>
      </right>
      <top style="thin">
        <color auto="1"/>
      </top>
      <bottom/>
      <diagonal/>
    </border>
    <border>
      <left style="double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/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double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6" fillId="2" borderId="2" applyNumberFormat="0" applyAlignment="0" applyProtection="0"/>
    <xf numFmtId="0" fontId="1" fillId="3" borderId="0" applyNumberFormat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0" borderId="3" xfId="0" applyNumberFormat="1" applyBorder="1"/>
    <xf numFmtId="49" fontId="0" fillId="0" borderId="3" xfId="0" applyNumberFormat="1" applyBorder="1"/>
    <xf numFmtId="0" fontId="6" fillId="2" borderId="2" xfId="1"/>
    <xf numFmtId="2" fontId="0" fillId="0" borderId="5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0" fontId="1" fillId="3" borderId="7" xfId="2" applyBorder="1"/>
    <xf numFmtId="49" fontId="0" fillId="0" borderId="8" xfId="0" applyNumberFormat="1" applyBorder="1"/>
    <xf numFmtId="2" fontId="0" fillId="0" borderId="10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0" fontId="0" fillId="0" borderId="8" xfId="0" applyBorder="1"/>
    <xf numFmtId="0" fontId="0" fillId="0" borderId="6" xfId="0" applyBorder="1"/>
    <xf numFmtId="0" fontId="0" fillId="0" borderId="11" xfId="0" applyBorder="1"/>
    <xf numFmtId="49" fontId="0" fillId="0" borderId="13" xfId="0" applyNumberFormat="1" applyBorder="1"/>
    <xf numFmtId="49" fontId="0" fillId="0" borderId="14" xfId="0" applyNumberFormat="1" applyBorder="1"/>
    <xf numFmtId="164" fontId="0" fillId="0" borderId="1" xfId="0" applyNumberFormat="1" applyBorder="1"/>
    <xf numFmtId="49" fontId="0" fillId="0" borderId="1" xfId="0" applyNumberFormat="1" applyBorder="1"/>
    <xf numFmtId="49" fontId="0" fillId="0" borderId="16" xfId="0" applyNumberFormat="1" applyBorder="1"/>
    <xf numFmtId="2" fontId="0" fillId="0" borderId="1" xfId="0" applyNumberFormat="1" applyBorder="1"/>
    <xf numFmtId="2" fontId="0" fillId="0" borderId="18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0" fontId="0" fillId="0" borderId="14" xfId="0" applyBorder="1"/>
    <xf numFmtId="0" fontId="0" fillId="0" borderId="16" xfId="0" applyBorder="1"/>
    <xf numFmtId="164" fontId="0" fillId="0" borderId="18" xfId="0" applyNumberFormat="1" applyBorder="1"/>
    <xf numFmtId="0" fontId="0" fillId="0" borderId="19" xfId="0" applyBorder="1"/>
    <xf numFmtId="0" fontId="0" fillId="0" borderId="1" xfId="0" applyBorder="1" applyAlignment="1">
      <alignment horizontal="right"/>
    </xf>
    <xf numFmtId="0" fontId="1" fillId="3" borderId="12" xfId="2" applyBorder="1"/>
    <xf numFmtId="0" fontId="1" fillId="3" borderId="15" xfId="2" applyBorder="1"/>
    <xf numFmtId="0" fontId="1" fillId="3" borderId="17" xfId="2" applyBorder="1"/>
    <xf numFmtId="0" fontId="0" fillId="0" borderId="13" xfId="0" applyBorder="1" applyAlignment="1">
      <alignment horizontal="right"/>
    </xf>
    <xf numFmtId="0" fontId="0" fillId="0" borderId="1" xfId="0" applyBorder="1"/>
    <xf numFmtId="0" fontId="0" fillId="0" borderId="18" xfId="0" applyBorder="1"/>
    <xf numFmtId="0" fontId="0" fillId="0" borderId="22" xfId="0" applyBorder="1"/>
    <xf numFmtId="0" fontId="1" fillId="3" borderId="20" xfId="2" applyBorder="1"/>
    <xf numFmtId="0" fontId="0" fillId="3" borderId="15" xfId="2" applyFont="1" applyBorder="1"/>
    <xf numFmtId="0" fontId="0" fillId="3" borderId="17" xfId="2" applyFont="1" applyBorder="1"/>
    <xf numFmtId="0" fontId="0" fillId="3" borderId="4" xfId="2" applyFont="1" applyBorder="1"/>
    <xf numFmtId="0" fontId="0" fillId="3" borderId="7" xfId="2" applyFont="1" applyBorder="1"/>
    <xf numFmtId="0" fontId="0" fillId="3" borderId="9" xfId="2" applyFont="1" applyBorder="1"/>
    <xf numFmtId="2" fontId="0" fillId="0" borderId="24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0" fontId="0" fillId="3" borderId="23" xfId="2" applyFont="1" applyBorder="1"/>
    <xf numFmtId="0" fontId="0" fillId="3" borderId="12" xfId="2" applyFont="1" applyBorder="1"/>
    <xf numFmtId="0" fontId="1" fillId="0" borderId="0" xfId="2" applyFill="1" applyBorder="1"/>
    <xf numFmtId="164" fontId="0" fillId="0" borderId="27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0" fontId="0" fillId="3" borderId="26" xfId="2" applyFont="1" applyBorder="1"/>
    <xf numFmtId="0" fontId="0" fillId="0" borderId="28" xfId="0" applyBorder="1"/>
    <xf numFmtId="0" fontId="0" fillId="3" borderId="29" xfId="2" applyFont="1" applyBorder="1"/>
    <xf numFmtId="2" fontId="0" fillId="0" borderId="13" xfId="0" applyNumberFormat="1" applyBorder="1" applyAlignment="1">
      <alignment horizontal="right"/>
    </xf>
    <xf numFmtId="2" fontId="0" fillId="0" borderId="27" xfId="0" applyNumberFormat="1" applyBorder="1" applyAlignment="1">
      <alignment horizontal="right"/>
    </xf>
    <xf numFmtId="2" fontId="0" fillId="4" borderId="5" xfId="0" applyNumberFormat="1" applyFill="1" applyBorder="1"/>
    <xf numFmtId="2" fontId="0" fillId="4" borderId="3" xfId="0" applyNumberFormat="1" applyFill="1" applyBorder="1"/>
    <xf numFmtId="2" fontId="0" fillId="4" borderId="10" xfId="0" applyNumberFormat="1" applyFill="1" applyBorder="1"/>
    <xf numFmtId="2" fontId="0" fillId="4" borderId="13" xfId="0" applyNumberFormat="1" applyFill="1" applyBorder="1"/>
    <xf numFmtId="2" fontId="0" fillId="4" borderId="1" xfId="0" applyNumberFormat="1" applyFill="1" applyBorder="1"/>
    <xf numFmtId="2" fontId="0" fillId="4" borderId="18" xfId="0" applyNumberFormat="1" applyFill="1" applyBorder="1"/>
    <xf numFmtId="0" fontId="0" fillId="4" borderId="13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64" fontId="0" fillId="4" borderId="13" xfId="0" applyNumberFormat="1" applyFill="1" applyBorder="1"/>
    <xf numFmtId="0" fontId="7" fillId="0" borderId="0" xfId="0" applyFont="1"/>
    <xf numFmtId="11" fontId="0" fillId="0" borderId="0" xfId="0" applyNumberFormat="1"/>
    <xf numFmtId="164" fontId="0" fillId="4" borderId="13" xfId="0" applyNumberFormat="1" applyFill="1" applyBorder="1" applyAlignment="1">
      <alignment horizontal="right"/>
    </xf>
    <xf numFmtId="165" fontId="0" fillId="4" borderId="1" xfId="0" applyNumberFormat="1" applyFill="1" applyBorder="1"/>
    <xf numFmtId="0" fontId="0" fillId="0" borderId="27" xfId="0" applyBorder="1"/>
    <xf numFmtId="11" fontId="0" fillId="0" borderId="1" xfId="0" applyNumberFormat="1" applyBorder="1"/>
    <xf numFmtId="2" fontId="0" fillId="5" borderId="1" xfId="0" applyNumberFormat="1" applyFill="1" applyBorder="1" applyAlignment="1">
      <alignment horizontal="right"/>
    </xf>
    <xf numFmtId="2" fontId="0" fillId="5" borderId="18" xfId="0" applyNumberFormat="1" applyFill="1" applyBorder="1"/>
    <xf numFmtId="164" fontId="0" fillId="5" borderId="1" xfId="0" applyNumberFormat="1" applyFill="1" applyBorder="1"/>
    <xf numFmtId="164" fontId="0" fillId="5" borderId="18" xfId="0" applyNumberFormat="1" applyFill="1" applyBorder="1"/>
    <xf numFmtId="2" fontId="0" fillId="5" borderId="1" xfId="0" applyNumberFormat="1" applyFill="1" applyBorder="1"/>
    <xf numFmtId="2" fontId="0" fillId="0" borderId="10" xfId="0" applyNumberFormat="1" applyFill="1" applyBorder="1"/>
    <xf numFmtId="2" fontId="0" fillId="0" borderId="18" xfId="0" applyNumberFormat="1" applyFill="1" applyBorder="1"/>
    <xf numFmtId="164" fontId="0" fillId="0" borderId="27" xfId="0" applyNumberFormat="1" applyFill="1" applyBorder="1"/>
    <xf numFmtId="2" fontId="0" fillId="0" borderId="1" xfId="0" applyNumberFormat="1" applyFill="1" applyBorder="1"/>
    <xf numFmtId="164" fontId="0" fillId="0" borderId="18" xfId="0" applyNumberFormat="1" applyFill="1" applyBorder="1"/>
    <xf numFmtId="164" fontId="0" fillId="0" borderId="1" xfId="0" applyNumberFormat="1" applyFill="1" applyBorder="1"/>
    <xf numFmtId="0" fontId="0" fillId="0" borderId="1" xfId="0" applyFill="1" applyBorder="1"/>
    <xf numFmtId="0" fontId="0" fillId="0" borderId="18" xfId="0" applyFill="1" applyBorder="1"/>
    <xf numFmtId="2" fontId="0" fillId="0" borderId="21" xfId="0" applyNumberFormat="1" applyFill="1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Fill="1" applyBorder="1" applyAlignment="1">
      <alignment horizontal="right"/>
    </xf>
    <xf numFmtId="0" fontId="0" fillId="5" borderId="0" xfId="0" applyFill="1"/>
  </cellXfs>
  <cellStyles count="3">
    <cellStyle name="20% - Accent1" xfId="2" builtinId="30"/>
    <cellStyle name="Check Cell" xfId="1" builtinId="2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4"/>
  <sheetViews>
    <sheetView workbookViewId="0">
      <selection activeCell="E25" sqref="E25"/>
    </sheetView>
  </sheetViews>
  <sheetFormatPr defaultColWidth="11" defaultRowHeight="15.75" x14ac:dyDescent="0.25"/>
  <cols>
    <col min="1" max="1" width="19.75" customWidth="1"/>
    <col min="2" max="7" width="11.875" customWidth="1"/>
  </cols>
  <sheetData>
    <row r="1" spans="1:7" ht="21" x14ac:dyDescent="0.35">
      <c r="A1" s="3" t="s">
        <v>155</v>
      </c>
    </row>
    <row r="3" spans="1:7" ht="18.75" x14ac:dyDescent="0.3">
      <c r="A3" s="2" t="s">
        <v>0</v>
      </c>
    </row>
    <row r="4" spans="1:7" ht="16.5" thickBot="1" x14ac:dyDescent="0.3"/>
    <row r="5" spans="1:7" ht="17.25" thickTop="1" thickBot="1" x14ac:dyDescent="0.3">
      <c r="A5" s="10" t="s">
        <v>2</v>
      </c>
      <c r="B5" s="10" t="s">
        <v>3</v>
      </c>
      <c r="C5" s="10" t="s">
        <v>4</v>
      </c>
    </row>
    <row r="6" spans="1:7" ht="16.5" thickTop="1" x14ac:dyDescent="0.25">
      <c r="A6" s="46" t="s">
        <v>76</v>
      </c>
      <c r="B6" s="63">
        <v>15</v>
      </c>
      <c r="C6" s="20" t="s">
        <v>8</v>
      </c>
    </row>
    <row r="7" spans="1:7" x14ac:dyDescent="0.25">
      <c r="A7" s="47" t="s">
        <v>77</v>
      </c>
      <c r="B7" s="64">
        <v>1.17</v>
      </c>
      <c r="C7" s="19" t="s">
        <v>9</v>
      </c>
    </row>
    <row r="8" spans="1:7" x14ac:dyDescent="0.25">
      <c r="A8" s="47" t="s">
        <v>151</v>
      </c>
      <c r="B8" s="64">
        <v>7.12</v>
      </c>
      <c r="C8" s="19" t="s">
        <v>8</v>
      </c>
    </row>
    <row r="9" spans="1:7" ht="16.5" thickBot="1" x14ac:dyDescent="0.3">
      <c r="A9" s="47" t="s">
        <v>152</v>
      </c>
      <c r="B9" s="64">
        <v>25</v>
      </c>
      <c r="C9" s="18" t="s">
        <v>14</v>
      </c>
    </row>
    <row r="10" spans="1:7" ht="17.25" thickTop="1" thickBot="1" x14ac:dyDescent="0.3">
      <c r="A10" s="48" t="s">
        <v>90</v>
      </c>
      <c r="B10" s="65">
        <v>38.4</v>
      </c>
      <c r="C10" s="21" t="s">
        <v>13</v>
      </c>
    </row>
    <row r="11" spans="1:7" ht="16.5" thickTop="1" x14ac:dyDescent="0.25">
      <c r="A11" s="1"/>
    </row>
    <row r="13" spans="1:7" ht="18.75" x14ac:dyDescent="0.3">
      <c r="A13" s="2" t="s">
        <v>17</v>
      </c>
    </row>
    <row r="14" spans="1:7" ht="16.5" thickBot="1" x14ac:dyDescent="0.3"/>
    <row r="15" spans="1:7" ht="17.25" thickTop="1" thickBot="1" x14ac:dyDescent="0.3">
      <c r="A15" s="10" t="s">
        <v>2</v>
      </c>
      <c r="B15" s="10" t="s">
        <v>3</v>
      </c>
      <c r="C15" s="10" t="s">
        <v>7</v>
      </c>
      <c r="D15" s="10" t="s">
        <v>3</v>
      </c>
      <c r="E15" s="10" t="s">
        <v>7</v>
      </c>
      <c r="F15" s="10" t="s">
        <v>3</v>
      </c>
      <c r="G15" s="10" t="s">
        <v>7</v>
      </c>
    </row>
    <row r="16" spans="1:7" ht="16.5" thickTop="1" x14ac:dyDescent="0.25">
      <c r="A16" s="46" t="s">
        <v>5</v>
      </c>
      <c r="B16" s="63">
        <v>10</v>
      </c>
      <c r="C16" s="12" t="s">
        <v>10</v>
      </c>
      <c r="D16" s="63">
        <v>15</v>
      </c>
      <c r="E16" s="12" t="s">
        <v>10</v>
      </c>
      <c r="F16" s="63">
        <v>25</v>
      </c>
      <c r="G16" s="13" t="s">
        <v>10</v>
      </c>
    </row>
    <row r="17" spans="1:7" x14ac:dyDescent="0.25">
      <c r="A17" s="47" t="s">
        <v>79</v>
      </c>
      <c r="B17" s="8">
        <f>B7*1.1</f>
        <v>1.2869999999999999</v>
      </c>
      <c r="C17" s="9" t="s">
        <v>78</v>
      </c>
      <c r="D17" s="8">
        <f>B6/D16</f>
        <v>1</v>
      </c>
      <c r="E17" s="9" t="s">
        <v>81</v>
      </c>
      <c r="F17" s="8">
        <f>B6/F16</f>
        <v>0.6</v>
      </c>
      <c r="G17" s="15" t="s">
        <v>81</v>
      </c>
    </row>
    <row r="18" spans="1:7" x14ac:dyDescent="0.25">
      <c r="A18" s="47" t="s">
        <v>1</v>
      </c>
      <c r="B18" s="8">
        <f>B17*B16</f>
        <v>12.87</v>
      </c>
      <c r="C18" s="9" t="s">
        <v>82</v>
      </c>
      <c r="D18" s="8">
        <f>D17*D16</f>
        <v>15</v>
      </c>
      <c r="E18" s="9" t="s">
        <v>82</v>
      </c>
      <c r="F18" s="8">
        <v>15</v>
      </c>
      <c r="G18" s="15" t="s">
        <v>82</v>
      </c>
    </row>
    <row r="19" spans="1:7" x14ac:dyDescent="0.25">
      <c r="A19" s="47" t="s">
        <v>80</v>
      </c>
      <c r="B19" s="8">
        <f>B17^2 *B16</f>
        <v>16.563689999999998</v>
      </c>
      <c r="C19" s="9" t="s">
        <v>83</v>
      </c>
      <c r="D19" s="8">
        <f>D18^2/D16</f>
        <v>15</v>
      </c>
      <c r="E19" s="9" t="s">
        <v>83</v>
      </c>
      <c r="F19" s="8">
        <f>F18^2/F16</f>
        <v>9</v>
      </c>
      <c r="G19" s="15" t="s">
        <v>83</v>
      </c>
    </row>
    <row r="20" spans="1:7" x14ac:dyDescent="0.25">
      <c r="A20" s="14" t="s">
        <v>6</v>
      </c>
      <c r="B20" s="8">
        <v>0</v>
      </c>
      <c r="C20" s="9" t="s">
        <v>12</v>
      </c>
      <c r="D20" s="8">
        <f>22.3</f>
        <v>22.3</v>
      </c>
      <c r="E20" s="9" t="s">
        <v>12</v>
      </c>
      <c r="F20" s="8">
        <v>53.38</v>
      </c>
      <c r="G20" s="15" t="s">
        <v>12</v>
      </c>
    </row>
    <row r="21" spans="1:7" x14ac:dyDescent="0.25">
      <c r="A21" s="52" t="s">
        <v>84</v>
      </c>
      <c r="B21" s="49">
        <f>B19/($B$7*$B$8)</f>
        <v>1.9883426966292135</v>
      </c>
      <c r="C21" s="50" t="s">
        <v>86</v>
      </c>
      <c r="D21" s="49">
        <v>2.3199999999999998</v>
      </c>
      <c r="E21" s="50" t="s">
        <v>86</v>
      </c>
      <c r="F21" s="49">
        <v>2.3199999999999998</v>
      </c>
      <c r="G21" s="51" t="s">
        <v>86</v>
      </c>
    </row>
    <row r="22" spans="1:7" ht="16.5" thickBot="1" x14ac:dyDescent="0.3">
      <c r="A22" s="48" t="s">
        <v>85</v>
      </c>
      <c r="B22" s="16">
        <f>B19/($B$7*$B$8)</f>
        <v>1.9883426966292135</v>
      </c>
      <c r="C22" s="17" t="s">
        <v>87</v>
      </c>
      <c r="D22" s="16">
        <f>D19/($B$7*$B$8)</f>
        <v>1.8006338231057335</v>
      </c>
      <c r="E22" s="17" t="s">
        <v>87</v>
      </c>
      <c r="F22" s="16">
        <f>F19/($B$7*$B$8)</f>
        <v>1.0803802938634401</v>
      </c>
      <c r="G22" s="18" t="s">
        <v>87</v>
      </c>
    </row>
    <row r="23" spans="1:7" ht="16.5" thickTop="1" x14ac:dyDescent="0.25"/>
    <row r="25" spans="1:7" ht="18.75" x14ac:dyDescent="0.3">
      <c r="A25" s="2" t="s">
        <v>88</v>
      </c>
    </row>
    <row r="26" spans="1:7" ht="16.5" thickBot="1" x14ac:dyDescent="0.3"/>
    <row r="27" spans="1:7" ht="17.25" thickTop="1" thickBot="1" x14ac:dyDescent="0.3">
      <c r="A27" s="10" t="s">
        <v>2</v>
      </c>
      <c r="B27" s="10" t="s">
        <v>3</v>
      </c>
      <c r="C27" s="10" t="s">
        <v>7</v>
      </c>
    </row>
    <row r="28" spans="1:7" ht="16.5" thickTop="1" x14ac:dyDescent="0.25">
      <c r="A28" s="46" t="s">
        <v>89</v>
      </c>
      <c r="B28" s="11">
        <v>0.67139000000000004</v>
      </c>
      <c r="C28" s="13" t="s">
        <v>91</v>
      </c>
    </row>
    <row r="29" spans="1:7" x14ac:dyDescent="0.25">
      <c r="A29" s="47" t="s">
        <v>93</v>
      </c>
      <c r="B29" s="8">
        <v>16.5</v>
      </c>
      <c r="C29" s="19" t="s">
        <v>94</v>
      </c>
    </row>
    <row r="30" spans="1:7" ht="16.5" thickBot="1" x14ac:dyDescent="0.3">
      <c r="A30" s="48" t="s">
        <v>92</v>
      </c>
      <c r="B30" s="83">
        <v>2.6669999999999998</v>
      </c>
      <c r="C30" s="18" t="s">
        <v>16</v>
      </c>
    </row>
    <row r="31" spans="1:7" ht="16.5" thickTop="1" x14ac:dyDescent="0.25">
      <c r="B31" s="5"/>
      <c r="C31" s="4"/>
    </row>
    <row r="32" spans="1:7" x14ac:dyDescent="0.25">
      <c r="B32" s="5"/>
      <c r="C32" s="4"/>
    </row>
    <row r="33" spans="2:7" x14ac:dyDescent="0.25">
      <c r="B33" s="5"/>
      <c r="D33" s="5"/>
      <c r="E33" s="4"/>
      <c r="F33" s="5"/>
      <c r="G33" s="4"/>
    </row>
    <row r="34" spans="2:7" x14ac:dyDescent="0.25">
      <c r="B34" s="4"/>
    </row>
  </sheetData>
  <phoneticPr fontId="5" type="noConversion"/>
  <pageMargins left="0.7" right="0.7" top="0.75" bottom="0.75" header="0.3" footer="0.3"/>
  <pageSetup paperSize="9" scale="94" orientation="portrait" horizontalDpi="0" verticalDpi="0"/>
  <ignoredErrors>
    <ignoredError sqref="C20:C21 E20 G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46"/>
  <sheetViews>
    <sheetView zoomScaleNormal="100" workbookViewId="0">
      <selection activeCell="F45" sqref="F45"/>
    </sheetView>
  </sheetViews>
  <sheetFormatPr defaultColWidth="11" defaultRowHeight="15.75" x14ac:dyDescent="0.25"/>
  <cols>
    <col min="1" max="1" width="15" bestFit="1" customWidth="1"/>
    <col min="2" max="2" width="11.875" customWidth="1"/>
    <col min="3" max="3" width="13" bestFit="1" customWidth="1"/>
    <col min="4" max="7" width="11.875" customWidth="1"/>
  </cols>
  <sheetData>
    <row r="1" spans="1:3" ht="21" x14ac:dyDescent="0.35">
      <c r="A1" s="3" t="s">
        <v>150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0" t="s">
        <v>2</v>
      </c>
      <c r="B5" s="10" t="s">
        <v>3</v>
      </c>
      <c r="C5" s="10" t="s">
        <v>4</v>
      </c>
    </row>
    <row r="6" spans="1:3" ht="16.5" thickTop="1" x14ac:dyDescent="0.25">
      <c r="A6" s="53" t="s">
        <v>95</v>
      </c>
      <c r="B6" s="66">
        <v>1000</v>
      </c>
      <c r="C6" s="23" t="s">
        <v>99</v>
      </c>
    </row>
    <row r="7" spans="1:3" x14ac:dyDescent="0.25">
      <c r="A7" s="44" t="s">
        <v>96</v>
      </c>
      <c r="B7" s="67">
        <f>'Operating Conditions'!B6</f>
        <v>15</v>
      </c>
      <c r="C7" s="32" t="s">
        <v>8</v>
      </c>
    </row>
    <row r="8" spans="1:3" x14ac:dyDescent="0.25">
      <c r="A8" s="44" t="s">
        <v>97</v>
      </c>
      <c r="B8" s="67">
        <f>'Operating Conditions'!B7*1.1</f>
        <v>1.2869999999999999</v>
      </c>
      <c r="C8" s="32" t="s">
        <v>9</v>
      </c>
    </row>
    <row r="9" spans="1:3" ht="16.5" thickBot="1" x14ac:dyDescent="0.3">
      <c r="A9" s="38" t="s">
        <v>20</v>
      </c>
      <c r="B9" s="68">
        <v>1</v>
      </c>
      <c r="C9" s="34" t="s">
        <v>176</v>
      </c>
    </row>
    <row r="10" spans="1:3" ht="16.5" thickTop="1" x14ac:dyDescent="0.25"/>
    <row r="12" spans="1:3" ht="18.75" x14ac:dyDescent="0.3">
      <c r="A12" s="2" t="s">
        <v>19</v>
      </c>
    </row>
    <row r="13" spans="1:3" ht="16.5" thickBot="1" x14ac:dyDescent="0.3"/>
    <row r="14" spans="1:3" ht="17.25" thickTop="1" thickBot="1" x14ac:dyDescent="0.3">
      <c r="A14" s="10" t="s">
        <v>2</v>
      </c>
      <c r="B14" s="10" t="s">
        <v>3</v>
      </c>
      <c r="C14" s="10" t="s">
        <v>7</v>
      </c>
    </row>
    <row r="15" spans="1:3" ht="17.25" thickTop="1" thickBot="1" x14ac:dyDescent="0.3">
      <c r="A15" s="45" t="s">
        <v>21</v>
      </c>
      <c r="B15" s="84">
        <v>324.88600000000002</v>
      </c>
      <c r="C15" s="34" t="s">
        <v>98</v>
      </c>
    </row>
    <row r="16" spans="1:3" ht="16.5" thickTop="1" x14ac:dyDescent="0.25">
      <c r="A16" s="54"/>
      <c r="B16" s="6"/>
    </row>
    <row r="17" spans="1:7" x14ac:dyDescent="0.25">
      <c r="A17" s="54"/>
      <c r="B17" s="6"/>
    </row>
    <row r="18" spans="1:7" ht="18.75" x14ac:dyDescent="0.3">
      <c r="A18" s="2" t="s">
        <v>22</v>
      </c>
    </row>
    <row r="19" spans="1:7" ht="16.5" thickBot="1" x14ac:dyDescent="0.3"/>
    <row r="20" spans="1:7" ht="17.25" thickTop="1" thickBot="1" x14ac:dyDescent="0.3">
      <c r="A20" s="10" t="s">
        <v>2</v>
      </c>
      <c r="B20" s="10" t="s">
        <v>3</v>
      </c>
      <c r="C20" s="10" t="s">
        <v>4</v>
      </c>
    </row>
    <row r="21" spans="1:7" ht="16.5" thickTop="1" x14ac:dyDescent="0.25">
      <c r="A21" s="36" t="s">
        <v>24</v>
      </c>
      <c r="B21" s="69" t="s">
        <v>25</v>
      </c>
      <c r="C21" s="31"/>
    </row>
    <row r="22" spans="1:7" x14ac:dyDescent="0.25">
      <c r="A22" s="37" t="s">
        <v>23</v>
      </c>
      <c r="B22" s="70" t="s">
        <v>26</v>
      </c>
      <c r="C22" s="32"/>
      <c r="F22" s="7"/>
    </row>
    <row r="23" spans="1:7" x14ac:dyDescent="0.25">
      <c r="A23" s="37" t="s">
        <v>27</v>
      </c>
      <c r="B23" s="40">
        <v>25</v>
      </c>
      <c r="C23" s="32" t="s">
        <v>8</v>
      </c>
      <c r="F23" s="7"/>
    </row>
    <row r="24" spans="1:7" x14ac:dyDescent="0.25">
      <c r="A24" s="37" t="s">
        <v>28</v>
      </c>
      <c r="B24">
        <v>470</v>
      </c>
      <c r="C24" s="26" t="s">
        <v>29</v>
      </c>
    </row>
    <row r="25" spans="1:7" x14ac:dyDescent="0.25">
      <c r="A25" s="37" t="s">
        <v>30</v>
      </c>
      <c r="B25" s="40">
        <v>130</v>
      </c>
      <c r="C25" s="32" t="s">
        <v>31</v>
      </c>
    </row>
    <row r="26" spans="1:7" ht="16.5" thickBot="1" x14ac:dyDescent="0.3">
      <c r="A26" s="38" t="s">
        <v>32</v>
      </c>
      <c r="B26" s="41">
        <v>1.1000000000000001</v>
      </c>
      <c r="C26" s="34" t="s">
        <v>9</v>
      </c>
    </row>
    <row r="27" spans="1:7" ht="16.5" thickTop="1" x14ac:dyDescent="0.25"/>
    <row r="29" spans="1:7" ht="18.75" x14ac:dyDescent="0.3">
      <c r="A29" s="2" t="s">
        <v>33</v>
      </c>
    </row>
    <row r="30" spans="1:7" ht="16.5" thickBot="1" x14ac:dyDescent="0.3"/>
    <row r="31" spans="1:7" ht="17.25" thickTop="1" thickBot="1" x14ac:dyDescent="0.3">
      <c r="A31" s="10" t="s">
        <v>2</v>
      </c>
      <c r="B31" s="10" t="s">
        <v>3</v>
      </c>
      <c r="C31" s="10" t="s">
        <v>7</v>
      </c>
      <c r="D31" s="10" t="s">
        <v>3</v>
      </c>
      <c r="E31" s="10" t="s">
        <v>7</v>
      </c>
      <c r="F31" s="10" t="s">
        <v>3</v>
      </c>
      <c r="G31" s="10" t="s">
        <v>7</v>
      </c>
    </row>
    <row r="32" spans="1:7" ht="16.5" thickTop="1" x14ac:dyDescent="0.25">
      <c r="A32" s="36" t="s">
        <v>5</v>
      </c>
      <c r="B32" s="71">
        <v>10</v>
      </c>
      <c r="C32" s="22" t="s">
        <v>10</v>
      </c>
      <c r="D32" s="71">
        <v>15</v>
      </c>
      <c r="E32" s="22" t="s">
        <v>10</v>
      </c>
      <c r="F32" s="71">
        <v>25</v>
      </c>
      <c r="G32" s="23" t="s">
        <v>10</v>
      </c>
    </row>
    <row r="33" spans="1:7" x14ac:dyDescent="0.25">
      <c r="A33" s="58" t="s">
        <v>101</v>
      </c>
      <c r="B33" s="55">
        <v>0</v>
      </c>
      <c r="C33" s="56" t="s">
        <v>102</v>
      </c>
      <c r="D33" s="85">
        <v>479.09</v>
      </c>
      <c r="E33" s="56" t="s">
        <v>102</v>
      </c>
      <c r="F33" s="85">
        <v>688.08799999999997</v>
      </c>
      <c r="G33" s="57" t="s">
        <v>102</v>
      </c>
    </row>
    <row r="34" spans="1:7" x14ac:dyDescent="0.25">
      <c r="A34" s="37" t="s">
        <v>15</v>
      </c>
      <c r="B34" s="24">
        <v>0</v>
      </c>
      <c r="C34" s="25" t="s">
        <v>103</v>
      </c>
      <c r="D34" s="80">
        <v>0.28727999999999998</v>
      </c>
      <c r="E34" s="25" t="s">
        <v>103</v>
      </c>
      <c r="F34" s="80">
        <v>0.41413</v>
      </c>
      <c r="G34" s="26" t="s">
        <v>103</v>
      </c>
    </row>
    <row r="35" spans="1:7" ht="16.5" thickBot="1" x14ac:dyDescent="0.3">
      <c r="A35" s="38" t="s">
        <v>34</v>
      </c>
      <c r="B35" s="33">
        <v>0</v>
      </c>
      <c r="C35" s="29" t="s">
        <v>104</v>
      </c>
      <c r="D35" s="81">
        <v>10.728999999999999</v>
      </c>
      <c r="E35" s="29" t="s">
        <v>104</v>
      </c>
      <c r="F35" s="81">
        <v>22.295000000000002</v>
      </c>
      <c r="G35" s="30" t="s">
        <v>104</v>
      </c>
    </row>
    <row r="36" spans="1:7" ht="16.5" thickTop="1" x14ac:dyDescent="0.25"/>
    <row r="38" spans="1:7" ht="18.75" x14ac:dyDescent="0.3">
      <c r="A38" s="2" t="s">
        <v>159</v>
      </c>
    </row>
    <row r="39" spans="1:7" ht="16.5" thickBot="1" x14ac:dyDescent="0.3"/>
    <row r="40" spans="1:7" ht="17.25" thickTop="1" thickBot="1" x14ac:dyDescent="0.3">
      <c r="A40" s="10" t="s">
        <v>2</v>
      </c>
      <c r="B40" s="10" t="s">
        <v>3</v>
      </c>
      <c r="C40" s="10" t="s">
        <v>4</v>
      </c>
    </row>
    <row r="41" spans="1:7" ht="16.5" thickTop="1" x14ac:dyDescent="0.25">
      <c r="A41" s="53" t="s">
        <v>100</v>
      </c>
      <c r="B41" s="61">
        <v>4</v>
      </c>
      <c r="C41" s="31" t="s">
        <v>8</v>
      </c>
    </row>
    <row r="42" spans="1:7" x14ac:dyDescent="0.25">
      <c r="A42" s="58" t="s">
        <v>108</v>
      </c>
      <c r="B42" s="62">
        <f>'Operating Conditions'!B6</f>
        <v>15</v>
      </c>
      <c r="C42" s="59" t="s">
        <v>8</v>
      </c>
    </row>
    <row r="43" spans="1:7" x14ac:dyDescent="0.25">
      <c r="A43" s="44" t="s">
        <v>153</v>
      </c>
      <c r="B43" s="82">
        <v>10</v>
      </c>
      <c r="C43" s="32" t="s">
        <v>75</v>
      </c>
    </row>
    <row r="44" spans="1:7" x14ac:dyDescent="0.25">
      <c r="A44" s="60" t="s">
        <v>154</v>
      </c>
      <c r="B44" s="78">
        <v>14.33</v>
      </c>
      <c r="C44" s="32" t="s">
        <v>105</v>
      </c>
    </row>
    <row r="45" spans="1:7" ht="16.5" thickBot="1" x14ac:dyDescent="0.3">
      <c r="A45" s="45" t="s">
        <v>109</v>
      </c>
      <c r="B45" s="79">
        <v>214.95</v>
      </c>
      <c r="C45" s="34" t="s">
        <v>106</v>
      </c>
    </row>
    <row r="46" spans="1:7" ht="16.5" thickTop="1" x14ac:dyDescent="0.25"/>
  </sheetData>
  <phoneticPr fontId="5" type="noConversion"/>
  <pageMargins left="0.7" right="0.7" top="0.75" bottom="0.75" header="0.3" footer="0.3"/>
  <pageSetup paperSize="9" scale="8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"/>
  <sheetViews>
    <sheetView topLeftCell="A25" workbookViewId="0">
      <selection activeCell="J51" sqref="J51"/>
    </sheetView>
  </sheetViews>
  <sheetFormatPr defaultColWidth="11" defaultRowHeight="15.75" x14ac:dyDescent="0.25"/>
  <cols>
    <col min="1" max="1" width="16.5" customWidth="1"/>
    <col min="2" max="7" width="11.875" customWidth="1"/>
  </cols>
  <sheetData>
    <row r="1" spans="1:3" ht="21" x14ac:dyDescent="0.35">
      <c r="A1" s="3" t="s">
        <v>156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0" t="s">
        <v>2</v>
      </c>
      <c r="B5" s="10" t="s">
        <v>3</v>
      </c>
      <c r="C5" s="10" t="s">
        <v>4</v>
      </c>
    </row>
    <row r="6" spans="1:3" ht="16.5" thickTop="1" x14ac:dyDescent="0.25">
      <c r="A6" s="44" t="s">
        <v>175</v>
      </c>
      <c r="B6" s="67">
        <f>'Operating Conditions'!B7*1.1</f>
        <v>1.2869999999999999</v>
      </c>
      <c r="C6" s="32" t="s">
        <v>9</v>
      </c>
    </row>
    <row r="7" spans="1:3" x14ac:dyDescent="0.25">
      <c r="A7" s="44" t="s">
        <v>111</v>
      </c>
      <c r="B7" s="67">
        <f>'Operating Conditions'!B10</f>
        <v>38.4</v>
      </c>
      <c r="C7" s="32" t="s">
        <v>13</v>
      </c>
    </row>
    <row r="8" spans="1:3" x14ac:dyDescent="0.25">
      <c r="A8" s="37" t="s">
        <v>112</v>
      </c>
      <c r="B8" s="67">
        <v>0.25</v>
      </c>
      <c r="C8" s="32" t="s">
        <v>113</v>
      </c>
    </row>
    <row r="9" spans="1:3" ht="16.5" thickBot="1" x14ac:dyDescent="0.3">
      <c r="A9" s="38" t="s">
        <v>114</v>
      </c>
      <c r="B9" s="68">
        <v>5</v>
      </c>
      <c r="C9" s="34" t="s">
        <v>115</v>
      </c>
    </row>
    <row r="10" spans="1:3" ht="16.5" thickTop="1" x14ac:dyDescent="0.25"/>
    <row r="12" spans="1:3" ht="18.75" x14ac:dyDescent="0.3">
      <c r="A12" s="2" t="s">
        <v>141</v>
      </c>
    </row>
    <row r="13" spans="1:3" ht="16.5" thickBot="1" x14ac:dyDescent="0.3"/>
    <row r="14" spans="1:3" ht="17.25" thickTop="1" thickBot="1" x14ac:dyDescent="0.3">
      <c r="A14" s="10" t="s">
        <v>2</v>
      </c>
      <c r="B14" s="10" t="s">
        <v>3</v>
      </c>
      <c r="C14" s="10" t="s">
        <v>4</v>
      </c>
    </row>
    <row r="15" spans="1:3" ht="16.5" thickTop="1" x14ac:dyDescent="0.25">
      <c r="A15" s="36" t="s">
        <v>116</v>
      </c>
      <c r="B15" s="74" t="s">
        <v>117</v>
      </c>
      <c r="C15" s="23"/>
    </row>
    <row r="16" spans="1:3" x14ac:dyDescent="0.25">
      <c r="A16" s="44" t="s">
        <v>118</v>
      </c>
      <c r="B16" s="70">
        <v>5.1999999999999998E-2</v>
      </c>
      <c r="C16" s="32" t="s">
        <v>14</v>
      </c>
    </row>
    <row r="17" spans="1:6" x14ac:dyDescent="0.25">
      <c r="A17" s="37" t="s">
        <v>119</v>
      </c>
      <c r="B17" s="67">
        <v>28.3</v>
      </c>
      <c r="C17" s="32" t="s">
        <v>120</v>
      </c>
    </row>
    <row r="18" spans="1:6" x14ac:dyDescent="0.25">
      <c r="A18" s="37" t="s">
        <v>121</v>
      </c>
      <c r="B18" s="67">
        <v>36</v>
      </c>
      <c r="C18" s="32" t="s">
        <v>120</v>
      </c>
    </row>
    <row r="19" spans="1:6" x14ac:dyDescent="0.25">
      <c r="A19" s="37" t="s">
        <v>122</v>
      </c>
      <c r="B19" s="67">
        <v>31.5</v>
      </c>
      <c r="C19" s="32" t="s">
        <v>123</v>
      </c>
    </row>
    <row r="20" spans="1:6" x14ac:dyDescent="0.25">
      <c r="A20" s="37" t="s">
        <v>124</v>
      </c>
      <c r="B20" s="75">
        <f>1.8*10^-8</f>
        <v>1.8000000000000002E-8</v>
      </c>
      <c r="C20" s="32" t="s">
        <v>125</v>
      </c>
    </row>
    <row r="21" spans="1:6" x14ac:dyDescent="0.25">
      <c r="A21" s="37" t="s">
        <v>126</v>
      </c>
      <c r="B21" s="75">
        <f>4*PI()*10^-7</f>
        <v>1.2566370614359173E-6</v>
      </c>
      <c r="C21" s="32" t="s">
        <v>127</v>
      </c>
    </row>
    <row r="22" spans="1:6" ht="16.5" thickBot="1" x14ac:dyDescent="0.3">
      <c r="A22" s="38" t="s">
        <v>128</v>
      </c>
      <c r="B22" s="68">
        <v>0.7</v>
      </c>
      <c r="C22" s="34"/>
    </row>
    <row r="23" spans="1:6" ht="16.5" thickTop="1" x14ac:dyDescent="0.25">
      <c r="B23" s="5"/>
    </row>
    <row r="24" spans="1:6" x14ac:dyDescent="0.25">
      <c r="A24" s="72"/>
      <c r="B24" s="5"/>
    </row>
    <row r="25" spans="1:6" ht="18.75" x14ac:dyDescent="0.3">
      <c r="A25" s="2" t="s">
        <v>129</v>
      </c>
      <c r="B25" s="5"/>
    </row>
    <row r="26" spans="1:6" ht="16.5" thickBot="1" x14ac:dyDescent="0.3">
      <c r="B26" s="5"/>
    </row>
    <row r="27" spans="1:6" ht="17.25" thickTop="1" thickBot="1" x14ac:dyDescent="0.3">
      <c r="A27" s="10" t="s">
        <v>2</v>
      </c>
      <c r="B27" s="10" t="s">
        <v>3</v>
      </c>
      <c r="C27" s="10" t="s">
        <v>7</v>
      </c>
    </row>
    <row r="28" spans="1:6" ht="16.5" thickTop="1" x14ac:dyDescent="0.25">
      <c r="A28" s="53" t="s">
        <v>130</v>
      </c>
      <c r="B28" s="66">
        <v>200</v>
      </c>
      <c r="C28" s="31" t="s">
        <v>14</v>
      </c>
    </row>
    <row r="29" spans="1:6" ht="16.5" thickBot="1" x14ac:dyDescent="0.3">
      <c r="A29" s="38" t="s">
        <v>131</v>
      </c>
      <c r="B29" s="68">
        <v>0.56000000000000005</v>
      </c>
      <c r="C29" s="34" t="s">
        <v>123</v>
      </c>
      <c r="F29" s="7"/>
    </row>
    <row r="30" spans="1:6" ht="16.5" thickTop="1" x14ac:dyDescent="0.25">
      <c r="B30" s="6"/>
      <c r="F30" s="7"/>
    </row>
    <row r="32" spans="1:6" ht="18.75" x14ac:dyDescent="0.3">
      <c r="A32" s="2" t="s">
        <v>132</v>
      </c>
    </row>
    <row r="33" spans="1:7" ht="16.5" thickBot="1" x14ac:dyDescent="0.3"/>
    <row r="34" spans="1:7" ht="17.25" thickTop="1" thickBot="1" x14ac:dyDescent="0.3">
      <c r="A34" s="10" t="s">
        <v>2</v>
      </c>
      <c r="B34" s="10" t="s">
        <v>3</v>
      </c>
      <c r="C34" s="10" t="s">
        <v>7</v>
      </c>
    </row>
    <row r="35" spans="1:7" ht="16.5" thickTop="1" x14ac:dyDescent="0.25">
      <c r="A35" s="58" t="s">
        <v>133</v>
      </c>
      <c r="B35" s="76">
        <v>63</v>
      </c>
      <c r="C35" s="59" t="s">
        <v>160</v>
      </c>
    </row>
    <row r="36" spans="1:7" x14ac:dyDescent="0.25">
      <c r="A36" s="37" t="s">
        <v>134</v>
      </c>
      <c r="B36" s="27">
        <v>0.29865999999999998</v>
      </c>
      <c r="C36" s="32" t="s">
        <v>161</v>
      </c>
    </row>
    <row r="37" spans="1:7" x14ac:dyDescent="0.25">
      <c r="A37" s="44" t="s">
        <v>135</v>
      </c>
      <c r="B37" s="77">
        <v>0.24629999999999999</v>
      </c>
      <c r="C37" s="32" t="s">
        <v>162</v>
      </c>
    </row>
    <row r="38" spans="1:7" x14ac:dyDescent="0.25">
      <c r="A38" s="44" t="s">
        <v>149</v>
      </c>
      <c r="B38" s="86">
        <v>22.167000000000002</v>
      </c>
      <c r="C38" s="32" t="s">
        <v>142</v>
      </c>
    </row>
    <row r="39" spans="1:7" x14ac:dyDescent="0.25">
      <c r="A39" s="37" t="s">
        <v>136</v>
      </c>
      <c r="B39" s="86">
        <v>5.2374999999999998</v>
      </c>
      <c r="C39" s="32" t="s">
        <v>163</v>
      </c>
      <c r="E39" s="73"/>
    </row>
    <row r="40" spans="1:7" ht="16.5" thickBot="1" x14ac:dyDescent="0.3">
      <c r="A40" s="38" t="s">
        <v>137</v>
      </c>
      <c r="B40" s="87">
        <v>145.03</v>
      </c>
      <c r="C40" s="34" t="s">
        <v>164</v>
      </c>
    </row>
    <row r="41" spans="1:7" ht="16.5" thickTop="1" x14ac:dyDescent="0.25"/>
    <row r="43" spans="1:7" ht="18.75" x14ac:dyDescent="0.3">
      <c r="A43" s="2" t="s">
        <v>138</v>
      </c>
    </row>
    <row r="44" spans="1:7" ht="16.5" thickBot="1" x14ac:dyDescent="0.3"/>
    <row r="45" spans="1:7" ht="17.25" thickTop="1" thickBot="1" x14ac:dyDescent="0.3">
      <c r="A45" s="10" t="s">
        <v>2</v>
      </c>
      <c r="B45" s="10" t="s">
        <v>3</v>
      </c>
      <c r="C45" s="10" t="s">
        <v>7</v>
      </c>
      <c r="D45" s="10" t="s">
        <v>3</v>
      </c>
      <c r="E45" s="10" t="s">
        <v>7</v>
      </c>
      <c r="F45" s="10" t="s">
        <v>3</v>
      </c>
      <c r="G45" s="10" t="s">
        <v>7</v>
      </c>
    </row>
    <row r="46" spans="1:7" ht="16.5" thickTop="1" x14ac:dyDescent="0.25">
      <c r="A46" s="36" t="s">
        <v>5</v>
      </c>
      <c r="B46" s="71">
        <v>10</v>
      </c>
      <c r="C46" s="22" t="s">
        <v>10</v>
      </c>
      <c r="D46" s="71">
        <v>15</v>
      </c>
      <c r="E46" s="22" t="s">
        <v>10</v>
      </c>
      <c r="F46" s="71">
        <v>25</v>
      </c>
      <c r="G46" s="23" t="s">
        <v>10</v>
      </c>
    </row>
    <row r="47" spans="1:7" x14ac:dyDescent="0.25">
      <c r="A47" s="37" t="s">
        <v>139</v>
      </c>
      <c r="B47" s="88">
        <v>1.29</v>
      </c>
      <c r="C47" s="25" t="s">
        <v>9</v>
      </c>
      <c r="D47" s="88">
        <v>1.29</v>
      </c>
      <c r="E47" s="25" t="s">
        <v>9</v>
      </c>
      <c r="F47" s="88">
        <v>1.29</v>
      </c>
      <c r="G47" s="26" t="s">
        <v>9</v>
      </c>
    </row>
    <row r="48" spans="1:7" x14ac:dyDescent="0.25">
      <c r="A48" s="37" t="s">
        <v>140</v>
      </c>
      <c r="B48" s="86">
        <v>241.34</v>
      </c>
      <c r="C48" s="25" t="s">
        <v>165</v>
      </c>
      <c r="D48" s="86">
        <v>241.34</v>
      </c>
      <c r="E48" s="25" t="s">
        <v>165</v>
      </c>
      <c r="F48" s="86">
        <v>241.34</v>
      </c>
      <c r="G48" s="26" t="s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54"/>
  <sheetViews>
    <sheetView workbookViewId="0">
      <selection activeCell="B53" sqref="B53"/>
    </sheetView>
  </sheetViews>
  <sheetFormatPr defaultColWidth="11" defaultRowHeight="15.75" x14ac:dyDescent="0.25"/>
  <cols>
    <col min="1" max="1" width="16.875" customWidth="1"/>
    <col min="2" max="7" width="11.875" customWidth="1"/>
  </cols>
  <sheetData>
    <row r="1" spans="1:3" ht="21" x14ac:dyDescent="0.35">
      <c r="A1" s="3" t="s">
        <v>107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0" t="s">
        <v>2</v>
      </c>
      <c r="B5" s="10" t="s">
        <v>3</v>
      </c>
      <c r="C5" s="10" t="s">
        <v>4</v>
      </c>
    </row>
    <row r="6" spans="1:3" ht="16.5" thickTop="1" x14ac:dyDescent="0.25">
      <c r="A6" s="36" t="s">
        <v>35</v>
      </c>
      <c r="B6" s="66">
        <f>'Operating Conditions'!B6</f>
        <v>15</v>
      </c>
      <c r="C6" s="23" t="s">
        <v>8</v>
      </c>
    </row>
    <row r="7" spans="1:3" x14ac:dyDescent="0.25">
      <c r="A7" s="37" t="s">
        <v>59</v>
      </c>
      <c r="B7" s="67">
        <f>'Operating Conditions'!B7*1.1</f>
        <v>1.2869999999999999</v>
      </c>
      <c r="C7" s="32" t="s">
        <v>9</v>
      </c>
    </row>
    <row r="8" spans="1:3" ht="16.5" thickBot="1" x14ac:dyDescent="0.3">
      <c r="A8" s="38" t="s">
        <v>36</v>
      </c>
      <c r="B8" s="68">
        <v>30</v>
      </c>
      <c r="C8" s="34" t="s">
        <v>37</v>
      </c>
    </row>
    <row r="9" spans="1:3" ht="16.5" thickTop="1" x14ac:dyDescent="0.25"/>
    <row r="11" spans="1:3" ht="18.75" x14ac:dyDescent="0.3">
      <c r="A11" s="2" t="s">
        <v>38</v>
      </c>
    </row>
    <row r="12" spans="1:3" ht="16.5" thickBot="1" x14ac:dyDescent="0.3"/>
    <row r="13" spans="1:3" ht="17.25" thickTop="1" thickBot="1" x14ac:dyDescent="0.3">
      <c r="A13" s="10" t="s">
        <v>2</v>
      </c>
      <c r="B13" s="10" t="s">
        <v>3</v>
      </c>
      <c r="C13" s="10" t="s">
        <v>4</v>
      </c>
    </row>
    <row r="14" spans="1:3" ht="16.5" thickTop="1" x14ac:dyDescent="0.25">
      <c r="A14" s="36" t="s">
        <v>24</v>
      </c>
      <c r="B14" s="39" t="s">
        <v>177</v>
      </c>
      <c r="C14" s="31"/>
    </row>
    <row r="15" spans="1:3" x14ac:dyDescent="0.25">
      <c r="A15" s="37" t="s">
        <v>39</v>
      </c>
      <c r="B15" s="35" t="s">
        <v>178</v>
      </c>
      <c r="C15" s="32"/>
    </row>
    <row r="16" spans="1:3" x14ac:dyDescent="0.25">
      <c r="A16" s="37" t="s">
        <v>40</v>
      </c>
      <c r="B16" s="40">
        <v>60</v>
      </c>
      <c r="C16" s="32" t="s">
        <v>8</v>
      </c>
    </row>
    <row r="17" spans="1:3" x14ac:dyDescent="0.25">
      <c r="A17" s="37" t="s">
        <v>41</v>
      </c>
      <c r="B17" s="40">
        <v>80</v>
      </c>
      <c r="C17" s="26" t="s">
        <v>9</v>
      </c>
    </row>
    <row r="18" spans="1:3" x14ac:dyDescent="0.25">
      <c r="A18" s="37" t="s">
        <v>42</v>
      </c>
      <c r="B18" s="40">
        <v>5</v>
      </c>
      <c r="C18" s="32" t="s">
        <v>44</v>
      </c>
    </row>
    <row r="19" spans="1:3" x14ac:dyDescent="0.25">
      <c r="A19" s="37" t="s">
        <v>43</v>
      </c>
      <c r="B19" s="40">
        <v>12</v>
      </c>
      <c r="C19" s="32" t="s">
        <v>44</v>
      </c>
    </row>
    <row r="20" spans="1:3" x14ac:dyDescent="0.25">
      <c r="A20" s="37" t="s">
        <v>45</v>
      </c>
      <c r="B20" s="40">
        <v>47</v>
      </c>
      <c r="C20" s="32" t="s">
        <v>46</v>
      </c>
    </row>
    <row r="21" spans="1:3" x14ac:dyDescent="0.25">
      <c r="A21" s="37" t="s">
        <v>48</v>
      </c>
      <c r="B21" s="89">
        <v>4.5</v>
      </c>
      <c r="C21" s="32" t="s">
        <v>8</v>
      </c>
    </row>
    <row r="22" spans="1:3" x14ac:dyDescent="0.25">
      <c r="A22" s="37" t="s">
        <v>47</v>
      </c>
      <c r="B22" s="89">
        <v>5</v>
      </c>
      <c r="C22" s="32" t="s">
        <v>31</v>
      </c>
    </row>
    <row r="23" spans="1:3" ht="16.5" thickBot="1" x14ac:dyDescent="0.3">
      <c r="A23" s="38" t="s">
        <v>63</v>
      </c>
      <c r="B23" s="90">
        <v>62</v>
      </c>
      <c r="C23" s="34" t="s">
        <v>65</v>
      </c>
    </row>
    <row r="24" spans="1:3" ht="16.5" thickTop="1" x14ac:dyDescent="0.25"/>
    <row r="25" spans="1:3" ht="18.75" x14ac:dyDescent="0.3">
      <c r="A25" s="2" t="s">
        <v>51</v>
      </c>
    </row>
    <row r="26" spans="1:3" ht="16.5" thickBot="1" x14ac:dyDescent="0.3"/>
    <row r="27" spans="1:3" ht="17.25" thickTop="1" thickBot="1" x14ac:dyDescent="0.3">
      <c r="A27" s="10" t="s">
        <v>2</v>
      </c>
      <c r="B27" s="10" t="s">
        <v>3</v>
      </c>
      <c r="C27" s="10" t="s">
        <v>7</v>
      </c>
    </row>
    <row r="28" spans="1:3" ht="16.5" thickTop="1" x14ac:dyDescent="0.25">
      <c r="A28" s="36" t="s">
        <v>53</v>
      </c>
      <c r="B28" s="66">
        <f>B6</f>
        <v>15</v>
      </c>
      <c r="C28" s="31" t="s">
        <v>8</v>
      </c>
    </row>
    <row r="29" spans="1:3" x14ac:dyDescent="0.25">
      <c r="A29" s="37" t="s">
        <v>54</v>
      </c>
      <c r="B29" s="67">
        <v>0.1</v>
      </c>
      <c r="C29" s="32" t="s">
        <v>9</v>
      </c>
    </row>
    <row r="30" spans="1:3" ht="16.5" thickBot="1" x14ac:dyDescent="0.3">
      <c r="A30" s="38" t="s">
        <v>52</v>
      </c>
      <c r="B30" s="28">
        <v>150</v>
      </c>
      <c r="C30" s="34" t="s">
        <v>166</v>
      </c>
    </row>
    <row r="31" spans="1:3" ht="16.5" thickTop="1" x14ac:dyDescent="0.25">
      <c r="B31" s="6"/>
    </row>
    <row r="33" spans="1:7" ht="18.75" x14ac:dyDescent="0.3">
      <c r="A33" s="2" t="s">
        <v>49</v>
      </c>
    </row>
    <row r="34" spans="1:7" ht="16.5" thickBot="1" x14ac:dyDescent="0.3"/>
    <row r="35" spans="1:7" ht="17.25" thickTop="1" thickBot="1" x14ac:dyDescent="0.3">
      <c r="A35" s="10" t="s">
        <v>2</v>
      </c>
      <c r="B35" s="10" t="s">
        <v>3</v>
      </c>
      <c r="C35" s="10" t="s">
        <v>7</v>
      </c>
      <c r="D35" s="10" t="s">
        <v>3</v>
      </c>
      <c r="E35" s="10" t="s">
        <v>7</v>
      </c>
      <c r="F35" s="10" t="s">
        <v>3</v>
      </c>
      <c r="G35" s="10" t="s">
        <v>7</v>
      </c>
    </row>
    <row r="36" spans="1:7" ht="16.5" thickTop="1" x14ac:dyDescent="0.25">
      <c r="A36" s="36" t="s">
        <v>5</v>
      </c>
      <c r="B36" s="66">
        <v>10</v>
      </c>
      <c r="C36" s="22" t="s">
        <v>10</v>
      </c>
      <c r="D36" s="71">
        <v>15</v>
      </c>
      <c r="E36" s="22" t="s">
        <v>10</v>
      </c>
      <c r="F36" s="71">
        <v>25</v>
      </c>
      <c r="G36" s="23" t="s">
        <v>10</v>
      </c>
    </row>
    <row r="37" spans="1:7" x14ac:dyDescent="0.25">
      <c r="A37" s="44" t="s">
        <v>101</v>
      </c>
      <c r="B37" s="27">
        <f>'Capacitor &amp; Controller'!B33</f>
        <v>0</v>
      </c>
      <c r="C37" s="25" t="s">
        <v>99</v>
      </c>
      <c r="D37" s="27">
        <f>'Capacitor &amp; Controller'!D33</f>
        <v>479.09</v>
      </c>
      <c r="E37" s="25" t="s">
        <v>99</v>
      </c>
      <c r="F37" s="27">
        <f>'Capacitor &amp; Controller'!F33</f>
        <v>688.08799999999997</v>
      </c>
      <c r="G37" s="26" t="s">
        <v>99</v>
      </c>
    </row>
    <row r="38" spans="1:7" x14ac:dyDescent="0.25">
      <c r="A38" s="37" t="s">
        <v>58</v>
      </c>
      <c r="B38" s="27">
        <v>0</v>
      </c>
      <c r="C38" s="25" t="s">
        <v>9</v>
      </c>
      <c r="D38" s="27">
        <f>Switch!B7*SQRT('Operating Conditions'!D20/100)</f>
        <v>0.6077584117064937</v>
      </c>
      <c r="E38" s="25" t="s">
        <v>9</v>
      </c>
      <c r="F38" s="27">
        <f>B7*SQRT('Operating Conditions'!F20/100)</f>
        <v>0.9403030214776511</v>
      </c>
      <c r="G38" s="26" t="s">
        <v>9</v>
      </c>
    </row>
    <row r="39" spans="1:7" x14ac:dyDescent="0.25">
      <c r="A39" s="37" t="s">
        <v>60</v>
      </c>
      <c r="B39" s="27">
        <v>0</v>
      </c>
      <c r="C39" s="25" t="s">
        <v>167</v>
      </c>
      <c r="D39" s="86">
        <f>$B$7-((1*8*'Capacitor &amp; Controller'!$B$15*10^-6*D37)/2)</f>
        <v>0.66440146503999986</v>
      </c>
      <c r="E39" s="25" t="s">
        <v>167</v>
      </c>
      <c r="F39" s="86">
        <f>$B$7-((1*8*'Capacitor &amp; Controller'!$B$15*10^-6*F37)/2)</f>
        <v>0.39279936812799987</v>
      </c>
      <c r="G39" s="26" t="s">
        <v>167</v>
      </c>
    </row>
    <row r="40" spans="1:7" x14ac:dyDescent="0.25">
      <c r="A40" s="37" t="s">
        <v>61</v>
      </c>
      <c r="B40" s="27">
        <v>0</v>
      </c>
      <c r="C40" s="25" t="s">
        <v>167</v>
      </c>
      <c r="D40" s="86">
        <f>$B$7+((1*8*'Capacitor &amp; Controller'!$B$15*10^-6*D37)/2)</f>
        <v>1.90959853496</v>
      </c>
      <c r="E40" s="25" t="s">
        <v>167</v>
      </c>
      <c r="F40" s="86">
        <f>$B$7+((1*8*'Capacitor &amp; Controller'!$B$15*10^-6*F37)/2)</f>
        <v>2.1812006318720001</v>
      </c>
      <c r="G40" s="26" t="s">
        <v>167</v>
      </c>
    </row>
    <row r="41" spans="1:7" x14ac:dyDescent="0.25">
      <c r="A41" s="44" t="s">
        <v>110</v>
      </c>
      <c r="B41" s="86">
        <f>($B$6-$B$22*10^-3*B39)*(($B$30*$B$20*10^-12)/($B$28-$B$21))*10^9</f>
        <v>10.071428571428571</v>
      </c>
      <c r="C41" s="25" t="s">
        <v>168</v>
      </c>
      <c r="D41" s="86">
        <f>($B$6-$B$22*10^-3*D39)*(($B$30*$B$20*10^-12)/($B$28-$B$21))*10^9</f>
        <v>10.069198080795937</v>
      </c>
      <c r="E41" s="25" t="s">
        <v>168</v>
      </c>
      <c r="F41" s="86">
        <f>($B$6-$B$22*10^-3*F39)*(($B$30*$B$20*10^-12)/($B$28-$B$21))*10^9</f>
        <v>10.070109887835573</v>
      </c>
      <c r="G41" s="26" t="s">
        <v>168</v>
      </c>
    </row>
    <row r="42" spans="1:7" x14ac:dyDescent="0.25">
      <c r="A42" s="37" t="s">
        <v>50</v>
      </c>
      <c r="B42" s="86">
        <f>($B$6-$B$22*10^-3*$D$40)*(($B$30*$B$20*10^-12)/($B$21))*10^9</f>
        <v>23.485041478142811</v>
      </c>
      <c r="C42" s="25" t="s">
        <v>143</v>
      </c>
      <c r="D42" s="86">
        <f>($B$6-$B$22*10^-3*$D$40)*(($B$30*$B$20*10^-12)/($B$21))*10^9</f>
        <v>23.485041478142811</v>
      </c>
      <c r="E42" s="25" t="s">
        <v>143</v>
      </c>
      <c r="F42" s="86">
        <f>($B$6-$B$22*10^-3*$D$40)*(($B$30*$B$20*10^-12)/($B$21))*10^9</f>
        <v>23.485041478142811</v>
      </c>
      <c r="G42" s="26" t="s">
        <v>143</v>
      </c>
    </row>
    <row r="43" spans="1:7" x14ac:dyDescent="0.25">
      <c r="A43" s="37" t="s">
        <v>55</v>
      </c>
      <c r="B43" s="86">
        <f>$B$18+$B$41</f>
        <v>15.071428571428571</v>
      </c>
      <c r="C43" s="25" t="s">
        <v>144</v>
      </c>
      <c r="D43" s="86">
        <f>$B$18+$B$41</f>
        <v>15.071428571428571</v>
      </c>
      <c r="E43" s="25" t="s">
        <v>144</v>
      </c>
      <c r="F43" s="86">
        <f>$B$18+$B$41</f>
        <v>15.071428571428571</v>
      </c>
      <c r="G43" s="26" t="s">
        <v>144</v>
      </c>
    </row>
    <row r="44" spans="1:7" x14ac:dyDescent="0.25">
      <c r="A44" s="37" t="s">
        <v>56</v>
      </c>
      <c r="B44" s="86">
        <f>$B$19+$B$42</f>
        <v>35.485041478142811</v>
      </c>
      <c r="C44" s="25" t="s">
        <v>145</v>
      </c>
      <c r="D44" s="86">
        <f>$B$19+$B$42</f>
        <v>35.485041478142811</v>
      </c>
      <c r="E44" s="25" t="s">
        <v>145</v>
      </c>
      <c r="F44" s="86">
        <f>$B$19+$B$42</f>
        <v>35.485041478142811</v>
      </c>
      <c r="G44" s="26" t="s">
        <v>145</v>
      </c>
    </row>
    <row r="45" spans="1:7" x14ac:dyDescent="0.25">
      <c r="A45" s="37" t="s">
        <v>57</v>
      </c>
      <c r="B45" s="86">
        <v>0</v>
      </c>
      <c r="C45" s="25" t="s">
        <v>169</v>
      </c>
      <c r="D45" s="86">
        <f>((D37*$B$6)/2)*(D39*D43*10^-9+D40*D44*10^-9)*1000</f>
        <v>0.27946156589776133</v>
      </c>
      <c r="E45" s="25" t="s">
        <v>169</v>
      </c>
      <c r="F45" s="86">
        <f>((F37*$B$6)/2)*(F39*F43*10^-9+F40*F44*10^-9)*1000</f>
        <v>0.42998641059912607</v>
      </c>
      <c r="G45" s="25" t="s">
        <v>169</v>
      </c>
    </row>
    <row r="46" spans="1:7" ht="16.5" thickBot="1" x14ac:dyDescent="0.3">
      <c r="A46" s="37" t="s">
        <v>62</v>
      </c>
      <c r="B46" s="86">
        <v>0</v>
      </c>
      <c r="C46" s="29" t="s">
        <v>170</v>
      </c>
      <c r="D46" s="86">
        <f>D$38^2*$B$22</f>
        <v>1.8468514349999996</v>
      </c>
      <c r="E46" s="29" t="s">
        <v>170</v>
      </c>
      <c r="F46" s="86">
        <f>F$38^2*$B$22</f>
        <v>4.4208488610000005</v>
      </c>
      <c r="G46" s="29" t="s">
        <v>170</v>
      </c>
    </row>
    <row r="47" spans="1:7" ht="17.25" thickTop="1" thickBot="1" x14ac:dyDescent="0.3">
      <c r="A47" s="38" t="s">
        <v>18</v>
      </c>
      <c r="B47" s="84">
        <v>0</v>
      </c>
      <c r="C47" s="29" t="s">
        <v>146</v>
      </c>
      <c r="D47" s="84">
        <f>SUM(D45:D46)</f>
        <v>2.1263130008977611</v>
      </c>
      <c r="E47" s="29" t="s">
        <v>146</v>
      </c>
      <c r="F47" s="84">
        <f>SUM(F45:F46)</f>
        <v>4.8508352715991263</v>
      </c>
      <c r="G47" s="29" t="s">
        <v>146</v>
      </c>
    </row>
    <row r="48" spans="1:7" ht="16.5" thickTop="1" x14ac:dyDescent="0.25"/>
    <row r="50" spans="1:3" ht="18.75" x14ac:dyDescent="0.3">
      <c r="A50" s="2" t="s">
        <v>158</v>
      </c>
    </row>
    <row r="51" spans="1:3" ht="16.5" thickBot="1" x14ac:dyDescent="0.3"/>
    <row r="52" spans="1:3" ht="17.25" thickTop="1" thickBot="1" x14ac:dyDescent="0.3">
      <c r="A52" s="10" t="s">
        <v>2</v>
      </c>
      <c r="B52" s="10" t="s">
        <v>3</v>
      </c>
      <c r="C52" s="10" t="s">
        <v>7</v>
      </c>
    </row>
    <row r="53" spans="1:3" ht="17.25" thickTop="1" thickBot="1" x14ac:dyDescent="0.3">
      <c r="A53" s="43" t="s">
        <v>64</v>
      </c>
      <c r="B53" s="91">
        <f>B8+B23*F47*10^-3</f>
        <v>30.300751786839147</v>
      </c>
      <c r="C53" s="42" t="s">
        <v>171</v>
      </c>
    </row>
    <row r="54" spans="1:3" ht="16.5" thickTop="1" x14ac:dyDescent="0.25"/>
  </sheetData>
  <phoneticPr fontId="5" type="noConversion"/>
  <pageMargins left="0.7" right="0.7" top="0.75" bottom="0.75" header="0.3" footer="0.3"/>
  <pageSetup paperSize="9" scale="81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37"/>
  <sheetViews>
    <sheetView tabSelected="1" topLeftCell="A12" workbookViewId="0">
      <selection activeCell="F40" sqref="F40"/>
    </sheetView>
  </sheetViews>
  <sheetFormatPr defaultColWidth="11" defaultRowHeight="15.75" x14ac:dyDescent="0.25"/>
  <cols>
    <col min="1" max="1" width="14.25" customWidth="1"/>
    <col min="2" max="7" width="11.875" customWidth="1"/>
  </cols>
  <sheetData>
    <row r="1" spans="1:3" ht="21" x14ac:dyDescent="0.35">
      <c r="A1" s="3" t="s">
        <v>157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0" t="s">
        <v>2</v>
      </c>
      <c r="B5" s="10" t="s">
        <v>3</v>
      </c>
      <c r="C5" s="10" t="s">
        <v>7</v>
      </c>
    </row>
    <row r="6" spans="1:3" ht="16.5" thickTop="1" x14ac:dyDescent="0.25">
      <c r="A6" s="36" t="s">
        <v>66</v>
      </c>
      <c r="B6" s="66">
        <f>'Operating Conditions'!B6</f>
        <v>15</v>
      </c>
      <c r="C6" s="23" t="s">
        <v>8</v>
      </c>
    </row>
    <row r="7" spans="1:3" x14ac:dyDescent="0.25">
      <c r="A7" s="37" t="s">
        <v>67</v>
      </c>
      <c r="B7" s="67">
        <f>'Capacitor &amp; Controller'!B8</f>
        <v>1.2869999999999999</v>
      </c>
      <c r="C7" s="32" t="s">
        <v>9</v>
      </c>
    </row>
    <row r="8" spans="1:3" ht="16.5" thickBot="1" x14ac:dyDescent="0.3">
      <c r="A8" s="38" t="s">
        <v>36</v>
      </c>
      <c r="B8" s="68">
        <v>30</v>
      </c>
      <c r="C8" s="34" t="s">
        <v>37</v>
      </c>
    </row>
    <row r="9" spans="1:3" ht="16.5" thickTop="1" x14ac:dyDescent="0.25"/>
    <row r="11" spans="1:3" ht="18.75" x14ac:dyDescent="0.3">
      <c r="A11" s="2" t="s">
        <v>68</v>
      </c>
    </row>
    <row r="12" spans="1:3" ht="16.5" thickBot="1" x14ac:dyDescent="0.3"/>
    <row r="13" spans="1:3" ht="17.25" thickTop="1" thickBot="1" x14ac:dyDescent="0.3">
      <c r="A13" s="10" t="s">
        <v>2</v>
      </c>
      <c r="B13" s="10" t="s">
        <v>3</v>
      </c>
      <c r="C13" s="10" t="s">
        <v>4</v>
      </c>
    </row>
    <row r="14" spans="1:3" ht="16.5" thickTop="1" x14ac:dyDescent="0.25">
      <c r="A14" s="36" t="s">
        <v>24</v>
      </c>
      <c r="B14" s="39" t="s">
        <v>179</v>
      </c>
      <c r="C14" s="31"/>
    </row>
    <row r="15" spans="1:3" x14ac:dyDescent="0.25">
      <c r="A15" s="37" t="s">
        <v>39</v>
      </c>
      <c r="B15" s="92" t="s">
        <v>180</v>
      </c>
      <c r="C15" s="93"/>
    </row>
    <row r="16" spans="1:3" x14ac:dyDescent="0.25">
      <c r="A16" s="37" t="s">
        <v>69</v>
      </c>
      <c r="B16" s="40">
        <v>45</v>
      </c>
      <c r="C16" s="32" t="s">
        <v>8</v>
      </c>
    </row>
    <row r="17" spans="1:7" x14ac:dyDescent="0.25">
      <c r="A17" s="37" t="s">
        <v>70</v>
      </c>
      <c r="B17" s="89">
        <v>10</v>
      </c>
      <c r="C17" s="26" t="s">
        <v>9</v>
      </c>
    </row>
    <row r="18" spans="1:7" x14ac:dyDescent="0.25">
      <c r="A18" s="37" t="s">
        <v>71</v>
      </c>
      <c r="B18" s="40">
        <v>0.56999999999999995</v>
      </c>
      <c r="C18" s="32" t="s">
        <v>8</v>
      </c>
    </row>
    <row r="19" spans="1:7" ht="16.5" thickBot="1" x14ac:dyDescent="0.3">
      <c r="A19" s="38" t="s">
        <v>72</v>
      </c>
      <c r="B19" s="94" t="s">
        <v>181</v>
      </c>
      <c r="C19" s="34" t="s">
        <v>65</v>
      </c>
    </row>
    <row r="20" spans="1:7" ht="16.5" thickTop="1" x14ac:dyDescent="0.25"/>
    <row r="22" spans="1:7" ht="18.75" x14ac:dyDescent="0.3">
      <c r="A22" s="2" t="s">
        <v>49</v>
      </c>
    </row>
    <row r="23" spans="1:7" ht="16.5" thickBot="1" x14ac:dyDescent="0.3"/>
    <row r="24" spans="1:7" ht="17.25" thickTop="1" thickBot="1" x14ac:dyDescent="0.3">
      <c r="A24" s="10" t="s">
        <v>2</v>
      </c>
      <c r="B24" s="10" t="s">
        <v>3</v>
      </c>
      <c r="C24" s="10" t="s">
        <v>7</v>
      </c>
      <c r="D24" s="10" t="s">
        <v>3</v>
      </c>
      <c r="E24" s="10" t="s">
        <v>7</v>
      </c>
      <c r="F24" s="10" t="s">
        <v>3</v>
      </c>
      <c r="G24" s="10" t="s">
        <v>7</v>
      </c>
    </row>
    <row r="25" spans="1:7" ht="16.5" thickTop="1" x14ac:dyDescent="0.25">
      <c r="A25" s="36" t="s">
        <v>5</v>
      </c>
      <c r="B25" s="66">
        <v>10</v>
      </c>
      <c r="C25" s="22" t="s">
        <v>10</v>
      </c>
      <c r="D25" s="71">
        <v>15</v>
      </c>
      <c r="E25" s="22" t="s">
        <v>10</v>
      </c>
      <c r="F25" s="71">
        <v>25</v>
      </c>
      <c r="G25" s="23" t="s">
        <v>10</v>
      </c>
    </row>
    <row r="26" spans="1:7" x14ac:dyDescent="0.25">
      <c r="A26" s="37" t="s">
        <v>6</v>
      </c>
      <c r="B26" s="27">
        <f>'Operating Conditions'!B20</f>
        <v>0</v>
      </c>
      <c r="C26" s="25" t="s">
        <v>11</v>
      </c>
      <c r="D26" s="27">
        <f>'Operating Conditions'!D20</f>
        <v>22.3</v>
      </c>
      <c r="E26" s="25" t="s">
        <v>11</v>
      </c>
      <c r="F26" s="27">
        <f>'Operating Conditions'!F20</f>
        <v>53.38</v>
      </c>
      <c r="G26" s="26" t="s">
        <v>11</v>
      </c>
    </row>
    <row r="27" spans="1:7" x14ac:dyDescent="0.25">
      <c r="A27" s="37" t="s">
        <v>73</v>
      </c>
      <c r="B27" s="86">
        <f>B7</f>
        <v>1.2869999999999999</v>
      </c>
      <c r="C27" s="25" t="s">
        <v>172</v>
      </c>
      <c r="D27" s="86">
        <f>(1-D26/100)*$B$7</f>
        <v>0.99999899999999997</v>
      </c>
      <c r="E27" s="25" t="s">
        <v>172</v>
      </c>
      <c r="F27" s="86">
        <f>(1-F26/100)*$B$7</f>
        <v>0.59999939999999985</v>
      </c>
      <c r="G27" s="25" t="s">
        <v>172</v>
      </c>
    </row>
    <row r="28" spans="1:7" x14ac:dyDescent="0.25">
      <c r="A28" s="37" t="s">
        <v>62</v>
      </c>
      <c r="B28" s="86">
        <f>(1-B26/100)*$B$18*$B$7</f>
        <v>0.73358999999999985</v>
      </c>
      <c r="C28" s="25" t="s">
        <v>173</v>
      </c>
      <c r="D28" s="86">
        <f>(1-D26/100)*$B$18*$B$7</f>
        <v>0.56999942999999986</v>
      </c>
      <c r="E28" s="25" t="s">
        <v>173</v>
      </c>
      <c r="F28" s="86">
        <f>(1-F26/100)*$B$18*$B$7</f>
        <v>0.34199965799999993</v>
      </c>
      <c r="G28" s="25" t="s">
        <v>173</v>
      </c>
    </row>
    <row r="29" spans="1:7" x14ac:dyDescent="0.25">
      <c r="A29" s="37" t="s">
        <v>74</v>
      </c>
      <c r="B29" s="86">
        <v>0</v>
      </c>
      <c r="C29" s="25" t="s">
        <v>147</v>
      </c>
      <c r="D29" s="86">
        <v>0</v>
      </c>
      <c r="E29" s="25" t="s">
        <v>147</v>
      </c>
      <c r="F29" s="86">
        <v>0</v>
      </c>
      <c r="G29" s="25" t="s">
        <v>147</v>
      </c>
    </row>
    <row r="30" spans="1:7" ht="16.5" thickBot="1" x14ac:dyDescent="0.3">
      <c r="A30" s="38" t="s">
        <v>18</v>
      </c>
      <c r="B30" s="84">
        <f>SUM(B28:B29)</f>
        <v>0.73358999999999985</v>
      </c>
      <c r="C30" s="29" t="s">
        <v>148</v>
      </c>
      <c r="D30" s="84">
        <f>SUM(D28:D29)</f>
        <v>0.56999942999999986</v>
      </c>
      <c r="E30" s="29" t="s">
        <v>148</v>
      </c>
      <c r="F30" s="84">
        <f>SUM(F28:F29)</f>
        <v>0.34199965799999993</v>
      </c>
      <c r="G30" s="29" t="s">
        <v>148</v>
      </c>
    </row>
    <row r="31" spans="1:7" ht="16.5" thickTop="1" x14ac:dyDescent="0.25"/>
    <row r="33" spans="1:7" ht="18.75" x14ac:dyDescent="0.3">
      <c r="A33" s="2" t="s">
        <v>158</v>
      </c>
    </row>
    <row r="34" spans="1:7" ht="16.5" thickBot="1" x14ac:dyDescent="0.3"/>
    <row r="35" spans="1:7" ht="17.25" thickTop="1" thickBot="1" x14ac:dyDescent="0.3">
      <c r="A35" s="10" t="s">
        <v>2</v>
      </c>
      <c r="B35" s="10" t="s">
        <v>3</v>
      </c>
      <c r="C35" s="10" t="s">
        <v>7</v>
      </c>
    </row>
    <row r="36" spans="1:7" ht="17.25" thickTop="1" thickBot="1" x14ac:dyDescent="0.3">
      <c r="A36" s="43" t="s">
        <v>64</v>
      </c>
      <c r="B36" s="91">
        <v>75</v>
      </c>
      <c r="C36" s="42" t="s">
        <v>174</v>
      </c>
      <c r="D36" s="95" t="s">
        <v>182</v>
      </c>
      <c r="E36" s="95"/>
      <c r="F36" s="95"/>
      <c r="G36" s="95"/>
    </row>
    <row r="37" spans="1:7" ht="16.5" thickTop="1" x14ac:dyDescent="0.25"/>
  </sheetData>
  <mergeCells count="1">
    <mergeCell ref="B15:C15"/>
  </mergeCells>
  <phoneticPr fontId="5" type="noConversion"/>
  <pageMargins left="0.7" right="0.7" top="0.75" bottom="0.75" header="0.3" footer="0.3"/>
  <pageSetup paperSize="9" scale="9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Operating Conditions</vt:lpstr>
      <vt:lpstr>Capacitor &amp; Controller</vt:lpstr>
      <vt:lpstr>Inductor</vt:lpstr>
      <vt:lpstr>Switch</vt:lpstr>
      <vt:lpstr>Diode</vt:lpstr>
    </vt:vector>
  </TitlesOfParts>
  <Manager/>
  <Company>The University of Auckland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ELECTENG734 Design Report Template</dc:title>
  <dc:subject/>
  <dc:creator>Duleepa J Thrimawithana</dc:creator>
  <cp:keywords/>
  <dc:description>Design report template developed for ELECTENG734 - IPT Converter</dc:description>
  <cp:lastModifiedBy>Leon Digges</cp:lastModifiedBy>
  <cp:lastPrinted>2016-03-25T06:38:56Z</cp:lastPrinted>
  <dcterms:created xsi:type="dcterms:W3CDTF">2016-03-19T02:58:54Z</dcterms:created>
  <dcterms:modified xsi:type="dcterms:W3CDTF">2024-05-02T11:44:17Z</dcterms:modified>
  <cp:category/>
</cp:coreProperties>
</file>