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ectrical" sheetId="1" r:id="rId3"/>
    <sheet state="visible" name="Plumbing" sheetId="2" r:id="rId4"/>
    <sheet state="visible" name="Structure" sheetId="3" r:id="rId5"/>
    <sheet state="visible" name="Interior" sheetId="4" r:id="rId6"/>
    <sheet state="visible" name="Exterior" sheetId="5" r:id="rId7"/>
    <sheet state="visible" name="Transportation" sheetId="6" r:id="rId8"/>
  </sheets>
  <definedNames/>
  <calcPr/>
</workbook>
</file>

<file path=xl/sharedStrings.xml><?xml version="1.0" encoding="utf-8"?>
<sst xmlns="http://schemas.openxmlformats.org/spreadsheetml/2006/main" count="1099" uniqueCount="358">
  <si>
    <t>#q</t>
  </si>
  <si>
    <t>Tier 2</t>
  </si>
  <si>
    <t>Tier 3</t>
  </si>
  <si>
    <t>Options</t>
  </si>
  <si>
    <t>Kg CO2-eq</t>
  </si>
  <si>
    <t>Units</t>
  </si>
  <si>
    <t>Source</t>
  </si>
  <si>
    <t>Fan</t>
  </si>
  <si>
    <t>Framing</t>
  </si>
  <si>
    <t>Water Tanks</t>
  </si>
  <si>
    <t>Potable Water Tank</t>
  </si>
  <si>
    <t>C</t>
  </si>
  <si>
    <t>75 Gallon High-Density Polyethylene</t>
  </si>
  <si>
    <t>Framing-Walls (3 in x 1.5 in x 1/4 in)</t>
  </si>
  <si>
    <t>kg CO2-eq/unit</t>
  </si>
  <si>
    <t>AE3-43”</t>
  </si>
  <si>
    <t>kg CO2/unit</t>
  </si>
  <si>
    <t>ICE</t>
  </si>
  <si>
    <t>kg CO2-eq/kg</t>
  </si>
  <si>
    <t>Density (kg/m^3)</t>
  </si>
  <si>
    <t>kg/m^3</t>
  </si>
  <si>
    <t>Density (kg/ft^3)</t>
  </si>
  <si>
    <t>height ft</t>
  </si>
  <si>
    <t>weight ft</t>
  </si>
  <si>
    <t>thickness ft</t>
  </si>
  <si>
    <t>Area</t>
  </si>
  <si>
    <t>B</t>
  </si>
  <si>
    <t>40 Gallon High-Density Polyethylene</t>
  </si>
  <si>
    <t>HSS Steel</t>
  </si>
  <si>
    <t>20 Gallon High-Density Polyethylene</t>
  </si>
  <si>
    <t>10 Gallon High-Density Polyethylene</t>
  </si>
  <si>
    <t>AE3-50”</t>
  </si>
  <si>
    <t>Gray Water Tank</t>
  </si>
  <si>
    <t>kg CO2eq/ft</t>
  </si>
  <si>
    <t>AE3-60”</t>
  </si>
  <si>
    <t>Lighting</t>
  </si>
  <si>
    <t>Bulbs</t>
  </si>
  <si>
    <t>A</t>
  </si>
  <si>
    <t>Fluorescent</t>
  </si>
  <si>
    <t>Filtered Water Tank (?)</t>
  </si>
  <si>
    <t>kgCO2 / unit</t>
  </si>
  <si>
    <t>Lumber (Wood)</t>
  </si>
  <si>
    <t>Incandescent</t>
  </si>
  <si>
    <t>Plyboard</t>
  </si>
  <si>
    <t>Glue laminated timber</t>
  </si>
  <si>
    <t>LED</t>
  </si>
  <si>
    <t xml:space="preserve">Laminated Veneer lumber </t>
  </si>
  <si>
    <t>Hot Water Tank (?)</t>
  </si>
  <si>
    <t>Medium Density fiberboard</t>
  </si>
  <si>
    <t>80 Gallon</t>
  </si>
  <si>
    <t>Power System</t>
  </si>
  <si>
    <t>Particle Board</t>
  </si>
  <si>
    <t>Battery</t>
  </si>
  <si>
    <t>sized for entire system, inc. replacements</t>
  </si>
  <si>
    <t>Lead-Acid</t>
  </si>
  <si>
    <t>Water Heaters</t>
  </si>
  <si>
    <t>Sawn Hardwood</t>
  </si>
  <si>
    <t>Tesla Powerwall</t>
  </si>
  <si>
    <t>Sawn Softwood</t>
  </si>
  <si>
    <t>Point of Use Electric (7 gal)</t>
  </si>
  <si>
    <t>Tesla Car</t>
  </si>
  <si>
    <t>scaled from STS</t>
  </si>
  <si>
    <t>Polystyrene</t>
  </si>
  <si>
    <t>PV</t>
  </si>
  <si>
    <t>kg/cm^3</t>
  </si>
  <si>
    <t>STS w/ Electric Backup + Tank 300l (~80gal)</t>
  </si>
  <si>
    <t>Engineered Lumber</t>
  </si>
  <si>
    <t>kgCO2-eq/m^2</t>
  </si>
  <si>
    <t>Monocrystalline</t>
  </si>
  <si>
    <t>Framing-Roof (4 in x 1.5 in x 1/4 in)</t>
  </si>
  <si>
    <t>Solar Heater + Collector + Tank 150l (~40 gal)</t>
  </si>
  <si>
    <t>kg CO2-eq/ft^2</t>
  </si>
  <si>
    <t>Natural gas + Tank 40 gal</t>
  </si>
  <si>
    <t>Ribbon Silicon</t>
  </si>
  <si>
    <t>Tankless Natural Gas (40 gal-eq)</t>
  </si>
  <si>
    <t>Cadmium Telluride</t>
  </si>
  <si>
    <t>Polycrystalline</t>
  </si>
  <si>
    <t>Pipes</t>
  </si>
  <si>
    <t>kg CO2/kg</t>
  </si>
  <si>
    <t>OUTSIDE D (in)</t>
  </si>
  <si>
    <t>INSIDE D (in)</t>
  </si>
  <si>
    <r>
      <t xml:space="preserve">ρ </t>
    </r>
    <r>
      <rPr/>
      <t>(kg/in^2)</t>
    </r>
  </si>
  <si>
    <t>Thin Film</t>
  </si>
  <si>
    <t>Area of Material</t>
  </si>
  <si>
    <t>PVC-STD (1")</t>
  </si>
  <si>
    <t>Inverter</t>
  </si>
  <si>
    <t>kg CO2 / ft</t>
  </si>
  <si>
    <t>kgCO2 / kW</t>
  </si>
  <si>
    <t>PVC-STD  (1 1/2")</t>
  </si>
  <si>
    <t>Wiring</t>
  </si>
  <si>
    <t>PVC-STD (2")</t>
  </si>
  <si>
    <t>PVC-STD (2 1/2")</t>
  </si>
  <si>
    <t>PVC-STD (3")</t>
  </si>
  <si>
    <t>PVC STD (4")</t>
  </si>
  <si>
    <t>Density (g/cm^3)</t>
  </si>
  <si>
    <t>Cross-Sectional Area (mm^2)</t>
  </si>
  <si>
    <t>Copper (1/2")</t>
  </si>
  <si>
    <t>Wire (14 gauge)</t>
  </si>
  <si>
    <t>Copper (3/4")</t>
  </si>
  <si>
    <t>Framing-Edge (3 in x 3 in x 1/4 in)</t>
  </si>
  <si>
    <t>kg CO2-eq/ft</t>
  </si>
  <si>
    <t>Copper (1")</t>
  </si>
  <si>
    <t>Copper (1 1/4")</t>
  </si>
  <si>
    <t>Copper (1 1/2")</t>
  </si>
  <si>
    <t>Copper (2")</t>
  </si>
  <si>
    <t>Wire (12 gauge)</t>
  </si>
  <si>
    <t>Copper (2 1/2")</t>
  </si>
  <si>
    <t>Wire (10 gauge)</t>
  </si>
  <si>
    <t>Copper (3")</t>
  </si>
  <si>
    <t>HDPE (3/4")</t>
  </si>
  <si>
    <t>Wire (8 gauge)</t>
  </si>
  <si>
    <t>HDPE (1")</t>
  </si>
  <si>
    <t>Wire (6 gauge)</t>
  </si>
  <si>
    <t>HDPE (1 1/4")</t>
  </si>
  <si>
    <t>HDPE (1 1/2")</t>
  </si>
  <si>
    <t>HDPE (2")</t>
  </si>
  <si>
    <t>HDPE (3")</t>
  </si>
  <si>
    <t>PEX (1/2")</t>
  </si>
  <si>
    <t>PEX (3/4")</t>
  </si>
  <si>
    <t>PEX (1")</t>
  </si>
  <si>
    <t>PEX (1 1/4")</t>
  </si>
  <si>
    <t>PEX (1 1/2")</t>
  </si>
  <si>
    <t>PEX (2")</t>
  </si>
  <si>
    <t>PEX (2 1/2")</t>
  </si>
  <si>
    <t>PEX (3")</t>
  </si>
  <si>
    <t>Cast Iron</t>
  </si>
  <si>
    <t>kg CO2 / kg</t>
  </si>
  <si>
    <t>Kitchen</t>
  </si>
  <si>
    <t>Planter System</t>
  </si>
  <si>
    <t>Value</t>
  </si>
  <si>
    <t>Original Units</t>
  </si>
  <si>
    <t>Density (kg/m3)</t>
  </si>
  <si>
    <t>Plants</t>
  </si>
  <si>
    <t>Cooktop</t>
  </si>
  <si>
    <t>Insulation</t>
  </si>
  <si>
    <t>kg CO2/lbs</t>
  </si>
  <si>
    <t>kg co2/kg</t>
  </si>
  <si>
    <t>Peat Moss</t>
  </si>
  <si>
    <t>density (kg/ft^3)</t>
  </si>
  <si>
    <t>Polyisocyanurate</t>
  </si>
  <si>
    <t>Assumed = soil</t>
  </si>
  <si>
    <t>Planter Boxes</t>
  </si>
  <si>
    <t>kg CO2-eq/ft^3</t>
  </si>
  <si>
    <t>Wood</t>
  </si>
  <si>
    <t>Base Sink Unit</t>
  </si>
  <si>
    <t>Gravel</t>
  </si>
  <si>
    <t>General Insulation</t>
  </si>
  <si>
    <t>Soil</t>
  </si>
  <si>
    <t>Cellulose</t>
  </si>
  <si>
    <t>Tap</t>
  </si>
  <si>
    <t>Heat Exchanger</t>
  </si>
  <si>
    <t>Solid Stainless Steel</t>
  </si>
  <si>
    <t>Cork</t>
  </si>
  <si>
    <t>Conventional</t>
  </si>
  <si>
    <t>Poop Oven</t>
  </si>
  <si>
    <t>∞</t>
  </si>
  <si>
    <t>Fiberglass</t>
  </si>
  <si>
    <t>Density</t>
  </si>
  <si>
    <t>Flax</t>
  </si>
  <si>
    <t>Lumber</t>
  </si>
  <si>
    <t>Water-Saving</t>
  </si>
  <si>
    <t>kg CO2/ft^3</t>
  </si>
  <si>
    <t>ICEv2</t>
  </si>
  <si>
    <t>Mineral Wool (Loose)</t>
  </si>
  <si>
    <t>Refrigerator</t>
  </si>
  <si>
    <t>Original Size (4x)</t>
  </si>
  <si>
    <t>Paper Wool</t>
  </si>
  <si>
    <t>Clay</t>
  </si>
  <si>
    <t>Conventional Refrigerator (Vapor-Compression), 57.5 L</t>
  </si>
  <si>
    <t>Sand</t>
  </si>
  <si>
    <t>Cotton</t>
  </si>
  <si>
    <t>Hay</t>
  </si>
  <si>
    <t>weird</t>
  </si>
  <si>
    <t>Cellular Glass</t>
  </si>
  <si>
    <t>Plywood</t>
  </si>
  <si>
    <t>kg CO2-eq/ft2</t>
  </si>
  <si>
    <t>Magnetic Refrigerator, 57.5 L</t>
  </si>
  <si>
    <t>Rebar</t>
  </si>
  <si>
    <t>Bricks</t>
  </si>
  <si>
    <t>Glass</t>
  </si>
  <si>
    <t>Direct Cooling, double door, 15.25 kg</t>
  </si>
  <si>
    <t xml:space="preserve">NOTE: Assumed </t>
  </si>
  <si>
    <t>Glass (1/8")</t>
  </si>
  <si>
    <t>Steel</t>
  </si>
  <si>
    <t>kg CO2/ft^2</t>
  </si>
  <si>
    <t>Mesh</t>
  </si>
  <si>
    <t>Glass (3/16")</t>
  </si>
  <si>
    <t>kg CO2-eq/m^2</t>
  </si>
  <si>
    <t>Counter</t>
  </si>
  <si>
    <t>Glass (1/4")</t>
  </si>
  <si>
    <t>Trailer</t>
  </si>
  <si>
    <t>kg CO2eq/kg</t>
  </si>
  <si>
    <t>Individual Tires</t>
  </si>
  <si>
    <t>Glass (3/8")</t>
  </si>
  <si>
    <t>thickness</t>
  </si>
  <si>
    <t>thickness source</t>
  </si>
  <si>
    <t>density (kg/m3)</t>
  </si>
  <si>
    <t>density source</t>
  </si>
  <si>
    <t>Wood-Bamboo (1.5")</t>
  </si>
  <si>
    <t>Glass (1/2")</t>
  </si>
  <si>
    <t>Frame</t>
  </si>
  <si>
    <t>Glass (3/4")</t>
  </si>
  <si>
    <t>Screws</t>
  </si>
  <si>
    <t>kg/ft2</t>
  </si>
  <si>
    <t>Trailer Frame 24' x 8'</t>
  </si>
  <si>
    <t>2,751.11+</t>
  </si>
  <si>
    <t>Screws and Bolts</t>
  </si>
  <si>
    <t>kg CO2-eq/lb</t>
  </si>
  <si>
    <t>Trailer Frame 18' x 8'</t>
  </si>
  <si>
    <t>1,966.05+</t>
  </si>
  <si>
    <t>Trailer Frame 20' x 8'</t>
  </si>
  <si>
    <t>2,102.58+</t>
  </si>
  <si>
    <t>Trailer Frame 26' x 8'</t>
  </si>
  <si>
    <t>2,887.64+</t>
  </si>
  <si>
    <t>Wood-Ash (1.5")</t>
  </si>
  <si>
    <t>Galvanized Steel</t>
  </si>
  <si>
    <t>Wood-Oak (1.5")</t>
  </si>
  <si>
    <t>Wood-Maple (1.5")</t>
  </si>
  <si>
    <t>Assumptions</t>
  </si>
  <si>
    <t xml:space="preserve">                         </t>
  </si>
  <si>
    <t>Wood-Walnut (1.5")</t>
  </si>
  <si>
    <t>Roof</t>
  </si>
  <si>
    <t>thickness (ft)</t>
  </si>
  <si>
    <t>Roof Cover</t>
  </si>
  <si>
    <t>Wood-Cherry (1.5")</t>
  </si>
  <si>
    <t>Asphalt Shingles</t>
  </si>
  <si>
    <t>Stainless Steel</t>
  </si>
  <si>
    <t>Clay Tile</t>
  </si>
  <si>
    <t>NOTE</t>
  </si>
  <si>
    <t>Ground</t>
  </si>
  <si>
    <t>Rubber</t>
  </si>
  <si>
    <t>Truck</t>
  </si>
  <si>
    <t>kg / 1000 kilometers</t>
  </si>
  <si>
    <t>PVC</t>
  </si>
  <si>
    <t>Slate</t>
  </si>
  <si>
    <t>From Richmond to Sacramento and back is ~233 kilometers</t>
  </si>
  <si>
    <t>Not included in final calculator</t>
  </si>
  <si>
    <t>Spray Foam (polyurethane)</t>
  </si>
  <si>
    <t>Drawers</t>
  </si>
  <si>
    <t>Underlayment</t>
  </si>
  <si>
    <t>Asphalt Felt</t>
  </si>
  <si>
    <t>Drawer Line Unit</t>
  </si>
  <si>
    <t>kg Co2-eq/in3 drawer volume</t>
  </si>
  <si>
    <t>Cabinet</t>
  </si>
  <si>
    <t>Thermoplastic</t>
  </si>
  <si>
    <t>Kitchen Wall Unit</t>
  </si>
  <si>
    <t>kg Co2-eq/in3 cabinet volume</t>
  </si>
  <si>
    <t>EPDM</t>
  </si>
  <si>
    <t>Storage</t>
  </si>
  <si>
    <t>Sheathing</t>
  </si>
  <si>
    <t>Appliance Housing</t>
  </si>
  <si>
    <t>kg Co2-eq/unit</t>
  </si>
  <si>
    <t>1000mm storage unit</t>
  </si>
  <si>
    <t>kg Co2-eq/in3 storage unit volume</t>
  </si>
  <si>
    <t>500mm storage unit</t>
  </si>
  <si>
    <t>Cutlery</t>
  </si>
  <si>
    <t>kg CO2 / unit</t>
  </si>
  <si>
    <t>House Wrap</t>
  </si>
  <si>
    <t>Bathroom</t>
  </si>
  <si>
    <t>HDPE</t>
  </si>
  <si>
    <t>Conventional Toilet</t>
  </si>
  <si>
    <t>Toilet</t>
  </si>
  <si>
    <t>Window</t>
  </si>
  <si>
    <t>1200x1200 double glazed, air or argon filled</t>
  </si>
  <si>
    <t>Awning 1</t>
  </si>
  <si>
    <t>Aluminum Clad Pine Frame (48 in x 24 in)</t>
  </si>
  <si>
    <t>kg CO2-eq</t>
  </si>
  <si>
    <t>Aluminum Clad Timber Frame</t>
  </si>
  <si>
    <t>Shower Head</t>
  </si>
  <si>
    <t>Tile Wall</t>
  </si>
  <si>
    <t>Tile</t>
  </si>
  <si>
    <t>Aluminum Clad Pine Frame (24 in x 24 in)</t>
  </si>
  <si>
    <t>Aluminum</t>
  </si>
  <si>
    <t>Awning 2</t>
  </si>
  <si>
    <t>Linoleum Wall</t>
  </si>
  <si>
    <t>Linoleum</t>
  </si>
  <si>
    <t>Glass Door</t>
  </si>
  <si>
    <t>Polyester Shower Curtain</t>
  </si>
  <si>
    <t>Kg Co2/unit</t>
  </si>
  <si>
    <t>Timber</t>
  </si>
  <si>
    <t>Vinyl Shower Curtain Liner</t>
  </si>
  <si>
    <t>Floor</t>
  </si>
  <si>
    <t>Casement</t>
  </si>
  <si>
    <t>Aluminum Clad Pine Frame (21 in x 42 in)</t>
  </si>
  <si>
    <t>density</t>
  </si>
  <si>
    <t>unit</t>
  </si>
  <si>
    <t>Doors</t>
  </si>
  <si>
    <t>Pella 750 Sliding Door</t>
  </si>
  <si>
    <t>online/ICE</t>
  </si>
  <si>
    <t>Cork (3/4")</t>
  </si>
  <si>
    <t>Exterior Finishing</t>
  </si>
  <si>
    <t>kg/m3</t>
  </si>
  <si>
    <t>Kg Co2/ft^2</t>
  </si>
  <si>
    <t>kg CO2-eq/ft3</t>
  </si>
  <si>
    <t>Lumber(pine)</t>
  </si>
  <si>
    <t>Vinyl</t>
  </si>
  <si>
    <t>Engineered Plastic</t>
  </si>
  <si>
    <t>Interior Finishing</t>
  </si>
  <si>
    <t>Bamboo (3/4")</t>
  </si>
  <si>
    <t>Steps</t>
  </si>
  <si>
    <t>Hardwood (3/4")</t>
  </si>
  <si>
    <t>kg CO2-eq/lbs</t>
  </si>
  <si>
    <t>Concrete</t>
  </si>
  <si>
    <t>Granite</t>
  </si>
  <si>
    <t>Limestone</t>
  </si>
  <si>
    <t>Marble</t>
  </si>
  <si>
    <t>Carpet</t>
  </si>
  <si>
    <t>Sandstone</t>
  </si>
  <si>
    <t>Shale</t>
  </si>
  <si>
    <t>Paint</t>
  </si>
  <si>
    <t>Ceramics (3/4")</t>
  </si>
  <si>
    <t>Density kg/gal</t>
  </si>
  <si>
    <t>General</t>
  </si>
  <si>
    <t>kg CO2-eq/gal</t>
  </si>
  <si>
    <t>Waterborne</t>
  </si>
  <si>
    <t>Concrete (General) (3/4")</t>
  </si>
  <si>
    <t>Solventborne</t>
  </si>
  <si>
    <t>Wood stain/Varnish</t>
  </si>
  <si>
    <t>Linoleum (3/4")</t>
  </si>
  <si>
    <t>Walls</t>
  </si>
  <si>
    <t xml:space="preserve">Lumber </t>
  </si>
  <si>
    <t>Vinyl (3/4")</t>
  </si>
  <si>
    <t>Ceiling</t>
  </si>
  <si>
    <t>(m)</t>
  </si>
  <si>
    <t>Mineral Fiber Tile (1/2")</t>
  </si>
  <si>
    <t>kg/m^2</t>
  </si>
  <si>
    <t>Plasterboard (1/2")</t>
  </si>
  <si>
    <t>General Concrete</t>
  </si>
  <si>
    <t>Fiber-Cement Blocks*</t>
  </si>
  <si>
    <t>Gypsum (1/2")</t>
  </si>
  <si>
    <t>Concrete (1/2")</t>
  </si>
  <si>
    <t>Patio</t>
  </si>
  <si>
    <t>Hardwood (7/10")</t>
  </si>
  <si>
    <t>Softwood (7/10")</t>
  </si>
  <si>
    <t>Plasterboard (1/2)</t>
  </si>
  <si>
    <t>Gypsum (1/2)</t>
  </si>
  <si>
    <t>Bamboo</t>
  </si>
  <si>
    <t>Concrete (7/10)</t>
  </si>
  <si>
    <t>Hardwood (7/10)</t>
  </si>
  <si>
    <t>Hardwood</t>
  </si>
  <si>
    <t>Softwood (7/10)</t>
  </si>
  <si>
    <t>Furniture</t>
  </si>
  <si>
    <t>Bed</t>
  </si>
  <si>
    <t>Ceramics</t>
  </si>
  <si>
    <t>Double Mattress</t>
  </si>
  <si>
    <t>Kg Co2 / unit</t>
  </si>
  <si>
    <t>Single Divan</t>
  </si>
  <si>
    <t>Concrete (General)</t>
  </si>
  <si>
    <t>Double Divan</t>
  </si>
  <si>
    <t>Headboard</t>
  </si>
  <si>
    <t>Couch</t>
  </si>
  <si>
    <t>Tables</t>
  </si>
  <si>
    <t>Chairs</t>
  </si>
  <si>
    <t>Bed Ladder</t>
  </si>
  <si>
    <t>Wood (American Red Oak)</t>
  </si>
  <si>
    <t>60+</t>
  </si>
  <si>
    <t>Television</t>
  </si>
  <si>
    <t>Kg CO2 /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</si>
</sst>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4">
    <font>
      <sz val="10.0"/>
      <color rgb="FF000000"/>
      <name val="Arial"/>
    </font>
    <font>
      <b/>
      <sz val="12.0"/>
    </font>
    <font>
      <sz val="10.0"/>
      <name val="Arial"/>
    </font>
    <font>
      <sz val="9.0"/>
    </font>
    <font/>
    <font>
      <name val="Arial"/>
    </font>
    <font>
      <sz val="11.0"/>
      <color rgb="FF000000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</font>
    <font>
      <b/>
      <color rgb="FF6A6A6A"/>
      <name val="Arial"/>
    </font>
    <font>
      <sz val="11.0"/>
      <color rgb="FF000000"/>
      <name val="Inconsolata"/>
    </font>
    <font>
      <u/>
      <sz val="10.0"/>
      <color rgb="FF0000FF"/>
      <name val="Arial"/>
    </font>
    <font>
      <sz val="11.0"/>
      <color rgb="FF000000"/>
      <name val="Sans-serif"/>
    </font>
    <font>
      <sz val="8.0"/>
      <color rgb="FF313131"/>
      <name val="Tahoma"/>
    </font>
    <font>
      <u/>
      <color rgb="FF0000FF"/>
    </font>
    <font>
      <sz val="6.0"/>
      <name val="'Arial"/>
    </font>
    <font>
      <sz val="10.0"/>
    </font>
    <font>
      <u/>
      <color rgb="FF0000FF"/>
    </font>
    <font>
      <color rgb="FF000000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color rgb="FF0000FF"/>
    </font>
    <font>
      <u/>
      <sz val="10.0"/>
      <color rgb="FF0000FF"/>
    </font>
    <font>
      <color rgb="FF000000"/>
      <name val="Arial"/>
    </font>
    <font>
      <u/>
      <color rgb="FF0000FF"/>
    </font>
    <font>
      <u/>
      <sz val="10.0"/>
      <color rgb="FF0000FF"/>
      <name val="Arial"/>
    </font>
    <font>
      <u/>
      <color rgb="FF1155CC"/>
      <name val="Arial"/>
    </font>
    <font>
      <u/>
      <sz val="10.0"/>
      <color rgb="FF0000FF"/>
    </font>
    <font>
      <u/>
      <sz val="10.0"/>
      <color rgb="FF0000FF"/>
      <name val="Arial"/>
    </font>
    <font>
      <b/>
    </font>
    <font>
      <u/>
      <color rgb="FF0000FF"/>
    </font>
    <font>
      <u/>
      <color rgb="FF0000FF"/>
    </font>
    <font>
      <u/>
      <sz val="11.0"/>
      <color rgb="FF000000"/>
      <name val="Inconsolata"/>
    </font>
    <font>
      <u/>
      <sz val="10.0"/>
      <color rgb="FF0000FF"/>
    </font>
    <font>
      <u/>
      <sz val="11.0"/>
      <color rgb="FF000000"/>
      <name val="Inconsolata"/>
    </font>
    <font>
      <u/>
      <color rgb="FF0000FF"/>
    </font>
    <font>
      <u/>
      <sz val="10.0"/>
      <color rgb="FF0000FF"/>
      <name val="Arial"/>
    </font>
    <font>
      <u/>
      <color rgb="FF0000FF"/>
    </font>
    <font>
      <sz val="10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sz val="10.0"/>
      <color rgb="FF0000FF"/>
      <name val="Arial"/>
    </font>
    <font>
      <u/>
      <sz val="10.0"/>
      <color rgb="FF0000FF"/>
    </font>
    <font>
      <sz val="11.0"/>
      <color rgb="FF0000FF"/>
      <name val="Arial"/>
    </font>
    <font>
      <u/>
      <sz val="10.0"/>
      <color rgb="FF0000FF"/>
    </font>
    <font>
      <u/>
      <sz val="11.0"/>
      <color rgb="FF0000FF"/>
      <name val="Arial"/>
    </font>
    <font>
      <u/>
      <color rgb="FF0000FF"/>
      <name val="Arial"/>
    </font>
    <font>
      <u/>
      <color rgb="FF0000FF"/>
    </font>
    <font>
      <u/>
      <sz val="10.0"/>
      <color rgb="FF0000FF"/>
    </font>
    <font>
      <sz val="10.0"/>
      <color rgb="FF000000"/>
    </font>
    <font>
      <u/>
      <sz val="10.0"/>
      <color rgb="FF0000FF"/>
    </font>
    <font>
      <u/>
      <sz val="10.0"/>
      <color rgb="FF0000FF"/>
    </font>
    <font>
      <b/>
      <u/>
      <sz val="10.0"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</font>
    <font>
      <u/>
      <sz val="10.0"/>
      <color rgb="FF0000FF"/>
    </font>
    <font>
      <sz val="10.0"/>
      <color rgb="FFFFFF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4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  <fill>
      <patternFill patternType="solid">
        <fgColor rgb="FFA61C00"/>
        <bgColor rgb="FFA61C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9F9F9"/>
        <bgColor rgb="FFF9F9F9"/>
      </patternFill>
    </fill>
    <fill>
      <patternFill patternType="solid">
        <fgColor rgb="FFB45F06"/>
        <bgColor rgb="FFB45F06"/>
      </patternFill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990000"/>
        <bgColor rgb="FF99000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Fill="1" applyFont="1"/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2" fontId="5" numFmtId="0" xfId="0" applyAlignment="1" applyFont="1">
      <alignment horizontal="right"/>
    </xf>
    <xf borderId="0" fillId="2" fontId="4" numFmtId="0" xfId="0" applyFont="1"/>
    <xf borderId="0" fillId="2" fontId="5" numFmtId="0" xfId="0" applyAlignment="1" applyFont="1">
      <alignment horizontal="right"/>
    </xf>
    <xf borderId="0" fillId="2" fontId="4" numFmtId="0" xfId="0" applyAlignment="1" applyFont="1">
      <alignment horizontal="right"/>
    </xf>
    <xf borderId="0" fillId="2" fontId="2" numFmtId="0" xfId="0" applyAlignment="1" applyFont="1">
      <alignment/>
    </xf>
    <xf borderId="0" fillId="3" fontId="4" numFmtId="0" xfId="0" applyAlignment="1" applyFill="1" applyFont="1">
      <alignment/>
    </xf>
    <xf borderId="0" fillId="0" fontId="2" numFmtId="0" xfId="0" applyFont="1"/>
    <xf borderId="0" fillId="3" fontId="6" numFmtId="0" xfId="0" applyAlignment="1" applyFont="1">
      <alignment horizontal="right"/>
    </xf>
    <xf borderId="0" fillId="0" fontId="4" numFmtId="0" xfId="0" applyAlignment="1" applyFont="1">
      <alignment/>
    </xf>
    <xf borderId="0" fillId="3" fontId="4" numFmtId="0" xfId="0" applyAlignment="1" applyFont="1">
      <alignment/>
    </xf>
    <xf borderId="0" fillId="0" fontId="4" numFmtId="0" xfId="0" applyAlignment="1" applyFont="1">
      <alignment/>
    </xf>
    <xf borderId="0" fillId="3" fontId="0" numFmtId="0" xfId="0" applyAlignment="1" applyFont="1">
      <alignment/>
    </xf>
    <xf borderId="0" fillId="4" fontId="3" numFmtId="0" xfId="0" applyAlignment="1" applyFill="1" applyFont="1">
      <alignment/>
    </xf>
    <xf borderId="0" fillId="3" fontId="2" numFmtId="0" xfId="0" applyAlignment="1" applyFont="1">
      <alignment/>
    </xf>
    <xf borderId="0" fillId="4" fontId="5" numFmtId="0" xfId="0" applyAlignment="1" applyFont="1">
      <alignment horizontal="right"/>
    </xf>
    <xf borderId="0" fillId="4" fontId="5" numFmtId="0" xfId="0" applyAlignment="1" applyFont="1">
      <alignment horizontal="right"/>
    </xf>
    <xf borderId="0" fillId="3" fontId="7" numFmtId="0" xfId="0" applyAlignment="1" applyFont="1">
      <alignment/>
    </xf>
    <xf borderId="0" fillId="3" fontId="3" numFmtId="0" xfId="0" applyAlignment="1" applyFont="1">
      <alignment/>
    </xf>
    <xf borderId="0" fillId="3" fontId="8" numFmtId="0" xfId="0" applyAlignment="1" applyFont="1">
      <alignment/>
    </xf>
    <xf borderId="0" fillId="3" fontId="5" numFmtId="0" xfId="0" applyAlignment="1" applyFont="1">
      <alignment/>
    </xf>
    <xf borderId="0" fillId="5" fontId="2" numFmtId="0" xfId="0" applyAlignment="1" applyFill="1" applyFont="1">
      <alignment/>
    </xf>
    <xf borderId="0" fillId="5" fontId="0" numFmtId="0" xfId="0" applyAlignment="1" applyFont="1">
      <alignment/>
    </xf>
    <xf borderId="0" fillId="5" fontId="4" numFmtId="0" xfId="0" applyAlignment="1" applyFont="1">
      <alignment/>
    </xf>
    <xf borderId="0" fillId="3" fontId="5" numFmtId="0" xfId="0" applyAlignment="1" applyFont="1">
      <alignment horizontal="right"/>
    </xf>
    <xf borderId="0" fillId="5" fontId="9" numFmtId="0" xfId="0" applyAlignment="1" applyFont="1">
      <alignment/>
    </xf>
    <xf borderId="0" fillId="5" fontId="6" numFmtId="0" xfId="0" applyAlignment="1" applyFont="1">
      <alignment horizontal="right"/>
    </xf>
    <xf borderId="0" fillId="6" fontId="2" numFmtId="0" xfId="0" applyAlignment="1" applyFill="1" applyFont="1">
      <alignment/>
    </xf>
    <xf borderId="0" fillId="5" fontId="4" numFmtId="0" xfId="0" applyAlignment="1" applyFont="1">
      <alignment/>
    </xf>
    <xf borderId="0" fillId="6" fontId="0" numFmtId="0" xfId="0" applyAlignment="1" applyFont="1">
      <alignment/>
    </xf>
    <xf borderId="0" fillId="3" fontId="5" numFmtId="0" xfId="0" applyAlignment="1" applyFont="1">
      <alignment horizontal="right"/>
    </xf>
    <xf borderId="0" fillId="6" fontId="10" numFmtId="0" xfId="0" applyAlignment="1" applyFont="1">
      <alignment/>
    </xf>
    <xf borderId="0" fillId="5" fontId="11" numFmtId="0" xfId="0" applyAlignment="1" applyFont="1">
      <alignment/>
    </xf>
    <xf borderId="0" fillId="7" fontId="2" numFmtId="0" xfId="0" applyFill="1" applyFont="1"/>
    <xf borderId="0" fillId="7" fontId="2" numFmtId="0" xfId="0" applyAlignment="1" applyFont="1">
      <alignment/>
    </xf>
    <xf borderId="0" fillId="7" fontId="2" numFmtId="0" xfId="0" applyAlignment="1" applyFont="1">
      <alignment horizontal="right"/>
    </xf>
    <xf borderId="0" fillId="7" fontId="2" numFmtId="0" xfId="0" applyAlignment="1" applyFont="1">
      <alignment/>
    </xf>
    <xf borderId="0" fillId="8" fontId="0" numFmtId="0" xfId="0" applyAlignment="1" applyFill="1" applyFont="1">
      <alignment/>
    </xf>
    <xf borderId="0" fillId="6" fontId="4" numFmtId="0" xfId="0" applyAlignment="1" applyFont="1">
      <alignment/>
    </xf>
    <xf borderId="0" fillId="8" fontId="0" numFmtId="0" xfId="0" applyAlignment="1" applyFont="1">
      <alignment horizontal="right"/>
    </xf>
    <xf borderId="0" fillId="6" fontId="6" numFmtId="0" xfId="0" applyAlignment="1" applyFont="1">
      <alignment horizontal="right"/>
    </xf>
    <xf borderId="0" fillId="8" fontId="2" numFmtId="0" xfId="0" applyAlignment="1" applyFont="1">
      <alignment/>
    </xf>
    <xf borderId="0" fillId="3" fontId="5" numFmtId="0" xfId="0" applyAlignment="1" applyFont="1">
      <alignment/>
    </xf>
    <xf borderId="0" fillId="8" fontId="12" numFmtId="0" xfId="0" applyAlignment="1" applyFont="1">
      <alignment/>
    </xf>
    <xf borderId="0" fillId="6" fontId="4" numFmtId="0" xfId="0" applyAlignment="1" applyFont="1">
      <alignment/>
    </xf>
    <xf borderId="0" fillId="9" fontId="0" numFmtId="0" xfId="0" applyAlignment="1" applyFill="1" applyFont="1">
      <alignment/>
    </xf>
    <xf borderId="0" fillId="9" fontId="2" numFmtId="0" xfId="0" applyAlignment="1" applyFont="1">
      <alignment horizontal="right"/>
    </xf>
    <xf borderId="0" fillId="9" fontId="2" numFmtId="0" xfId="0" applyAlignment="1" applyFont="1">
      <alignment/>
    </xf>
    <xf borderId="0" fillId="6" fontId="13" numFmtId="0" xfId="0" applyAlignment="1" applyFont="1">
      <alignment/>
    </xf>
    <xf borderId="0" fillId="9" fontId="14" numFmtId="0" xfId="0" applyAlignment="1" applyFont="1">
      <alignment/>
    </xf>
    <xf borderId="0" fillId="10" fontId="2" numFmtId="0" xfId="0" applyAlignment="1" applyFill="1" applyFont="1">
      <alignment/>
    </xf>
    <xf borderId="0" fillId="10" fontId="2" numFmtId="0" xfId="0" applyAlignment="1" applyFont="1">
      <alignment horizontal="right"/>
    </xf>
    <xf borderId="0" fillId="10" fontId="2" numFmtId="0" xfId="0" applyFont="1"/>
    <xf borderId="0" fillId="3" fontId="5" numFmtId="0" xfId="0" applyAlignment="1" applyFont="1">
      <alignment/>
    </xf>
    <xf borderId="0" fillId="10" fontId="15" numFmtId="0" xfId="0" applyAlignment="1" applyFont="1">
      <alignment/>
    </xf>
    <xf borderId="0" fillId="11" fontId="2" numFmtId="0" xfId="0" applyFill="1" applyFont="1"/>
    <xf borderId="0" fillId="3" fontId="6" numFmtId="0" xfId="0" applyAlignment="1" applyFont="1">
      <alignment horizontal="right"/>
    </xf>
    <xf borderId="0" fillId="11" fontId="2" numFmtId="0" xfId="0" applyAlignment="1" applyFont="1">
      <alignment/>
    </xf>
    <xf borderId="0" fillId="11" fontId="2" numFmtId="0" xfId="0" applyAlignment="1" applyFont="1">
      <alignment horizontal="right"/>
    </xf>
    <xf borderId="0" fillId="4" fontId="2" numFmtId="0" xfId="0" applyFont="1"/>
    <xf borderId="0" fillId="4" fontId="2" numFmtId="0" xfId="0" applyAlignment="1" applyFont="1">
      <alignment/>
    </xf>
    <xf borderId="0" fillId="3" fontId="16" numFmtId="0" xfId="0" applyAlignment="1" applyFont="1">
      <alignment/>
    </xf>
    <xf borderId="0" fillId="4" fontId="2" numFmtId="0" xfId="0" applyAlignment="1" applyFont="1">
      <alignment horizontal="right"/>
    </xf>
    <xf borderId="0" fillId="7" fontId="4" numFmtId="0" xfId="0" applyAlignment="1" applyFont="1">
      <alignment/>
    </xf>
    <xf borderId="0" fillId="4" fontId="2" numFmtId="0" xfId="0" applyAlignment="1" applyFont="1">
      <alignment horizontal="right"/>
    </xf>
    <xf borderId="0" fillId="7" fontId="4" numFmtId="0" xfId="0" applyFont="1"/>
    <xf borderId="0" fillId="7" fontId="4" numFmtId="0" xfId="0" applyAlignment="1" applyFont="1">
      <alignment horizontal="right"/>
    </xf>
    <xf borderId="0" fillId="7" fontId="6" numFmtId="0" xfId="0" applyAlignment="1" applyFont="1">
      <alignment/>
    </xf>
    <xf borderId="0" fillId="4" fontId="17" numFmtId="0" xfId="0" applyFont="1"/>
    <xf borderId="0" fillId="7" fontId="4" numFmtId="3" xfId="0" applyAlignment="1" applyFont="1" applyNumberFormat="1">
      <alignment horizontal="right"/>
    </xf>
    <xf borderId="0" fillId="7" fontId="4" numFmtId="0" xfId="0" applyAlignment="1" applyFont="1">
      <alignment/>
    </xf>
    <xf borderId="0" fillId="8" fontId="6" numFmtId="0" xfId="0" applyAlignment="1" applyFont="1">
      <alignment/>
    </xf>
    <xf borderId="0" fillId="8" fontId="4" numFmtId="3" xfId="0" applyAlignment="1" applyFont="1" applyNumberFormat="1">
      <alignment horizontal="right"/>
    </xf>
    <xf borderId="0" fillId="8" fontId="4" numFmtId="0" xfId="0" applyAlignment="1" applyFont="1">
      <alignment/>
    </xf>
    <xf borderId="0" fillId="12" fontId="2" numFmtId="0" xfId="0" applyFill="1" applyFont="1"/>
    <xf borderId="0" fillId="8" fontId="4" numFmtId="0" xfId="0" applyAlignment="1" applyFont="1">
      <alignment/>
    </xf>
    <xf borderId="0" fillId="12" fontId="2" numFmtId="0" xfId="0" applyAlignment="1" applyFont="1">
      <alignment/>
    </xf>
    <xf borderId="0" fillId="9" fontId="6" numFmtId="0" xfId="0" applyAlignment="1" applyFont="1">
      <alignment/>
    </xf>
    <xf borderId="0" fillId="12" fontId="2" numFmtId="0" xfId="0" applyAlignment="1" applyFont="1">
      <alignment horizontal="right"/>
    </xf>
    <xf borderId="0" fillId="9" fontId="4" numFmtId="3" xfId="0" applyAlignment="1" applyFont="1" applyNumberFormat="1">
      <alignment horizontal="right"/>
    </xf>
    <xf borderId="0" fillId="12" fontId="2" numFmtId="0" xfId="0" applyAlignment="1" applyFont="1">
      <alignment/>
    </xf>
    <xf borderId="0" fillId="9" fontId="4" numFmtId="0" xfId="0" applyAlignment="1" applyFont="1">
      <alignment/>
    </xf>
    <xf borderId="0" fillId="0" fontId="2" numFmtId="0" xfId="0" applyAlignment="1" applyFont="1">
      <alignment/>
    </xf>
    <xf borderId="0" fillId="9" fontId="18" numFmtId="0" xfId="0" applyAlignment="1" applyFont="1">
      <alignment/>
    </xf>
    <xf borderId="0" fillId="8" fontId="3" numFmtId="0" xfId="0" applyAlignment="1" applyFont="1">
      <alignment/>
    </xf>
    <xf borderId="0" fillId="10" fontId="4" numFmtId="0" xfId="0" applyAlignment="1" applyFont="1">
      <alignment/>
    </xf>
    <xf borderId="0" fillId="12" fontId="2" numFmtId="0" xfId="0" applyAlignment="1" applyFont="1">
      <alignment horizontal="right"/>
    </xf>
    <xf borderId="0" fillId="10" fontId="6" numFmtId="0" xfId="0" applyAlignment="1" applyFont="1">
      <alignment horizontal="right"/>
    </xf>
    <xf borderId="0" fillId="8" fontId="5" numFmtId="0" xfId="0" applyAlignment="1" applyFont="1">
      <alignment/>
    </xf>
    <xf borderId="0" fillId="10" fontId="19" numFmtId="0" xfId="0" applyAlignment="1" applyFont="1">
      <alignment/>
    </xf>
    <xf borderId="0" fillId="12" fontId="20" numFmtId="0" xfId="0" applyAlignment="1" applyFont="1">
      <alignment/>
    </xf>
    <xf borderId="0" fillId="9" fontId="6" numFmtId="3" xfId="0" applyAlignment="1" applyFont="1" applyNumberFormat="1">
      <alignment horizontal="right"/>
    </xf>
    <xf borderId="0" fillId="8" fontId="5" numFmtId="0" xfId="0" applyAlignment="1" applyFont="1">
      <alignment horizontal="right"/>
    </xf>
    <xf borderId="0" fillId="8" fontId="6" numFmtId="3" xfId="0" applyAlignment="1" applyFont="1" applyNumberFormat="1">
      <alignment horizontal="right"/>
    </xf>
    <xf borderId="0" fillId="5" fontId="3" numFmtId="0" xfId="0" applyAlignment="1" applyFont="1">
      <alignment/>
    </xf>
    <xf borderId="0" fillId="5" fontId="5" numFmtId="0" xfId="0" applyAlignment="1" applyFont="1">
      <alignment/>
    </xf>
    <xf borderId="0" fillId="8" fontId="21" numFmtId="0" xfId="0" applyAlignment="1" applyFont="1">
      <alignment/>
    </xf>
    <xf borderId="0" fillId="4" fontId="4" numFmtId="0" xfId="0" applyAlignment="1" applyFont="1">
      <alignment/>
    </xf>
    <xf borderId="0" fillId="5" fontId="5" numFmtId="0" xfId="0" applyAlignment="1" applyFont="1">
      <alignment horizontal="right"/>
    </xf>
    <xf borderId="0" fillId="11" fontId="4" numFmtId="0" xfId="0" applyAlignment="1" applyFont="1">
      <alignment/>
    </xf>
    <xf borderId="0" fillId="11" fontId="4" numFmtId="0" xfId="0" applyFont="1"/>
    <xf borderId="0" fillId="11" fontId="4" numFmtId="0" xfId="0" applyAlignment="1" applyFont="1">
      <alignment horizontal="right"/>
    </xf>
    <xf borderId="0" fillId="0" fontId="22" numFmtId="0" xfId="0" applyAlignment="1" applyFont="1">
      <alignment horizontal="left"/>
    </xf>
    <xf borderId="0" fillId="0" fontId="23" numFmtId="0" xfId="0" applyFont="1"/>
    <xf borderId="0" fillId="13" fontId="2" numFmtId="0" xfId="0" applyFill="1" applyFont="1"/>
    <xf borderId="0" fillId="5" fontId="5" numFmtId="0" xfId="0" applyAlignment="1" applyFont="1">
      <alignment/>
    </xf>
    <xf borderId="0" fillId="13" fontId="2" numFmtId="0" xfId="0" applyAlignment="1" applyFont="1">
      <alignment/>
    </xf>
    <xf borderId="0" fillId="4" fontId="4" numFmtId="0" xfId="0" applyFont="1"/>
    <xf borderId="0" fillId="13" fontId="2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13" fontId="24" numFmtId="0" xfId="0" applyAlignment="1" applyFont="1">
      <alignment/>
    </xf>
    <xf borderId="0" fillId="14" fontId="2" numFmtId="0" xfId="0" applyFill="1" applyFont="1"/>
    <xf borderId="0" fillId="14" fontId="2" numFmtId="0" xfId="0" applyAlignment="1" applyFont="1">
      <alignment/>
    </xf>
    <xf borderId="0" fillId="14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15" fontId="2" numFmtId="0" xfId="0" applyAlignment="1" applyFill="1" applyFont="1">
      <alignment/>
    </xf>
    <xf borderId="0" fillId="15" fontId="2" numFmtId="0" xfId="0" applyFont="1"/>
    <xf borderId="0" fillId="12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12" fontId="4" numFmtId="0" xfId="0" applyFont="1"/>
    <xf borderId="0" fillId="7" fontId="5" numFmtId="0" xfId="0" applyAlignment="1" applyFont="1">
      <alignment/>
    </xf>
    <xf borderId="0" fillId="7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16" fontId="25" numFmtId="0" xfId="0" applyAlignment="1" applyFill="1" applyFont="1">
      <alignment horizontal="center"/>
    </xf>
    <xf borderId="0" fillId="9" fontId="5" numFmtId="0" xfId="0" applyAlignment="1" applyFont="1">
      <alignment/>
    </xf>
    <xf borderId="0" fillId="0" fontId="5" numFmtId="0" xfId="0" applyAlignment="1" applyFont="1">
      <alignment horizontal="right"/>
    </xf>
    <xf borderId="0" fillId="9" fontId="4" numFmtId="0" xfId="0" applyFont="1"/>
    <xf borderId="0" fillId="0" fontId="5" numFmtId="0" xfId="0" applyAlignment="1" applyFont="1">
      <alignment horizontal="right"/>
    </xf>
    <xf borderId="0" fillId="13" fontId="4" numFmtId="0" xfId="0" applyAlignment="1" applyFont="1">
      <alignment/>
    </xf>
    <xf borderId="0" fillId="13" fontId="4" numFmtId="0" xfId="0" applyFont="1"/>
    <xf borderId="0" fillId="0" fontId="26" numFmtId="0" xfId="0" applyAlignment="1" applyFont="1">
      <alignment horizontal="center"/>
    </xf>
    <xf borderId="0" fillId="9" fontId="5" numFmtId="0" xfId="0" applyAlignment="1" applyFont="1">
      <alignment/>
    </xf>
    <xf borderId="0" fillId="0" fontId="5" numFmtId="0" xfId="0" applyAlignment="1" applyFont="1">
      <alignment horizontal="right"/>
    </xf>
    <xf borderId="0" fillId="17" fontId="4" numFmtId="0" xfId="0" applyAlignment="1" applyFill="1" applyFont="1">
      <alignment/>
    </xf>
    <xf borderId="0" fillId="17" fontId="4" numFmtId="0" xfId="0" applyAlignment="1" applyFont="1">
      <alignment horizontal="right"/>
    </xf>
    <xf borderId="0" fillId="17" fontId="27" numFmtId="0" xfId="0" applyAlignment="1" applyFont="1">
      <alignment/>
    </xf>
    <xf borderId="0" fillId="9" fontId="5" numFmtId="0" xfId="0" applyAlignment="1" applyFont="1">
      <alignment horizontal="left"/>
    </xf>
    <xf borderId="0" fillId="18" fontId="4" numFmtId="0" xfId="0" applyAlignment="1" applyFill="1" applyFont="1">
      <alignment/>
    </xf>
    <xf borderId="0" fillId="9" fontId="28" numFmtId="0" xfId="0" applyAlignment="1" applyFont="1">
      <alignment/>
    </xf>
    <xf borderId="0" fillId="19" fontId="4" numFmtId="0" xfId="0" applyFill="1" applyFont="1"/>
    <xf borderId="0" fillId="0" fontId="5" numFmtId="0" xfId="0" applyAlignment="1" applyFont="1">
      <alignment horizontal="right"/>
    </xf>
    <xf borderId="0" fillId="18" fontId="4" numFmtId="0" xfId="0" applyAlignment="1" applyFont="1">
      <alignment horizontal="right"/>
    </xf>
    <xf borderId="0" fillId="7" fontId="29" numFmtId="0" xfId="0" applyFont="1"/>
    <xf borderId="0" fillId="7" fontId="29" numFmtId="0" xfId="0" applyAlignment="1" applyFont="1">
      <alignment/>
    </xf>
    <xf borderId="0" fillId="18" fontId="30" numFmtId="0" xfId="0" applyAlignment="1" applyFont="1">
      <alignment/>
    </xf>
    <xf borderId="0" fillId="7" fontId="29" numFmtId="0" xfId="0" applyAlignment="1" applyFont="1">
      <alignment horizontal="left"/>
    </xf>
    <xf borderId="0" fillId="20" fontId="4" numFmtId="0" xfId="0" applyAlignment="1" applyFill="1" applyFont="1">
      <alignment/>
    </xf>
    <xf borderId="0" fillId="9" fontId="31" numFmtId="0" xfId="0" applyFont="1"/>
    <xf borderId="0" fillId="20" fontId="4" numFmtId="0" xfId="0" applyFont="1"/>
    <xf borderId="0" fillId="20" fontId="4" numFmtId="0" xfId="0" applyAlignment="1" applyFont="1">
      <alignment horizontal="right"/>
    </xf>
    <xf borderId="0" fillId="19" fontId="29" numFmtId="0" xfId="0" applyFont="1"/>
    <xf borderId="0" fillId="21" fontId="4" numFmtId="0" xfId="0" applyAlignment="1" applyFill="1" applyFont="1">
      <alignment/>
    </xf>
    <xf borderId="0" fillId="8" fontId="29" numFmtId="0" xfId="0" applyAlignment="1" applyFont="1">
      <alignment/>
    </xf>
    <xf borderId="0" fillId="21" fontId="5" numFmtId="0" xfId="0" applyAlignment="1" applyFont="1">
      <alignment/>
    </xf>
    <xf borderId="0" fillId="22" fontId="2" numFmtId="0" xfId="0" applyAlignment="1" applyFill="1" applyFont="1">
      <alignment/>
    </xf>
    <xf borderId="0" fillId="21" fontId="4" numFmtId="0" xfId="0" applyFont="1"/>
    <xf borderId="0" fillId="8" fontId="29" numFmtId="0" xfId="0" applyFont="1"/>
    <xf borderId="0" fillId="0" fontId="4" numFmtId="0" xfId="0" applyAlignment="1" applyFont="1">
      <alignment/>
    </xf>
    <xf borderId="0" fillId="8" fontId="29" numFmtId="0" xfId="0" applyAlignment="1" applyFont="1">
      <alignment horizontal="right"/>
    </xf>
    <xf borderId="0" fillId="14" fontId="2" numFmtId="0" xfId="0" applyAlignment="1" applyFont="1">
      <alignment/>
    </xf>
    <xf borderId="0" fillId="14" fontId="4" numFmtId="0" xfId="0" applyFont="1"/>
    <xf borderId="0" fillId="14" fontId="4" numFmtId="0" xfId="0" applyAlignment="1" applyFont="1">
      <alignment horizontal="right"/>
    </xf>
    <xf borderId="0" fillId="21" fontId="32" numFmtId="0" xfId="0" applyAlignment="1" applyFont="1">
      <alignment/>
    </xf>
    <xf borderId="0" fillId="23" fontId="4" numFmtId="0" xfId="0" applyAlignment="1" applyFill="1" applyFont="1">
      <alignment/>
    </xf>
    <xf borderId="0" fillId="0" fontId="33" numFmtId="0" xfId="0" applyAlignment="1" applyFont="1">
      <alignment/>
    </xf>
    <xf borderId="0" fillId="23" fontId="5" numFmtId="0" xfId="0" applyAlignment="1" applyFont="1">
      <alignment/>
    </xf>
    <xf borderId="0" fillId="24" fontId="4" numFmtId="0" xfId="0" applyAlignment="1" applyFill="1" applyFont="1">
      <alignment/>
    </xf>
    <xf borderId="0" fillId="23" fontId="4" numFmtId="0" xfId="0" applyFont="1"/>
    <xf borderId="0" fillId="22" fontId="4" numFmtId="0" xfId="0" applyFont="1"/>
    <xf borderId="0" fillId="24" fontId="5" numFmtId="0" xfId="0" applyAlignment="1" applyFont="1">
      <alignment/>
    </xf>
    <xf borderId="0" fillId="8" fontId="34" numFmtId="0" xfId="0" applyAlignment="1" applyFont="1">
      <alignment/>
    </xf>
    <xf borderId="0" fillId="24" fontId="4" numFmtId="0" xfId="0" applyFont="1"/>
    <xf borderId="0" fillId="25" fontId="5" numFmtId="0" xfId="0" applyAlignment="1" applyFill="1" applyFont="1">
      <alignment/>
    </xf>
    <xf borderId="0" fillId="24" fontId="5" numFmtId="0" xfId="0" applyAlignment="1" applyFont="1">
      <alignment/>
    </xf>
    <xf borderId="0" fillId="25" fontId="4" numFmtId="0" xfId="0" applyFont="1"/>
    <xf borderId="0" fillId="0" fontId="4" numFmtId="0" xfId="0" applyAlignment="1" applyFont="1">
      <alignment horizontal="right"/>
    </xf>
    <xf borderId="0" fillId="9" fontId="29" numFmtId="0" xfId="0" applyAlignment="1" applyFont="1">
      <alignment/>
    </xf>
    <xf borderId="0" fillId="15" fontId="35" numFmtId="0" xfId="0" applyFont="1"/>
    <xf borderId="0" fillId="26" fontId="4" numFmtId="0" xfId="0" applyAlignment="1" applyFill="1" applyFont="1">
      <alignment/>
    </xf>
    <xf borderId="0" fillId="9" fontId="29" numFmtId="0" xfId="0" applyFont="1"/>
    <xf borderId="0" fillId="26" fontId="5" numFmtId="0" xfId="0" applyAlignment="1" applyFont="1">
      <alignment/>
    </xf>
    <xf borderId="0" fillId="26" fontId="4" numFmtId="0" xfId="0" applyFont="1"/>
    <xf borderId="0" fillId="9" fontId="29" numFmtId="0" xfId="0" applyAlignment="1" applyFont="1">
      <alignment horizontal="right"/>
    </xf>
    <xf borderId="0" fillId="0" fontId="36" numFmtId="0" xfId="0" applyFont="1"/>
    <xf borderId="0" fillId="24" fontId="5" numFmtId="0" xfId="0" applyAlignment="1" applyFont="1">
      <alignment/>
    </xf>
    <xf borderId="0" fillId="26" fontId="37" numFmtId="0" xfId="0" applyAlignment="1" applyFont="1">
      <alignment/>
    </xf>
    <xf borderId="0" fillId="9" fontId="38" numFmtId="0" xfId="0" applyAlignment="1" applyFont="1">
      <alignment/>
    </xf>
    <xf borderId="0" fillId="27" fontId="4" numFmtId="0" xfId="0" applyAlignment="1" applyFill="1" applyFont="1">
      <alignment/>
    </xf>
    <xf borderId="0" fillId="24" fontId="39" numFmtId="0" xfId="0" applyAlignment="1" applyFont="1">
      <alignment/>
    </xf>
    <xf borderId="0" fillId="27" fontId="5" numFmtId="0" xfId="0" applyAlignment="1" applyFont="1">
      <alignment/>
    </xf>
    <xf borderId="0" fillId="10" fontId="29" numFmtId="0" xfId="0" applyAlignment="1" applyFont="1">
      <alignment/>
    </xf>
    <xf borderId="0" fillId="27" fontId="4" numFmtId="0" xfId="0" applyFont="1"/>
    <xf borderId="0" fillId="10" fontId="29" numFmtId="0" xfId="0" applyFont="1"/>
    <xf borderId="0" fillId="27" fontId="40" numFmtId="0" xfId="0" applyAlignment="1" applyFont="1">
      <alignment/>
    </xf>
    <xf borderId="0" fillId="10" fontId="29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28" fontId="2" numFmtId="0" xfId="0" applyAlignment="1" applyFill="1" applyFont="1">
      <alignment/>
    </xf>
    <xf borderId="0" fillId="28" fontId="2" numFmtId="0" xfId="0" applyFont="1"/>
    <xf borderId="0" fillId="28" fontId="2" numFmtId="0" xfId="0" applyAlignment="1" applyFont="1">
      <alignment horizontal="center"/>
    </xf>
    <xf borderId="0" fillId="28" fontId="29" numFmtId="0" xfId="0" applyAlignment="1" applyFont="1">
      <alignment/>
    </xf>
    <xf borderId="0" fillId="10" fontId="41" numFmtId="0" xfId="0" applyAlignment="1" applyFont="1">
      <alignment/>
    </xf>
    <xf borderId="0" fillId="29" fontId="4" numFmtId="0" xfId="0" applyAlignment="1" applyFill="1" applyFont="1">
      <alignment/>
    </xf>
    <xf borderId="0" fillId="28" fontId="4" numFmtId="0" xfId="0" applyFont="1"/>
    <xf borderId="0" fillId="29" fontId="4" numFmtId="0" xfId="0" applyFont="1"/>
    <xf borderId="0" fillId="30" fontId="29" numFmtId="0" xfId="0" applyAlignment="1" applyFill="1" applyFont="1">
      <alignment/>
    </xf>
    <xf borderId="0" fillId="0" fontId="29" numFmtId="0" xfId="0" applyAlignment="1" applyFont="1">
      <alignment/>
    </xf>
    <xf borderId="0" fillId="30" fontId="29" numFmtId="0" xfId="0" applyFont="1"/>
    <xf borderId="0" fillId="0" fontId="42" numFmtId="0" xfId="0" applyAlignment="1" applyFont="1">
      <alignment horizontal="left"/>
    </xf>
    <xf borderId="0" fillId="30" fontId="29" numFmtId="0" xfId="0" applyAlignment="1" applyFont="1">
      <alignment horizontal="right"/>
    </xf>
    <xf borderId="0" fillId="31" fontId="4" numFmtId="0" xfId="0" applyAlignment="1" applyFill="1" applyFont="1">
      <alignment/>
    </xf>
    <xf borderId="0" fillId="19" fontId="29" numFmtId="0" xfId="0" applyAlignment="1" applyFont="1">
      <alignment/>
    </xf>
    <xf borderId="0" fillId="31" fontId="4" numFmtId="0" xfId="0" applyFont="1"/>
    <xf borderId="0" fillId="30" fontId="0" numFmtId="0" xfId="0" applyAlignment="1" applyFont="1">
      <alignment/>
    </xf>
    <xf borderId="0" fillId="32" fontId="4" numFmtId="0" xfId="0" applyAlignment="1" applyFill="1" applyFont="1">
      <alignment/>
    </xf>
    <xf borderId="0" fillId="32" fontId="4" numFmtId="0" xfId="0" applyFont="1"/>
    <xf borderId="0" fillId="30" fontId="4" numFmtId="0" xfId="0" applyFont="1"/>
    <xf borderId="0" fillId="30" fontId="2" numFmtId="0" xfId="0" applyAlignment="1" applyFont="1">
      <alignment/>
    </xf>
    <xf borderId="0" fillId="29" fontId="43" numFmtId="0" xfId="0" applyAlignment="1" applyFont="1">
      <alignment/>
    </xf>
    <xf borderId="0" fillId="24" fontId="5" numFmtId="0" xfId="0" applyAlignment="1" applyFont="1">
      <alignment/>
    </xf>
    <xf borderId="0" fillId="28" fontId="4" numFmtId="0" xfId="0" applyAlignment="1" applyFont="1">
      <alignment/>
    </xf>
    <xf borderId="0" fillId="31" fontId="5" numFmtId="0" xfId="0" applyAlignment="1" applyFont="1">
      <alignment/>
    </xf>
    <xf borderId="0" fillId="30" fontId="44" numFmtId="0" xfId="0" applyAlignment="1" applyFont="1">
      <alignment/>
    </xf>
    <xf borderId="0" fillId="19" fontId="2" numFmtId="0" xfId="0" applyAlignment="1" applyFont="1">
      <alignment horizontal="right"/>
    </xf>
    <xf borderId="0" fillId="31" fontId="5" numFmtId="0" xfId="0" applyAlignment="1" applyFont="1">
      <alignment horizontal="right"/>
    </xf>
    <xf borderId="0" fillId="24" fontId="45" numFmtId="0" xfId="0" applyAlignment="1" applyFont="1">
      <alignment/>
    </xf>
    <xf borderId="0" fillId="31" fontId="5" numFmtId="0" xfId="0" applyAlignment="1" applyFont="1">
      <alignment/>
    </xf>
    <xf borderId="0" fillId="33" fontId="4" numFmtId="0" xfId="0" applyFill="1" applyFont="1"/>
    <xf borderId="0" fillId="31" fontId="5" numFmtId="0" xfId="0" applyAlignment="1" applyFont="1">
      <alignment/>
    </xf>
    <xf borderId="0" fillId="33" fontId="2" numFmtId="0" xfId="0" applyFont="1"/>
    <xf borderId="0" fillId="0" fontId="5" numFmtId="0" xfId="0" applyAlignment="1" applyFont="1">
      <alignment/>
    </xf>
    <xf borderId="0" fillId="33" fontId="2" numFmtId="0" xfId="0" applyAlignment="1" applyFont="1">
      <alignment horizontal="right"/>
    </xf>
    <xf borderId="0" fillId="33" fontId="2" numFmtId="0" xfId="0" applyAlignment="1" applyFont="1">
      <alignment/>
    </xf>
    <xf borderId="0" fillId="0" fontId="5" numFmtId="0" xfId="0" applyAlignment="1" applyFont="1">
      <alignment/>
    </xf>
    <xf borderId="0" fillId="33" fontId="2" numFmtId="0" xfId="0" applyAlignment="1" applyFont="1">
      <alignment horizontal="right"/>
    </xf>
    <xf borderId="0" fillId="30" fontId="46" numFmtId="0" xfId="0" applyAlignment="1" applyFont="1">
      <alignment/>
    </xf>
    <xf borderId="0" fillId="19" fontId="29" numFmtId="0" xfId="0" applyAlignment="1" applyFont="1">
      <alignment horizontal="right"/>
    </xf>
    <xf borderId="0" fillId="33" fontId="47" numFmtId="0" xfId="0" applyAlignment="1" applyFont="1">
      <alignment/>
    </xf>
    <xf borderId="0" fillId="10" fontId="0" numFmtId="0" xfId="0" applyFont="1"/>
    <xf borderId="0" fillId="28" fontId="4" numFmtId="0" xfId="0" applyAlignment="1" applyFont="1">
      <alignment horizontal="right"/>
    </xf>
    <xf borderId="0" fillId="19" fontId="4" numFmtId="0" xfId="0" applyAlignment="1" applyFont="1">
      <alignment/>
    </xf>
    <xf borderId="0" fillId="29" fontId="42" numFmtId="0" xfId="0" applyAlignment="1" applyFont="1">
      <alignment/>
    </xf>
    <xf borderId="0" fillId="29" fontId="42" numFmtId="0" xfId="0" applyAlignment="1" applyFont="1">
      <alignment horizontal="right"/>
    </xf>
    <xf borderId="0" fillId="31" fontId="42" numFmtId="0" xfId="0" applyAlignment="1" applyFont="1">
      <alignment/>
    </xf>
    <xf borderId="0" fillId="31" fontId="42" numFmtId="0" xfId="0" applyAlignment="1" applyFont="1">
      <alignment horizontal="right"/>
    </xf>
    <xf borderId="0" fillId="32" fontId="48" numFmtId="0" xfId="0" applyAlignment="1" applyFont="1">
      <alignment/>
    </xf>
    <xf borderId="0" fillId="10" fontId="0" numFmtId="0" xfId="0" applyAlignment="1" applyFont="1">
      <alignment/>
    </xf>
    <xf borderId="0" fillId="32" fontId="49" numFmtId="0" xfId="0" applyFont="1"/>
    <xf borderId="0" fillId="31" fontId="4" numFmtId="4" xfId="0" applyAlignment="1" applyFont="1" applyNumberFormat="1">
      <alignment horizontal="right"/>
    </xf>
    <xf borderId="0" fillId="29" fontId="4" numFmtId="0" xfId="0" applyAlignment="1" applyFont="1">
      <alignment/>
    </xf>
    <xf borderId="0" fillId="31" fontId="50" numFmtId="0" xfId="0" applyAlignment="1" applyFont="1">
      <alignment/>
    </xf>
    <xf borderId="0" fillId="29" fontId="51" numFmtId="0" xfId="0" applyFont="1"/>
    <xf borderId="0" fillId="31" fontId="42" numFmtId="4" xfId="0" applyAlignment="1" applyFont="1" applyNumberFormat="1">
      <alignment horizontal="right"/>
    </xf>
    <xf borderId="0" fillId="0" fontId="6" numFmtId="0" xfId="0" applyAlignment="1" applyFont="1">
      <alignment/>
    </xf>
    <xf borderId="0" fillId="19" fontId="52" numFmtId="0" xfId="0" applyAlignment="1" applyFont="1">
      <alignment/>
    </xf>
    <xf borderId="0" fillId="34" fontId="4" numFmtId="0" xfId="0" applyFill="1" applyFont="1"/>
    <xf borderId="0" fillId="34" fontId="4" numFmtId="0" xfId="0" applyAlignment="1" applyFont="1">
      <alignment/>
    </xf>
    <xf borderId="0" fillId="35" fontId="4" numFmtId="0" xfId="0" applyAlignment="1" applyFill="1" applyFont="1">
      <alignment/>
    </xf>
    <xf borderId="0" fillId="35" fontId="4" numFmtId="0" xfId="0" applyAlignment="1" applyFont="1">
      <alignment/>
    </xf>
    <xf borderId="0" fillId="19" fontId="4" numFmtId="0" xfId="0" applyAlignment="1" applyFont="1">
      <alignment/>
    </xf>
    <xf borderId="0" fillId="35" fontId="53" numFmtId="0" xfId="0" applyFont="1"/>
    <xf borderId="0" fillId="0" fontId="1" numFmtId="0" xfId="0" applyAlignment="1" applyFont="1">
      <alignment horizontal="right"/>
    </xf>
    <xf borderId="0" fillId="36" fontId="4" numFmtId="0" xfId="0" applyAlignment="1" applyFill="1" applyFont="1">
      <alignment/>
    </xf>
    <xf borderId="0" fillId="36" fontId="4" numFmtId="0" xfId="0" applyFont="1"/>
    <xf borderId="0" fillId="36" fontId="4" numFmtId="0" xfId="0" applyAlignment="1" applyFont="1">
      <alignment horizontal="right"/>
    </xf>
    <xf borderId="0" fillId="24" fontId="4" numFmtId="0" xfId="0" applyAlignment="1" applyFont="1">
      <alignment horizontal="right"/>
    </xf>
    <xf borderId="0" fillId="24" fontId="23" numFmtId="0" xfId="0" applyAlignment="1" applyFont="1">
      <alignment/>
    </xf>
    <xf borderId="0" fillId="2" fontId="4" numFmtId="0" xfId="0" applyAlignment="1" applyFont="1">
      <alignment/>
    </xf>
    <xf borderId="0" fillId="2" fontId="54" numFmtId="0" xfId="0" applyAlignment="1" applyFont="1">
      <alignment/>
    </xf>
    <xf borderId="0" fillId="37" fontId="4" numFmtId="0" xfId="0" applyAlignment="1" applyFill="1" applyFont="1">
      <alignment/>
    </xf>
    <xf borderId="0" fillId="9" fontId="2" numFmtId="0" xfId="0" applyFont="1"/>
    <xf borderId="0" fillId="37" fontId="4" numFmtId="0" xfId="0" applyAlignment="1" applyFont="1">
      <alignment horizontal="right"/>
    </xf>
    <xf borderId="0" fillId="9" fontId="2" numFmtId="0" xfId="0" applyAlignment="1" applyFont="1">
      <alignment horizontal="right"/>
    </xf>
    <xf borderId="0" fillId="37" fontId="4" numFmtId="0" xfId="0" applyFont="1"/>
    <xf borderId="0" fillId="9" fontId="0" numFmtId="0" xfId="0" applyFont="1"/>
    <xf borderId="0" fillId="37" fontId="5" numFmtId="0" xfId="0" applyAlignment="1" applyFont="1">
      <alignment/>
    </xf>
    <xf borderId="0" fillId="9" fontId="55" numFmtId="0" xfId="0" applyFont="1"/>
    <xf borderId="0" fillId="8" fontId="2" numFmtId="0" xfId="0" applyFont="1"/>
    <xf borderId="0" fillId="8" fontId="2" numFmtId="0" xfId="0" applyAlignment="1" applyFont="1">
      <alignment horizontal="right"/>
    </xf>
    <xf borderId="0" fillId="37" fontId="56" numFmtId="0" xfId="0" applyAlignment="1" applyFont="1">
      <alignment/>
    </xf>
    <xf borderId="0" fillId="8" fontId="0" numFmtId="0" xfId="0" applyFont="1"/>
    <xf borderId="0" fillId="8" fontId="57" numFmtId="0" xfId="0" applyFont="1"/>
    <xf borderId="0" fillId="8" fontId="2" numFmtId="0" xfId="0" applyAlignment="1" applyFont="1">
      <alignment horizontal="right"/>
    </xf>
    <xf borderId="0" fillId="8" fontId="58" numFmtId="0" xfId="0" applyFont="1"/>
    <xf borderId="0" fillId="38" fontId="4" numFmtId="0" xfId="0" applyAlignment="1" applyFill="1" applyFont="1">
      <alignment/>
    </xf>
    <xf borderId="0" fillId="9" fontId="57" numFmtId="0" xfId="0" applyFont="1"/>
    <xf borderId="0" fillId="38" fontId="4" numFmtId="0" xfId="0" applyAlignment="1" applyFont="1">
      <alignment horizontal="right"/>
    </xf>
    <xf borderId="0" fillId="33" fontId="29" numFmtId="0" xfId="0" applyAlignment="1" applyFont="1">
      <alignment/>
    </xf>
    <xf borderId="0" fillId="38" fontId="4" numFmtId="0" xfId="0" applyFont="1"/>
    <xf borderId="0" fillId="33" fontId="29" numFmtId="0" xfId="0" applyFont="1"/>
    <xf borderId="0" fillId="0" fontId="59" numFmtId="0" xfId="0" applyAlignment="1" applyFont="1">
      <alignment/>
    </xf>
    <xf borderId="0" fillId="33" fontId="60" numFmtId="0" xfId="0" applyFont="1"/>
    <xf borderId="0" fillId="38" fontId="5" numFmtId="0" xfId="0" applyAlignment="1" applyFont="1">
      <alignment/>
    </xf>
    <xf borderId="0" fillId="33" fontId="0" numFmtId="0" xfId="0" applyAlignment="1" applyFont="1">
      <alignment/>
    </xf>
    <xf borderId="0" fillId="38" fontId="5" numFmtId="0" xfId="0" applyAlignment="1" applyFont="1">
      <alignment horizontal="right"/>
    </xf>
    <xf borderId="0" fillId="38" fontId="5" numFmtId="0" xfId="0" applyAlignment="1" applyFont="1">
      <alignment/>
    </xf>
    <xf borderId="0" fillId="10" fontId="29" numFmtId="0" xfId="0" applyAlignment="1" applyFont="1">
      <alignment horizontal="left"/>
    </xf>
    <xf borderId="0" fillId="38" fontId="5" numFmtId="0" xfId="0" applyAlignment="1" applyFont="1">
      <alignment/>
    </xf>
    <xf borderId="0" fillId="10" fontId="0" numFmtId="0" xfId="0" applyAlignment="1" applyFont="1">
      <alignment horizontal="left"/>
    </xf>
    <xf borderId="0" fillId="28" fontId="5" numFmtId="0" xfId="0" applyAlignment="1" applyFont="1">
      <alignment/>
    </xf>
    <xf borderId="0" fillId="28" fontId="5" numFmtId="0" xfId="0" applyAlignment="1" applyFont="1">
      <alignment horizontal="right"/>
    </xf>
    <xf borderId="0" fillId="11" fontId="29" numFmtId="0" xfId="0" applyFont="1"/>
    <xf borderId="0" fillId="28" fontId="5" numFmtId="0" xfId="0" applyAlignment="1" applyFont="1">
      <alignment/>
    </xf>
    <xf borderId="0" fillId="11" fontId="29" numFmtId="0" xfId="0" applyAlignment="1" applyFont="1">
      <alignment/>
    </xf>
    <xf borderId="0" fillId="11" fontId="29" numFmtId="0" xfId="0" applyAlignment="1" applyFont="1">
      <alignment horizontal="right"/>
    </xf>
    <xf borderId="0" fillId="12" fontId="29" numFmtId="0" xfId="0" applyAlignment="1" applyFont="1">
      <alignment/>
    </xf>
    <xf borderId="0" fillId="31" fontId="5" numFmtId="0" xfId="0" applyAlignment="1" applyFont="1">
      <alignment horizontal="right"/>
    </xf>
    <xf borderId="0" fillId="12" fontId="29" numFmtId="0" xfId="0" applyAlignment="1" applyFont="1">
      <alignment horizontal="right"/>
    </xf>
    <xf borderId="0" fillId="3" fontId="4" numFmtId="0" xfId="0" applyFont="1"/>
    <xf borderId="0" fillId="3" fontId="4" numFmtId="0" xfId="0" applyAlignment="1" applyFont="1">
      <alignment horizontal="right"/>
    </xf>
    <xf borderId="0" fillId="12" fontId="61" numFmtId="0" xfId="0" applyAlignment="1" applyFont="1">
      <alignment/>
    </xf>
    <xf borderId="0" fillId="3" fontId="62" numFmtId="0" xfId="0" applyFont="1"/>
    <xf borderId="0" fillId="13" fontId="2" numFmtId="0" xfId="0" applyAlignment="1" applyFont="1">
      <alignment/>
    </xf>
    <xf borderId="0" fillId="13" fontId="29" numFmtId="0" xfId="0" applyAlignment="1" applyFont="1">
      <alignment/>
    </xf>
    <xf borderId="0" fillId="13" fontId="29" numFmtId="0" xfId="0" applyAlignment="1" applyFont="1">
      <alignment horizontal="right"/>
    </xf>
    <xf borderId="0" fillId="13" fontId="63" numFmtId="0" xfId="0" applyAlignment="1" applyFont="1">
      <alignment/>
    </xf>
    <xf borderId="0" fillId="0" fontId="64" numFmtId="0" xfId="0" applyFont="1"/>
    <xf borderId="0" fillId="5" fontId="23" numFmtId="0" xfId="0" applyAlignment="1" applyFont="1">
      <alignment/>
    </xf>
    <xf borderId="0" fillId="5" fontId="62" numFmtId="0" xfId="0" applyFont="1"/>
    <xf borderId="0" fillId="0" fontId="65" numFmtId="0" xfId="0" applyAlignment="1" applyFont="1">
      <alignment/>
    </xf>
    <xf borderId="0" fillId="5" fontId="4" numFmtId="0" xfId="0" applyFont="1"/>
    <xf borderId="0" fillId="20" fontId="29" numFmtId="0" xfId="0" applyFont="1"/>
    <xf borderId="0" fillId="20" fontId="29" numFmtId="0" xfId="0" applyAlignment="1" applyFont="1">
      <alignment/>
    </xf>
    <xf borderId="0" fillId="20" fontId="29" numFmtId="0" xfId="0" applyAlignment="1" applyFont="1">
      <alignment horizontal="right"/>
    </xf>
    <xf borderId="0" fillId="3" fontId="23" numFmtId="0" xfId="0" applyAlignment="1" applyFont="1">
      <alignment/>
    </xf>
    <xf borderId="0" fillId="20" fontId="4" numFmtId="0" xfId="0" applyAlignment="1" applyFont="1">
      <alignment horizontal="right"/>
    </xf>
    <xf borderId="0" fillId="19" fontId="66" numFmtId="0" xfId="0" applyAlignment="1" applyFont="1">
      <alignment/>
    </xf>
    <xf borderId="0" fillId="21" fontId="4" numFmtId="0" xfId="0" applyAlignment="1" applyFont="1">
      <alignment horizontal="right"/>
    </xf>
    <xf borderId="0" fillId="21" fontId="2" numFmtId="0" xfId="0" applyAlignment="1" applyFont="1">
      <alignment/>
    </xf>
    <xf borderId="0" fillId="33" fontId="4" numFmtId="0" xfId="0" applyAlignment="1" applyFont="1">
      <alignment/>
    </xf>
    <xf borderId="0" fillId="33" fontId="4" numFmtId="0" xfId="0" applyAlignment="1" applyFont="1">
      <alignment horizontal="right"/>
    </xf>
    <xf borderId="0" fillId="21" fontId="29" numFmtId="0" xfId="0" applyAlignment="1" applyFont="1">
      <alignment horizontal="right"/>
    </xf>
    <xf borderId="0" fillId="21" fontId="67" numFmtId="0" xfId="0" applyAlignment="1" applyFont="1">
      <alignment/>
    </xf>
    <xf borderId="0" fillId="19" fontId="68" numFmtId="0" xfId="0" applyAlignment="1" applyFont="1">
      <alignment/>
    </xf>
    <xf borderId="0" fillId="33" fontId="31" numFmtId="0" xfId="0" applyAlignment="1" applyFont="1">
      <alignment/>
    </xf>
    <xf borderId="0" fillId="0" fontId="31" numFmtId="0" xfId="0" applyAlignment="1" applyFont="1">
      <alignment horizontal="right"/>
    </xf>
    <xf borderId="0" fillId="27" fontId="2" numFmtId="0" xfId="0" applyAlignment="1" applyFont="1">
      <alignment/>
    </xf>
    <xf borderId="0" fillId="27" fontId="29" numFmtId="0" xfId="0" applyAlignment="1" applyFont="1">
      <alignment horizontal="right"/>
    </xf>
    <xf borderId="0" fillId="0" fontId="42" numFmtId="0" xfId="0" applyAlignment="1" applyFont="1">
      <alignment horizontal="right"/>
    </xf>
    <xf borderId="0" fillId="27" fontId="69" numFmtId="0" xfId="0" applyAlignment="1" applyFont="1">
      <alignment/>
    </xf>
    <xf borderId="0" fillId="0" fontId="42" numFmtId="0" xfId="0" applyAlignment="1" applyFont="1">
      <alignment/>
    </xf>
    <xf borderId="0" fillId="26" fontId="2" numFmtId="0" xfId="0" applyAlignment="1" applyFont="1">
      <alignment/>
    </xf>
    <xf borderId="0" fillId="26" fontId="29" numFmtId="0" xfId="0" applyAlignment="1" applyFont="1">
      <alignment horizontal="right"/>
    </xf>
    <xf borderId="0" fillId="26" fontId="70" numFmtId="0" xfId="0" applyAlignment="1" applyFont="1">
      <alignment/>
    </xf>
    <xf borderId="0" fillId="27" fontId="2" numFmtId="0" xfId="0" applyAlignment="1" applyFont="1">
      <alignment/>
    </xf>
    <xf borderId="0" fillId="23" fontId="2" numFmtId="0" xfId="0" applyAlignment="1" applyFont="1">
      <alignment/>
    </xf>
    <xf borderId="0" fillId="39" fontId="4" numFmtId="0" xfId="0" applyAlignment="1" applyFill="1" applyFont="1">
      <alignment/>
    </xf>
    <xf borderId="0" fillId="20" fontId="2" numFmtId="0" xfId="0" applyAlignment="1" applyFont="1">
      <alignment/>
    </xf>
    <xf borderId="0" fillId="39" fontId="4" numFmtId="0" xfId="0" applyFont="1"/>
    <xf borderId="0" fillId="39" fontId="4" numFmtId="0" xfId="0" applyAlignment="1" applyFont="1">
      <alignment horizontal="right"/>
    </xf>
    <xf borderId="0" fillId="23" fontId="2" numFmtId="0" xfId="0" applyAlignment="1" applyFont="1">
      <alignment horizontal="right"/>
    </xf>
    <xf borderId="0" fillId="23" fontId="29" numFmtId="0" xfId="0" applyAlignment="1" applyFont="1">
      <alignment horizontal="right"/>
    </xf>
    <xf borderId="0" fillId="23" fontId="71" numFmtId="0" xfId="0" applyAlignment="1" applyFont="1">
      <alignment/>
    </xf>
    <xf borderId="0" fillId="40" fontId="5" numFmtId="0" xfId="0" applyAlignment="1" applyFill="1" applyFont="1">
      <alignment/>
    </xf>
    <xf borderId="0" fillId="19" fontId="2" numFmtId="0" xfId="0" applyAlignment="1" applyFont="1">
      <alignment horizontal="right"/>
    </xf>
    <xf borderId="0" fillId="40" fontId="4" numFmtId="0" xfId="0" applyFont="1"/>
    <xf borderId="0" fillId="40" fontId="4" numFmtId="0" xfId="0" applyAlignment="1" applyFont="1">
      <alignment/>
    </xf>
    <xf borderId="0" fillId="21" fontId="2" numFmtId="0" xfId="0" applyAlignment="1" applyFont="1">
      <alignment horizontal="right"/>
    </xf>
    <xf borderId="0" fillId="21" fontId="72" numFmtId="0" xfId="0" applyAlignment="1" applyFont="1">
      <alignment/>
    </xf>
    <xf borderId="0" fillId="40" fontId="5" numFmtId="0" xfId="0" applyAlignment="1" applyFont="1">
      <alignment/>
    </xf>
    <xf borderId="0" fillId="41" fontId="31" numFmtId="0" xfId="0" applyAlignment="1" applyFill="1" applyFont="1">
      <alignment/>
    </xf>
    <xf borderId="0" fillId="23" fontId="2" numFmtId="0" xfId="0" applyAlignment="1" applyFont="1">
      <alignment horizontal="right"/>
    </xf>
    <xf borderId="0" fillId="41" fontId="31" numFmtId="0" xfId="0" applyFont="1"/>
    <xf borderId="0" fillId="41" fontId="31" numFmtId="0" xfId="0" applyAlignment="1" applyFont="1">
      <alignment horizontal="right"/>
    </xf>
    <xf borderId="0" fillId="41" fontId="4" numFmtId="0" xfId="0" applyFont="1"/>
    <xf borderId="0" fillId="23" fontId="73" numFmtId="0" xfId="0" applyAlignment="1" applyFont="1">
      <alignment/>
    </xf>
    <xf borderId="0" fillId="0" fontId="31" numFmtId="0" xfId="0" applyFont="1"/>
    <xf borderId="0" fillId="42" fontId="5" numFmtId="0" xfId="0" applyAlignment="1" applyFill="1" applyFont="1">
      <alignment/>
    </xf>
    <xf borderId="0" fillId="42" fontId="5" numFmtId="0" xfId="0" applyAlignment="1" applyFont="1">
      <alignment horizontal="right"/>
    </xf>
    <xf borderId="0" fillId="42" fontId="4" numFmtId="0" xfId="0" applyAlignment="1" applyFont="1">
      <alignment/>
    </xf>
    <xf borderId="0" fillId="39" fontId="2" numFmtId="0" xfId="0" applyAlignment="1" applyFont="1">
      <alignment/>
    </xf>
    <xf borderId="0" fillId="39" fontId="2" numFmtId="0" xfId="0" applyAlignment="1" applyFont="1">
      <alignment/>
    </xf>
    <xf borderId="0" fillId="39" fontId="2" numFmtId="0" xfId="0" applyFont="1"/>
    <xf borderId="0" fillId="39" fontId="2" numFmtId="0" xfId="0" applyAlignment="1" applyFont="1">
      <alignment horizontal="right"/>
    </xf>
    <xf borderId="0" fillId="42" fontId="5" numFmtId="0" xfId="0" applyAlignment="1" applyFont="1">
      <alignment/>
    </xf>
    <xf borderId="0" fillId="39" fontId="2" numFmtId="0" xfId="0" applyAlignment="1" applyFont="1">
      <alignment/>
    </xf>
    <xf borderId="0" fillId="39" fontId="2" numFmtId="0" xfId="0" applyAlignment="1" applyFont="1">
      <alignment/>
    </xf>
    <xf borderId="0" fillId="40" fontId="2" numFmtId="0" xfId="0" applyAlignment="1" applyFont="1">
      <alignment/>
    </xf>
    <xf borderId="0" fillId="40" fontId="23" numFmtId="0" xfId="0" applyFont="1"/>
    <xf borderId="0" fillId="42" fontId="5" numFmtId="0" xfId="0" applyAlignment="1" applyFont="1">
      <alignment horizontal="left"/>
    </xf>
    <xf borderId="0" fillId="40" fontId="2" numFmtId="0" xfId="0" applyAlignment="1" applyFont="1">
      <alignment/>
    </xf>
    <xf borderId="0" fillId="19" fontId="2" numFmtId="0" xfId="0" applyAlignment="1" applyFont="1">
      <alignment horizontal="right"/>
    </xf>
    <xf borderId="0" fillId="43" fontId="2" numFmtId="0" xfId="0" applyAlignment="1" applyFill="1" applyFont="1">
      <alignment/>
    </xf>
    <xf borderId="0" fillId="43" fontId="0" numFmtId="0" xfId="0" applyFont="1"/>
    <xf borderId="0" fillId="42" fontId="5" numFmtId="0" xfId="0" applyAlignment="1" applyFont="1">
      <alignment horizontal="left"/>
    </xf>
    <xf borderId="0" fillId="43" fontId="2" numFmtId="0" xfId="0" applyAlignment="1" applyFont="1">
      <alignment/>
    </xf>
    <xf borderId="0" fillId="43" fontId="2" numFmtId="0" xfId="0" applyAlignment="1" applyFont="1">
      <alignment/>
    </xf>
    <xf borderId="0" fillId="44" fontId="2" numFmtId="0" xfId="0" applyAlignment="1" applyFill="1" applyFont="1">
      <alignment/>
    </xf>
    <xf borderId="0" fillId="44" fontId="0" numFmtId="0" xfId="0" applyFont="1"/>
    <xf borderId="0" fillId="44" fontId="2" numFmtId="0" xfId="0" applyAlignment="1" applyFont="1">
      <alignment/>
    </xf>
    <xf borderId="0" fillId="44" fontId="2" numFmtId="0" xfId="0" applyAlignment="1" applyFont="1">
      <alignment/>
    </xf>
    <xf borderId="0" fillId="42" fontId="74" numFmtId="0" xfId="0" applyAlignment="1" applyFont="1">
      <alignment/>
    </xf>
    <xf borderId="0" fillId="40" fontId="2" numFmtId="0" xfId="0" applyAlignment="1" applyFont="1">
      <alignment/>
    </xf>
    <xf borderId="0" fillId="40" fontId="0" numFmtId="0" xfId="0" applyFont="1"/>
    <xf borderId="0" fillId="0" fontId="29" numFmtId="0" xfId="0" applyAlignment="1" applyFont="1">
      <alignment horizontal="right"/>
    </xf>
    <xf borderId="0" fillId="28" fontId="2" numFmtId="0" xfId="0" applyAlignment="1" applyFont="1">
      <alignment/>
    </xf>
    <xf borderId="0" fillId="0" fontId="68" numFmtId="0" xfId="0" applyAlignment="1" applyFont="1">
      <alignment/>
    </xf>
    <xf borderId="0" fillId="28" fontId="2" numFmtId="0" xfId="0" applyAlignment="1" applyFont="1">
      <alignment/>
    </xf>
    <xf borderId="0" fillId="0" fontId="29" numFmtId="0" xfId="0" applyFont="1"/>
    <xf borderId="0" fillId="28" fontId="2" numFmtId="0" xfId="0" applyAlignment="1" applyFont="1">
      <alignment/>
    </xf>
    <xf borderId="0" fillId="23" fontId="2" numFmtId="0" xfId="0" applyAlignment="1" applyFont="1">
      <alignment/>
    </xf>
    <xf borderId="0" fillId="28" fontId="2" numFmtId="0" xfId="0" applyAlignment="1" applyFont="1">
      <alignment/>
    </xf>
    <xf borderId="0" fillId="29" fontId="2" numFmtId="0" xfId="0" applyAlignment="1" applyFont="1">
      <alignment/>
    </xf>
    <xf borderId="0" fillId="28" fontId="2" numFmtId="0" xfId="0" applyAlignment="1" applyFont="1">
      <alignment/>
    </xf>
    <xf borderId="0" fillId="23" fontId="75" numFmtId="0" xfId="0" applyAlignment="1" applyFont="1">
      <alignment/>
    </xf>
    <xf borderId="0" fillId="29" fontId="0" numFmtId="0" xfId="0" applyFont="1"/>
    <xf borderId="0" fillId="29" fontId="2" numFmtId="0" xfId="0" applyAlignment="1" applyFont="1">
      <alignment/>
    </xf>
    <xf borderId="0" fillId="29" fontId="2" numFmtId="0" xfId="0" applyAlignment="1" applyFont="1">
      <alignment/>
    </xf>
    <xf borderId="0" fillId="31" fontId="2" numFmtId="0" xfId="0" applyAlignment="1" applyFont="1">
      <alignment/>
    </xf>
    <xf borderId="0" fillId="31" fontId="0" numFmtId="0" xfId="0" applyFont="1"/>
    <xf borderId="0" fillId="31" fontId="2" numFmtId="0" xfId="0" applyAlignment="1" applyFont="1">
      <alignment/>
    </xf>
    <xf borderId="0" fillId="31" fontId="2" numFmtId="0" xfId="0" applyAlignment="1" applyFont="1">
      <alignment/>
    </xf>
    <xf borderId="0" fillId="32" fontId="2" numFmtId="0" xfId="0" applyAlignment="1" applyFont="1">
      <alignment/>
    </xf>
    <xf borderId="0" fillId="32" fontId="0" numFmtId="0" xfId="0" applyFont="1"/>
    <xf borderId="0" fillId="32" fontId="2" numFmtId="0" xfId="0" applyAlignment="1" applyFont="1">
      <alignment/>
    </xf>
    <xf borderId="0" fillId="32" fontId="2" numFmtId="0" xfId="0" applyAlignment="1" applyFont="1">
      <alignment/>
    </xf>
    <xf borderId="0" fillId="0" fontId="76" numFmtId="0" xfId="0" applyAlignment="1" applyFont="1">
      <alignment/>
    </xf>
    <xf borderId="0" fillId="41" fontId="29" numFmtId="0" xfId="0" applyFont="1"/>
    <xf borderId="0" fillId="41" fontId="29" numFmtId="0" xfId="0" applyAlignment="1" applyFont="1">
      <alignment/>
    </xf>
    <xf borderId="0" fillId="41" fontId="2" numFmtId="0" xfId="0" applyFont="1"/>
    <xf borderId="0" fillId="41" fontId="2" numFmtId="0" xfId="0" applyAlignment="1" applyFont="1">
      <alignment horizontal="right"/>
    </xf>
    <xf borderId="0" fillId="42" fontId="2" numFmtId="0" xfId="0" applyAlignment="1" applyFont="1">
      <alignment/>
    </xf>
    <xf borderId="0" fillId="42" fontId="2" numFmtId="0" xfId="0" applyFont="1"/>
    <xf borderId="0" fillId="42" fontId="2" numFmtId="0" xfId="0" applyAlignment="1" applyFont="1">
      <alignment horizontal="right"/>
    </xf>
    <xf borderId="0" fillId="42" fontId="77" numFmtId="0" xfId="0" applyFont="1"/>
    <xf borderId="0" fillId="42" fontId="2" numFmtId="0" xfId="0" applyAlignment="1" applyFont="1">
      <alignment horizontal="right"/>
    </xf>
    <xf borderId="0" fillId="42" fontId="0" numFmtId="0" xfId="0" applyAlignment="1" applyFont="1">
      <alignment/>
    </xf>
    <xf borderId="0" fillId="0" fontId="2" numFmtId="0" xfId="0" applyAlignment="1" applyFont="1">
      <alignment horizontal="right"/>
    </xf>
    <xf borderId="0" fillId="42" fontId="78" numFmtId="0" xfId="0" applyAlignment="1" applyFont="1">
      <alignment/>
    </xf>
    <xf borderId="0" fillId="42" fontId="79" numFmtId="0" xfId="0" applyAlignment="1" applyFont="1">
      <alignment/>
    </xf>
    <xf borderId="0" fillId="42" fontId="80" numFmtId="0" xfId="0" applyFont="1"/>
    <xf borderId="0" fillId="45" fontId="2" numFmtId="0" xfId="0" applyAlignment="1" applyFill="1" applyFont="1">
      <alignment/>
    </xf>
    <xf borderId="0" fillId="45" fontId="2" numFmtId="0" xfId="0" applyAlignment="1" applyFont="1">
      <alignment horizontal="right"/>
    </xf>
    <xf borderId="0" fillId="45" fontId="81" numFmtId="0" xfId="0" applyAlignment="1" applyFont="1">
      <alignment/>
    </xf>
    <xf borderId="0" fillId="46" fontId="2" numFmtId="0" xfId="0" applyAlignment="1" applyFill="1" applyFont="1">
      <alignment/>
    </xf>
    <xf borderId="0" fillId="46" fontId="2" numFmtId="0" xfId="0" applyFont="1"/>
    <xf borderId="0" fillId="46" fontId="2" numFmtId="0" xfId="0" applyAlignment="1" applyFont="1">
      <alignment horizontal="right"/>
    </xf>
    <xf borderId="0" fillId="46" fontId="82" numFmtId="0" xfId="0" applyAlignment="1" applyFont="1">
      <alignment/>
    </xf>
    <xf borderId="0" fillId="47" fontId="2" numFmtId="0" xfId="0" applyAlignment="1" applyFill="1" applyFont="1">
      <alignment/>
    </xf>
    <xf borderId="0" fillId="47" fontId="2" numFmtId="0" xfId="0" applyFont="1"/>
    <xf borderId="0" fillId="47" fontId="2" numFmtId="0" xfId="0" applyAlignment="1" applyFont="1">
      <alignment horizontal="right"/>
    </xf>
    <xf borderId="0" fillId="47" fontId="83" numFmtId="0" xfId="0" applyAlignment="1" applyFont="1">
      <alignment/>
    </xf>
    <xf borderId="0" fillId="46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o2list.org/files/carbon.htm" TargetMode="External"/><Relationship Id="rId10" Type="http://schemas.openxmlformats.org/officeDocument/2006/relationships/hyperlink" Target="http://www.greenspec.co.uk/building-design/embodied-energy/" TargetMode="External"/><Relationship Id="rId13" Type="http://schemas.openxmlformats.org/officeDocument/2006/relationships/hyperlink" Target="http://www.greenspec.co.uk/building-design/embodied-energy/" TargetMode="External"/><Relationship Id="rId12" Type="http://schemas.openxmlformats.org/officeDocument/2006/relationships/hyperlink" Target="http://www.co2list.org/files/carbon.htm" TargetMode="External"/><Relationship Id="rId1" Type="http://schemas.openxmlformats.org/officeDocument/2006/relationships/hyperlink" Target="https://docs.google.com/document/d/157RhWrGOyM5b5uIFSF-V3xKGZQo4VoJ3oj0F_CCrZnE/edit" TargetMode="External"/><Relationship Id="rId2" Type="http://schemas.openxmlformats.org/officeDocument/2006/relationships/hyperlink" Target="https://docs.google.com/document/d/157RhWrGOyM5b5uIFSF-V3xKGZQo4VoJ3oj0F_CCrZnE/edit" TargetMode="External"/><Relationship Id="rId3" Type="http://schemas.openxmlformats.org/officeDocument/2006/relationships/hyperlink" Target="https://docs.google.com/document/d/157RhWrGOyM5b5uIFSF-V3xKGZQo4VoJ3oj0F_CCrZnE/edit" TargetMode="External"/><Relationship Id="rId4" Type="http://schemas.openxmlformats.org/officeDocument/2006/relationships/hyperlink" Target="https://docs.google.com/document/d/1ragO1mLzbfzxcyrdsCb2yILezdJCA84t5400YcT0b5c/edit" TargetMode="External"/><Relationship Id="rId9" Type="http://schemas.openxmlformats.org/officeDocument/2006/relationships/hyperlink" Target="http://www.apcmedia.com/salestools/VAVR-9KZQVW/VAVR-9KZQVW_R0_EN.pdf?sdirect=true" TargetMode="External"/><Relationship Id="rId15" Type="http://schemas.openxmlformats.org/officeDocument/2006/relationships/hyperlink" Target="https://docs.google.com/document/d/1borDjlx5gwQYh4jZDGVTh__oA8dEXnnjsk8UcU-rgpE/edit" TargetMode="External"/><Relationship Id="rId14" Type="http://schemas.openxmlformats.org/officeDocument/2006/relationships/hyperlink" Target="http://www.greenspec.co.uk/building-design/embodied-energy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ocs.google.com/document/d/1ragO1mLzbfzxcyrdsCb2yILezdJCA84t5400YcT0b5c/edit" TargetMode="External"/><Relationship Id="rId6" Type="http://schemas.openxmlformats.org/officeDocument/2006/relationships/hyperlink" Target="http://www.eejournal.ktu.lt/index.php/erem/article/download/2425/1892" TargetMode="External"/><Relationship Id="rId7" Type="http://schemas.openxmlformats.org/officeDocument/2006/relationships/hyperlink" Target="https://books.google.com/books?id=AxMl85jnORcC&amp;pg=PA41&amp;lpg=PA41&amp;dq=lithium+ion+battery+manufacturing+carbon+footprint&amp;source=bl&amp;ots=bW4q50k_dB&amp;sig=m8kjqv33b8I1eMmH7oH2z32l-pg&amp;hl=en&amp;sa=X&amp;ved=0ahUKEwjX5uCN8cXJAhVLpYMKHeurAD4Q6AEIXzAJ" TargetMode="External"/><Relationship Id="rId8" Type="http://schemas.openxmlformats.org/officeDocument/2006/relationships/hyperlink" Target="http://www.apcmedia.com/salestools/VAVR-9KZQVW/VAVR-9KZQVW_R0_EN.pdf?sdirect=tru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gfps.com/appgate/ecat/common_flow/100005/.../document.html" TargetMode="External"/><Relationship Id="rId22" Type="http://schemas.openxmlformats.org/officeDocument/2006/relationships/hyperlink" Target="http://www.gfps.com/appgate/ecat/common_flow/100005/.../document.html" TargetMode="External"/><Relationship Id="rId21" Type="http://schemas.openxmlformats.org/officeDocument/2006/relationships/hyperlink" Target="http://www.gfps.com/appgate/ecat/common_flow/100005/.../document.html" TargetMode="External"/><Relationship Id="rId24" Type="http://schemas.openxmlformats.org/officeDocument/2006/relationships/hyperlink" Target="http://www.gfps.com/appgate/ecat/common_flow/100005/.../document.html" TargetMode="External"/><Relationship Id="rId23" Type="http://schemas.openxmlformats.org/officeDocument/2006/relationships/hyperlink" Target="http://www.gfps.com/appgate/ecat/common_flow/100005/.../document.html" TargetMode="External"/><Relationship Id="rId1" Type="http://schemas.openxmlformats.org/officeDocument/2006/relationships/hyperlink" Target="https://docs.google.com/document/d/1m7U5Pcf8oWac3FYfkQYLG2zUZjZpG3vAvzM8mR_jOHc/edit?usp=sharing" TargetMode="External"/><Relationship Id="rId2" Type="http://schemas.openxmlformats.org/officeDocument/2006/relationships/hyperlink" Target="https://docs.google.com/document/d/1m7U5Pcf8oWac3FYfkQYLG2zUZjZpG3vAvzM8mR_jOHc/edit?usp=sharing" TargetMode="External"/><Relationship Id="rId3" Type="http://schemas.openxmlformats.org/officeDocument/2006/relationships/hyperlink" Target="https://docs.google.com/document/d/1m7U5Pcf8oWac3FYfkQYLG2zUZjZpG3vAvzM8mR_jOHc/edit?usp=sharing" TargetMode="External"/><Relationship Id="rId4" Type="http://schemas.openxmlformats.org/officeDocument/2006/relationships/hyperlink" Target="https://docs.google.com/document/d/1m7U5Pcf8oWac3FYfkQYLG2zUZjZpG3vAvzM8mR_jOHc/edit?usp=sharing" TargetMode="External"/><Relationship Id="rId9" Type="http://schemas.openxmlformats.org/officeDocument/2006/relationships/hyperlink" Target="https://docs.google.com/document/d/1m7U5Pcf8oWac3FYfkQYLG2zUZjZpG3vAvzM8mR_jOHc/edit?usp=sharing" TargetMode="External"/><Relationship Id="rId26" Type="http://schemas.openxmlformats.org/officeDocument/2006/relationships/hyperlink" Target="http://web.mit.edu/2.813/www/readings/ICEv2.pdf.old" TargetMode="External"/><Relationship Id="rId25" Type="http://schemas.openxmlformats.org/officeDocument/2006/relationships/hyperlink" Target="http://www.gfps.com/appgate/ecat/common_flow/100005/.../document.html" TargetMode="External"/><Relationship Id="rId28" Type="http://schemas.openxmlformats.org/officeDocument/2006/relationships/hyperlink" Target="http://web.mit.edu/2.813/www/readings/ICEv2.pdf.old" TargetMode="External"/><Relationship Id="rId27" Type="http://schemas.openxmlformats.org/officeDocument/2006/relationships/hyperlink" Target="https://docs.google.com/document/d/1oM2NhvQyWVtTCwLZS97IH1iDFLAvXjN51WcpQlwtWLk/edit" TargetMode="External"/><Relationship Id="rId5" Type="http://schemas.openxmlformats.org/officeDocument/2006/relationships/hyperlink" Target="https://docs.google.com/document/d/1m7U5Pcf8oWac3FYfkQYLG2zUZjZpG3vAvzM8mR_jOHc/edit?usp=sharing" TargetMode="External"/><Relationship Id="rId6" Type="http://schemas.openxmlformats.org/officeDocument/2006/relationships/hyperlink" Target="https://docs.google.com/document/d/1m7U5Pcf8oWac3FYfkQYLG2zUZjZpG3vAvzM8mR_jOHc/edit?usp=sharing" TargetMode="External"/><Relationship Id="rId29" Type="http://schemas.openxmlformats.org/officeDocument/2006/relationships/hyperlink" Target="http://web.mit.edu/2.813/www/readings/ICEv2.pdf.old" TargetMode="External"/><Relationship Id="rId7" Type="http://schemas.openxmlformats.org/officeDocument/2006/relationships/hyperlink" Target="https://docs.google.com/document/d/1m7U5Pcf8oWac3FYfkQYLG2zUZjZpG3vAvzM8mR_jOHc/edit?usp=sharing" TargetMode="External"/><Relationship Id="rId8" Type="http://schemas.openxmlformats.org/officeDocument/2006/relationships/hyperlink" Target="https://docs.google.com/document/d/1m7U5Pcf8oWac3FYfkQYLG2zUZjZpG3vAvzM8mR_jOHc/edit?usp=sharing" TargetMode="External"/><Relationship Id="rId31" Type="http://schemas.openxmlformats.org/officeDocument/2006/relationships/hyperlink" Target="http://hypertextbook.com/facts/2004/ShayeStorm.shtml" TargetMode="External"/><Relationship Id="rId30" Type="http://schemas.openxmlformats.org/officeDocument/2006/relationships/hyperlink" Target="https://umanitoba.ca/faculties/afs/agronomists_conf/media/Wiens_AlfalfaGrass_Hay_poster_Dec_1_final_2014.pdf" TargetMode="External"/><Relationship Id="rId11" Type="http://schemas.openxmlformats.org/officeDocument/2006/relationships/hyperlink" Target="https://docs.google.com/document/d/1m7U5Pcf8oWac3FYfkQYLG2zUZjZpG3vAvzM8mR_jOHc/edit?usp=sharing" TargetMode="External"/><Relationship Id="rId33" Type="http://schemas.openxmlformats.org/officeDocument/2006/relationships/hyperlink" Target="https://docs.google.com/document/d/1GGmzb2i4qIW98HOXEZ5RzBqupi-jSjK38lw-ZTsuFQk/edit?usp=sharing" TargetMode="External"/><Relationship Id="rId10" Type="http://schemas.openxmlformats.org/officeDocument/2006/relationships/hyperlink" Target="https://docs.google.com/document/d/1m7U5Pcf8oWac3FYfkQYLG2zUZjZpG3vAvzM8mR_jOHc/edit?usp=sharing" TargetMode="External"/><Relationship Id="rId32" Type="http://schemas.openxmlformats.org/officeDocument/2006/relationships/hyperlink" Target="https://docs.google.com/document/d/1GGmzb2i4qIW98HOXEZ5RzBqupi-jSjK38lw-ZTsuFQk/edit?usp=sharing" TargetMode="External"/><Relationship Id="rId13" Type="http://schemas.openxmlformats.org/officeDocument/2006/relationships/hyperlink" Target="https://docs.google.com/document/d/19lzgfimz3eLBtu9IzLPnfV2y8V-t168hjO6sSjfI_80/edit?usp=sharing" TargetMode="External"/><Relationship Id="rId12" Type="http://schemas.openxmlformats.org/officeDocument/2006/relationships/hyperlink" Target="https://docs.google.com/document/d/1m7U5Pcf8oWac3FYfkQYLG2zUZjZpG3vAvzM8mR_jOHc/edit?usp=sharing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docs.google.com/document/d/19lzgfimz3eLBtu9IzLPnfV2y8V-t168hjO6sSjfI_80/edit?usp=sharing" TargetMode="External"/><Relationship Id="rId14" Type="http://schemas.openxmlformats.org/officeDocument/2006/relationships/hyperlink" Target="https://docs.google.com/document/d/19lzgfimz3eLBtu9IzLPnfV2y8V-t168hjO6sSjfI_80/edit?usp=sharing" TargetMode="External"/><Relationship Id="rId17" Type="http://schemas.openxmlformats.org/officeDocument/2006/relationships/hyperlink" Target="https://drive.google.com/file/d/0B--O_p54KxzvMXgtUlFVdnpzYkk/view?usp=sharing" TargetMode="External"/><Relationship Id="rId16" Type="http://schemas.openxmlformats.org/officeDocument/2006/relationships/hyperlink" Target="https://drive.google.com/file/d/0B--O_p54KxzvMXgtUlFVdnpzYkk/view?usp=sharing" TargetMode="External"/><Relationship Id="rId19" Type="http://schemas.openxmlformats.org/officeDocument/2006/relationships/hyperlink" Target="http://www.gfps.com/appgate/ecat/common_flow/100005/.../document.html" TargetMode="External"/><Relationship Id="rId18" Type="http://schemas.openxmlformats.org/officeDocument/2006/relationships/hyperlink" Target="http://www.gfps.com/appgate/ecat/common_flow/100005/.../document.ht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nXHj209gaYV5u1Z-4rl8KO7xMO2aSQza8_DnBFsdSc0/edit?usp=sharing" TargetMode="External"/><Relationship Id="rId22" Type="http://schemas.openxmlformats.org/officeDocument/2006/relationships/hyperlink" Target="https://docs.google.com/document/d/1nXHj209gaYV5u1Z-4rl8KO7xMO2aSQza8_DnBFsdSc0/edit?usp=sharing" TargetMode="External"/><Relationship Id="rId21" Type="http://schemas.openxmlformats.org/officeDocument/2006/relationships/hyperlink" Target="https://docs.google.com/document/d/1nXHj209gaYV5u1Z-4rl8KO7xMO2aSQza8_DnBFsdSc0/edit?usp=sharing" TargetMode="External"/><Relationship Id="rId24" Type="http://schemas.openxmlformats.org/officeDocument/2006/relationships/hyperlink" Target="https://docs.google.com/document/d/1nXHj209gaYV5u1Z-4rl8KO7xMO2aSQza8_DnBFsdSc0/edit?usp=sharing" TargetMode="External"/><Relationship Id="rId23" Type="http://schemas.openxmlformats.org/officeDocument/2006/relationships/hyperlink" Target="https://docs.google.com/document/d/1nXHj209gaYV5u1Z-4rl8KO7xMO2aSQza8_DnBFsdSc0/edit?usp=sharing" TargetMode="External"/><Relationship Id="rId1" Type="http://schemas.openxmlformats.org/officeDocument/2006/relationships/hyperlink" Target="http://inspectapedia.com/insulation/Insulation_Values_Table.php" TargetMode="External"/><Relationship Id="rId2" Type="http://schemas.openxmlformats.org/officeDocument/2006/relationships/hyperlink" Target="https://www2.buildinggreen.com/blogs/avoiding-global-warming-impact-insulation" TargetMode="External"/><Relationship Id="rId3" Type="http://schemas.openxmlformats.org/officeDocument/2006/relationships/hyperlink" Target="https://www2.buildinggreen.com/blogs/avoiding-global-warming-impact-insulation" TargetMode="External"/><Relationship Id="rId4" Type="http://schemas.openxmlformats.org/officeDocument/2006/relationships/hyperlink" Target="http://web.mit.edu/2.813/www/readings/ICEv2.pdf.old" TargetMode="External"/><Relationship Id="rId9" Type="http://schemas.openxmlformats.org/officeDocument/2006/relationships/hyperlink" Target="http://www.greenspec.co.uk/building-design/insulation-plant-fibre/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docs.google.com/document/d/1GGmzb2i4qIW98HOXEZ5RzBqupi-jSjK38lw-ZTsuFQk/edit?usp=sharing" TargetMode="External"/><Relationship Id="rId5" Type="http://schemas.openxmlformats.org/officeDocument/2006/relationships/hyperlink" Target="https://www2.buildinggreen.com/blogs/avoiding-global-warming-impact-insulation" TargetMode="External"/><Relationship Id="rId6" Type="http://schemas.openxmlformats.org/officeDocument/2006/relationships/hyperlink" Target="http://web.mit.edu/2.813/www/readings/ICEv2.pdf.old" TargetMode="External"/><Relationship Id="rId7" Type="http://schemas.openxmlformats.org/officeDocument/2006/relationships/hyperlink" Target="http://web.mit.edu/2.813/www/readings/ICEv2.pdf.old" TargetMode="External"/><Relationship Id="rId8" Type="http://schemas.openxmlformats.org/officeDocument/2006/relationships/hyperlink" Target="http://web.mit.edu/2.813/www/readings/ICEv2.pdf.old" TargetMode="External"/><Relationship Id="rId11" Type="http://schemas.openxmlformats.org/officeDocument/2006/relationships/hyperlink" Target="https://www.usg.com/content/dam/USG_Marketing_Communications/united_states/product_promotional_materials/finished_assets/usg-mineral-wool-submittal-en-IG1753.pdf" TargetMode="External"/><Relationship Id="rId10" Type="http://schemas.openxmlformats.org/officeDocument/2006/relationships/hyperlink" Target="http://web.mit.edu/2.813/www/readings/ICEv2.pdf.old" TargetMode="External"/><Relationship Id="rId13" Type="http://schemas.openxmlformats.org/officeDocument/2006/relationships/hyperlink" Target="http://download.springer.com/static/pdf/118/art%253A10.1007%252FBF02978536.pdf?originUrl=http%3A%2F%2Flink.springer.com%2Farticle%2F10.1007%2FBF02978536&amp;token2=exp=1449371127~acl=%2Fstatic%2Fpdf%2F118%2Fart%25253A10.1007%25252FBF02978536.pdf%3ForiginUrl%3Dhttp%253A%252F%252Flink.springer.com%252Farticle%252F10.1007%252FBF02978536*~hmac=f2af3143461b13cfd184b7fb56c53fe3d716a56d06fc880238c17a9e1f74a1c3" TargetMode="External"/><Relationship Id="rId12" Type="http://schemas.openxmlformats.org/officeDocument/2006/relationships/hyperlink" Target="http://web.mit.edu/2.813/www/readings/ICEv2.pdf.old" TargetMode="External"/><Relationship Id="rId15" Type="http://schemas.openxmlformats.org/officeDocument/2006/relationships/hyperlink" Target="http://web.mit.edu/2.813/www/readings/ICEv2.pdf.old" TargetMode="External"/><Relationship Id="rId14" Type="http://schemas.openxmlformats.org/officeDocument/2006/relationships/hyperlink" Target="http://web.mit.edu/2.813/www/readings/ICEv2.pdf.old" TargetMode="External"/><Relationship Id="rId17" Type="http://schemas.openxmlformats.org/officeDocument/2006/relationships/hyperlink" Target="http://web.mit.edu/2.813/www/readings/ICEv2.pdf.old" TargetMode="External"/><Relationship Id="rId16" Type="http://schemas.openxmlformats.org/officeDocument/2006/relationships/hyperlink" Target="http://ae.foamglas.com/__/frontend/handler/document.php?id=141&amp;type=42" TargetMode="External"/><Relationship Id="rId19" Type="http://schemas.openxmlformats.org/officeDocument/2006/relationships/hyperlink" Target="http://www2.wrap.org.uk/downloads/Methodology_to_the_CO2_and_Case_studies.3a32cf6f.8593.pdf" TargetMode="External"/><Relationship Id="rId18" Type="http://schemas.openxmlformats.org/officeDocument/2006/relationships/hyperlink" Target="http://web.mit.edu/2.813/www/readings/ICEv2.pdf.old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ra.co.uk/document/fira-carbon-footprinting-document-2011.pdf" TargetMode="External"/><Relationship Id="rId20" Type="http://schemas.openxmlformats.org/officeDocument/2006/relationships/hyperlink" Target="https://docs.google.com/document/d/1LwNkvhBzKISXS1ZVwePZRdJMUfKwnwVbP28CbGBwKcU/edit?usp=sharing" TargetMode="External"/><Relationship Id="rId42" Type="http://schemas.openxmlformats.org/officeDocument/2006/relationships/hyperlink" Target="https://www.fira.co.uk/document/fira-carbon-footprinting-document-2011.pdf" TargetMode="External"/><Relationship Id="rId41" Type="http://schemas.openxmlformats.org/officeDocument/2006/relationships/hyperlink" Target="https://www.fira.co.uk/document/fira-carbon-footprinting-document-2011.pdf" TargetMode="External"/><Relationship Id="rId22" Type="http://schemas.openxmlformats.org/officeDocument/2006/relationships/hyperlink" Target="https://docs.google.com/document/d/1LwNkvhBzKISXS1ZVwePZRdJMUfKwnwVbP28CbGBwKcU/edit?usp=sharing" TargetMode="External"/><Relationship Id="rId44" Type="http://schemas.openxmlformats.org/officeDocument/2006/relationships/hyperlink" Target="http://www.americanhardwood.org/fileadmin/docs/The_Wish_List_LCAs/rogers_moseley.pdf" TargetMode="External"/><Relationship Id="rId21" Type="http://schemas.openxmlformats.org/officeDocument/2006/relationships/hyperlink" Target="https://docs.google.com/document/d/1LwNkvhBzKISXS1ZVwePZRdJMUfKwnwVbP28CbGBwKcU/edit?usp=sharing" TargetMode="External"/><Relationship Id="rId43" Type="http://schemas.openxmlformats.org/officeDocument/2006/relationships/hyperlink" Target="https://www.fira.co.uk/document/fira-carbon-footprinting-document-2011.pdf" TargetMode="External"/><Relationship Id="rId24" Type="http://schemas.openxmlformats.org/officeDocument/2006/relationships/hyperlink" Target="https://docs.google.com/document/d/1LwNkvhBzKISXS1ZVwePZRdJMUfKwnwVbP28CbGBwKcU/edit?usp=sharing" TargetMode="External"/><Relationship Id="rId46" Type="http://schemas.openxmlformats.org/officeDocument/2006/relationships/hyperlink" Target="https://docs.google.com/document/d/1RGJRWZSz6Pm3It8L2VC0OOwM9S7ytyMGF6GImQbeTHE/edit?usp=sharing" TargetMode="External"/><Relationship Id="rId23" Type="http://schemas.openxmlformats.org/officeDocument/2006/relationships/hyperlink" Target="https://docs.google.com/document/d/1LwNkvhBzKISXS1ZVwePZRdJMUfKwnwVbP28CbGBwKcU/edit?usp=sharing" TargetMode="External"/><Relationship Id="rId45" Type="http://schemas.openxmlformats.org/officeDocument/2006/relationships/hyperlink" Target="http://www.homedepot.com/p/Werner-6-ft-Aluminum-Step-Ladder-with-250-lb-Load-Capacity-Type-I-Duty-Rating-366/100659875" TargetMode="External"/><Relationship Id="rId1" Type="http://schemas.openxmlformats.org/officeDocument/2006/relationships/hyperlink" Target="https://docs.google.com/document/d/16yxBUYfuv29RHbSambMzmXlY-Xf8YWjtjmVkhETUAY0/edit?usp=sharing" TargetMode="External"/><Relationship Id="rId2" Type="http://schemas.openxmlformats.org/officeDocument/2006/relationships/hyperlink" Target="https://docs.google.com/document/d/1XRNehb60tXAuIoQeadA1mZ24Ne2PMEjspV-w0Yn0kvU/edit" TargetMode="External"/><Relationship Id="rId3" Type="http://schemas.openxmlformats.org/officeDocument/2006/relationships/hyperlink" Target="https://docs.google.com/document/d/1dvRk3PqYSSwdNOSpjmreuE2AGoWoE5lTSVIbUExTTuY/edit?usp=sharing" TargetMode="External"/><Relationship Id="rId4" Type="http://schemas.openxmlformats.org/officeDocument/2006/relationships/hyperlink" Target="https://docs.google.com/document/d/1dvRk3PqYSSwdNOSpjmreuE2AGoWoE5lTSVIbUExTTuY/edit?usp=sharing" TargetMode="External"/><Relationship Id="rId9" Type="http://schemas.openxmlformats.org/officeDocument/2006/relationships/hyperlink" Target="http://www.engineeringtoolbox.com/wood-density-d_40.html" TargetMode="External"/><Relationship Id="rId26" Type="http://schemas.openxmlformats.org/officeDocument/2006/relationships/hyperlink" Target="http://web.mit.edu/2.813/www/readings/ICEv2.pdf.old" TargetMode="External"/><Relationship Id="rId25" Type="http://schemas.openxmlformats.org/officeDocument/2006/relationships/hyperlink" Target="https://www.google.com/webhp?sourceid=chrome-instant&amp;ion=1&amp;espv=2&amp;ie=UTF-8" TargetMode="External"/><Relationship Id="rId47" Type="http://schemas.openxmlformats.org/officeDocument/2006/relationships/drawing" Target="../drawings/drawing4.xml"/><Relationship Id="rId28" Type="http://schemas.openxmlformats.org/officeDocument/2006/relationships/hyperlink" Target="https://www.ucl.ac.uk/steapp/docs/htctw-docs/valuing-materials" TargetMode="External"/><Relationship Id="rId27" Type="http://schemas.openxmlformats.org/officeDocument/2006/relationships/hyperlink" Target="http://www.engineeringtoolbox.com/wood-density-d_40.html" TargetMode="External"/><Relationship Id="rId5" Type="http://schemas.openxmlformats.org/officeDocument/2006/relationships/hyperlink" Target="https://docs.google.com/document/d/1aQ6M1vLoMEf6A1uFCLy0q8jAfMakM7nroeZ3pHkZml4/edit?usp=sharing" TargetMode="External"/><Relationship Id="rId6" Type="http://schemas.openxmlformats.org/officeDocument/2006/relationships/hyperlink" Target="https://docs.google.com/document/d/1aQ6M1vLoMEf6A1uFCLy0q8jAfMakM7nroeZ3pHkZml4/edit?usp=sharing" TargetMode="External"/><Relationship Id="rId29" Type="http://schemas.openxmlformats.org/officeDocument/2006/relationships/hyperlink" Target="http://www.engineeringtoolbox.com/wood-density-d_40.html" TargetMode="External"/><Relationship Id="rId7" Type="http://schemas.openxmlformats.org/officeDocument/2006/relationships/hyperlink" Target="https://docs.google.com/document/d/1aQ6M1vLoMEf6A1uFCLy0q8jAfMakM7nroeZ3pHkZml4/edit?usp=sharing" TargetMode="External"/><Relationship Id="rId8" Type="http://schemas.openxmlformats.org/officeDocument/2006/relationships/hyperlink" Target="http://customwoodcountertops.com/designing-your-wood-countertop-butcher-block-or-bar-top/" TargetMode="External"/><Relationship Id="rId31" Type="http://schemas.openxmlformats.org/officeDocument/2006/relationships/hyperlink" Target="http://web.mit.edu/2.813/www/readings/ICEv2.pdf.old" TargetMode="External"/><Relationship Id="rId30" Type="http://schemas.openxmlformats.org/officeDocument/2006/relationships/hyperlink" Target="http://web.mit.edu/2.813/www/readings/ICEv2.pdf.old" TargetMode="External"/><Relationship Id="rId11" Type="http://schemas.openxmlformats.org/officeDocument/2006/relationships/hyperlink" Target="http://www.engineeringtoolbox.com/metal-alloys-densities-d_50.html" TargetMode="External"/><Relationship Id="rId33" Type="http://schemas.openxmlformats.org/officeDocument/2006/relationships/hyperlink" Target="http://web.mit.edu/2.813/www/readings/ICEv2.pdf.old" TargetMode="External"/><Relationship Id="rId10" Type="http://schemas.openxmlformats.org/officeDocument/2006/relationships/hyperlink" Target="http://www.brookscustom.com/stainless-steel-countertops-faq.php" TargetMode="External"/><Relationship Id="rId32" Type="http://schemas.openxmlformats.org/officeDocument/2006/relationships/hyperlink" Target="http://web.mit.edu/2.813/www/readings/ICEv2.pdf.old" TargetMode="External"/><Relationship Id="rId13" Type="http://schemas.openxmlformats.org/officeDocument/2006/relationships/hyperlink" Target="https://docs.google.com/document/d/1XRNehb60tXAuIoQeadA1mZ24Ne2PMEjspV-w0Yn0kvU/edit" TargetMode="External"/><Relationship Id="rId35" Type="http://schemas.openxmlformats.org/officeDocument/2006/relationships/hyperlink" Target="http://www.engineeringtoolbox.com/density-solids-d_1265.html" TargetMode="External"/><Relationship Id="rId12" Type="http://schemas.openxmlformats.org/officeDocument/2006/relationships/hyperlink" Target="https://docs.google.com/document/d/1XRNehb60tXAuIoQeadA1mZ24Ne2PMEjspV-w0Yn0kvU/edit" TargetMode="External"/><Relationship Id="rId34" Type="http://schemas.openxmlformats.org/officeDocument/2006/relationships/hyperlink" Target="http://web.mit.edu/2.813/www/readings/ICEv2.pdf.old" TargetMode="External"/><Relationship Id="rId15" Type="http://schemas.openxmlformats.org/officeDocument/2006/relationships/hyperlink" Target="https://docs.google.com/document/d/1XRNehb60tXAuIoQeadA1mZ24Ne2PMEjspV-w0Yn0kvU/edit" TargetMode="External"/><Relationship Id="rId37" Type="http://schemas.openxmlformats.org/officeDocument/2006/relationships/hyperlink" Target="https://www.fira.co.uk/document/fira-carbon-footprinting-document-2011.pdf" TargetMode="External"/><Relationship Id="rId14" Type="http://schemas.openxmlformats.org/officeDocument/2006/relationships/hyperlink" Target="https://docs.google.com/document/d/1XRNehb60tXAuIoQeadA1mZ24Ne2PMEjspV-w0Yn0kvU/edit" TargetMode="External"/><Relationship Id="rId36" Type="http://schemas.openxmlformats.org/officeDocument/2006/relationships/hyperlink" Target="http://web.mit.edu/2.813/www/readings/ICEv2.pdf.old" TargetMode="External"/><Relationship Id="rId17" Type="http://schemas.openxmlformats.org/officeDocument/2006/relationships/hyperlink" Target="https://docs.google.com/document/d/1TuQ5xAmVXR1RRwtePE3EcsOikukVhDyB1kva1txRflc/edit" TargetMode="External"/><Relationship Id="rId39" Type="http://schemas.openxmlformats.org/officeDocument/2006/relationships/hyperlink" Target="https://www.fira.co.uk/document/fira-carbon-footprinting-document-2011.pdf" TargetMode="External"/><Relationship Id="rId16" Type="http://schemas.openxmlformats.org/officeDocument/2006/relationships/hyperlink" Target="https://docs.google.com/document/d/1XRNehb60tXAuIoQeadA1mZ24Ne2PMEjspV-w0Yn0kvU/edit" TargetMode="External"/><Relationship Id="rId38" Type="http://schemas.openxmlformats.org/officeDocument/2006/relationships/hyperlink" Target="https://www.fira.co.uk/document/fira-carbon-footprinting-document-2011.pdf" TargetMode="External"/><Relationship Id="rId19" Type="http://schemas.openxmlformats.org/officeDocument/2006/relationships/hyperlink" Target="https://docs.google.com/document/d/1LwNkvhBzKISXS1ZVwePZRdJMUfKwnwVbP28CbGBwKcU/edit?usp=sharing" TargetMode="External"/><Relationship Id="rId18" Type="http://schemas.openxmlformats.org/officeDocument/2006/relationships/hyperlink" Target="https://docs.google.com/document/d/1XvmNjE1i7UA0gMh-Rd7VKK3O7cBmC6_btbPk10u_3Ns/edit?usp=sharing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web.mit.edu/2.813/www/readings/ICEv2.pdf.old" TargetMode="External"/><Relationship Id="rId22" Type="http://schemas.openxmlformats.org/officeDocument/2006/relationships/hyperlink" Target="http://www.engineeringtoolbox.com/density-solids-d_1265.html" TargetMode="External"/><Relationship Id="rId21" Type="http://schemas.openxmlformats.org/officeDocument/2006/relationships/hyperlink" Target="http://web.mit.edu/2.813/www/readings/ICEv2.pdf.old" TargetMode="External"/><Relationship Id="rId24" Type="http://schemas.openxmlformats.org/officeDocument/2006/relationships/drawing" Target="../drawings/drawing5.xml"/><Relationship Id="rId23" Type="http://schemas.openxmlformats.org/officeDocument/2006/relationships/hyperlink" Target="http://web.mit.edu/2.813/www/readings/ICEv2.pdf.old" TargetMode="External"/><Relationship Id="rId1" Type="http://schemas.openxmlformats.org/officeDocument/2006/relationships/hyperlink" Target="http://www3.epa.gov/climatechange/wycd/waste/downloads/asphalt-shingles10-28-10.pdf" TargetMode="External"/><Relationship Id="rId2" Type="http://schemas.openxmlformats.org/officeDocument/2006/relationships/hyperlink" Target="https://drive.google.com/file/d/0B--O_p54KxzvZ1ZCaEhhcVp4S2c/view?usp=sharing" TargetMode="External"/><Relationship Id="rId3" Type="http://schemas.openxmlformats.org/officeDocument/2006/relationships/hyperlink" Target="https://drive.google.com/file/d/0B--O_p54KxzvZ1ZCaEhhcVp4S2c/view?usp=sharing" TargetMode="External"/><Relationship Id="rId4" Type="http://schemas.openxmlformats.org/officeDocument/2006/relationships/hyperlink" Target="https://drive.google.com/file/d/0B--O_p54KxzvZ1ZCaEhhcVp4S2c/view?usp=sharing" TargetMode="External"/><Relationship Id="rId9" Type="http://schemas.openxmlformats.org/officeDocument/2006/relationships/hyperlink" Target="http://www.greenspec.co.uk/building-design/embodied-energy/" TargetMode="External"/><Relationship Id="rId5" Type="http://schemas.openxmlformats.org/officeDocument/2006/relationships/hyperlink" Target="http://homeguides.sfgate.com/size-plywood-goes-exterior-wall-96180.html" TargetMode="External"/><Relationship Id="rId6" Type="http://schemas.openxmlformats.org/officeDocument/2006/relationships/hyperlink" Target="http://www.greenspec.co.uk/building-design/embodied-energy/" TargetMode="External"/><Relationship Id="rId7" Type="http://schemas.openxmlformats.org/officeDocument/2006/relationships/hyperlink" Target="http://www.greenspec.co.uk/building-design/embodied-energy/" TargetMode="External"/><Relationship Id="rId8" Type="http://schemas.openxmlformats.org/officeDocument/2006/relationships/hyperlink" Target="http://www.greenspec.co.uk/building-design/embodied-energy/" TargetMode="External"/><Relationship Id="rId11" Type="http://schemas.openxmlformats.org/officeDocument/2006/relationships/hyperlink" Target="http://web.mit.edu/2.813/www/readings/ICEv2.pdf.old" TargetMode="External"/><Relationship Id="rId10" Type="http://schemas.openxmlformats.org/officeDocument/2006/relationships/hyperlink" Target="http://www.paintcenter.org/rj/sep06d.cfm" TargetMode="External"/><Relationship Id="rId13" Type="http://schemas.openxmlformats.org/officeDocument/2006/relationships/hyperlink" Target="http://web.mit.edu/2.813/www/readings/ICEv2.pdf.old" TargetMode="External"/><Relationship Id="rId12" Type="http://schemas.openxmlformats.org/officeDocument/2006/relationships/hyperlink" Target="https://www.google.com/webhp?sourceid=chrome-instant&amp;ion=1&amp;espv=2&amp;ie=UTF-8" TargetMode="External"/><Relationship Id="rId15" Type="http://schemas.openxmlformats.org/officeDocument/2006/relationships/hyperlink" Target="https://www.ucl.ac.uk/steapp/docs/htctw-docs/valuing-materials" TargetMode="External"/><Relationship Id="rId14" Type="http://schemas.openxmlformats.org/officeDocument/2006/relationships/hyperlink" Target="http://www.engineeringtoolbox.com/wood-density-d_40.html" TargetMode="External"/><Relationship Id="rId17" Type="http://schemas.openxmlformats.org/officeDocument/2006/relationships/hyperlink" Target="http://web.mit.edu/2.813/www/readings/ICEv2.pdf.old" TargetMode="External"/><Relationship Id="rId16" Type="http://schemas.openxmlformats.org/officeDocument/2006/relationships/hyperlink" Target="http://www.engineeringtoolbox.com/wood-density-d_40.html" TargetMode="External"/><Relationship Id="rId19" Type="http://schemas.openxmlformats.org/officeDocument/2006/relationships/hyperlink" Target="http://web.mit.edu/2.813/www/readings/ICEv2.pdf.old" TargetMode="External"/><Relationship Id="rId18" Type="http://schemas.openxmlformats.org/officeDocument/2006/relationships/hyperlink" Target="http://web.mit.edu/2.813/www/readings/ICEv2.pdf.ol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2list.org/files/carbon.htm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4" max="4" width="20.86"/>
    <col customWidth="1" hidden="1" min="8" max="9" width="16.43"/>
    <col customWidth="1" hidden="1" min="10" max="10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/>
      <c r="I1" s="1"/>
    </row>
    <row r="2">
      <c r="A2" s="3"/>
      <c r="B2" s="10" t="s">
        <v>7</v>
      </c>
      <c r="C2" s="3"/>
      <c r="D2" s="3"/>
      <c r="E2" s="3"/>
      <c r="F2" s="3"/>
      <c r="G2" s="3"/>
      <c r="H2" s="12"/>
      <c r="I2" s="12"/>
      <c r="J2" s="12"/>
    </row>
    <row r="3">
      <c r="A3" s="17" t="s">
        <v>11</v>
      </c>
      <c r="B3" s="3"/>
      <c r="C3" s="10" t="s">
        <v>7</v>
      </c>
      <c r="D3" s="17" t="s">
        <v>15</v>
      </c>
      <c r="E3" s="17">
        <v>37.8</v>
      </c>
      <c r="F3" s="19" t="s">
        <v>16</v>
      </c>
      <c r="G3" s="24" t="str">
        <f t="shared" ref="G3:G5" si="1">HYPERLINK("https://docs.google.com/document/d/157RhWrGOyM5b5uIFSF-V3xKGZQo4VoJ3oj0F_CCrZnE/edit","Link")</f>
        <v>Link</v>
      </c>
      <c r="H3" s="12"/>
      <c r="I3" s="12"/>
      <c r="J3" s="12"/>
    </row>
    <row r="4">
      <c r="A4" s="26" t="s">
        <v>11</v>
      </c>
      <c r="B4" s="3"/>
      <c r="C4" s="3"/>
      <c r="D4" s="26" t="s">
        <v>31</v>
      </c>
      <c r="E4" s="27">
        <v>45.2</v>
      </c>
      <c r="F4" s="26" t="s">
        <v>16</v>
      </c>
      <c r="G4" s="30" t="str">
        <f t="shared" si="1"/>
        <v>Link</v>
      </c>
      <c r="H4" s="12"/>
      <c r="I4" s="12"/>
      <c r="J4" s="12"/>
    </row>
    <row r="5">
      <c r="A5" s="32" t="s">
        <v>11</v>
      </c>
      <c r="B5" s="3"/>
      <c r="C5" s="3"/>
      <c r="D5" s="32" t="s">
        <v>34</v>
      </c>
      <c r="E5" s="34">
        <v>59.9</v>
      </c>
      <c r="F5" s="32" t="s">
        <v>16</v>
      </c>
      <c r="G5" s="36" t="str">
        <f t="shared" si="1"/>
        <v>Link</v>
      </c>
      <c r="H5" s="12"/>
      <c r="I5" s="12"/>
      <c r="J5" s="12"/>
    </row>
    <row r="6">
      <c r="A6" s="38"/>
      <c r="B6" s="39" t="s">
        <v>35</v>
      </c>
      <c r="C6" s="38"/>
      <c r="D6" s="38"/>
      <c r="E6" s="40"/>
      <c r="F6" s="38"/>
      <c r="G6" s="38"/>
      <c r="H6" s="12"/>
      <c r="I6" s="12"/>
      <c r="J6" s="12"/>
    </row>
    <row r="7">
      <c r="A7" s="38"/>
      <c r="B7" s="38"/>
      <c r="C7" s="39" t="s">
        <v>36</v>
      </c>
      <c r="D7" s="38"/>
      <c r="E7" s="40"/>
      <c r="F7" s="39"/>
      <c r="G7" s="41"/>
      <c r="H7" s="12"/>
      <c r="I7" s="12"/>
      <c r="J7" s="12"/>
    </row>
    <row r="8">
      <c r="A8" s="42" t="s">
        <v>37</v>
      </c>
      <c r="B8" s="38"/>
      <c r="C8" s="38"/>
      <c r="D8" s="42" t="s">
        <v>38</v>
      </c>
      <c r="E8" s="44">
        <v>5.8</v>
      </c>
      <c r="F8" s="46" t="s">
        <v>40</v>
      </c>
      <c r="G8" s="48" t="str">
        <f t="shared" ref="G8:G9" si="2">HYPERLINK("https://docs.google.com/document/d/1ragO1mLzbfzxcyrdsCb2yILezdJCA84t5400YcT0b5c/edit","Link")</f>
        <v>Link</v>
      </c>
      <c r="H8" s="12"/>
      <c r="I8" s="12"/>
      <c r="J8" s="12"/>
    </row>
    <row r="9">
      <c r="A9" s="50" t="s">
        <v>37</v>
      </c>
      <c r="B9" s="38"/>
      <c r="C9" s="38"/>
      <c r="D9" s="50" t="s">
        <v>42</v>
      </c>
      <c r="E9" s="51">
        <v>7.23</v>
      </c>
      <c r="F9" s="52" t="s">
        <v>40</v>
      </c>
      <c r="G9" s="54" t="str">
        <f t="shared" si="2"/>
        <v>Link</v>
      </c>
      <c r="H9" s="12"/>
      <c r="I9" s="12"/>
      <c r="J9" s="12"/>
    </row>
    <row r="10">
      <c r="A10" s="55" t="s">
        <v>37</v>
      </c>
      <c r="B10" s="38"/>
      <c r="C10" s="38"/>
      <c r="D10" s="55" t="s">
        <v>45</v>
      </c>
      <c r="E10" s="56">
        <v>3.7</v>
      </c>
      <c r="F10" s="57"/>
      <c r="G10" s="59" t="str">
        <f>HYPERLINK("www.eejournal.ktu.lt/index.php/erem/article/download/2425/1892","Link")</f>
        <v>Link</v>
      </c>
      <c r="H10" s="12"/>
      <c r="I10" s="12"/>
      <c r="J10" s="12"/>
    </row>
    <row r="11">
      <c r="A11" s="60"/>
      <c r="B11" s="62" t="s">
        <v>50</v>
      </c>
      <c r="C11" s="60"/>
      <c r="D11" s="60"/>
      <c r="E11" s="63"/>
      <c r="F11" s="60"/>
      <c r="G11" s="60"/>
      <c r="H11" s="12"/>
      <c r="I11" s="12"/>
      <c r="J11" s="12"/>
    </row>
    <row r="12">
      <c r="A12" s="64"/>
      <c r="B12" s="60"/>
      <c r="C12" s="65" t="s">
        <v>52</v>
      </c>
      <c r="D12" s="64"/>
      <c r="E12" s="67"/>
      <c r="F12" s="65" t="s">
        <v>53</v>
      </c>
      <c r="G12" s="64"/>
      <c r="I12" s="12"/>
      <c r="J12" s="12"/>
    </row>
    <row r="13">
      <c r="A13" s="65" t="s">
        <v>37</v>
      </c>
      <c r="B13" s="60"/>
      <c r="C13" s="65"/>
      <c r="D13" s="65" t="s">
        <v>54</v>
      </c>
      <c r="E13" s="69">
        <v>3201.0</v>
      </c>
      <c r="F13" s="65" t="s">
        <v>16</v>
      </c>
      <c r="G13" s="73" t="str">
        <f>HYPERLINK("https://books.google.com/books?id=AxMl85jnORcC&amp;pg=PA41&amp;lpg=PA41&amp;dq=lithium+ion+battery+manufacturing+carbon+footprint&amp;source=bl&amp;ots=bW4q50k_dB&amp;sig=m8kjqv33b8I1eMmH7oH2z32l-pg&amp;hl=en&amp;sa=X&amp;ved=0ahUKEwjX5uCN8cXJAhVLpYMKHeurAD4Q6AEIXzAJ#v=onepage&amp;q=lithium%20ion%20battery%20manufacturing%20carbon%20footprint&amp;f=false","Link")</f>
        <v>Link</v>
      </c>
      <c r="H13" s="12"/>
      <c r="I13" s="12"/>
      <c r="J13" s="12"/>
    </row>
    <row r="14">
      <c r="A14" s="65" t="s">
        <v>37</v>
      </c>
      <c r="B14" s="60"/>
      <c r="C14" s="65"/>
      <c r="D14" s="65" t="s">
        <v>57</v>
      </c>
      <c r="E14" s="69">
        <v>330.0</v>
      </c>
      <c r="F14" s="65" t="s">
        <v>16</v>
      </c>
      <c r="G14" s="73" t="str">
        <f t="shared" ref="G14:G15" si="3">HYPERLINK("http://www.apcmedia.com/salestools/VAVR-9KZQVW/VAVR-9KZQVW_R0_EN.pdf?sdirect=true","Link")</f>
        <v>Link</v>
      </c>
      <c r="H14" s="12"/>
      <c r="I14" s="12"/>
      <c r="J14" s="12"/>
    </row>
    <row r="15">
      <c r="A15" s="65" t="s">
        <v>37</v>
      </c>
      <c r="B15" s="60"/>
      <c r="C15" s="65"/>
      <c r="D15" s="65" t="s">
        <v>60</v>
      </c>
      <c r="E15" s="69">
        <v>412.0</v>
      </c>
      <c r="F15" s="65" t="s">
        <v>16</v>
      </c>
      <c r="G15" s="73" t="str">
        <f t="shared" si="3"/>
        <v>Link</v>
      </c>
      <c r="H15" s="12"/>
      <c r="I15" s="12"/>
      <c r="J15" s="12"/>
    </row>
    <row r="16">
      <c r="A16" s="79"/>
      <c r="B16" s="60"/>
      <c r="C16" s="81" t="s">
        <v>63</v>
      </c>
      <c r="D16" s="79"/>
      <c r="E16" s="83"/>
      <c r="F16" s="79"/>
      <c r="G16" s="85"/>
      <c r="H16" s="87"/>
      <c r="I16" s="87" t="s">
        <v>67</v>
      </c>
      <c r="J16" s="87"/>
    </row>
    <row r="17">
      <c r="A17" s="81" t="s">
        <v>37</v>
      </c>
      <c r="B17" s="60"/>
      <c r="C17" s="81"/>
      <c r="D17" s="81" t="s">
        <v>68</v>
      </c>
      <c r="E17" s="91" t="str">
        <f>I17*(0.3048)^2</f>
        <v>22.48253568</v>
      </c>
      <c r="F17" s="81" t="s">
        <v>71</v>
      </c>
      <c r="G17" s="95" t="str">
        <f>HYPERLINK("http://www.greenspec.co.uk/building-design/embodied-energy/","Link")</f>
        <v>Link</v>
      </c>
      <c r="H17" s="87"/>
      <c r="I17" s="87">
        <v>242.0</v>
      </c>
      <c r="J17" s="87"/>
    </row>
    <row r="18">
      <c r="A18" s="81" t="s">
        <v>37</v>
      </c>
      <c r="B18" s="60"/>
      <c r="C18" s="81"/>
      <c r="D18" s="81" t="s">
        <v>73</v>
      </c>
      <c r="E18" s="91">
        <v>29.03</v>
      </c>
      <c r="F18" s="81" t="s">
        <v>71</v>
      </c>
      <c r="G18" s="95" t="str">
        <f t="shared" ref="G18:G19" si="4">HYPERLINK("http://www.co2list.org/files/carbon.htm","Link")</f>
        <v>Link</v>
      </c>
      <c r="H18" s="12"/>
      <c r="I18" s="12"/>
      <c r="J18" s="12"/>
    </row>
    <row r="19">
      <c r="A19" s="81" t="s">
        <v>37</v>
      </c>
      <c r="B19" s="60"/>
      <c r="C19" s="81"/>
      <c r="D19" s="81" t="s">
        <v>75</v>
      </c>
      <c r="E19" s="91">
        <v>9.07185</v>
      </c>
      <c r="F19" s="81" t="s">
        <v>71</v>
      </c>
      <c r="G19" s="95" t="str">
        <f t="shared" si="4"/>
        <v>Link</v>
      </c>
      <c r="H19" s="12"/>
      <c r="I19" s="12"/>
      <c r="J19" s="12"/>
    </row>
    <row r="20">
      <c r="A20" s="81" t="s">
        <v>37</v>
      </c>
      <c r="B20" s="60"/>
      <c r="C20" s="81"/>
      <c r="D20" s="81" t="s">
        <v>76</v>
      </c>
      <c r="E20" s="91" t="str">
        <f t="shared" ref="E20:E21" si="5">I20*(0.3048)^2</f>
        <v>19.32383232</v>
      </c>
      <c r="F20" s="81" t="s">
        <v>71</v>
      </c>
      <c r="G20" s="95" t="str">
        <f t="shared" ref="G20:G21" si="6">HYPERLINK("http://www.greenspec.co.uk/building-design/embodied-energy/","Link")</f>
        <v>Link</v>
      </c>
      <c r="H20" s="87"/>
      <c r="I20" s="87">
        <v>208.0</v>
      </c>
      <c r="J20" s="87"/>
    </row>
    <row r="21">
      <c r="A21" s="81" t="s">
        <v>37</v>
      </c>
      <c r="B21" s="60"/>
      <c r="C21" s="81"/>
      <c r="D21" s="81" t="s">
        <v>82</v>
      </c>
      <c r="E21" s="91" t="str">
        <f t="shared" si="5"/>
        <v>6.22450368</v>
      </c>
      <c r="F21" s="81" t="s">
        <v>71</v>
      </c>
      <c r="G21" s="95" t="str">
        <f t="shared" si="6"/>
        <v>Link</v>
      </c>
      <c r="H21" s="87"/>
      <c r="I21" s="87">
        <v>67.0</v>
      </c>
      <c r="J21" s="87"/>
    </row>
    <row r="22">
      <c r="A22" s="109"/>
      <c r="B22" s="60"/>
      <c r="C22" s="111" t="s">
        <v>85</v>
      </c>
      <c r="D22" s="109"/>
      <c r="E22" s="113">
        <v>72.0</v>
      </c>
      <c r="F22" s="111" t="s">
        <v>87</v>
      </c>
      <c r="G22" s="115" t="str">
        <f>HYPERLINK("https://docs.google.com/document/d/1borDjlx5gwQYh4jZDGVTh__oA8dEXnnjsk8UcU-rgpE/edit","Link")</f>
        <v>Link</v>
      </c>
      <c r="H22" s="87"/>
      <c r="I22" s="87" t="s">
        <v>18</v>
      </c>
      <c r="J22" s="12"/>
    </row>
    <row r="23">
      <c r="A23" s="116"/>
      <c r="B23" s="117" t="s">
        <v>89</v>
      </c>
      <c r="C23" s="116"/>
      <c r="D23" s="116"/>
      <c r="E23" s="118"/>
      <c r="F23" s="117"/>
      <c r="G23" s="117"/>
      <c r="H23" s="119"/>
      <c r="I23" s="119"/>
      <c r="J23" s="12"/>
    </row>
    <row r="24">
      <c r="A24" s="120"/>
      <c r="B24" s="116"/>
      <c r="C24" s="120" t="s">
        <v>89</v>
      </c>
      <c r="D24" s="120"/>
      <c r="E24" s="121"/>
      <c r="F24" s="120"/>
      <c r="G24" s="121"/>
      <c r="H24" s="123" t="s">
        <v>18</v>
      </c>
      <c r="I24" s="119" t="s">
        <v>94</v>
      </c>
      <c r="J24" s="87" t="s">
        <v>95</v>
      </c>
      <c r="K24" s="124"/>
    </row>
    <row r="25">
      <c r="A25" s="120" t="s">
        <v>26</v>
      </c>
      <c r="B25" s="116"/>
      <c r="C25" s="120"/>
      <c r="D25" s="120" t="s">
        <v>97</v>
      </c>
      <c r="E25" s="121" t="str">
        <f t="shared" ref="E25:E29" si="7">((J25/100)*I25*H25* 30.48)/1000</f>
        <v>0.02672236708</v>
      </c>
      <c r="F25" s="120" t="s">
        <v>100</v>
      </c>
      <c r="G25" s="120" t="s">
        <v>17</v>
      </c>
      <c r="H25" s="128">
        <v>3.02</v>
      </c>
      <c r="I25" s="87">
        <v>8.96</v>
      </c>
      <c r="J25" s="129">
        <v>3.24</v>
      </c>
      <c r="K25" s="131"/>
    </row>
    <row r="26">
      <c r="A26" s="120" t="s">
        <v>26</v>
      </c>
      <c r="B26" s="116"/>
      <c r="C26" s="121"/>
      <c r="D26" s="120" t="s">
        <v>105</v>
      </c>
      <c r="E26" s="121" t="str">
        <f t="shared" si="7"/>
        <v>0.04519709</v>
      </c>
      <c r="F26" s="120" t="s">
        <v>100</v>
      </c>
      <c r="G26" s="120" t="s">
        <v>17</v>
      </c>
      <c r="H26" s="128">
        <v>3.02</v>
      </c>
      <c r="I26" s="87">
        <v>8.96</v>
      </c>
      <c r="J26" s="129">
        <v>5.48</v>
      </c>
      <c r="K26" s="131"/>
    </row>
    <row r="27">
      <c r="A27" s="120" t="s">
        <v>26</v>
      </c>
      <c r="B27" s="116"/>
      <c r="C27" s="121"/>
      <c r="D27" s="120" t="s">
        <v>107</v>
      </c>
      <c r="E27" s="121" t="str">
        <f t="shared" si="7"/>
        <v>0.06845544653</v>
      </c>
      <c r="F27" s="120" t="s">
        <v>100</v>
      </c>
      <c r="G27" s="120" t="s">
        <v>17</v>
      </c>
      <c r="H27" s="128">
        <v>3.02</v>
      </c>
      <c r="I27" s="87">
        <v>8.96</v>
      </c>
      <c r="J27" s="129">
        <v>8.3</v>
      </c>
      <c r="K27" s="131"/>
    </row>
    <row r="28">
      <c r="A28" s="120" t="s">
        <v>26</v>
      </c>
      <c r="B28" s="116"/>
      <c r="C28" s="121"/>
      <c r="D28" s="120" t="s">
        <v>110</v>
      </c>
      <c r="E28" s="121" t="str">
        <f t="shared" si="7"/>
        <v>0.1072193741</v>
      </c>
      <c r="F28" s="120" t="s">
        <v>100</v>
      </c>
      <c r="G28" s="120" t="s">
        <v>17</v>
      </c>
      <c r="H28" s="128">
        <v>3.02</v>
      </c>
      <c r="I28" s="87">
        <v>8.96</v>
      </c>
      <c r="J28" s="129">
        <v>13.0</v>
      </c>
      <c r="K28" s="131"/>
    </row>
    <row r="29">
      <c r="A29" s="120" t="s">
        <v>26</v>
      </c>
      <c r="B29" s="116"/>
      <c r="C29" s="121"/>
      <c r="D29" s="120" t="s">
        <v>112</v>
      </c>
      <c r="E29" s="121" t="str">
        <f t="shared" si="7"/>
        <v>0.1542309458</v>
      </c>
      <c r="F29" s="120" t="s">
        <v>100</v>
      </c>
      <c r="G29" s="120" t="s">
        <v>17</v>
      </c>
      <c r="H29" s="128">
        <v>3.02</v>
      </c>
      <c r="I29" s="87">
        <v>8.96</v>
      </c>
      <c r="J29" s="129">
        <v>18.7</v>
      </c>
      <c r="K29" s="131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</row>
  </sheetData>
  <hyperlinks>
    <hyperlink r:id="rId1" ref="G3"/>
    <hyperlink r:id="rId2" ref="G4"/>
    <hyperlink r:id="rId3" ref="G5"/>
    <hyperlink r:id="rId4" ref="G8"/>
    <hyperlink r:id="rId5" ref="G9"/>
    <hyperlink r:id="rId6" ref="G10"/>
    <hyperlink r:id="rId7" location="v=onepage&amp;q=lithium%20ion%20battery%20manufacturing%20carbon%20footprint&amp;f=false" ref="G13"/>
    <hyperlink r:id="rId8" ref="G14"/>
    <hyperlink r:id="rId9" ref="G15"/>
    <hyperlink r:id="rId10" ref="G17"/>
    <hyperlink r:id="rId11" ref="G18"/>
    <hyperlink r:id="rId12" ref="G19"/>
    <hyperlink r:id="rId13" ref="G20"/>
    <hyperlink r:id="rId14" ref="G21"/>
    <hyperlink r:id="rId15" ref="G22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22.86"/>
    <col customWidth="1" min="3" max="3" width="22.43"/>
    <col customWidth="1" min="4" max="4" width="42.0"/>
    <col hidden="1" min="8" max="10"/>
    <col customWidth="1" hidden="1" min="11" max="11" width="14.14"/>
    <col hidden="1" min="12" max="1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5"/>
      <c r="B2" s="5" t="s">
        <v>9</v>
      </c>
      <c r="C2" s="7"/>
      <c r="D2" s="7"/>
      <c r="E2" s="9"/>
      <c r="F2" s="7"/>
      <c r="G2" s="7"/>
    </row>
    <row r="3">
      <c r="A3" s="11"/>
      <c r="B3" s="5"/>
      <c r="C3" s="11" t="s">
        <v>10</v>
      </c>
      <c r="D3" s="11"/>
      <c r="E3" s="13"/>
      <c r="F3" s="11"/>
      <c r="G3" s="15"/>
    </row>
    <row r="4">
      <c r="A4" s="11" t="s">
        <v>11</v>
      </c>
      <c r="B4" s="5"/>
      <c r="C4" s="11"/>
      <c r="D4" s="11" t="s">
        <v>12</v>
      </c>
      <c r="E4" s="13">
        <v>24.51</v>
      </c>
      <c r="F4" s="11" t="s">
        <v>14</v>
      </c>
      <c r="G4" s="22" t="str">
        <f t="shared" ref="G4:G7" si="1">HYPERLINK("https://docs.google.com/document/d/1m7U5Pcf8oWac3FYfkQYLG2zUZjZpG3vAvzM8mR_jOHc/edit?usp=sharing","Link")</f>
        <v>Link</v>
      </c>
    </row>
    <row r="5">
      <c r="A5" s="11" t="s">
        <v>11</v>
      </c>
      <c r="B5" s="5"/>
      <c r="C5" s="11"/>
      <c r="D5" s="11" t="s">
        <v>27</v>
      </c>
      <c r="E5" s="13">
        <v>12.26</v>
      </c>
      <c r="F5" s="11" t="s">
        <v>14</v>
      </c>
      <c r="G5" s="22" t="str">
        <f t="shared" si="1"/>
        <v>Link</v>
      </c>
    </row>
    <row r="6">
      <c r="A6" s="11" t="s">
        <v>11</v>
      </c>
      <c r="B6" s="5"/>
      <c r="C6" s="11"/>
      <c r="D6" s="11" t="s">
        <v>29</v>
      </c>
      <c r="E6" s="13">
        <v>8.75</v>
      </c>
      <c r="F6" s="11" t="s">
        <v>14</v>
      </c>
      <c r="G6" s="22" t="str">
        <f t="shared" si="1"/>
        <v>Link</v>
      </c>
    </row>
    <row r="7">
      <c r="A7" s="11" t="s">
        <v>11</v>
      </c>
      <c r="B7" s="5"/>
      <c r="C7" s="11"/>
      <c r="D7" s="11" t="s">
        <v>30</v>
      </c>
      <c r="E7" s="13">
        <v>6.13</v>
      </c>
      <c r="F7" s="11" t="s">
        <v>14</v>
      </c>
      <c r="G7" s="22" t="str">
        <f t="shared" si="1"/>
        <v>Link</v>
      </c>
    </row>
    <row r="8">
      <c r="A8" s="28"/>
      <c r="B8" s="5"/>
      <c r="C8" s="28" t="s">
        <v>32</v>
      </c>
      <c r="D8" s="28"/>
      <c r="E8" s="31"/>
      <c r="F8" s="28"/>
      <c r="G8" s="33"/>
    </row>
    <row r="9">
      <c r="A9" s="28" t="s">
        <v>11</v>
      </c>
      <c r="B9" s="5"/>
      <c r="C9" s="28"/>
      <c r="D9" s="28" t="s">
        <v>12</v>
      </c>
      <c r="E9" s="31">
        <v>24.51</v>
      </c>
      <c r="F9" s="28" t="s">
        <v>14</v>
      </c>
      <c r="G9" s="37" t="str">
        <f t="shared" ref="G9:G12" si="2">HYPERLINK("https://docs.google.com/document/d/1m7U5Pcf8oWac3FYfkQYLG2zUZjZpG3vAvzM8mR_jOHc/edit?usp=sharing","Link")</f>
        <v>Link</v>
      </c>
    </row>
    <row r="10">
      <c r="A10" s="28" t="s">
        <v>11</v>
      </c>
      <c r="B10" s="5"/>
      <c r="C10" s="28"/>
      <c r="D10" s="28" t="s">
        <v>27</v>
      </c>
      <c r="E10" s="31">
        <v>12.26</v>
      </c>
      <c r="F10" s="28" t="s">
        <v>14</v>
      </c>
      <c r="G10" s="37" t="str">
        <f t="shared" si="2"/>
        <v>Link</v>
      </c>
    </row>
    <row r="11">
      <c r="A11" s="28" t="s">
        <v>11</v>
      </c>
      <c r="B11" s="5"/>
      <c r="C11" s="28"/>
      <c r="D11" s="28" t="s">
        <v>29</v>
      </c>
      <c r="E11" s="31">
        <v>8.75</v>
      </c>
      <c r="F11" s="28" t="s">
        <v>14</v>
      </c>
      <c r="G11" s="37" t="str">
        <f t="shared" si="2"/>
        <v>Link</v>
      </c>
    </row>
    <row r="12">
      <c r="A12" s="28" t="s">
        <v>11</v>
      </c>
      <c r="B12" s="5"/>
      <c r="C12" s="28"/>
      <c r="D12" s="28" t="s">
        <v>30</v>
      </c>
      <c r="E12" s="31">
        <v>6.13</v>
      </c>
      <c r="F12" s="28" t="s">
        <v>14</v>
      </c>
      <c r="G12" s="37" t="str">
        <f t="shared" si="2"/>
        <v>Link</v>
      </c>
    </row>
    <row r="13">
      <c r="A13" s="43"/>
      <c r="B13" s="5"/>
      <c r="C13" s="43" t="s">
        <v>39</v>
      </c>
      <c r="D13" s="43"/>
      <c r="E13" s="45"/>
      <c r="F13" s="43"/>
      <c r="G13" s="49"/>
    </row>
    <row r="14">
      <c r="A14" s="43" t="s">
        <v>11</v>
      </c>
      <c r="B14" s="5"/>
      <c r="C14" s="43"/>
      <c r="D14" s="43" t="s">
        <v>12</v>
      </c>
      <c r="E14" s="45">
        <v>24.51</v>
      </c>
      <c r="F14" s="43" t="s">
        <v>14</v>
      </c>
      <c r="G14" s="53" t="str">
        <f t="shared" ref="G14:G17" si="3">HYPERLINK("https://docs.google.com/document/d/1m7U5Pcf8oWac3FYfkQYLG2zUZjZpG3vAvzM8mR_jOHc/edit?usp=sharing","Link")</f>
        <v>Link</v>
      </c>
    </row>
    <row r="15">
      <c r="A15" s="43" t="s">
        <v>11</v>
      </c>
      <c r="B15" s="5"/>
      <c r="C15" s="43"/>
      <c r="D15" s="43" t="s">
        <v>27</v>
      </c>
      <c r="E15" s="45">
        <v>12.26</v>
      </c>
      <c r="F15" s="43" t="s">
        <v>14</v>
      </c>
      <c r="G15" s="53" t="str">
        <f t="shared" si="3"/>
        <v>Link</v>
      </c>
    </row>
    <row r="16">
      <c r="A16" s="43" t="s">
        <v>11</v>
      </c>
      <c r="B16" s="5"/>
      <c r="C16" s="43"/>
      <c r="D16" s="43" t="s">
        <v>29</v>
      </c>
      <c r="E16" s="45">
        <v>8.75</v>
      </c>
      <c r="F16" s="43" t="s">
        <v>14</v>
      </c>
      <c r="G16" s="53" t="str">
        <f t="shared" si="3"/>
        <v>Link</v>
      </c>
    </row>
    <row r="17">
      <c r="A17" s="43" t="s">
        <v>11</v>
      </c>
      <c r="B17" s="5"/>
      <c r="C17" s="43"/>
      <c r="D17" s="43" t="s">
        <v>30</v>
      </c>
      <c r="E17" s="45">
        <v>6.13</v>
      </c>
      <c r="F17" s="43" t="s">
        <v>14</v>
      </c>
      <c r="G17" s="53" t="str">
        <f t="shared" si="3"/>
        <v>Link</v>
      </c>
    </row>
    <row r="18">
      <c r="A18" s="58"/>
      <c r="B18" s="5"/>
      <c r="C18" s="58" t="s">
        <v>47</v>
      </c>
      <c r="D18" s="47"/>
      <c r="E18" s="47"/>
      <c r="F18" s="47"/>
      <c r="G18" s="47"/>
    </row>
    <row r="19">
      <c r="A19" s="47" t="s">
        <v>37</v>
      </c>
      <c r="B19" s="5"/>
      <c r="C19" s="47"/>
      <c r="D19" s="58" t="s">
        <v>49</v>
      </c>
      <c r="E19" s="61">
        <v>400.0</v>
      </c>
      <c r="F19" s="58" t="s">
        <v>14</v>
      </c>
      <c r="G19" s="66" t="str">
        <f>HYPERLINK("https://docs.google.com/document/d/19lzgfimz3eLBtu9IzLPnfV2y8V-t168hjO6sSjfI_80/edit?usp=sharing","Link")</f>
        <v>Link</v>
      </c>
    </row>
    <row r="20">
      <c r="A20" s="68"/>
      <c r="B20" s="68" t="s">
        <v>55</v>
      </c>
      <c r="C20" s="70"/>
      <c r="D20" s="70"/>
      <c r="E20" s="71"/>
      <c r="F20" s="70"/>
      <c r="G20" s="70"/>
    </row>
    <row r="21">
      <c r="A21" s="68"/>
      <c r="B21" s="68"/>
      <c r="C21" s="68" t="s">
        <v>55</v>
      </c>
      <c r="D21" s="72"/>
      <c r="E21" s="74"/>
      <c r="F21" s="68"/>
      <c r="G21" s="75"/>
    </row>
    <row r="22">
      <c r="A22" s="76" t="s">
        <v>11</v>
      </c>
      <c r="B22" s="68"/>
      <c r="C22" s="68"/>
      <c r="D22" s="76" t="s">
        <v>59</v>
      </c>
      <c r="E22" s="77">
        <v>96.25</v>
      </c>
      <c r="F22" s="78" t="s">
        <v>14</v>
      </c>
      <c r="G22" s="80" t="s">
        <v>61</v>
      </c>
    </row>
    <row r="23">
      <c r="A23" s="82" t="s">
        <v>37</v>
      </c>
      <c r="B23" s="68"/>
      <c r="C23" s="68"/>
      <c r="D23" s="82" t="s">
        <v>65</v>
      </c>
      <c r="E23" s="84">
        <v>1100.0</v>
      </c>
      <c r="F23" s="86" t="s">
        <v>14</v>
      </c>
      <c r="G23" s="88" t="str">
        <f t="shared" ref="G23:G24" si="4">HYPERLINK("https://docs.google.com/document/d/19lzgfimz3eLBtu9IzLPnfV2y8V-t168hjO6sSjfI_80/edit?usp=sharing","Link")</f>
        <v>Link</v>
      </c>
    </row>
    <row r="24">
      <c r="A24" s="90" t="s">
        <v>37</v>
      </c>
      <c r="B24" s="68"/>
      <c r="C24" s="70"/>
      <c r="D24" s="90" t="s">
        <v>70</v>
      </c>
      <c r="E24" s="92">
        <v>631.97</v>
      </c>
      <c r="F24" s="90" t="s">
        <v>14</v>
      </c>
      <c r="G24" s="94" t="str">
        <f t="shared" si="4"/>
        <v>Link</v>
      </c>
    </row>
    <row r="25">
      <c r="A25" s="86" t="s">
        <v>37</v>
      </c>
      <c r="B25" s="68"/>
      <c r="C25" s="70"/>
      <c r="D25" s="86" t="s">
        <v>72</v>
      </c>
      <c r="E25" s="96">
        <v>11916.0</v>
      </c>
      <c r="F25" s="86" t="s">
        <v>14</v>
      </c>
      <c r="G25" s="88" t="str">
        <f t="shared" ref="G25:G26" si="5">HYPERLINK("https://drive.google.com/file/d/0B--O_p54KxzvMXgtUlFVdnpzYkk/view?usp=sharing","Link")</f>
        <v>Link</v>
      </c>
    </row>
    <row r="26">
      <c r="A26" s="78" t="s">
        <v>37</v>
      </c>
      <c r="B26" s="68"/>
      <c r="C26" s="70"/>
      <c r="D26" s="78" t="s">
        <v>74</v>
      </c>
      <c r="E26" s="98">
        <v>9792.0</v>
      </c>
      <c r="F26" s="78" t="s">
        <v>14</v>
      </c>
      <c r="G26" s="101" t="str">
        <f t="shared" si="5"/>
        <v>Link</v>
      </c>
    </row>
    <row r="27">
      <c r="A27" s="102"/>
      <c r="B27" s="104" t="s">
        <v>77</v>
      </c>
      <c r="C27" s="105"/>
      <c r="D27" s="104"/>
      <c r="E27" s="106"/>
      <c r="F27" s="105"/>
      <c r="G27" s="105"/>
      <c r="H27" s="16" t="s">
        <v>78</v>
      </c>
      <c r="I27" s="16" t="s">
        <v>79</v>
      </c>
      <c r="J27" s="16" t="s">
        <v>80</v>
      </c>
      <c r="K27" s="107" t="s">
        <v>81</v>
      </c>
      <c r="L27" s="16" t="s">
        <v>83</v>
      </c>
      <c r="M27" s="16"/>
    </row>
    <row r="28">
      <c r="A28" s="102" t="s">
        <v>26</v>
      </c>
      <c r="B28" s="105"/>
      <c r="C28" s="104" t="s">
        <v>77</v>
      </c>
      <c r="D28" s="102" t="s">
        <v>84</v>
      </c>
      <c r="E28" s="112" t="str">
        <f t="shared" ref="E28:E47" si="6">H28*K28*L28*12</f>
        <v>0.4887363403</v>
      </c>
      <c r="F28" s="102" t="s">
        <v>86</v>
      </c>
      <c r="G28" s="102" t="s">
        <v>17</v>
      </c>
      <c r="H28" s="114">
        <v>3.1</v>
      </c>
      <c r="I28" s="16">
        <v>1.32</v>
      </c>
      <c r="J28" s="16">
        <v>1.0</v>
      </c>
      <c r="K28" s="16" t="str">
        <f t="shared" ref="K28:K33" si="7">1.375*(2.54^3)/1000</f>
        <v>0.022532213</v>
      </c>
      <c r="L28" t="str">
        <f t="shared" ref="L28:L47" si="8">PI()*((I28/2)^2 - (J28/2)^2)</f>
        <v>0.5830795965</v>
      </c>
    </row>
    <row r="29">
      <c r="A29" s="102" t="s">
        <v>26</v>
      </c>
      <c r="B29" s="105"/>
      <c r="C29" s="105"/>
      <c r="D29" s="102" t="s">
        <v>88</v>
      </c>
      <c r="E29" s="112" t="str">
        <f t="shared" si="6"/>
        <v>0.8953144165</v>
      </c>
      <c r="F29" s="102" t="s">
        <v>86</v>
      </c>
      <c r="G29" s="102" t="s">
        <v>17</v>
      </c>
      <c r="H29" s="114">
        <v>3.1</v>
      </c>
      <c r="I29" s="16">
        <v>1.9</v>
      </c>
      <c r="J29" s="16">
        <v>1.5</v>
      </c>
      <c r="K29" s="16" t="str">
        <f t="shared" si="7"/>
        <v>0.022532213</v>
      </c>
      <c r="L29" t="str">
        <f t="shared" si="8"/>
        <v>1.068141502</v>
      </c>
    </row>
    <row r="30">
      <c r="A30" s="102" t="s">
        <v>26</v>
      </c>
      <c r="B30" s="105"/>
      <c r="C30" s="105"/>
      <c r="D30" s="102" t="s">
        <v>90</v>
      </c>
      <c r="E30" s="112" t="str">
        <f t="shared" si="6"/>
        <v>1.095706849</v>
      </c>
      <c r="F30" s="102" t="s">
        <v>86</v>
      </c>
      <c r="G30" s="102" t="s">
        <v>17</v>
      </c>
      <c r="H30" s="114">
        <v>3.1</v>
      </c>
      <c r="I30" s="16">
        <v>2.38</v>
      </c>
      <c r="J30" s="16">
        <v>2.0</v>
      </c>
      <c r="K30" s="16" t="str">
        <f t="shared" si="7"/>
        <v>0.022532213</v>
      </c>
      <c r="L30" t="str">
        <f t="shared" si="8"/>
        <v>1.307216703</v>
      </c>
    </row>
    <row r="31">
      <c r="A31" s="102" t="s">
        <v>26</v>
      </c>
      <c r="B31" s="105"/>
      <c r="C31" s="105"/>
      <c r="D31" s="102" t="s">
        <v>91</v>
      </c>
      <c r="E31" s="112" t="str">
        <f t="shared" si="6"/>
        <v>1.34586823</v>
      </c>
      <c r="F31" s="102" t="s">
        <v>86</v>
      </c>
      <c r="G31" s="102" t="s">
        <v>17</v>
      </c>
      <c r="H31" s="114">
        <v>3.1</v>
      </c>
      <c r="I31" s="16">
        <v>2.88</v>
      </c>
      <c r="J31" s="16">
        <v>2.5</v>
      </c>
      <c r="K31" s="16" t="str">
        <f t="shared" si="7"/>
        <v>0.022532213</v>
      </c>
      <c r="L31" t="str">
        <f t="shared" si="8"/>
        <v>1.605668005</v>
      </c>
    </row>
    <row r="32">
      <c r="A32" s="102" t="s">
        <v>26</v>
      </c>
      <c r="B32" s="105"/>
      <c r="C32" s="105"/>
      <c r="D32" s="102" t="s">
        <v>92</v>
      </c>
      <c r="E32" s="112" t="str">
        <f t="shared" si="6"/>
        <v>2.139538128</v>
      </c>
      <c r="F32" s="102" t="s">
        <v>86</v>
      </c>
      <c r="G32" s="102" t="s">
        <v>17</v>
      </c>
      <c r="H32" s="114">
        <v>3.1</v>
      </c>
      <c r="I32" s="16">
        <v>3.5</v>
      </c>
      <c r="J32" s="16">
        <v>3.0</v>
      </c>
      <c r="K32" s="16" t="str">
        <f t="shared" si="7"/>
        <v>0.022532213</v>
      </c>
      <c r="L32" t="str">
        <f t="shared" si="8"/>
        <v>2.552544031</v>
      </c>
    </row>
    <row r="33">
      <c r="A33" s="122" t="s">
        <v>26</v>
      </c>
      <c r="B33" s="105"/>
      <c r="C33" s="105"/>
      <c r="D33" s="102" t="s">
        <v>93</v>
      </c>
      <c r="E33" s="112" t="str">
        <f t="shared" si="6"/>
        <v>2.797857552</v>
      </c>
      <c r="F33" s="102" t="s">
        <v>86</v>
      </c>
      <c r="G33" s="102" t="s">
        <v>17</v>
      </c>
      <c r="H33" s="114">
        <v>3.1</v>
      </c>
      <c r="I33" s="16">
        <v>4.5</v>
      </c>
      <c r="J33" s="16">
        <v>4.0</v>
      </c>
      <c r="K33" s="16" t="str">
        <f t="shared" si="7"/>
        <v>0.022532213</v>
      </c>
      <c r="L33" t="str">
        <f t="shared" si="8"/>
        <v>3.337942194</v>
      </c>
    </row>
    <row r="34">
      <c r="A34" s="122" t="s">
        <v>26</v>
      </c>
      <c r="B34" s="105"/>
      <c r="C34" s="105"/>
      <c r="D34" s="122" t="s">
        <v>96</v>
      </c>
      <c r="E34" s="125" t="str">
        <f t="shared" si="6"/>
        <v>0.7745100516</v>
      </c>
      <c r="F34" s="122" t="s">
        <v>86</v>
      </c>
      <c r="G34" s="102" t="s">
        <v>17</v>
      </c>
      <c r="H34" s="114">
        <v>3.81</v>
      </c>
      <c r="I34" s="16">
        <v>0.63</v>
      </c>
      <c r="J34" s="16">
        <v>0.5</v>
      </c>
      <c r="K34" s="16" t="str">
        <f t="shared" ref="K34:K41" si="9">8.96*(2.54^3)/1000</f>
        <v>0.1468280934</v>
      </c>
      <c r="L34" t="str">
        <f t="shared" si="8"/>
        <v>0.1153749902</v>
      </c>
    </row>
    <row r="35">
      <c r="A35" s="122" t="s">
        <v>26</v>
      </c>
      <c r="B35" s="105"/>
      <c r="C35" s="105"/>
      <c r="D35" s="122" t="s">
        <v>98</v>
      </c>
      <c r="E35" s="125" t="str">
        <f t="shared" si="6"/>
        <v>1.117213614</v>
      </c>
      <c r="F35" s="122" t="s">
        <v>86</v>
      </c>
      <c r="G35" s="102" t="s">
        <v>17</v>
      </c>
      <c r="H35" s="114">
        <v>3.81</v>
      </c>
      <c r="I35" s="16">
        <v>0.88</v>
      </c>
      <c r="J35" s="16">
        <v>0.75</v>
      </c>
      <c r="K35" s="16" t="str">
        <f t="shared" si="9"/>
        <v>0.1468280934</v>
      </c>
      <c r="L35" t="str">
        <f t="shared" si="8"/>
        <v>0.1664258708</v>
      </c>
    </row>
    <row r="36">
      <c r="A36" s="122" t="s">
        <v>26</v>
      </c>
      <c r="B36" s="105"/>
      <c r="C36" s="105"/>
      <c r="D36" s="122" t="s">
        <v>101</v>
      </c>
      <c r="E36" s="125" t="str">
        <f t="shared" si="6"/>
        <v>1.459917177</v>
      </c>
      <c r="F36" s="122" t="s">
        <v>86</v>
      </c>
      <c r="G36" s="102" t="s">
        <v>17</v>
      </c>
      <c r="H36" s="114">
        <v>3.81</v>
      </c>
      <c r="I36" s="16">
        <v>1.13</v>
      </c>
      <c r="J36" s="16">
        <v>1.0</v>
      </c>
      <c r="K36" s="16" t="str">
        <f t="shared" si="9"/>
        <v>0.1468280934</v>
      </c>
      <c r="L36" t="str">
        <f t="shared" si="8"/>
        <v>0.2174767514</v>
      </c>
    </row>
    <row r="37">
      <c r="A37" s="122" t="s">
        <v>26</v>
      </c>
      <c r="B37" s="105"/>
      <c r="C37" s="105"/>
      <c r="D37" s="122" t="s">
        <v>102</v>
      </c>
      <c r="E37" s="125" t="str">
        <f t="shared" si="6"/>
        <v>1.80262074</v>
      </c>
      <c r="F37" s="122" t="s">
        <v>86</v>
      </c>
      <c r="G37" s="102" t="s">
        <v>17</v>
      </c>
      <c r="H37" s="114">
        <v>3.81</v>
      </c>
      <c r="I37" s="16">
        <v>1.38</v>
      </c>
      <c r="J37" s="16">
        <v>1.25</v>
      </c>
      <c r="K37" s="16" t="str">
        <f t="shared" si="9"/>
        <v>0.1468280934</v>
      </c>
      <c r="L37" t="str">
        <f t="shared" si="8"/>
        <v>0.2685276321</v>
      </c>
    </row>
    <row r="38">
      <c r="A38" s="122" t="s">
        <v>26</v>
      </c>
      <c r="B38" s="105"/>
      <c r="C38" s="105"/>
      <c r="D38" s="122" t="s">
        <v>103</v>
      </c>
      <c r="E38" s="125" t="str">
        <f t="shared" si="6"/>
        <v>2.145324302</v>
      </c>
      <c r="F38" s="122" t="s">
        <v>86</v>
      </c>
      <c r="G38" s="102" t="s">
        <v>17</v>
      </c>
      <c r="H38" s="114">
        <v>3.81</v>
      </c>
      <c r="I38" s="16">
        <v>1.63</v>
      </c>
      <c r="J38" s="16">
        <v>1.5</v>
      </c>
      <c r="K38" s="16" t="str">
        <f t="shared" si="9"/>
        <v>0.1468280934</v>
      </c>
      <c r="L38" t="str">
        <f t="shared" si="8"/>
        <v>0.3195785127</v>
      </c>
    </row>
    <row r="39">
      <c r="A39" s="122" t="s">
        <v>26</v>
      </c>
      <c r="B39" s="105"/>
      <c r="C39" s="105"/>
      <c r="D39" s="122" t="s">
        <v>104</v>
      </c>
      <c r="E39" s="125" t="str">
        <f t="shared" si="6"/>
        <v>2.830731427</v>
      </c>
      <c r="F39" s="122" t="s">
        <v>86</v>
      </c>
      <c r="G39" s="102" t="s">
        <v>17</v>
      </c>
      <c r="H39" s="114">
        <v>3.81</v>
      </c>
      <c r="I39" s="16">
        <v>2.13</v>
      </c>
      <c r="J39" s="16">
        <v>2.0</v>
      </c>
      <c r="K39" s="16" t="str">
        <f t="shared" si="9"/>
        <v>0.1468280934</v>
      </c>
      <c r="L39" t="str">
        <f t="shared" si="8"/>
        <v>0.4216802739</v>
      </c>
    </row>
    <row r="40">
      <c r="A40" s="122" t="s">
        <v>26</v>
      </c>
      <c r="B40" s="105"/>
      <c r="C40" s="105"/>
      <c r="D40" s="122" t="s">
        <v>106</v>
      </c>
      <c r="E40" s="125" t="str">
        <f t="shared" si="6"/>
        <v>3.516138553</v>
      </c>
      <c r="F40" s="122" t="s">
        <v>86</v>
      </c>
      <c r="G40" s="102" t="s">
        <v>17</v>
      </c>
      <c r="H40" s="114">
        <v>3.81</v>
      </c>
      <c r="I40" s="16">
        <v>2.63</v>
      </c>
      <c r="J40" s="16">
        <v>2.5</v>
      </c>
      <c r="K40" s="16" t="str">
        <f t="shared" si="9"/>
        <v>0.1468280934</v>
      </c>
      <c r="L40" t="str">
        <f t="shared" si="8"/>
        <v>0.5237820352</v>
      </c>
    </row>
    <row r="41">
      <c r="A41" s="134" t="s">
        <v>26</v>
      </c>
      <c r="B41" s="105"/>
      <c r="C41" s="105"/>
      <c r="D41" s="122" t="s">
        <v>108</v>
      </c>
      <c r="E41" s="125" t="str">
        <f t="shared" si="6"/>
        <v>4.201545678</v>
      </c>
      <c r="F41" s="122" t="s">
        <v>86</v>
      </c>
      <c r="G41" s="102" t="s">
        <v>17</v>
      </c>
      <c r="H41" s="114">
        <v>3.81</v>
      </c>
      <c r="I41" s="16">
        <v>3.13</v>
      </c>
      <c r="J41" s="16">
        <v>3.0</v>
      </c>
      <c r="K41" s="16" t="str">
        <f t="shared" si="9"/>
        <v>0.1468280934</v>
      </c>
      <c r="L41" t="str">
        <f t="shared" si="8"/>
        <v>0.6258837964</v>
      </c>
    </row>
    <row r="42">
      <c r="A42" s="134" t="s">
        <v>26</v>
      </c>
      <c r="B42" s="105"/>
      <c r="C42" s="105"/>
      <c r="D42" s="134" t="s">
        <v>109</v>
      </c>
      <c r="E42" s="135" t="str">
        <f t="shared" si="6"/>
        <v>0.1529138952</v>
      </c>
      <c r="F42" s="134" t="s">
        <v>86</v>
      </c>
      <c r="G42" s="102" t="s">
        <v>17</v>
      </c>
      <c r="H42" s="114">
        <v>1.93</v>
      </c>
      <c r="I42" s="136">
        <v>1.05</v>
      </c>
      <c r="J42" s="16">
        <v>0.75</v>
      </c>
      <c r="K42" s="16" t="str">
        <f t="shared" ref="K42:K47" si="10">0.95*(2.54^3)/1000</f>
        <v>0.0155677108</v>
      </c>
      <c r="L42" t="str">
        <f t="shared" si="8"/>
        <v>0.4241150082</v>
      </c>
    </row>
    <row r="43">
      <c r="A43" s="134" t="s">
        <v>26</v>
      </c>
      <c r="B43" s="105"/>
      <c r="C43" s="105"/>
      <c r="D43" s="134" t="s">
        <v>111</v>
      </c>
      <c r="E43" s="135" t="str">
        <f t="shared" si="6"/>
        <v>0.2102282886</v>
      </c>
      <c r="F43" s="134" t="s">
        <v>86</v>
      </c>
      <c r="G43" s="102" t="s">
        <v>17</v>
      </c>
      <c r="H43" s="114">
        <v>1.93</v>
      </c>
      <c r="I43" s="136">
        <v>1.32</v>
      </c>
      <c r="J43" s="16">
        <v>1.0</v>
      </c>
      <c r="K43" s="16" t="str">
        <f t="shared" si="10"/>
        <v>0.0155677108</v>
      </c>
      <c r="L43" t="str">
        <f t="shared" si="8"/>
        <v>0.5830795965</v>
      </c>
    </row>
    <row r="44">
      <c r="A44" s="134" t="s">
        <v>26</v>
      </c>
      <c r="B44" s="105"/>
      <c r="C44" s="105"/>
      <c r="D44" s="134" t="s">
        <v>113</v>
      </c>
      <c r="E44" s="135" t="str">
        <f t="shared" si="6"/>
        <v>0.3378547563</v>
      </c>
      <c r="F44" s="134" t="s">
        <v>86</v>
      </c>
      <c r="G44" s="102" t="s">
        <v>17</v>
      </c>
      <c r="H44" s="114">
        <v>1.93</v>
      </c>
      <c r="I44" s="136">
        <v>1.66</v>
      </c>
      <c r="J44" s="16">
        <v>1.25</v>
      </c>
      <c r="K44" s="16" t="str">
        <f t="shared" si="10"/>
        <v>0.0155677108</v>
      </c>
      <c r="L44" t="str">
        <f t="shared" si="8"/>
        <v>0.9370585487</v>
      </c>
    </row>
    <row r="45">
      <c r="A45" s="134" t="s">
        <v>26</v>
      </c>
      <c r="B45" s="105"/>
      <c r="C45" s="105"/>
      <c r="D45" s="134" t="s">
        <v>114</v>
      </c>
      <c r="E45" s="135" t="str">
        <f t="shared" si="6"/>
        <v>0.3851164769</v>
      </c>
      <c r="F45" s="134" t="s">
        <v>86</v>
      </c>
      <c r="G45" s="102" t="s">
        <v>17</v>
      </c>
      <c r="H45" s="114">
        <v>1.93</v>
      </c>
      <c r="I45" s="136">
        <v>1.9</v>
      </c>
      <c r="J45" s="16">
        <v>1.5</v>
      </c>
      <c r="K45" s="16" t="str">
        <f t="shared" si="10"/>
        <v>0.0155677108</v>
      </c>
      <c r="L45" t="str">
        <f t="shared" si="8"/>
        <v>1.068141502</v>
      </c>
    </row>
    <row r="46">
      <c r="A46" s="134" t="s">
        <v>26</v>
      </c>
      <c r="B46" s="105"/>
      <c r="C46" s="105"/>
      <c r="D46" s="134" t="s">
        <v>115</v>
      </c>
      <c r="E46" s="135" t="str">
        <f t="shared" si="6"/>
        <v>0.471314606</v>
      </c>
      <c r="F46" s="134" t="s">
        <v>86</v>
      </c>
      <c r="G46" s="102" t="s">
        <v>17</v>
      </c>
      <c r="H46" s="114">
        <v>1.93</v>
      </c>
      <c r="I46" s="136">
        <v>2.38</v>
      </c>
      <c r="J46" s="16">
        <v>2.0</v>
      </c>
      <c r="K46" s="16" t="str">
        <f t="shared" si="10"/>
        <v>0.0155677108</v>
      </c>
      <c r="L46" t="str">
        <f t="shared" si="8"/>
        <v>1.307216703</v>
      </c>
    </row>
    <row r="47">
      <c r="A47" s="139" t="s">
        <v>26</v>
      </c>
      <c r="B47" s="105"/>
      <c r="C47" s="105"/>
      <c r="D47" s="134" t="s">
        <v>116</v>
      </c>
      <c r="E47" s="135" t="str">
        <f t="shared" si="6"/>
        <v>0.9203151102</v>
      </c>
      <c r="F47" s="134" t="s">
        <v>86</v>
      </c>
      <c r="G47" s="102" t="s">
        <v>17</v>
      </c>
      <c r="H47" s="114">
        <v>1.93</v>
      </c>
      <c r="I47" s="16">
        <v>3.5</v>
      </c>
      <c r="J47" s="16">
        <v>3.0</v>
      </c>
      <c r="K47" s="16" t="str">
        <f t="shared" si="10"/>
        <v>0.0155677108</v>
      </c>
      <c r="L47" t="str">
        <f t="shared" si="8"/>
        <v>2.552544031</v>
      </c>
    </row>
    <row r="48">
      <c r="A48" s="139" t="s">
        <v>26</v>
      </c>
      <c r="B48" s="105"/>
      <c r="C48" s="105"/>
      <c r="D48" s="139" t="s">
        <v>117</v>
      </c>
      <c r="E48" s="140" t="str">
        <f t="shared" ref="E48:E55" si="11">E34*0.35</f>
        <v>0.2710785181</v>
      </c>
      <c r="F48" s="139" t="s">
        <v>86</v>
      </c>
      <c r="G48" s="141" t="str">
        <f t="shared" ref="G48:G55" si="12">HYPERLINK("www.gfps.com/appgate/ecat/common_flow/100005/.../document.html","Link")</f>
        <v>Link</v>
      </c>
    </row>
    <row r="49">
      <c r="A49" s="139" t="s">
        <v>26</v>
      </c>
      <c r="B49" s="105"/>
      <c r="C49" s="105"/>
      <c r="D49" s="139" t="s">
        <v>118</v>
      </c>
      <c r="E49" s="140" t="str">
        <f t="shared" si="11"/>
        <v>0.391024765</v>
      </c>
      <c r="F49" s="139" t="s">
        <v>86</v>
      </c>
      <c r="G49" s="141" t="str">
        <f t="shared" si="12"/>
        <v>Link</v>
      </c>
    </row>
    <row r="50">
      <c r="A50" s="139" t="s">
        <v>26</v>
      </c>
      <c r="B50" s="105"/>
      <c r="C50" s="105"/>
      <c r="D50" s="139" t="s">
        <v>119</v>
      </c>
      <c r="E50" s="140" t="str">
        <f t="shared" si="11"/>
        <v>0.5109710119</v>
      </c>
      <c r="F50" s="139" t="s">
        <v>86</v>
      </c>
      <c r="G50" s="141" t="str">
        <f t="shared" si="12"/>
        <v>Link</v>
      </c>
    </row>
    <row r="51">
      <c r="A51" s="139" t="s">
        <v>26</v>
      </c>
      <c r="B51" s="105"/>
      <c r="C51" s="105"/>
      <c r="D51" s="139" t="s">
        <v>120</v>
      </c>
      <c r="E51" s="140" t="str">
        <f t="shared" si="11"/>
        <v>0.6309172588</v>
      </c>
      <c r="F51" s="139" t="s">
        <v>86</v>
      </c>
      <c r="G51" s="141" t="str">
        <f t="shared" si="12"/>
        <v>Link</v>
      </c>
    </row>
    <row r="52">
      <c r="A52" s="139" t="s">
        <v>26</v>
      </c>
      <c r="B52" s="105"/>
      <c r="C52" s="105"/>
      <c r="D52" s="139" t="s">
        <v>121</v>
      </c>
      <c r="E52" s="140" t="str">
        <f t="shared" si="11"/>
        <v>0.7508635058</v>
      </c>
      <c r="F52" s="139" t="s">
        <v>86</v>
      </c>
      <c r="G52" s="141" t="str">
        <f t="shared" si="12"/>
        <v>Link</v>
      </c>
    </row>
    <row r="53">
      <c r="A53" s="139" t="s">
        <v>26</v>
      </c>
      <c r="B53" s="105"/>
      <c r="C53" s="105"/>
      <c r="D53" s="139" t="s">
        <v>122</v>
      </c>
      <c r="E53" s="140" t="str">
        <f t="shared" si="11"/>
        <v>0.9907559996</v>
      </c>
      <c r="F53" s="139" t="s">
        <v>86</v>
      </c>
      <c r="G53" s="141" t="str">
        <f t="shared" si="12"/>
        <v>Link</v>
      </c>
    </row>
    <row r="54">
      <c r="A54" s="139" t="s">
        <v>26</v>
      </c>
      <c r="B54" s="105"/>
      <c r="C54" s="105"/>
      <c r="D54" s="139" t="s">
        <v>123</v>
      </c>
      <c r="E54" s="140" t="str">
        <f t="shared" si="11"/>
        <v>1.230648493</v>
      </c>
      <c r="F54" s="139" t="s">
        <v>86</v>
      </c>
      <c r="G54" s="141" t="str">
        <f t="shared" si="12"/>
        <v>Link</v>
      </c>
    </row>
    <row r="55">
      <c r="A55" s="143" t="s">
        <v>26</v>
      </c>
      <c r="B55" s="105"/>
      <c r="C55" s="105"/>
      <c r="D55" s="139" t="s">
        <v>124</v>
      </c>
      <c r="E55" s="140" t="str">
        <f t="shared" si="11"/>
        <v>1.470540987</v>
      </c>
      <c r="F55" s="139" t="s">
        <v>86</v>
      </c>
      <c r="G55" s="141" t="str">
        <f t="shared" si="12"/>
        <v>Link</v>
      </c>
    </row>
    <row r="56">
      <c r="A56" s="104" t="s">
        <v>26</v>
      </c>
      <c r="B56" s="105"/>
      <c r="C56" s="105"/>
      <c r="D56" s="143" t="s">
        <v>125</v>
      </c>
      <c r="E56" s="147">
        <v>1.91</v>
      </c>
      <c r="F56" s="143" t="s">
        <v>126</v>
      </c>
      <c r="G56" s="150" t="str">
        <f>HYPERLINK("http://web.mit.edu/2.813/www/readings/ICEv2.pdf.old","ICE")</f>
        <v>ICE</v>
      </c>
      <c r="I56" s="136"/>
      <c r="J56" s="136"/>
      <c r="K56" s="136"/>
      <c r="L56" s="136"/>
      <c r="M56" s="136"/>
    </row>
    <row r="57">
      <c r="A57" s="152"/>
      <c r="B57" s="152" t="s">
        <v>128</v>
      </c>
      <c r="C57" s="154"/>
      <c r="D57" s="154"/>
      <c r="E57" s="155"/>
      <c r="F57" s="154"/>
      <c r="G57" s="154"/>
      <c r="H57" s="16" t="s">
        <v>129</v>
      </c>
      <c r="I57" s="16" t="s">
        <v>130</v>
      </c>
      <c r="J57" s="16" t="s">
        <v>131</v>
      </c>
    </row>
    <row r="58">
      <c r="A58" s="157" t="s">
        <v>11</v>
      </c>
      <c r="B58" s="152"/>
      <c r="C58" s="159" t="s">
        <v>132</v>
      </c>
      <c r="D58" s="161"/>
      <c r="E58" s="161" t="str">
        <f t="shared" ref="E58:E59" si="13">H58*0.453592</f>
        <v>-0.160571568</v>
      </c>
      <c r="F58" s="157" t="s">
        <v>135</v>
      </c>
      <c r="G58" s="168" t="str">
        <f>HYPERLINK("https://docs.google.com/document/d/1oM2NhvQyWVtTCwLZS97IH1iDFLAvXjN51WcpQlwtWLk/edit","Link")</f>
        <v>Link</v>
      </c>
      <c r="H58" s="114">
        <v>-0.354</v>
      </c>
      <c r="I58" s="16" t="s">
        <v>126</v>
      </c>
    </row>
    <row r="59">
      <c r="A59" s="169" t="s">
        <v>26</v>
      </c>
      <c r="B59" s="152"/>
      <c r="C59" s="171" t="s">
        <v>137</v>
      </c>
      <c r="D59" s="173"/>
      <c r="E59" s="173" t="str">
        <f t="shared" si="13"/>
        <v>0.010432616</v>
      </c>
      <c r="F59" s="173"/>
      <c r="G59" s="169" t="s">
        <v>140</v>
      </c>
      <c r="H59" s="114">
        <v>0.023</v>
      </c>
      <c r="I59" s="16" t="s">
        <v>18</v>
      </c>
    </row>
    <row r="60">
      <c r="A60" s="152"/>
      <c r="B60" s="152"/>
      <c r="C60" s="178" t="s">
        <v>141</v>
      </c>
      <c r="D60" s="180"/>
      <c r="E60" s="180"/>
      <c r="F60" s="180"/>
      <c r="G60" s="180"/>
      <c r="H60" s="181"/>
      <c r="I60" s="16"/>
    </row>
    <row r="61">
      <c r="A61" s="152" t="s">
        <v>26</v>
      </c>
      <c r="B61" s="152"/>
      <c r="C61" s="154"/>
      <c r="D61" s="157" t="s">
        <v>143</v>
      </c>
      <c r="E61" s="161" t="str">
        <f t="shared" ref="E61:E64" si="14">H61*0.453592</f>
        <v>0.32658624</v>
      </c>
      <c r="F61" s="157" t="s">
        <v>135</v>
      </c>
      <c r="G61" s="161"/>
      <c r="H61" s="16">
        <v>0.72</v>
      </c>
      <c r="I61" s="16" t="s">
        <v>18</v>
      </c>
    </row>
    <row r="62">
      <c r="A62" s="184" t="s">
        <v>37</v>
      </c>
      <c r="B62" s="152"/>
      <c r="C62" s="186" t="s">
        <v>145</v>
      </c>
      <c r="D62" s="187"/>
      <c r="E62" s="187" t="str">
        <f t="shared" si="14"/>
        <v>0.0023586784</v>
      </c>
      <c r="F62" s="184" t="s">
        <v>135</v>
      </c>
      <c r="G62" s="191" t="str">
        <f t="shared" ref="G62:G63" si="15">HYPERLINK("http://web.mit.edu/2.813/www/readings/ICEv2.pdf.old","Link")</f>
        <v>Link</v>
      </c>
      <c r="H62" s="114">
        <v>0.0052</v>
      </c>
      <c r="I62" s="16" t="s">
        <v>18</v>
      </c>
      <c r="J62" s="16"/>
    </row>
    <row r="63">
      <c r="A63" s="193" t="s">
        <v>37</v>
      </c>
      <c r="B63" s="152"/>
      <c r="C63" s="195" t="s">
        <v>147</v>
      </c>
      <c r="D63" s="193"/>
      <c r="E63" s="197" t="str">
        <f t="shared" si="14"/>
        <v>0.010432616</v>
      </c>
      <c r="F63" s="193" t="s">
        <v>135</v>
      </c>
      <c r="G63" s="199" t="str">
        <f t="shared" si="15"/>
        <v>Link</v>
      </c>
      <c r="H63" s="114">
        <v>0.023</v>
      </c>
      <c r="I63" s="16" t="s">
        <v>18</v>
      </c>
    </row>
    <row r="64">
      <c r="A64" s="10" t="s">
        <v>11</v>
      </c>
      <c r="B64" s="10" t="s">
        <v>150</v>
      </c>
      <c r="C64" s="10" t="s">
        <v>150</v>
      </c>
      <c r="D64" s="10" t="s">
        <v>151</v>
      </c>
      <c r="E64" s="10" t="str">
        <f t="shared" si="14"/>
        <v>2.79412672</v>
      </c>
      <c r="F64" s="10" t="s">
        <v>135</v>
      </c>
      <c r="G64" s="10" t="s">
        <v>17</v>
      </c>
      <c r="H64" s="201">
        <v>6.16</v>
      </c>
      <c r="I64" s="12"/>
      <c r="J64" s="12"/>
      <c r="K64" s="131"/>
    </row>
    <row r="65">
      <c r="A65" s="202"/>
      <c r="B65" s="202" t="s">
        <v>154</v>
      </c>
      <c r="C65" s="202"/>
      <c r="D65" s="203"/>
      <c r="E65" s="204" t="s">
        <v>155</v>
      </c>
      <c r="F65" s="205"/>
      <c r="G65" s="203"/>
      <c r="H65" s="16" t="s">
        <v>129</v>
      </c>
      <c r="I65" s="16" t="s">
        <v>130</v>
      </c>
      <c r="J65" s="16" t="s">
        <v>157</v>
      </c>
    </row>
    <row r="66">
      <c r="A66" s="207" t="s">
        <v>26</v>
      </c>
      <c r="B66" s="208"/>
      <c r="C66" s="207" t="s">
        <v>159</v>
      </c>
      <c r="D66" s="207"/>
      <c r="E66" s="209" t="str">
        <f>H66*J66*(0.3048^3)</f>
        <v>9.387034645</v>
      </c>
      <c r="F66" s="207" t="s">
        <v>161</v>
      </c>
      <c r="G66" s="207" t="s">
        <v>162</v>
      </c>
      <c r="H66" s="16">
        <v>0.65</v>
      </c>
      <c r="I66" s="211" t="s">
        <v>78</v>
      </c>
      <c r="J66" s="16">
        <v>510.0</v>
      </c>
      <c r="K66" s="213" t="s">
        <v>20</v>
      </c>
    </row>
    <row r="67">
      <c r="A67" s="215" t="s">
        <v>37</v>
      </c>
      <c r="B67" s="208"/>
      <c r="C67" s="215" t="s">
        <v>167</v>
      </c>
      <c r="D67" s="217"/>
      <c r="E67" s="217" t="str">
        <f t="shared" ref="E67:E69" si="16"> H67*0.453592</f>
        <v>0.10432616</v>
      </c>
      <c r="F67" s="215" t="s">
        <v>135</v>
      </c>
      <c r="G67" s="215" t="s">
        <v>162</v>
      </c>
      <c r="H67" s="114">
        <v>0.23</v>
      </c>
      <c r="I67" s="211" t="s">
        <v>78</v>
      </c>
    </row>
    <row r="68">
      <c r="A68" s="219" t="s">
        <v>37</v>
      </c>
      <c r="B68" s="208"/>
      <c r="C68" s="219" t="s">
        <v>169</v>
      </c>
      <c r="D68" s="220"/>
      <c r="E68" s="220" t="str">
        <f t="shared" si="16"/>
        <v>0.0021772416</v>
      </c>
      <c r="F68" s="219" t="s">
        <v>135</v>
      </c>
      <c r="G68" s="219" t="s">
        <v>162</v>
      </c>
      <c r="H68" s="114">
        <v>0.0048</v>
      </c>
      <c r="I68" s="211" t="s">
        <v>78</v>
      </c>
    </row>
    <row r="69">
      <c r="A69" s="207" t="s">
        <v>37</v>
      </c>
      <c r="B69" s="208"/>
      <c r="C69" s="207" t="s">
        <v>171</v>
      </c>
      <c r="D69" s="209"/>
      <c r="E69" s="209" t="str">
        <f t="shared" si="16"/>
        <v>0.096615096</v>
      </c>
      <c r="F69" s="207" t="s">
        <v>135</v>
      </c>
      <c r="G69" s="223" t="str">
        <f>HYPERLINK("https://umanitoba.ca/faculties/afs/agronomists_conf/media/Wiens_AlfalfaGrass_Hay_poster_Dec_1_final_2014.pdf","Link")</f>
        <v>Link</v>
      </c>
      <c r="H69" s="114">
        <v>0.213</v>
      </c>
      <c r="I69" s="211" t="s">
        <v>78</v>
      </c>
    </row>
    <row r="70" ht="14.25" customHeight="1">
      <c r="A70" s="215" t="s">
        <v>37</v>
      </c>
      <c r="B70" s="225"/>
      <c r="C70" s="226" t="s">
        <v>174</v>
      </c>
      <c r="D70" s="217"/>
      <c r="E70" s="229" t="str">
        <f>H70*I70*J70/(12*3.28^3)</f>
        <v>0.6633004749</v>
      </c>
      <c r="F70" s="231" t="s">
        <v>175</v>
      </c>
      <c r="G70" s="233" t="s">
        <v>17</v>
      </c>
      <c r="H70" s="235">
        <v>1.07</v>
      </c>
      <c r="I70" s="235">
        <v>700.0</v>
      </c>
      <c r="J70" s="124" t="str">
        <f>3/8</f>
        <v>0.375</v>
      </c>
      <c r="K70" s="238"/>
    </row>
    <row r="71">
      <c r="A71" s="219" t="s">
        <v>37</v>
      </c>
      <c r="B71" s="208"/>
      <c r="C71" s="219" t="s">
        <v>178</v>
      </c>
      <c r="D71" s="220"/>
      <c r="E71" s="220" t="str">
        <f> H71*0.453592</f>
        <v>0.10432616</v>
      </c>
      <c r="F71" s="219" t="s">
        <v>135</v>
      </c>
      <c r="G71" s="219" t="s">
        <v>162</v>
      </c>
      <c r="H71" s="114">
        <v>0.23</v>
      </c>
      <c r="I71" s="211" t="s">
        <v>78</v>
      </c>
    </row>
    <row r="72">
      <c r="A72" s="207"/>
      <c r="B72" s="208"/>
      <c r="C72" s="207" t="s">
        <v>179</v>
      </c>
      <c r="D72" s="209"/>
      <c r="E72" s="209" t="str">
        <f>H72*J72*(0.3048^3)</f>
        <v>64.420826</v>
      </c>
      <c r="F72" s="207" t="s">
        <v>161</v>
      </c>
      <c r="G72" s="207" t="s">
        <v>162</v>
      </c>
      <c r="H72" s="114">
        <v>0.91</v>
      </c>
      <c r="I72" s="211" t="s">
        <v>78</v>
      </c>
      <c r="J72" s="16">
        <v>2500.0</v>
      </c>
      <c r="K72" s="170" t="str">
        <f>HYPERLINK("http://hypertextbook.com/facts/2004/ShayeStorm.shtml","kg/m^3")</f>
        <v>kg/m^3</v>
      </c>
      <c r="L72" s="16" t="s">
        <v>181</v>
      </c>
    </row>
    <row r="73">
      <c r="A73" s="207" t="s">
        <v>26</v>
      </c>
      <c r="B73" s="208"/>
      <c r="C73" s="207"/>
      <c r="D73" s="207" t="s">
        <v>182</v>
      </c>
      <c r="E73" s="209" t="str">
        <f>((1/(8*12))*E72)</f>
        <v>0.6710502708</v>
      </c>
      <c r="F73" s="207" t="s">
        <v>184</v>
      </c>
      <c r="G73" s="207"/>
      <c r="H73" s="114"/>
      <c r="I73" s="211"/>
      <c r="J73" s="16"/>
      <c r="K73" s="163"/>
      <c r="L73" s="16"/>
    </row>
    <row r="74">
      <c r="A74" s="207" t="s">
        <v>26</v>
      </c>
      <c r="B74" s="208"/>
      <c r="C74" s="207"/>
      <c r="D74" s="207" t="s">
        <v>186</v>
      </c>
      <c r="E74" s="209" t="str">
        <f>((3/16)/12)*E72</f>
        <v>1.006575406</v>
      </c>
      <c r="F74" s="207" t="s">
        <v>184</v>
      </c>
      <c r="G74" s="207"/>
      <c r="H74" s="114"/>
      <c r="I74" s="211"/>
      <c r="J74" s="16"/>
      <c r="K74" s="163"/>
      <c r="L74" s="16"/>
    </row>
    <row r="75">
      <c r="A75" s="207" t="s">
        <v>26</v>
      </c>
      <c r="B75" s="208"/>
      <c r="C75" s="207"/>
      <c r="D75" s="207" t="s">
        <v>189</v>
      </c>
      <c r="E75" s="209" t="str">
        <f>((1/4)/12)*E72</f>
        <v>1.342100542</v>
      </c>
      <c r="F75" s="207" t="s">
        <v>184</v>
      </c>
      <c r="G75" s="207"/>
      <c r="H75" s="114"/>
      <c r="I75" s="211"/>
      <c r="J75" s="16"/>
      <c r="K75" s="163"/>
      <c r="L75" s="16"/>
    </row>
    <row r="76">
      <c r="A76" s="207" t="s">
        <v>26</v>
      </c>
      <c r="B76" s="208"/>
      <c r="C76" s="207"/>
      <c r="D76" s="207" t="s">
        <v>193</v>
      </c>
      <c r="E76" s="209" t="str">
        <f>((3/8)/12)*E72</f>
        <v>2.013150812</v>
      </c>
      <c r="F76" s="207" t="s">
        <v>184</v>
      </c>
      <c r="G76" s="207"/>
      <c r="H76" s="114"/>
      <c r="I76" s="211"/>
      <c r="J76" s="16"/>
      <c r="K76" s="163"/>
      <c r="L76" s="16"/>
    </row>
    <row r="77">
      <c r="A77" s="207" t="s">
        <v>26</v>
      </c>
      <c r="B77" s="208"/>
      <c r="C77" s="207"/>
      <c r="D77" s="207" t="s">
        <v>199</v>
      </c>
      <c r="E77" s="209" t="str">
        <f>((1/2)/12)*E72</f>
        <v>2.684201083</v>
      </c>
      <c r="F77" s="207" t="s">
        <v>184</v>
      </c>
      <c r="G77" s="207"/>
      <c r="H77" s="114"/>
      <c r="I77" s="211"/>
      <c r="J77" s="16"/>
      <c r="K77" s="163"/>
      <c r="L77" s="16"/>
    </row>
    <row r="78">
      <c r="A78" s="207" t="s">
        <v>26</v>
      </c>
      <c r="B78" s="208"/>
      <c r="C78" s="207"/>
      <c r="D78" s="207" t="s">
        <v>201</v>
      </c>
      <c r="E78" s="209" t="str">
        <f>((3/4)/12)*E72</f>
        <v>4.026301625</v>
      </c>
      <c r="F78" s="207" t="s">
        <v>184</v>
      </c>
      <c r="G78" s="207"/>
      <c r="H78" s="114"/>
      <c r="I78" s="211"/>
      <c r="J78" s="16"/>
      <c r="K78" s="163"/>
      <c r="L78" s="16"/>
    </row>
    <row r="79">
      <c r="A79" s="208"/>
      <c r="B79" s="208"/>
      <c r="C79" s="250" t="s">
        <v>202</v>
      </c>
      <c r="D79" s="220"/>
      <c r="E79" s="220"/>
      <c r="F79" s="220"/>
      <c r="G79" s="252"/>
    </row>
    <row r="80">
      <c r="A80" s="225" t="s">
        <v>11</v>
      </c>
      <c r="B80" s="208"/>
      <c r="C80" s="220"/>
      <c r="D80" s="254" t="s">
        <v>206</v>
      </c>
      <c r="E80" s="207">
        <v>0.92063</v>
      </c>
      <c r="F80" s="207" t="s">
        <v>207</v>
      </c>
      <c r="G80" s="256" t="str">
        <f>HYPERLINK("https://docs.google.com/document/d/1GGmzb2i4qIW98HOXEZ5RzBqupi-jSjK38lw-ZTsuFQk/edit?usp=sharing","Link")</f>
        <v>Link</v>
      </c>
    </row>
    <row r="81">
      <c r="D81" s="258"/>
      <c r="E81" s="258"/>
      <c r="F81" s="16"/>
      <c r="G81" s="163"/>
    </row>
    <row r="82">
      <c r="D82" s="258"/>
      <c r="E82" s="258"/>
      <c r="F82" s="16"/>
      <c r="G82" s="163"/>
    </row>
    <row r="83">
      <c r="D83" s="258"/>
      <c r="E83" s="258"/>
      <c r="F83" s="16"/>
      <c r="G83" s="163"/>
    </row>
    <row r="84">
      <c r="D84" s="258"/>
      <c r="E84" s="258"/>
      <c r="F84" s="16"/>
      <c r="G84" s="163"/>
    </row>
    <row r="85">
      <c r="E85" s="181"/>
    </row>
    <row r="86">
      <c r="E86" s="181"/>
    </row>
    <row r="87">
      <c r="E87" s="181"/>
    </row>
    <row r="88">
      <c r="E88" s="181"/>
    </row>
    <row r="89">
      <c r="E89" s="181"/>
    </row>
    <row r="90">
      <c r="E90" s="181"/>
    </row>
    <row r="91">
      <c r="E91" s="181"/>
    </row>
    <row r="92">
      <c r="E92" s="181"/>
    </row>
    <row r="93">
      <c r="E93" s="181"/>
    </row>
    <row r="94">
      <c r="E94" s="181"/>
    </row>
    <row r="95">
      <c r="E95" s="181"/>
    </row>
    <row r="96">
      <c r="E96" s="181"/>
    </row>
    <row r="97">
      <c r="E97" s="181"/>
    </row>
    <row r="98">
      <c r="E98" s="181"/>
    </row>
    <row r="99">
      <c r="E99" s="181"/>
    </row>
    <row r="100">
      <c r="E100" s="181"/>
    </row>
    <row r="101">
      <c r="E101" s="181"/>
    </row>
    <row r="102">
      <c r="E102" s="181"/>
    </row>
    <row r="103">
      <c r="E103" s="181"/>
    </row>
    <row r="104">
      <c r="E104" s="181"/>
    </row>
    <row r="105">
      <c r="E105" s="181"/>
    </row>
    <row r="106">
      <c r="E106" s="181"/>
    </row>
    <row r="107">
      <c r="E107" s="181"/>
    </row>
    <row r="108">
      <c r="E108" s="181"/>
    </row>
    <row r="109">
      <c r="E109" s="181"/>
    </row>
    <row r="110">
      <c r="E110" s="181"/>
    </row>
    <row r="111">
      <c r="E111" s="181"/>
    </row>
    <row r="112">
      <c r="E112" s="181"/>
    </row>
    <row r="113">
      <c r="E113" s="181"/>
    </row>
    <row r="114">
      <c r="E114" s="181"/>
    </row>
    <row r="115">
      <c r="E115" s="181"/>
    </row>
    <row r="116">
      <c r="E116" s="181"/>
    </row>
    <row r="117">
      <c r="E117" s="181"/>
    </row>
    <row r="118">
      <c r="E118" s="181"/>
    </row>
    <row r="119">
      <c r="E119" s="181"/>
    </row>
    <row r="120">
      <c r="E120" s="181"/>
    </row>
    <row r="121">
      <c r="E121" s="181"/>
    </row>
    <row r="122">
      <c r="E122" s="181"/>
    </row>
    <row r="123">
      <c r="E123" s="181"/>
    </row>
    <row r="124">
      <c r="E124" s="181"/>
    </row>
    <row r="125">
      <c r="E125" s="181"/>
    </row>
    <row r="126">
      <c r="E126" s="181"/>
    </row>
    <row r="127">
      <c r="E127" s="181"/>
    </row>
    <row r="128">
      <c r="E128" s="181"/>
    </row>
  </sheetData>
  <hyperlinks>
    <hyperlink r:id="rId1" ref="G4"/>
    <hyperlink r:id="rId2" ref="G5"/>
    <hyperlink r:id="rId3" ref="G6"/>
    <hyperlink r:id="rId4" ref="G7"/>
    <hyperlink r:id="rId5" ref="G9"/>
    <hyperlink r:id="rId6" ref="G10"/>
    <hyperlink r:id="rId7" ref="G11"/>
    <hyperlink r:id="rId8" ref="G12"/>
    <hyperlink r:id="rId9" ref="G14"/>
    <hyperlink r:id="rId10" ref="G15"/>
    <hyperlink r:id="rId11" ref="G16"/>
    <hyperlink r:id="rId12" ref="G17"/>
    <hyperlink r:id="rId13" ref="G19"/>
    <hyperlink r:id="rId14" ref="G23"/>
    <hyperlink r:id="rId15" ref="G24"/>
    <hyperlink r:id="rId16" ref="G25"/>
    <hyperlink r:id="rId17" ref="G26"/>
    <hyperlink r:id="rId18" ref="G48"/>
    <hyperlink r:id="rId19" ref="G49"/>
    <hyperlink r:id="rId20" ref="G50"/>
    <hyperlink r:id="rId21" ref="G51"/>
    <hyperlink r:id="rId22" ref="G52"/>
    <hyperlink r:id="rId23" ref="G53"/>
    <hyperlink r:id="rId24" ref="G54"/>
    <hyperlink r:id="rId25" ref="G55"/>
    <hyperlink r:id="rId26" ref="G56"/>
    <hyperlink r:id="rId27" ref="G58"/>
    <hyperlink r:id="rId28" ref="G62"/>
    <hyperlink r:id="rId29" ref="G63"/>
    <hyperlink r:id="rId30" ref="G69"/>
    <hyperlink r:id="rId31" ref="K72"/>
    <hyperlink r:id="rId32" ref="G79"/>
    <hyperlink r:id="rId33" ref="G80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3" width="33.71"/>
    <col customWidth="1" min="4" max="4" width="36.43"/>
    <col customWidth="1" min="5" max="5" width="16.57"/>
    <col hidden="1" min="8" max="1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4"/>
      <c r="B2" s="4" t="s">
        <v>8</v>
      </c>
      <c r="C2" s="4"/>
      <c r="D2" s="6"/>
      <c r="E2" s="6"/>
      <c r="F2" s="6"/>
      <c r="G2" s="8"/>
      <c r="H2" s="14"/>
      <c r="I2" s="14"/>
      <c r="J2" s="14"/>
      <c r="K2" s="14"/>
      <c r="L2" s="14"/>
      <c r="M2" s="14"/>
      <c r="N2" s="14"/>
      <c r="O2" s="16"/>
    </row>
    <row r="3">
      <c r="A3" s="4"/>
      <c r="B3" s="4"/>
      <c r="C3" s="18" t="s">
        <v>13</v>
      </c>
      <c r="D3" s="20"/>
      <c r="E3" s="20"/>
      <c r="F3" s="20"/>
      <c r="G3" s="21" t="s">
        <v>17</v>
      </c>
      <c r="H3" s="14" t="s">
        <v>18</v>
      </c>
      <c r="I3" s="14" t="s">
        <v>19</v>
      </c>
      <c r="J3" s="14" t="s">
        <v>20</v>
      </c>
      <c r="K3" s="14" t="s">
        <v>21</v>
      </c>
      <c r="L3" s="14" t="s">
        <v>22</v>
      </c>
      <c r="M3" s="14" t="s">
        <v>23</v>
      </c>
      <c r="N3" s="14" t="s">
        <v>24</v>
      </c>
      <c r="O3" s="16" t="s">
        <v>25</v>
      </c>
    </row>
    <row r="4">
      <c r="A4" s="23" t="s">
        <v>26</v>
      </c>
      <c r="B4" s="4"/>
      <c r="C4" s="18"/>
      <c r="D4" s="25" t="s">
        <v>28</v>
      </c>
      <c r="E4" s="29" t="str">
        <f t="shared" ref="E4:E14" si="1">H4*K4*O4</f>
        <v>2.136538946</v>
      </c>
      <c r="F4" s="25" t="s">
        <v>33</v>
      </c>
      <c r="G4" s="35"/>
      <c r="H4" s="14">
        <v>1.31</v>
      </c>
      <c r="I4" s="14">
        <v>7800.0</v>
      </c>
      <c r="J4" s="14" t="s">
        <v>20</v>
      </c>
      <c r="K4">
        <v>221.04111954266486</v>
      </c>
      <c r="L4" s="14" t="str">
        <f t="shared" ref="L4:L14" si="2">3/12</f>
        <v>0.25</v>
      </c>
      <c r="M4" t="str">
        <f t="shared" ref="M4:M14" si="3">1.5/12</f>
        <v>0.125</v>
      </c>
      <c r="N4" t="str">
        <f>0.25/12</f>
        <v>0.02083333333</v>
      </c>
      <c r="O4" t="str">
        <f t="shared" ref="O4:O14" si="4">N4*(L4+M4)-(N4^2)</f>
        <v>0.007378472222</v>
      </c>
    </row>
    <row r="5">
      <c r="A5" s="23" t="s">
        <v>37</v>
      </c>
      <c r="B5" s="4"/>
      <c r="C5" s="18"/>
      <c r="D5" s="47" t="s">
        <v>41</v>
      </c>
      <c r="E5" s="29" t="str">
        <f t="shared" si="1"/>
        <v>0.06931519482</v>
      </c>
      <c r="F5" s="25" t="s">
        <v>33</v>
      </c>
      <c r="G5" s="35"/>
      <c r="H5" s="14">
        <v>0.65</v>
      </c>
      <c r="I5" s="14">
        <v>510.0</v>
      </c>
      <c r="J5" s="14" t="s">
        <v>20</v>
      </c>
      <c r="K5">
        <v>14.452688585481932</v>
      </c>
      <c r="L5" s="14" t="str">
        <f t="shared" si="2"/>
        <v>0.25</v>
      </c>
      <c r="M5" t="str">
        <f t="shared" si="3"/>
        <v>0.125</v>
      </c>
      <c r="N5">
        <v>0.020833333333333332</v>
      </c>
      <c r="O5" t="str">
        <f t="shared" si="4"/>
        <v>0.007378472222</v>
      </c>
    </row>
    <row r="6">
      <c r="A6" s="23" t="s">
        <v>37</v>
      </c>
      <c r="B6" s="4"/>
      <c r="C6" s="18"/>
      <c r="D6" s="47" t="s">
        <v>43</v>
      </c>
      <c r="E6" s="29" t="str">
        <f t="shared" si="1"/>
        <v>0.1140407459</v>
      </c>
      <c r="F6" s="25" t="s">
        <v>33</v>
      </c>
      <c r="G6" s="35"/>
      <c r="H6" s="14">
        <v>1.01</v>
      </c>
      <c r="I6" s="14">
        <v>540.0</v>
      </c>
      <c r="J6" s="14" t="s">
        <v>20</v>
      </c>
      <c r="K6">
        <v>15.302846737569105</v>
      </c>
      <c r="L6" s="14" t="str">
        <f t="shared" si="2"/>
        <v>0.25</v>
      </c>
      <c r="M6" t="str">
        <f t="shared" si="3"/>
        <v>0.125</v>
      </c>
      <c r="N6">
        <v>0.020833333333333332</v>
      </c>
      <c r="O6" t="str">
        <f t="shared" si="4"/>
        <v>0.007378472222</v>
      </c>
    </row>
    <row r="7">
      <c r="A7" s="23" t="s">
        <v>37</v>
      </c>
      <c r="B7" s="4"/>
      <c r="C7" s="18"/>
      <c r="D7" s="47" t="s">
        <v>44</v>
      </c>
      <c r="E7" s="29" t="str">
        <f t="shared" si="1"/>
        <v>0.08731832687</v>
      </c>
      <c r="F7" s="25" t="s">
        <v>33</v>
      </c>
      <c r="G7" s="35"/>
      <c r="H7" s="14">
        <v>0.87</v>
      </c>
      <c r="I7" s="14">
        <v>480.0</v>
      </c>
      <c r="J7" s="14" t="s">
        <v>20</v>
      </c>
      <c r="K7">
        <v>13.60253043339476</v>
      </c>
      <c r="L7" s="14" t="str">
        <f t="shared" si="2"/>
        <v>0.25</v>
      </c>
      <c r="M7" t="str">
        <f t="shared" si="3"/>
        <v>0.125</v>
      </c>
      <c r="N7">
        <v>0.020833333333333332</v>
      </c>
      <c r="O7" t="str">
        <f t="shared" si="4"/>
        <v>0.007378472222</v>
      </c>
    </row>
    <row r="8">
      <c r="A8" s="23" t="s">
        <v>37</v>
      </c>
      <c r="B8" s="4"/>
      <c r="C8" s="18"/>
      <c r="D8" s="47" t="s">
        <v>46</v>
      </c>
      <c r="E8" s="29" t="str">
        <f t="shared" si="1"/>
        <v>0.06523783042</v>
      </c>
      <c r="F8" s="25" t="s">
        <v>33</v>
      </c>
      <c r="G8" s="35"/>
      <c r="H8" s="14">
        <v>0.65</v>
      </c>
      <c r="I8" s="14">
        <v>480.0</v>
      </c>
      <c r="J8" s="14" t="s">
        <v>20</v>
      </c>
      <c r="K8">
        <v>13.60253043339476</v>
      </c>
      <c r="L8" s="14" t="str">
        <f t="shared" si="2"/>
        <v>0.25</v>
      </c>
      <c r="M8" t="str">
        <f t="shared" si="3"/>
        <v>0.125</v>
      </c>
      <c r="N8">
        <v>0.020833333333333332</v>
      </c>
      <c r="O8" t="str">
        <f t="shared" si="4"/>
        <v>0.007378472222</v>
      </c>
    </row>
    <row r="9">
      <c r="A9" s="23" t="s">
        <v>37</v>
      </c>
      <c r="B9" s="4"/>
      <c r="C9" s="18"/>
      <c r="D9" s="47" t="s">
        <v>48</v>
      </c>
      <c r="E9" s="29" t="str">
        <f t="shared" si="1"/>
        <v>0.07427076079</v>
      </c>
      <c r="F9" s="25" t="s">
        <v>33</v>
      </c>
      <c r="G9" s="35"/>
      <c r="H9" s="14">
        <v>0.74</v>
      </c>
      <c r="I9" s="14">
        <v>480.0</v>
      </c>
      <c r="J9" s="14" t="s">
        <v>20</v>
      </c>
      <c r="K9">
        <v>13.60253043339476</v>
      </c>
      <c r="L9" s="14" t="str">
        <f t="shared" si="2"/>
        <v>0.25</v>
      </c>
      <c r="M9" t="str">
        <f t="shared" si="3"/>
        <v>0.125</v>
      </c>
      <c r="N9">
        <v>0.020833333333333332</v>
      </c>
      <c r="O9" t="str">
        <f t="shared" si="4"/>
        <v>0.007378472222</v>
      </c>
    </row>
    <row r="10">
      <c r="A10" s="23" t="s">
        <v>37</v>
      </c>
      <c r="B10" s="4"/>
      <c r="C10" s="18"/>
      <c r="D10" s="47" t="s">
        <v>51</v>
      </c>
      <c r="E10" s="29" t="str">
        <f t="shared" si="1"/>
        <v>0.1348666687</v>
      </c>
      <c r="F10" s="25" t="s">
        <v>33</v>
      </c>
      <c r="G10" s="35"/>
      <c r="H10" s="14">
        <v>0.86</v>
      </c>
      <c r="I10" s="14">
        <v>750.0</v>
      </c>
      <c r="J10" s="14" t="s">
        <v>20</v>
      </c>
      <c r="K10">
        <v>21.25395380217931</v>
      </c>
      <c r="L10" s="14" t="str">
        <f t="shared" si="2"/>
        <v>0.25</v>
      </c>
      <c r="M10" t="str">
        <f t="shared" si="3"/>
        <v>0.125</v>
      </c>
      <c r="N10">
        <v>0.020833333333333332</v>
      </c>
      <c r="O10" t="str">
        <f t="shared" si="4"/>
        <v>0.007378472222</v>
      </c>
    </row>
    <row r="11">
      <c r="A11" s="23" t="s">
        <v>37</v>
      </c>
      <c r="B11" s="4"/>
      <c r="C11" s="18"/>
      <c r="D11" s="47" t="s">
        <v>56</v>
      </c>
      <c r="E11" s="29" t="str">
        <f t="shared" si="1"/>
        <v>0.01185572111</v>
      </c>
      <c r="F11" s="25" t="s">
        <v>33</v>
      </c>
      <c r="G11" s="35"/>
      <c r="H11" s="14">
        <v>0.63</v>
      </c>
      <c r="I11" s="14">
        <v>90.0</v>
      </c>
      <c r="J11" s="14" t="s">
        <v>20</v>
      </c>
      <c r="K11">
        <v>2.5504744562615174</v>
      </c>
      <c r="L11" s="14" t="str">
        <f t="shared" si="2"/>
        <v>0.25</v>
      </c>
      <c r="M11" t="str">
        <f t="shared" si="3"/>
        <v>0.125</v>
      </c>
      <c r="N11">
        <v>0.020833333333333332</v>
      </c>
      <c r="O11" t="str">
        <f t="shared" si="4"/>
        <v>0.007378472222</v>
      </c>
    </row>
    <row r="12">
      <c r="A12" s="23" t="s">
        <v>37</v>
      </c>
      <c r="B12" s="4"/>
      <c r="C12" s="18"/>
      <c r="D12" s="47" t="s">
        <v>58</v>
      </c>
      <c r="E12" s="29" t="str">
        <f t="shared" si="1"/>
        <v>0.06291686915</v>
      </c>
      <c r="F12" s="25" t="s">
        <v>33</v>
      </c>
      <c r="G12" s="35"/>
      <c r="H12" s="14">
        <v>0.59</v>
      </c>
      <c r="I12" s="14">
        <v>510.0</v>
      </c>
      <c r="J12" s="14" t="s">
        <v>20</v>
      </c>
      <c r="K12">
        <v>14.452688585481932</v>
      </c>
      <c r="L12" s="14" t="str">
        <f t="shared" si="2"/>
        <v>0.25</v>
      </c>
      <c r="M12" t="str">
        <f t="shared" si="3"/>
        <v>0.125</v>
      </c>
      <c r="N12">
        <v>0.020833333333333332</v>
      </c>
      <c r="O12" t="str">
        <f t="shared" si="4"/>
        <v>0.007378472222</v>
      </c>
    </row>
    <row r="13">
      <c r="A13" s="23" t="s">
        <v>26</v>
      </c>
      <c r="B13" s="4"/>
      <c r="C13" s="18"/>
      <c r="D13" s="47" t="s">
        <v>62</v>
      </c>
      <c r="E13" s="29" t="str">
        <f t="shared" si="1"/>
        <v>10.14322806</v>
      </c>
      <c r="F13" s="25" t="s">
        <v>33</v>
      </c>
      <c r="G13" s="35"/>
      <c r="H13">
        <v>46.2</v>
      </c>
      <c r="I13" s="14">
        <v>1050.0</v>
      </c>
      <c r="J13" s="14" t="s">
        <v>64</v>
      </c>
      <c r="K13">
        <v>29.75553532305104</v>
      </c>
      <c r="L13" s="14" t="str">
        <f t="shared" si="2"/>
        <v>0.25</v>
      </c>
      <c r="M13" t="str">
        <f t="shared" si="3"/>
        <v>0.125</v>
      </c>
      <c r="N13">
        <v>0.020833333333333332</v>
      </c>
      <c r="O13" t="str">
        <f t="shared" si="4"/>
        <v>0.007378472222</v>
      </c>
    </row>
    <row r="14">
      <c r="A14" s="23" t="s">
        <v>37</v>
      </c>
      <c r="B14" s="4"/>
      <c r="C14" s="18"/>
      <c r="D14" s="47" t="s">
        <v>66</v>
      </c>
      <c r="E14" s="29" t="str">
        <f t="shared" si="1"/>
        <v>0.09074749488</v>
      </c>
      <c r="F14" s="25" t="s">
        <v>33</v>
      </c>
      <c r="G14" s="35"/>
      <c r="H14" s="14">
        <v>0.62</v>
      </c>
      <c r="I14" s="14">
        <v>700.0</v>
      </c>
      <c r="J14" s="14" t="s">
        <v>20</v>
      </c>
      <c r="K14">
        <v>19.837023548700692</v>
      </c>
      <c r="L14" s="14" t="str">
        <f t="shared" si="2"/>
        <v>0.25</v>
      </c>
      <c r="M14" t="str">
        <f t="shared" si="3"/>
        <v>0.125</v>
      </c>
      <c r="N14">
        <v>0.020833333333333332</v>
      </c>
      <c r="O14" t="str">
        <f t="shared" si="4"/>
        <v>0.007378472222</v>
      </c>
    </row>
    <row r="15">
      <c r="A15" s="89"/>
      <c r="B15" s="4"/>
      <c r="C15" s="89" t="s">
        <v>69</v>
      </c>
      <c r="D15" s="93"/>
      <c r="E15" s="97"/>
      <c r="F15" s="93"/>
      <c r="G15" s="97" t="s">
        <v>17</v>
      </c>
      <c r="H15" s="14" t="s">
        <v>18</v>
      </c>
      <c r="I15" s="14" t="s">
        <v>19</v>
      </c>
      <c r="J15" s="14" t="s">
        <v>20</v>
      </c>
      <c r="K15" s="14" t="s">
        <v>21</v>
      </c>
      <c r="L15" s="14" t="s">
        <v>22</v>
      </c>
      <c r="M15" s="14" t="s">
        <v>23</v>
      </c>
      <c r="N15" s="14" t="s">
        <v>24</v>
      </c>
      <c r="O15" s="16" t="s">
        <v>25</v>
      </c>
    </row>
    <row r="16">
      <c r="A16" s="99" t="s">
        <v>26</v>
      </c>
      <c r="B16" s="4"/>
      <c r="C16" s="89"/>
      <c r="D16" s="100" t="s">
        <v>28</v>
      </c>
      <c r="E16" s="103" t="str">
        <f t="shared" ref="E16:E26" si="5">H16*K16*O16</f>
        <v>2.639253992</v>
      </c>
      <c r="F16" s="100" t="s">
        <v>33</v>
      </c>
      <c r="G16" s="103"/>
      <c r="H16" s="14">
        <v>1.31</v>
      </c>
      <c r="I16" s="14">
        <v>7800.0</v>
      </c>
      <c r="J16" s="14" t="s">
        <v>20</v>
      </c>
      <c r="K16">
        <v>221.04111954266486</v>
      </c>
      <c r="L16" s="14" t="str">
        <f t="shared" ref="L16:L26" si="6">4/12</f>
        <v>0.3333333333</v>
      </c>
      <c r="M16" t="str">
        <f t="shared" ref="M16:M26" si="7">1.5/12</f>
        <v>0.125</v>
      </c>
      <c r="N16" t="str">
        <f>0.25/12</f>
        <v>0.02083333333</v>
      </c>
      <c r="O16" s="108" t="str">
        <f t="shared" ref="O16:O26" si="8">N16*(L16+M16)-(N16^2)</f>
        <v>0.009114583333</v>
      </c>
    </row>
    <row r="17">
      <c r="A17" s="99" t="s">
        <v>37</v>
      </c>
      <c r="B17" s="4"/>
      <c r="C17" s="89"/>
      <c r="D17" s="110" t="s">
        <v>41</v>
      </c>
      <c r="E17" s="103" t="str">
        <f t="shared" si="5"/>
        <v>0.08562465243</v>
      </c>
      <c r="F17" s="100" t="s">
        <v>33</v>
      </c>
      <c r="G17" s="103"/>
      <c r="H17" s="14">
        <v>0.65</v>
      </c>
      <c r="I17" s="14">
        <v>510.0</v>
      </c>
      <c r="J17" s="14" t="s">
        <v>20</v>
      </c>
      <c r="K17">
        <v>14.452688585481932</v>
      </c>
      <c r="L17" s="14" t="str">
        <f t="shared" si="6"/>
        <v>0.3333333333</v>
      </c>
      <c r="M17" t="str">
        <f t="shared" si="7"/>
        <v>0.125</v>
      </c>
      <c r="N17">
        <v>0.020833333333333332</v>
      </c>
      <c r="O17" s="108" t="str">
        <f t="shared" si="8"/>
        <v>0.009114583333</v>
      </c>
    </row>
    <row r="18">
      <c r="A18" s="99" t="s">
        <v>37</v>
      </c>
      <c r="B18" s="4"/>
      <c r="C18" s="89"/>
      <c r="D18" s="110" t="s">
        <v>43</v>
      </c>
      <c r="E18" s="103" t="str">
        <f t="shared" si="5"/>
        <v>0.1408738625</v>
      </c>
      <c r="F18" s="100" t="s">
        <v>33</v>
      </c>
      <c r="G18" s="103"/>
      <c r="H18" s="14">
        <v>1.01</v>
      </c>
      <c r="I18" s="14">
        <v>540.0</v>
      </c>
      <c r="J18" s="14" t="s">
        <v>20</v>
      </c>
      <c r="K18">
        <v>15.302846737569105</v>
      </c>
      <c r="L18" s="14" t="str">
        <f t="shared" si="6"/>
        <v>0.3333333333</v>
      </c>
      <c r="M18" t="str">
        <f t="shared" si="7"/>
        <v>0.125</v>
      </c>
      <c r="N18">
        <v>0.020833333333333332</v>
      </c>
      <c r="O18" s="108" t="str">
        <f t="shared" si="8"/>
        <v>0.009114583333</v>
      </c>
    </row>
    <row r="19">
      <c r="A19" s="99" t="s">
        <v>37</v>
      </c>
      <c r="B19" s="4"/>
      <c r="C19" s="89"/>
      <c r="D19" s="110" t="s">
        <v>44</v>
      </c>
      <c r="E19" s="103" t="str">
        <f t="shared" si="5"/>
        <v>0.1078638155</v>
      </c>
      <c r="F19" s="100" t="s">
        <v>33</v>
      </c>
      <c r="G19" s="103"/>
      <c r="H19" s="14">
        <v>0.87</v>
      </c>
      <c r="I19" s="14">
        <v>480.0</v>
      </c>
      <c r="J19" s="14" t="s">
        <v>20</v>
      </c>
      <c r="K19">
        <v>13.60253043339476</v>
      </c>
      <c r="L19" s="14" t="str">
        <f t="shared" si="6"/>
        <v>0.3333333333</v>
      </c>
      <c r="M19" t="str">
        <f t="shared" si="7"/>
        <v>0.125</v>
      </c>
      <c r="N19">
        <v>0.020833333333333332</v>
      </c>
      <c r="O19" s="108" t="str">
        <f t="shared" si="8"/>
        <v>0.009114583333</v>
      </c>
    </row>
    <row r="20">
      <c r="A20" s="99" t="s">
        <v>37</v>
      </c>
      <c r="B20" s="4"/>
      <c r="C20" s="89"/>
      <c r="D20" s="110" t="s">
        <v>46</v>
      </c>
      <c r="E20" s="103" t="str">
        <f t="shared" si="5"/>
        <v>0.08058790817</v>
      </c>
      <c r="F20" s="100" t="s">
        <v>33</v>
      </c>
      <c r="G20" s="103"/>
      <c r="H20" s="14">
        <v>0.65</v>
      </c>
      <c r="I20" s="14">
        <v>480.0</v>
      </c>
      <c r="J20" s="14" t="s">
        <v>20</v>
      </c>
      <c r="K20">
        <v>13.60253043339476</v>
      </c>
      <c r="L20" s="14" t="str">
        <f t="shared" si="6"/>
        <v>0.3333333333</v>
      </c>
      <c r="M20" t="str">
        <f t="shared" si="7"/>
        <v>0.125</v>
      </c>
      <c r="N20">
        <v>0.020833333333333332</v>
      </c>
      <c r="O20" s="108" t="str">
        <f t="shared" si="8"/>
        <v>0.009114583333</v>
      </c>
    </row>
    <row r="21">
      <c r="A21" s="99" t="s">
        <v>37</v>
      </c>
      <c r="B21" s="4"/>
      <c r="C21" s="89"/>
      <c r="D21" s="110" t="s">
        <v>48</v>
      </c>
      <c r="E21" s="103" t="str">
        <f t="shared" si="5"/>
        <v>0.09174623391</v>
      </c>
      <c r="F21" s="100" t="s">
        <v>33</v>
      </c>
      <c r="G21" s="103"/>
      <c r="H21" s="14">
        <v>0.74</v>
      </c>
      <c r="I21" s="14">
        <v>480.0</v>
      </c>
      <c r="J21" s="14" t="s">
        <v>20</v>
      </c>
      <c r="K21">
        <v>13.60253043339476</v>
      </c>
      <c r="L21" s="14" t="str">
        <f t="shared" si="6"/>
        <v>0.3333333333</v>
      </c>
      <c r="M21" t="str">
        <f t="shared" si="7"/>
        <v>0.125</v>
      </c>
      <c r="N21">
        <v>0.020833333333333332</v>
      </c>
      <c r="O21" s="108" t="str">
        <f t="shared" si="8"/>
        <v>0.009114583333</v>
      </c>
    </row>
    <row r="22">
      <c r="A22" s="99" t="s">
        <v>37</v>
      </c>
      <c r="B22" s="4"/>
      <c r="C22" s="89"/>
      <c r="D22" s="110" t="s">
        <v>51</v>
      </c>
      <c r="E22" s="103" t="str">
        <f t="shared" si="5"/>
        <v>0.1666000025</v>
      </c>
      <c r="F22" s="100" t="s">
        <v>33</v>
      </c>
      <c r="G22" s="103"/>
      <c r="H22" s="14">
        <v>0.86</v>
      </c>
      <c r="I22" s="14">
        <v>750.0</v>
      </c>
      <c r="J22" s="14" t="s">
        <v>20</v>
      </c>
      <c r="K22">
        <v>21.25395380217931</v>
      </c>
      <c r="L22" s="14" t="str">
        <f t="shared" si="6"/>
        <v>0.3333333333</v>
      </c>
      <c r="M22" t="str">
        <f t="shared" si="7"/>
        <v>0.125</v>
      </c>
      <c r="N22">
        <v>0.020833333333333332</v>
      </c>
      <c r="O22" s="108" t="str">
        <f t="shared" si="8"/>
        <v>0.009114583333</v>
      </c>
    </row>
    <row r="23">
      <c r="A23" s="99" t="s">
        <v>37</v>
      </c>
      <c r="B23" s="4"/>
      <c r="C23" s="89"/>
      <c r="D23" s="110" t="s">
        <v>56</v>
      </c>
      <c r="E23" s="103" t="str">
        <f t="shared" si="5"/>
        <v>0.01464530254</v>
      </c>
      <c r="F23" s="100" t="s">
        <v>33</v>
      </c>
      <c r="G23" s="103"/>
      <c r="H23" s="14">
        <v>0.63</v>
      </c>
      <c r="I23" s="14">
        <v>90.0</v>
      </c>
      <c r="J23" s="14" t="s">
        <v>20</v>
      </c>
      <c r="K23">
        <v>2.5504744562615174</v>
      </c>
      <c r="L23" s="14" t="str">
        <f t="shared" si="6"/>
        <v>0.3333333333</v>
      </c>
      <c r="M23" t="str">
        <f t="shared" si="7"/>
        <v>0.125</v>
      </c>
      <c r="N23">
        <v>0.020833333333333332</v>
      </c>
      <c r="O23" s="108" t="str">
        <f t="shared" si="8"/>
        <v>0.009114583333</v>
      </c>
    </row>
    <row r="24">
      <c r="A24" s="99" t="s">
        <v>37</v>
      </c>
      <c r="B24" s="4"/>
      <c r="C24" s="89"/>
      <c r="D24" s="110" t="s">
        <v>58</v>
      </c>
      <c r="E24" s="103" t="str">
        <f t="shared" si="5"/>
        <v>0.07772083836</v>
      </c>
      <c r="F24" s="100" t="s">
        <v>33</v>
      </c>
      <c r="G24" s="103"/>
      <c r="H24" s="14">
        <v>0.59</v>
      </c>
      <c r="I24" s="14">
        <v>510.0</v>
      </c>
      <c r="J24" s="14" t="s">
        <v>20</v>
      </c>
      <c r="K24">
        <v>14.452688585481932</v>
      </c>
      <c r="L24" s="14" t="str">
        <f t="shared" si="6"/>
        <v>0.3333333333</v>
      </c>
      <c r="M24" t="str">
        <f t="shared" si="7"/>
        <v>0.125</v>
      </c>
      <c r="N24">
        <v>0.020833333333333332</v>
      </c>
      <c r="O24" s="108" t="str">
        <f t="shared" si="8"/>
        <v>0.009114583333</v>
      </c>
    </row>
    <row r="25">
      <c r="A25" s="99" t="s">
        <v>26</v>
      </c>
      <c r="B25" s="4"/>
      <c r="C25" s="89"/>
      <c r="D25" s="110" t="s">
        <v>62</v>
      </c>
      <c r="E25" s="103" t="str">
        <f t="shared" si="5"/>
        <v>12.52986995</v>
      </c>
      <c r="F25" s="100" t="s">
        <v>33</v>
      </c>
      <c r="G25" s="103"/>
      <c r="H25">
        <v>46.2</v>
      </c>
      <c r="I25" s="14">
        <v>1050.0</v>
      </c>
      <c r="J25" s="14" t="s">
        <v>64</v>
      </c>
      <c r="K25">
        <v>29.75553532305104</v>
      </c>
      <c r="L25" s="14" t="str">
        <f t="shared" si="6"/>
        <v>0.3333333333</v>
      </c>
      <c r="M25" t="str">
        <f t="shared" si="7"/>
        <v>0.125</v>
      </c>
      <c r="N25">
        <v>0.020833333333333332</v>
      </c>
      <c r="O25" s="108" t="str">
        <f t="shared" si="8"/>
        <v>0.009114583333</v>
      </c>
    </row>
    <row r="26">
      <c r="A26" s="99" t="s">
        <v>37</v>
      </c>
      <c r="B26" s="4"/>
      <c r="C26" s="89"/>
      <c r="D26" s="110" t="s">
        <v>66</v>
      </c>
      <c r="E26" s="103" t="str">
        <f t="shared" si="5"/>
        <v>0.1120998466</v>
      </c>
      <c r="F26" s="100" t="s">
        <v>33</v>
      </c>
      <c r="G26" s="103"/>
      <c r="H26" s="14">
        <v>0.62</v>
      </c>
      <c r="I26" s="14">
        <v>700.0</v>
      </c>
      <c r="J26" s="14" t="s">
        <v>20</v>
      </c>
      <c r="K26">
        <v>19.837023548700692</v>
      </c>
      <c r="L26" s="14" t="str">
        <f t="shared" si="6"/>
        <v>0.3333333333</v>
      </c>
      <c r="M26" t="str">
        <f t="shared" si="7"/>
        <v>0.125</v>
      </c>
      <c r="N26">
        <v>0.020833333333333332</v>
      </c>
      <c r="O26" s="108" t="str">
        <f t="shared" si="8"/>
        <v>0.009114583333</v>
      </c>
    </row>
    <row r="27">
      <c r="A27" s="86"/>
      <c r="B27" s="5"/>
      <c r="C27" s="68" t="s">
        <v>99</v>
      </c>
      <c r="D27" s="126"/>
      <c r="E27" s="127"/>
      <c r="F27" s="127"/>
      <c r="G27" s="68" t="s">
        <v>17</v>
      </c>
      <c r="H27" s="16" t="s">
        <v>18</v>
      </c>
      <c r="I27" s="16" t="s">
        <v>19</v>
      </c>
      <c r="J27" s="16" t="s">
        <v>20</v>
      </c>
      <c r="K27" s="16" t="s">
        <v>21</v>
      </c>
      <c r="L27" s="16" t="s">
        <v>22</v>
      </c>
      <c r="M27" s="16" t="s">
        <v>23</v>
      </c>
      <c r="N27" s="16" t="s">
        <v>24</v>
      </c>
      <c r="O27" s="16" t="s">
        <v>25</v>
      </c>
    </row>
    <row r="28">
      <c r="A28" s="86" t="s">
        <v>26</v>
      </c>
      <c r="B28" s="7"/>
      <c r="C28" s="70"/>
      <c r="D28" s="130" t="s">
        <v>28</v>
      </c>
      <c r="E28" s="132" t="str">
        <f t="shared" ref="E28:E38" si="10">H28*K28*O28</f>
        <v>2.890611516</v>
      </c>
      <c r="F28" s="86" t="s">
        <v>100</v>
      </c>
      <c r="G28" s="132"/>
      <c r="H28" s="133">
        <v>1.31</v>
      </c>
      <c r="I28" s="16">
        <v>7800.0</v>
      </c>
      <c r="J28" s="16" t="s">
        <v>20</v>
      </c>
      <c r="K28" t="str">
        <f t="shared" ref="K28:K38" si="11">(I28/3.28^3)</f>
        <v>221.0411195</v>
      </c>
      <c r="L28" s="16" t="str">
        <f t="shared" ref="L28:M28" si="9">3/12</f>
        <v>0.25</v>
      </c>
      <c r="M28" t="str">
        <f t="shared" si="9"/>
        <v>0.25</v>
      </c>
      <c r="N28" t="str">
        <f t="shared" ref="N28:N38" si="13">0.25/12</f>
        <v>0.02083333333</v>
      </c>
      <c r="O28" t="str">
        <f t="shared" ref="O28:O38" si="14">N28*(L28+M28)-(N28^2)</f>
        <v>0.009982638889</v>
      </c>
    </row>
    <row r="29">
      <c r="A29" s="86" t="s">
        <v>37</v>
      </c>
      <c r="B29" s="7"/>
      <c r="C29" s="70"/>
      <c r="D29" s="137" t="s">
        <v>41</v>
      </c>
      <c r="E29" s="132" t="str">
        <f t="shared" si="10"/>
        <v>0.09377938123</v>
      </c>
      <c r="F29" s="86" t="s">
        <v>100</v>
      </c>
      <c r="G29" s="132"/>
      <c r="H29" s="138">
        <v>0.65</v>
      </c>
      <c r="I29" s="16">
        <v>510.0</v>
      </c>
      <c r="J29" s="16" t="s">
        <v>20</v>
      </c>
      <c r="K29" t="str">
        <f t="shared" si="11"/>
        <v>14.45268859</v>
      </c>
      <c r="L29" s="16" t="str">
        <f t="shared" ref="L29:M29" si="12">3/12</f>
        <v>0.25</v>
      </c>
      <c r="M29" t="str">
        <f t="shared" si="12"/>
        <v>0.25</v>
      </c>
      <c r="N29" t="str">
        <f t="shared" si="13"/>
        <v>0.02083333333</v>
      </c>
      <c r="O29" t="str">
        <f t="shared" si="14"/>
        <v>0.009982638889</v>
      </c>
    </row>
    <row r="30">
      <c r="A30" s="86" t="s">
        <v>26</v>
      </c>
      <c r="B30" s="7"/>
      <c r="C30" s="70"/>
      <c r="D30" s="137" t="s">
        <v>43</v>
      </c>
      <c r="E30" s="132" t="str">
        <f t="shared" si="10"/>
        <v>0.1542904209</v>
      </c>
      <c r="F30" s="86" t="s">
        <v>100</v>
      </c>
      <c r="G30" s="132"/>
      <c r="H30" s="138">
        <v>1.01</v>
      </c>
      <c r="I30" s="16">
        <v>540.0</v>
      </c>
      <c r="J30" s="16" t="s">
        <v>20</v>
      </c>
      <c r="K30" t="str">
        <f t="shared" si="11"/>
        <v>15.30284674</v>
      </c>
      <c r="L30" s="16" t="str">
        <f t="shared" ref="L30:M30" si="15">3/12</f>
        <v>0.25</v>
      </c>
      <c r="M30" t="str">
        <f t="shared" si="15"/>
        <v>0.25</v>
      </c>
      <c r="N30" t="str">
        <f t="shared" si="13"/>
        <v>0.02083333333</v>
      </c>
      <c r="O30" t="str">
        <f t="shared" si="14"/>
        <v>0.009982638889</v>
      </c>
    </row>
    <row r="31">
      <c r="A31" s="86" t="s">
        <v>37</v>
      </c>
      <c r="B31" s="7"/>
      <c r="C31" s="70"/>
      <c r="D31" s="137" t="s">
        <v>44</v>
      </c>
      <c r="E31" s="132" t="str">
        <f t="shared" si="10"/>
        <v>0.1181365599</v>
      </c>
      <c r="F31" s="86" t="s">
        <v>100</v>
      </c>
      <c r="G31" s="132"/>
      <c r="H31" s="138">
        <v>0.87</v>
      </c>
      <c r="I31" s="16">
        <v>480.0</v>
      </c>
      <c r="J31" s="16" t="s">
        <v>20</v>
      </c>
      <c r="K31" t="str">
        <f t="shared" si="11"/>
        <v>13.60253043</v>
      </c>
      <c r="L31" s="16" t="str">
        <f t="shared" ref="L31:M31" si="16">3/12</f>
        <v>0.25</v>
      </c>
      <c r="M31" t="str">
        <f t="shared" si="16"/>
        <v>0.25</v>
      </c>
      <c r="N31" t="str">
        <f t="shared" si="13"/>
        <v>0.02083333333</v>
      </c>
      <c r="O31" t="str">
        <f t="shared" si="14"/>
        <v>0.009982638889</v>
      </c>
    </row>
    <row r="32">
      <c r="A32" s="86" t="s">
        <v>37</v>
      </c>
      <c r="B32" s="7"/>
      <c r="C32" s="70"/>
      <c r="D32" s="137" t="s">
        <v>46</v>
      </c>
      <c r="E32" s="132" t="str">
        <f t="shared" si="10"/>
        <v>0.08826294704</v>
      </c>
      <c r="F32" s="86" t="s">
        <v>100</v>
      </c>
      <c r="G32" s="132"/>
      <c r="H32" s="138">
        <v>0.65</v>
      </c>
      <c r="I32" s="16">
        <v>480.0</v>
      </c>
      <c r="J32" s="16" t="s">
        <v>20</v>
      </c>
      <c r="K32" t="str">
        <f t="shared" si="11"/>
        <v>13.60253043</v>
      </c>
      <c r="L32" s="16" t="str">
        <f t="shared" ref="L32:M32" si="17">3/12</f>
        <v>0.25</v>
      </c>
      <c r="M32" t="str">
        <f t="shared" si="17"/>
        <v>0.25</v>
      </c>
      <c r="N32" t="str">
        <f t="shared" si="13"/>
        <v>0.02083333333</v>
      </c>
      <c r="O32" t="str">
        <f t="shared" si="14"/>
        <v>0.009982638889</v>
      </c>
    </row>
    <row r="33">
      <c r="A33" s="86" t="s">
        <v>37</v>
      </c>
      <c r="B33" s="7"/>
      <c r="C33" s="70"/>
      <c r="D33" s="137" t="s">
        <v>48</v>
      </c>
      <c r="E33" s="132" t="str">
        <f t="shared" si="10"/>
        <v>0.1004839705</v>
      </c>
      <c r="F33" s="86" t="s">
        <v>100</v>
      </c>
      <c r="G33" s="132"/>
      <c r="H33" s="138">
        <v>0.74</v>
      </c>
      <c r="I33" s="16">
        <v>480.0</v>
      </c>
      <c r="J33" s="16" t="s">
        <v>20</v>
      </c>
      <c r="K33" t="str">
        <f t="shared" si="11"/>
        <v>13.60253043</v>
      </c>
      <c r="L33" s="16" t="str">
        <f t="shared" ref="L33:M33" si="18">3/12</f>
        <v>0.25</v>
      </c>
      <c r="M33" t="str">
        <f t="shared" si="18"/>
        <v>0.25</v>
      </c>
      <c r="N33" t="str">
        <f t="shared" si="13"/>
        <v>0.02083333333</v>
      </c>
      <c r="O33" t="str">
        <f t="shared" si="14"/>
        <v>0.009982638889</v>
      </c>
    </row>
    <row r="34">
      <c r="A34" s="86" t="s">
        <v>37</v>
      </c>
      <c r="B34" s="7"/>
      <c r="C34" s="70"/>
      <c r="D34" s="137" t="s">
        <v>51</v>
      </c>
      <c r="E34" s="132" t="str">
        <f t="shared" si="10"/>
        <v>0.1824666694</v>
      </c>
      <c r="F34" s="86" t="s">
        <v>100</v>
      </c>
      <c r="G34" s="132"/>
      <c r="H34" s="138">
        <v>0.86</v>
      </c>
      <c r="I34" s="16">
        <v>750.0</v>
      </c>
      <c r="J34" s="16" t="s">
        <v>20</v>
      </c>
      <c r="K34" t="str">
        <f t="shared" si="11"/>
        <v>21.2539538</v>
      </c>
      <c r="L34" s="16" t="str">
        <f t="shared" ref="L34:M34" si="19">3/12</f>
        <v>0.25</v>
      </c>
      <c r="M34" t="str">
        <f t="shared" si="19"/>
        <v>0.25</v>
      </c>
      <c r="N34" t="str">
        <f t="shared" si="13"/>
        <v>0.02083333333</v>
      </c>
      <c r="O34" t="str">
        <f t="shared" si="14"/>
        <v>0.009982638889</v>
      </c>
    </row>
    <row r="35">
      <c r="A35" s="86" t="s">
        <v>37</v>
      </c>
      <c r="B35" s="7"/>
      <c r="C35" s="70"/>
      <c r="D35" s="137" t="s">
        <v>56</v>
      </c>
      <c r="E35" s="132" t="str">
        <f t="shared" si="10"/>
        <v>0.01604009326</v>
      </c>
      <c r="F35" s="86" t="s">
        <v>100</v>
      </c>
      <c r="G35" s="132"/>
      <c r="H35" s="138">
        <v>0.63</v>
      </c>
      <c r="I35" s="16">
        <v>90.0</v>
      </c>
      <c r="J35" s="16" t="s">
        <v>20</v>
      </c>
      <c r="K35" t="str">
        <f t="shared" si="11"/>
        <v>2.550474456</v>
      </c>
      <c r="L35" s="16" t="str">
        <f t="shared" ref="L35:M35" si="20">3/12</f>
        <v>0.25</v>
      </c>
      <c r="M35" t="str">
        <f t="shared" si="20"/>
        <v>0.25</v>
      </c>
      <c r="N35" t="str">
        <f t="shared" si="13"/>
        <v>0.02083333333</v>
      </c>
      <c r="O35" t="str">
        <f t="shared" si="14"/>
        <v>0.009982638889</v>
      </c>
    </row>
    <row r="36">
      <c r="A36" s="86" t="s">
        <v>37</v>
      </c>
      <c r="B36" s="7"/>
      <c r="C36" s="70"/>
      <c r="D36" s="137" t="s">
        <v>58</v>
      </c>
      <c r="E36" s="132" t="str">
        <f t="shared" si="10"/>
        <v>0.08512282296</v>
      </c>
      <c r="F36" s="86" t="s">
        <v>100</v>
      </c>
      <c r="G36" s="132"/>
      <c r="H36" s="138">
        <v>0.59</v>
      </c>
      <c r="I36" s="16">
        <v>510.0</v>
      </c>
      <c r="J36" s="16" t="s">
        <v>20</v>
      </c>
      <c r="K36" t="str">
        <f t="shared" si="11"/>
        <v>14.45268859</v>
      </c>
      <c r="L36" s="16" t="str">
        <f t="shared" ref="L36:M36" si="21">3/12</f>
        <v>0.25</v>
      </c>
      <c r="M36" t="str">
        <f t="shared" si="21"/>
        <v>0.25</v>
      </c>
      <c r="N36" t="str">
        <f t="shared" si="13"/>
        <v>0.02083333333</v>
      </c>
      <c r="O36" t="str">
        <f t="shared" si="14"/>
        <v>0.009982638889</v>
      </c>
    </row>
    <row r="37">
      <c r="A37" s="86" t="s">
        <v>26</v>
      </c>
      <c r="B37" s="7"/>
      <c r="C37" s="70"/>
      <c r="D37" s="142" t="s">
        <v>62</v>
      </c>
      <c r="E37" s="144" t="str">
        <f t="shared" si="10"/>
        <v>13.7231909</v>
      </c>
      <c r="F37" s="86" t="s">
        <v>100</v>
      </c>
      <c r="G37" s="144"/>
      <c r="H37" s="146">
        <v>46.2</v>
      </c>
      <c r="I37" s="16">
        <v>1050.0</v>
      </c>
      <c r="J37" s="16" t="s">
        <v>64</v>
      </c>
      <c r="K37" t="str">
        <f t="shared" si="11"/>
        <v>29.75553532</v>
      </c>
      <c r="L37" s="16" t="str">
        <f t="shared" ref="L37:M37" si="22">3/12</f>
        <v>0.25</v>
      </c>
      <c r="M37" t="str">
        <f t="shared" si="22"/>
        <v>0.25</v>
      </c>
      <c r="N37" t="str">
        <f t="shared" si="13"/>
        <v>0.02083333333</v>
      </c>
      <c r="O37" t="str">
        <f t="shared" si="14"/>
        <v>0.009982638889</v>
      </c>
    </row>
    <row r="38">
      <c r="A38" s="86" t="s">
        <v>37</v>
      </c>
      <c r="B38" s="7"/>
      <c r="C38" s="70"/>
      <c r="D38" s="142" t="s">
        <v>66</v>
      </c>
      <c r="E38" s="153" t="str">
        <f t="shared" si="10"/>
        <v>0.1227760225</v>
      </c>
      <c r="F38" s="86" t="s">
        <v>100</v>
      </c>
      <c r="G38" s="153"/>
      <c r="H38" s="133">
        <v>0.62</v>
      </c>
      <c r="I38" s="16">
        <v>700.0</v>
      </c>
      <c r="J38" s="16" t="s">
        <v>20</v>
      </c>
      <c r="K38" t="str">
        <f t="shared" si="11"/>
        <v>19.83702355</v>
      </c>
      <c r="L38" s="16" t="str">
        <f t="shared" ref="L38:M38" si="23">3/12</f>
        <v>0.25</v>
      </c>
      <c r="M38" t="str">
        <f t="shared" si="23"/>
        <v>0.25</v>
      </c>
      <c r="N38" t="str">
        <f t="shared" si="13"/>
        <v>0.02083333333</v>
      </c>
      <c r="O38" t="str">
        <f t="shared" si="14"/>
        <v>0.009982638889</v>
      </c>
    </row>
    <row r="39">
      <c r="A39" s="160"/>
      <c r="B39" s="160" t="s">
        <v>134</v>
      </c>
      <c r="C39" s="160"/>
      <c r="D39" s="160"/>
      <c r="E39" s="160"/>
      <c r="F39" s="160"/>
      <c r="G39" s="160"/>
      <c r="H39" s="16"/>
      <c r="I39" s="163"/>
      <c r="J39" s="16"/>
    </row>
    <row r="40">
      <c r="A40" s="160"/>
      <c r="B40" s="160"/>
      <c r="C40" s="165" t="s">
        <v>134</v>
      </c>
      <c r="D40" s="166"/>
      <c r="E40" s="167"/>
      <c r="F40" s="166"/>
      <c r="G40" s="166"/>
      <c r="H40" s="16" t="s">
        <v>136</v>
      </c>
      <c r="I40" s="170" t="str">
        <f>HYPERLINK("http://inspectapedia.com/insulation/Insulation_Values_Table.php","density (lbs/ft^3)")</f>
        <v>density (lbs/ft^3)</v>
      </c>
      <c r="J40" s="16" t="s">
        <v>138</v>
      </c>
    </row>
    <row r="41">
      <c r="A41" s="172" t="s">
        <v>37</v>
      </c>
      <c r="B41" s="174"/>
      <c r="C41" s="166"/>
      <c r="D41" s="175" t="s">
        <v>139</v>
      </c>
      <c r="E41" s="177" t="str">
        <f t="shared" ref="E41:E50" si="24">H41*J41</f>
        <v>2.0412</v>
      </c>
      <c r="F41" s="179" t="s">
        <v>142</v>
      </c>
      <c r="G41" s="183" t="str">
        <f>HYPERLINK("https://www2.buildinggreen.com/blogs/avoiding-global-warming-impact-insulation","Link")</f>
        <v>Link</v>
      </c>
      <c r="H41" s="138">
        <v>3.0</v>
      </c>
      <c r="I41" s="16">
        <v>1.5</v>
      </c>
      <c r="J41" t="str">
        <f t="shared" ref="J41:J45" si="25">I41*0.4536</f>
        <v>0.6804</v>
      </c>
      <c r="K41" s="189" t="str">
        <f>HYPERLINK("https://www2.buildinggreen.com/blogs/avoiding-global-warming-impact-insulation","Link")</f>
        <v>Link</v>
      </c>
    </row>
    <row r="42">
      <c r="A42" s="172" t="s">
        <v>26</v>
      </c>
      <c r="B42" s="174"/>
      <c r="C42" s="166"/>
      <c r="D42" s="190" t="s">
        <v>146</v>
      </c>
      <c r="E42" s="177" t="str">
        <f t="shared" si="24"/>
        <v>1.8561312</v>
      </c>
      <c r="F42" s="179" t="s">
        <v>142</v>
      </c>
      <c r="G42" s="194" t="str">
        <f>HYPERLINK("http://web.mit.edu/2.813/www/readings/ICEv2.pdf.old","ICE V2")</f>
        <v>ICE V2</v>
      </c>
      <c r="H42" s="146">
        <v>1.86</v>
      </c>
      <c r="I42" t="str">
        <f>2.2</f>
        <v>2.2</v>
      </c>
      <c r="J42" t="str">
        <f t="shared" si="25"/>
        <v>0.99792</v>
      </c>
    </row>
    <row r="43">
      <c r="A43" s="172" t="s">
        <v>37</v>
      </c>
      <c r="B43" s="174"/>
      <c r="C43" s="166"/>
      <c r="D43" s="190" t="s">
        <v>148</v>
      </c>
      <c r="E43" s="177" t="str">
        <f t="shared" si="24"/>
        <v>0.12501216</v>
      </c>
      <c r="F43" s="179" t="s">
        <v>142</v>
      </c>
      <c r="G43" s="194" t="str">
        <f>HYPERLINK("https://www2.buildinggreen.com/blogs/avoiding-global-warming-impact-insulation","Link")</f>
        <v>Link</v>
      </c>
      <c r="H43" s="133">
        <v>0.106</v>
      </c>
      <c r="I43" s="16">
        <v>2.6</v>
      </c>
      <c r="J43" t="str">
        <f t="shared" si="25"/>
        <v>1.17936</v>
      </c>
    </row>
    <row r="44">
      <c r="A44" s="172" t="s">
        <v>37</v>
      </c>
      <c r="B44" s="174"/>
      <c r="C44" s="166"/>
      <c r="D44" s="190" t="s">
        <v>152</v>
      </c>
      <c r="E44" s="177" t="str">
        <f t="shared" si="24"/>
        <v>0.624834</v>
      </c>
      <c r="F44" s="179" t="s">
        <v>142</v>
      </c>
      <c r="G44" s="194" t="str">
        <f t="shared" ref="G44:G50" si="26">HYPERLINK("http://web.mit.edu/2.813/www/readings/ICEv2.pdf.old","ICE V2")</f>
        <v>ICE V2</v>
      </c>
      <c r="H44" s="146">
        <v>0.19</v>
      </c>
      <c r="I44" s="16">
        <v>7.25</v>
      </c>
      <c r="J44" t="str">
        <f t="shared" si="25"/>
        <v>3.2886</v>
      </c>
    </row>
    <row r="45">
      <c r="A45" s="172" t="s">
        <v>37</v>
      </c>
      <c r="B45" s="174"/>
      <c r="C45" s="166"/>
      <c r="D45" s="190" t="s">
        <v>156</v>
      </c>
      <c r="E45" s="177" t="str">
        <f t="shared" si="24"/>
        <v>0.551124</v>
      </c>
      <c r="F45" s="179" t="s">
        <v>142</v>
      </c>
      <c r="G45" s="194" t="str">
        <f t="shared" si="26"/>
        <v>ICE V2</v>
      </c>
      <c r="H45" s="146">
        <v>1.35</v>
      </c>
      <c r="I45" s="16">
        <v>0.9</v>
      </c>
      <c r="J45" t="str">
        <f t="shared" si="25"/>
        <v>0.40824</v>
      </c>
    </row>
    <row r="46">
      <c r="A46" s="172" t="s">
        <v>37</v>
      </c>
      <c r="B46" s="174"/>
      <c r="C46" s="166"/>
      <c r="D46" s="190" t="s">
        <v>158</v>
      </c>
      <c r="E46" s="177" t="str">
        <f t="shared" si="24"/>
        <v>1.56570793</v>
      </c>
      <c r="F46" s="179" t="s">
        <v>142</v>
      </c>
      <c r="G46" s="194" t="str">
        <f t="shared" si="26"/>
        <v>ICE V2</v>
      </c>
      <c r="H46" s="146">
        <v>1.7</v>
      </c>
      <c r="J46" t="str">
        <f>32.5/(3.28^3)</f>
        <v>0.9210046648</v>
      </c>
      <c r="K46" s="170" t="str">
        <f>HYPERLINK("http://www.greenspec.co.uk/building-design/insulation-plant-fibre/#flax","link")</f>
        <v>link</v>
      </c>
    </row>
    <row r="47">
      <c r="A47" s="172" t="s">
        <v>37</v>
      </c>
      <c r="B47" s="174"/>
      <c r="C47" s="166"/>
      <c r="D47" s="175" t="s">
        <v>163</v>
      </c>
      <c r="E47" s="177" t="str">
        <f t="shared" si="24"/>
        <v>2.7216</v>
      </c>
      <c r="F47" s="179" t="s">
        <v>142</v>
      </c>
      <c r="G47" s="194" t="str">
        <f t="shared" si="26"/>
        <v>ICE V2</v>
      </c>
      <c r="H47" s="146">
        <v>1.2</v>
      </c>
      <c r="I47" s="16">
        <v>5.0</v>
      </c>
      <c r="J47" t="str">
        <f t="shared" ref="J47:J49" si="27">I47*0.4536</f>
        <v>2.268</v>
      </c>
      <c r="K47" s="170" t="str">
        <f>HYPERLINK("https://www.usg.com/content/dam/USG_Marketing_Communications/united_states/product_promotional_materials/finished_assets/usg-mineral-wool-submittal-en-IG1753.pdf","Link")</f>
        <v>Link</v>
      </c>
    </row>
    <row r="48">
      <c r="A48" s="172" t="s">
        <v>37</v>
      </c>
      <c r="B48" s="174"/>
      <c r="C48" s="166"/>
      <c r="D48" s="190" t="s">
        <v>166</v>
      </c>
      <c r="E48" s="177" t="str">
        <f t="shared" si="24"/>
        <v>0.5708758759</v>
      </c>
      <c r="F48" s="179" t="s">
        <v>142</v>
      </c>
      <c r="G48" s="194" t="str">
        <f t="shared" si="26"/>
        <v>ICE V2</v>
      </c>
      <c r="H48" s="146">
        <v>0.63</v>
      </c>
      <c r="I48" s="16">
        <v>1.99769</v>
      </c>
      <c r="J48" t="str">
        <f t="shared" si="27"/>
        <v>0.906152184</v>
      </c>
      <c r="K48" s="170" t="str">
        <f>HYPERLINK("http://download.springer.com/static/pdf/118/art%253A10.1007%252FBF02978536.pdf?originUrl=http%3A%2F%2Flink.springer.com%2Farticle%2F10.1007%2FBF02978536&amp;token2=exp=1449371127~acl=%2Fstatic%2Fpdf%2F118%2Fart%25253A10.1007%25252FBF02978536.pdf%3ForiginUrl%3Dhttp%253A%252F%252Flink.springer.com%252Farticle%252F10.1007%252FBF02978536*~hmac=f2af3143461b13cfd184b7fb56c53fe3d716a56d06fc880238c17a9e1f74a1c3","Link")</f>
        <v>Link</v>
      </c>
    </row>
    <row r="49">
      <c r="A49" s="172" t="s">
        <v>26</v>
      </c>
      <c r="B49" s="174"/>
      <c r="C49" s="166"/>
      <c r="D49" s="175" t="s">
        <v>62</v>
      </c>
      <c r="E49" s="177" t="str">
        <f t="shared" si="24"/>
        <v>2.5814376</v>
      </c>
      <c r="F49" s="179" t="s">
        <v>142</v>
      </c>
      <c r="G49" s="194" t="str">
        <f t="shared" si="26"/>
        <v>ICE V2</v>
      </c>
      <c r="H49" s="133">
        <v>2.71</v>
      </c>
      <c r="I49" s="16">
        <v>2.1</v>
      </c>
      <c r="J49" t="str">
        <f t="shared" si="27"/>
        <v>0.95256</v>
      </c>
    </row>
    <row r="50">
      <c r="A50" s="172" t="s">
        <v>37</v>
      </c>
      <c r="B50" s="174"/>
      <c r="C50" s="166"/>
      <c r="D50" s="190" t="s">
        <v>170</v>
      </c>
      <c r="E50" s="177" t="str">
        <f t="shared" si="24"/>
        <v>14.32799872</v>
      </c>
      <c r="F50" s="179" t="s">
        <v>142</v>
      </c>
      <c r="G50" s="194" t="str">
        <f t="shared" si="26"/>
        <v>ICE V2</v>
      </c>
      <c r="H50" s="133">
        <v>1.28</v>
      </c>
      <c r="J50" s="16" t="str">
        <f>395/(3.28^3)</f>
        <v>11.193749</v>
      </c>
      <c r="K50" s="16" t="s">
        <v>172</v>
      </c>
    </row>
    <row r="51">
      <c r="A51" s="172" t="s">
        <v>37</v>
      </c>
      <c r="B51" s="174"/>
      <c r="C51" s="166"/>
      <c r="D51" s="224" t="s">
        <v>173</v>
      </c>
      <c r="E51" s="177" t="str">
        <f>H51/(3.28^3)</f>
        <v>3.095425832</v>
      </c>
      <c r="F51" s="179" t="s">
        <v>142</v>
      </c>
      <c r="G51" s="230" t="str">
        <f>HYPERLINK("http://ae.foamglas.com/__/frontend/handler/document.php?id=141&amp;type=42","Link")</f>
        <v>Link</v>
      </c>
      <c r="H51" s="128">
        <v>109.23</v>
      </c>
    </row>
    <row r="52" hidden="1">
      <c r="A52" s="232"/>
      <c r="B52" s="232"/>
      <c r="C52" s="232"/>
      <c r="D52" s="234"/>
      <c r="E52" s="236"/>
      <c r="F52" s="236"/>
      <c r="G52" s="236"/>
    </row>
    <row r="53" hidden="1">
      <c r="A53" s="232"/>
      <c r="B53" s="232"/>
      <c r="C53" s="232"/>
      <c r="D53" s="237" t="s">
        <v>177</v>
      </c>
      <c r="E53" s="239">
        <v>0.077</v>
      </c>
      <c r="F53" s="237" t="s">
        <v>18</v>
      </c>
      <c r="G53" s="242" t="str">
        <f t="shared" ref="G53:G54" si="28">HYPERLINK("http://web.mit.edu/2.813/www/readings/ICEv2.pdf.old","Link")</f>
        <v>Link</v>
      </c>
    </row>
    <row r="54" hidden="1">
      <c r="A54" s="232"/>
      <c r="B54" s="232"/>
      <c r="C54" s="232"/>
      <c r="D54" s="237" t="s">
        <v>183</v>
      </c>
      <c r="E54" s="239">
        <v>1.4</v>
      </c>
      <c r="F54" s="237" t="s">
        <v>18</v>
      </c>
      <c r="G54" s="242" t="str">
        <f t="shared" si="28"/>
        <v>Link</v>
      </c>
    </row>
    <row r="55" hidden="1">
      <c r="A55" s="232"/>
      <c r="B55" s="232"/>
      <c r="C55" s="232"/>
      <c r="D55" s="237" t="s">
        <v>185</v>
      </c>
      <c r="E55" s="239">
        <v>6.387</v>
      </c>
      <c r="F55" s="237" t="s">
        <v>187</v>
      </c>
      <c r="G55" s="242" t="str">
        <f>HYPERLINK("http://www2.wrap.org.uk/downloads/Methodology_to_the_CO2_and_Case_studies.3a32cf6f.8593.pdf","Link")</f>
        <v>Link</v>
      </c>
    </row>
    <row r="56">
      <c r="A56" s="208"/>
      <c r="B56" s="225" t="s">
        <v>190</v>
      </c>
      <c r="C56" s="208"/>
      <c r="D56" s="208"/>
      <c r="E56" s="244"/>
      <c r="F56" s="208"/>
      <c r="G56" s="208"/>
    </row>
    <row r="57">
      <c r="A57" s="207" t="s">
        <v>37</v>
      </c>
      <c r="B57" s="225"/>
      <c r="C57" s="207" t="s">
        <v>192</v>
      </c>
      <c r="D57" s="246"/>
      <c r="E57" s="247">
        <v>22.8</v>
      </c>
      <c r="F57" s="207" t="s">
        <v>14</v>
      </c>
      <c r="G57" s="223" t="str">
        <f>HYPERLINK("https://docs.google.com/document/d/1nXHj209gaYV5u1Z-4rl8KO7xMO2aSQza8_DnBFsdSc0/edit?usp=sharing","Link")</f>
        <v>Link</v>
      </c>
    </row>
    <row r="58">
      <c r="A58" s="215"/>
      <c r="B58" s="225"/>
      <c r="C58" s="215" t="s">
        <v>200</v>
      </c>
      <c r="D58" s="248"/>
      <c r="E58" s="249"/>
      <c r="F58" s="217"/>
      <c r="G58" s="217"/>
    </row>
    <row r="59">
      <c r="A59" s="215" t="s">
        <v>11</v>
      </c>
      <c r="B59" s="225"/>
      <c r="C59" s="215"/>
      <c r="D59" s="231" t="s">
        <v>204</v>
      </c>
      <c r="E59" s="253" t="s">
        <v>205</v>
      </c>
      <c r="F59" s="215" t="s">
        <v>14</v>
      </c>
      <c r="G59" s="255" t="str">
        <f t="shared" ref="G59:G62" si="29">HYPERLINK("https://docs.google.com/document/d/1nXHj209gaYV5u1Z-4rl8KO7xMO2aSQza8_DnBFsdSc0/edit?usp=sharing","Link")</f>
        <v>Link</v>
      </c>
    </row>
    <row r="60">
      <c r="A60" s="215" t="s">
        <v>11</v>
      </c>
      <c r="B60" s="225"/>
      <c r="C60" s="215"/>
      <c r="D60" s="231" t="s">
        <v>208</v>
      </c>
      <c r="E60" s="257" t="s">
        <v>209</v>
      </c>
      <c r="F60" s="215" t="s">
        <v>14</v>
      </c>
      <c r="G60" s="255" t="str">
        <f t="shared" si="29"/>
        <v>Link</v>
      </c>
    </row>
    <row r="61">
      <c r="A61" s="215" t="s">
        <v>11</v>
      </c>
      <c r="B61" s="225"/>
      <c r="C61" s="215"/>
      <c r="D61" s="231" t="s">
        <v>210</v>
      </c>
      <c r="E61" s="253" t="s">
        <v>211</v>
      </c>
      <c r="F61" s="215" t="s">
        <v>14</v>
      </c>
      <c r="G61" s="255" t="str">
        <f t="shared" si="29"/>
        <v>Link</v>
      </c>
    </row>
    <row r="62">
      <c r="A62" s="215" t="s">
        <v>11</v>
      </c>
      <c r="B62" s="208"/>
      <c r="C62" s="217"/>
      <c r="D62" s="231" t="s">
        <v>212</v>
      </c>
      <c r="E62" s="253" t="s">
        <v>213</v>
      </c>
      <c r="F62" s="215" t="s">
        <v>14</v>
      </c>
      <c r="G62" s="255" t="str">
        <f t="shared" si="29"/>
        <v>Link</v>
      </c>
    </row>
    <row r="63">
      <c r="A63" s="260"/>
      <c r="B63" s="261" t="s">
        <v>206</v>
      </c>
      <c r="C63" s="260"/>
      <c r="D63" s="260"/>
      <c r="E63" s="260"/>
      <c r="F63" s="260"/>
      <c r="G63" s="260"/>
    </row>
    <row r="64">
      <c r="A64" s="262" t="s">
        <v>11</v>
      </c>
      <c r="B64" s="262"/>
      <c r="C64" s="262" t="s">
        <v>206</v>
      </c>
      <c r="D64" s="263" t="s">
        <v>215</v>
      </c>
      <c r="E64" s="263">
        <v>0.92063</v>
      </c>
      <c r="F64" s="263" t="s">
        <v>207</v>
      </c>
      <c r="G64" s="265" t="str">
        <f>HYPERLINK("https://docs.google.com/document/d/1GGmzb2i4qIW98HOXEZ5RzBqupi-jSjK38lw-ZTsuFQk/edit?usp=sharing","Link")</f>
        <v>Link</v>
      </c>
      <c r="H64" s="16">
        <v>2.03</v>
      </c>
    </row>
    <row r="65">
      <c r="A65" s="258"/>
      <c r="B65" s="258"/>
      <c r="C65" s="258"/>
      <c r="E65" s="258"/>
      <c r="F65" s="16"/>
      <c r="G65" s="163"/>
    </row>
    <row r="66">
      <c r="A66" s="258"/>
      <c r="B66" s="258"/>
      <c r="C66" s="258"/>
      <c r="E66" s="258"/>
      <c r="F66" s="16"/>
      <c r="G66" s="163"/>
    </row>
    <row r="67">
      <c r="A67" s="258"/>
      <c r="B67" s="258"/>
      <c r="C67" s="258"/>
      <c r="E67" s="258"/>
      <c r="F67" s="16"/>
      <c r="G67" s="163"/>
    </row>
    <row r="68">
      <c r="A68" s="258"/>
      <c r="B68" s="258"/>
      <c r="C68" s="258"/>
      <c r="E68" s="258"/>
      <c r="F68" s="16"/>
      <c r="G68" s="163"/>
    </row>
    <row r="69">
      <c r="A69" s="258"/>
      <c r="B69" s="258"/>
      <c r="C69" s="258"/>
      <c r="E69" s="258"/>
      <c r="F69" s="16"/>
      <c r="G69" s="163"/>
    </row>
    <row r="70">
      <c r="A70" s="16"/>
      <c r="B70" s="16"/>
      <c r="C70" s="16"/>
      <c r="D70" s="258"/>
      <c r="E70" s="258"/>
      <c r="F70" s="16"/>
      <c r="G70" s="163"/>
    </row>
    <row r="71">
      <c r="A71" s="16"/>
      <c r="B71" s="16"/>
      <c r="C71" s="16"/>
      <c r="D71" s="258"/>
      <c r="E71" s="258"/>
      <c r="F71" s="16"/>
      <c r="G71" s="163"/>
    </row>
    <row r="72">
      <c r="A72" s="16"/>
      <c r="B72" s="16"/>
      <c r="C72" s="16"/>
      <c r="D72" s="258"/>
      <c r="E72" s="258"/>
      <c r="F72" s="16"/>
      <c r="G72" s="163"/>
    </row>
    <row r="73">
      <c r="A73" s="16"/>
      <c r="B73" s="16"/>
      <c r="C73" s="16"/>
      <c r="D73" s="258"/>
      <c r="E73" s="258"/>
      <c r="F73" s="16"/>
      <c r="G73" s="163"/>
    </row>
    <row r="74">
      <c r="A74" s="16"/>
      <c r="B74" s="16"/>
      <c r="C74" s="16"/>
    </row>
    <row r="76">
      <c r="A76" s="16"/>
      <c r="B76" s="16"/>
      <c r="C76" s="16"/>
    </row>
    <row r="78">
      <c r="A78" s="16"/>
      <c r="B78" s="16"/>
      <c r="C78" s="16"/>
    </row>
    <row r="80">
      <c r="A80" s="16"/>
      <c r="B80" s="16"/>
      <c r="C80" s="16"/>
    </row>
    <row r="81">
      <c r="A81" s="16"/>
      <c r="B81" s="16"/>
      <c r="C81" s="16"/>
    </row>
  </sheetData>
  <hyperlinks>
    <hyperlink r:id="rId1" ref="I40"/>
    <hyperlink r:id="rId2" ref="G41"/>
    <hyperlink r:id="rId3" ref="K41"/>
    <hyperlink r:id="rId4" ref="G42"/>
    <hyperlink r:id="rId5" ref="G43"/>
    <hyperlink r:id="rId6" ref="G44"/>
    <hyperlink r:id="rId7" ref="G45"/>
    <hyperlink r:id="rId8" ref="G46"/>
    <hyperlink r:id="rId9" location="flax" ref="K46"/>
    <hyperlink r:id="rId10" ref="G47"/>
    <hyperlink r:id="rId11" ref="K47"/>
    <hyperlink r:id="rId12" ref="G48"/>
    <hyperlink r:id="rId13" ref="K48"/>
    <hyperlink r:id="rId14" ref="G49"/>
    <hyperlink r:id="rId15" ref="G50"/>
    <hyperlink r:id="rId16" ref="G51"/>
    <hyperlink r:id="rId17" ref="G53"/>
    <hyperlink r:id="rId18" ref="G54"/>
    <hyperlink r:id="rId19" ref="G55"/>
    <hyperlink r:id="rId20" ref="G57"/>
    <hyperlink r:id="rId21" ref="G59"/>
    <hyperlink r:id="rId22" ref="G60"/>
    <hyperlink r:id="rId23" ref="G61"/>
    <hyperlink r:id="rId24" ref="G62"/>
    <hyperlink r:id="rId25" ref="G64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16.86"/>
    <col customWidth="1" min="3" max="3" width="23.57"/>
    <col customWidth="1" min="4" max="4" width="46.86"/>
    <col customWidth="1" hidden="1" min="8" max="8" width="15.86"/>
    <col hidden="1" min="9" max="1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45"/>
      <c r="I1" s="145"/>
      <c r="J1" s="145"/>
      <c r="K1" s="145"/>
      <c r="L1" s="145"/>
    </row>
    <row r="2">
      <c r="A2" s="148"/>
      <c r="B2" s="149" t="s">
        <v>127</v>
      </c>
      <c r="C2" s="148"/>
      <c r="D2" s="148"/>
      <c r="E2" s="151"/>
      <c r="F2" s="151"/>
      <c r="G2" s="151"/>
      <c r="H2" s="156"/>
      <c r="I2" s="156"/>
      <c r="J2" s="156"/>
      <c r="K2" s="156"/>
      <c r="L2" s="145"/>
    </row>
    <row r="3">
      <c r="A3" s="158" t="s">
        <v>11</v>
      </c>
      <c r="B3" s="149"/>
      <c r="C3" s="158" t="s">
        <v>133</v>
      </c>
      <c r="D3" s="162"/>
      <c r="E3" s="164">
        <v>127.44</v>
      </c>
      <c r="F3" s="158" t="s">
        <v>14</v>
      </c>
      <c r="G3" s="176" t="str">
        <f>HYPERLINK("https://docs.google.com/document/d/16yxBUYfuv29RHbSambMzmXlY-Xf8YWjtjmVkhETUAY0/edit?usp=sharing","Link")</f>
        <v>Link</v>
      </c>
      <c r="H3" s="156"/>
      <c r="I3" s="156"/>
      <c r="J3" s="156"/>
      <c r="K3" s="156"/>
      <c r="L3" s="145"/>
    </row>
    <row r="4">
      <c r="A4" s="182" t="s">
        <v>26</v>
      </c>
      <c r="B4" s="148"/>
      <c r="C4" s="182" t="s">
        <v>144</v>
      </c>
      <c r="D4" s="185"/>
      <c r="E4" s="188">
        <v>22.0</v>
      </c>
      <c r="F4" s="182" t="s">
        <v>14</v>
      </c>
      <c r="G4" s="192" t="str">
        <f>HYPERLINK("https://docs.google.com/document/d/1XRNehb60tXAuIoQeadA1mZ24Ne2PMEjspV-w0Yn0kvU/edit","Link")</f>
        <v>Link</v>
      </c>
      <c r="H4" s="156"/>
      <c r="I4" s="156"/>
      <c r="J4" s="156"/>
      <c r="K4" s="156"/>
      <c r="L4" s="145"/>
    </row>
    <row r="5">
      <c r="A5" s="196"/>
      <c r="B5" s="148"/>
      <c r="C5" s="196" t="s">
        <v>149</v>
      </c>
      <c r="D5" s="198"/>
      <c r="E5" s="200"/>
      <c r="F5" s="200"/>
      <c r="G5" s="200"/>
      <c r="H5" s="156"/>
      <c r="I5" s="156"/>
      <c r="J5" s="156"/>
      <c r="K5" s="156"/>
      <c r="L5" s="145"/>
    </row>
    <row r="6">
      <c r="A6" s="196" t="s">
        <v>37</v>
      </c>
      <c r="B6" s="149"/>
      <c r="C6" s="196"/>
      <c r="D6" s="196" t="s">
        <v>153</v>
      </c>
      <c r="E6" s="200">
        <v>3.45</v>
      </c>
      <c r="F6" s="196" t="s">
        <v>14</v>
      </c>
      <c r="G6" s="206" t="str">
        <f t="shared" ref="G6:G7" si="1">HYPERLINK("https://docs.google.com/document/d/1dvRk3PqYSSwdNOSpjmreuE2AGoWoE5lTSVIbUExTTuY/edit?usp=sharing","Link")</f>
        <v>Link</v>
      </c>
      <c r="H6" s="156"/>
      <c r="I6" s="156"/>
      <c r="J6" s="156"/>
      <c r="K6" s="156"/>
      <c r="L6" s="145"/>
    </row>
    <row r="7">
      <c r="A7" s="196" t="s">
        <v>37</v>
      </c>
      <c r="B7" s="149"/>
      <c r="C7" s="196"/>
      <c r="D7" s="196" t="s">
        <v>160</v>
      </c>
      <c r="E7" s="200">
        <v>3.61</v>
      </c>
      <c r="F7" s="196" t="s">
        <v>14</v>
      </c>
      <c r="G7" s="206" t="str">
        <f t="shared" si="1"/>
        <v>Link</v>
      </c>
      <c r="H7" s="156"/>
      <c r="I7" s="156"/>
      <c r="J7" s="156"/>
      <c r="K7" s="156"/>
      <c r="L7" s="145"/>
    </row>
    <row r="8">
      <c r="A8" s="210"/>
      <c r="B8" s="148"/>
      <c r="C8" s="210" t="s">
        <v>164</v>
      </c>
      <c r="D8" s="212"/>
      <c r="E8" s="214"/>
      <c r="F8" s="212"/>
      <c r="G8" s="212"/>
      <c r="H8" s="216" t="s">
        <v>165</v>
      </c>
      <c r="I8" s="156"/>
      <c r="J8" s="156"/>
      <c r="K8" s="156"/>
      <c r="L8" s="145"/>
    </row>
    <row r="9">
      <c r="A9" s="210" t="s">
        <v>37</v>
      </c>
      <c r="B9" s="149"/>
      <c r="C9" s="210"/>
      <c r="D9" s="218" t="s">
        <v>168</v>
      </c>
      <c r="E9" s="221" t="str">
        <f t="shared" ref="E9:E11" si="2">H9/4</f>
        <v>179.5</v>
      </c>
      <c r="F9" s="222" t="s">
        <v>14</v>
      </c>
      <c r="G9" s="227" t="str">
        <f t="shared" ref="G9:G11" si="3">HYPERLINK("https://docs.google.com/document/d/1aQ6M1vLoMEf6A1uFCLy0q8jAfMakM7nroeZ3pHkZml4/edit?usp=sharing","Link")</f>
        <v>Link</v>
      </c>
      <c r="H9" s="228">
        <v>718.0</v>
      </c>
      <c r="I9" s="156"/>
      <c r="J9" s="156"/>
      <c r="K9" s="156"/>
      <c r="L9" s="145"/>
    </row>
    <row r="10">
      <c r="A10" s="210" t="s">
        <v>37</v>
      </c>
      <c r="B10" s="149"/>
      <c r="C10" s="210"/>
      <c r="D10" s="218" t="s">
        <v>176</v>
      </c>
      <c r="E10" s="221" t="str">
        <f t="shared" si="2"/>
        <v>202</v>
      </c>
      <c r="F10" s="210" t="s">
        <v>14</v>
      </c>
      <c r="G10" s="240" t="str">
        <f t="shared" si="3"/>
        <v>Link</v>
      </c>
      <c r="H10" s="241">
        <v>808.0</v>
      </c>
      <c r="I10" s="156"/>
      <c r="J10" s="156"/>
      <c r="K10" s="156"/>
      <c r="L10" s="145"/>
    </row>
    <row r="11">
      <c r="A11" s="210" t="s">
        <v>37</v>
      </c>
      <c r="B11" s="149"/>
      <c r="C11" s="210"/>
      <c r="D11" s="218" t="s">
        <v>180</v>
      </c>
      <c r="E11" s="221" t="str">
        <f t="shared" si="2"/>
        <v>417.5</v>
      </c>
      <c r="F11" s="210" t="s">
        <v>14</v>
      </c>
      <c r="G11" s="240" t="str">
        <f t="shared" si="3"/>
        <v>Link</v>
      </c>
      <c r="H11" s="241">
        <v>1670.0</v>
      </c>
      <c r="I11" s="156"/>
      <c r="J11" s="156"/>
      <c r="K11" s="156"/>
      <c r="L11" s="145"/>
    </row>
    <row r="12">
      <c r="A12" s="196"/>
      <c r="B12" s="148"/>
      <c r="C12" s="196" t="s">
        <v>188</v>
      </c>
      <c r="D12" s="57"/>
      <c r="E12" s="56"/>
      <c r="F12" s="243"/>
      <c r="G12" s="243"/>
      <c r="H12" s="245" t="s">
        <v>191</v>
      </c>
      <c r="I12" s="216" t="s">
        <v>194</v>
      </c>
      <c r="J12" s="216" t="s">
        <v>195</v>
      </c>
      <c r="K12" s="216" t="s">
        <v>196</v>
      </c>
      <c r="L12" s="216" t="s">
        <v>197</v>
      </c>
    </row>
    <row r="13">
      <c r="A13" s="196"/>
      <c r="B13" s="148"/>
      <c r="C13" s="196"/>
      <c r="D13" s="55" t="s">
        <v>198</v>
      </c>
      <c r="E13" s="56" t="str">
        <f t="shared" ref="E13:E19" si="4">H13*I13*K13/(3.28^3)</f>
        <v>0.1053841876</v>
      </c>
      <c r="F13" s="251" t="s">
        <v>203</v>
      </c>
      <c r="G13" s="243"/>
      <c r="H13" s="245">
        <v>0.085</v>
      </c>
      <c r="I13" s="156" t="str">
        <f t="shared" ref="I13:I19" si="5">1.5/12</f>
        <v>0.125</v>
      </c>
      <c r="J13" s="259" t="str">
        <f>HYPERLINK("http://customwoodcountertops.com/designing-your-wood-countertop-butcher-block-or-bar-top/","link")</f>
        <v>link</v>
      </c>
      <c r="K13" s="216">
        <v>350.0</v>
      </c>
      <c r="L13" s="259" t="str">
        <f>HYPERLINK("http://www.engineeringtoolbox.com/wood-density-d_40.html","link")</f>
        <v>link</v>
      </c>
    </row>
    <row r="14">
      <c r="A14" s="196"/>
      <c r="B14" s="148"/>
      <c r="C14" s="196"/>
      <c r="D14" s="55" t="s">
        <v>214</v>
      </c>
      <c r="E14" s="56" t="str">
        <f t="shared" si="4"/>
        <v>1.243356297</v>
      </c>
      <c r="F14" s="251" t="s">
        <v>203</v>
      </c>
      <c r="G14" s="243"/>
      <c r="H14" s="264">
        <v>0.65</v>
      </c>
      <c r="I14" s="156" t="str">
        <f t="shared" si="5"/>
        <v>0.125</v>
      </c>
      <c r="J14" s="156"/>
      <c r="K14" s="216">
        <v>540.0</v>
      </c>
      <c r="L14" s="156"/>
    </row>
    <row r="15">
      <c r="A15" s="196"/>
      <c r="B15" s="148"/>
      <c r="C15" s="196"/>
      <c r="D15" s="55" t="s">
        <v>216</v>
      </c>
      <c r="E15" s="56" t="str">
        <f t="shared" si="4"/>
        <v>1.726883746</v>
      </c>
      <c r="F15" s="251" t="s">
        <v>203</v>
      </c>
      <c r="G15" s="243"/>
      <c r="H15" s="264">
        <v>0.65</v>
      </c>
      <c r="I15" s="156" t="str">
        <f t="shared" si="5"/>
        <v>0.125</v>
      </c>
      <c r="J15" s="156"/>
      <c r="K15" s="216">
        <v>750.0</v>
      </c>
      <c r="L15" s="156"/>
    </row>
    <row r="16">
      <c r="A16" s="196"/>
      <c r="B16" s="148"/>
      <c r="C16" s="196"/>
      <c r="D16" s="55" t="s">
        <v>217</v>
      </c>
      <c r="E16" s="56" t="str">
        <f t="shared" si="4"/>
        <v>1.554195372</v>
      </c>
      <c r="F16" s="251" t="s">
        <v>203</v>
      </c>
      <c r="G16" s="243"/>
      <c r="H16" s="264">
        <v>0.65</v>
      </c>
      <c r="I16" s="156" t="str">
        <f t="shared" si="5"/>
        <v>0.125</v>
      </c>
      <c r="J16" s="156"/>
      <c r="K16" s="216">
        <v>675.0</v>
      </c>
      <c r="L16" s="156"/>
    </row>
    <row r="17">
      <c r="A17" s="196"/>
      <c r="B17" s="148"/>
      <c r="C17" s="196"/>
      <c r="D17" s="55" t="s">
        <v>220</v>
      </c>
      <c r="E17" s="56" t="str">
        <f t="shared" si="4"/>
        <v>1.554195372</v>
      </c>
      <c r="F17" s="251" t="s">
        <v>203</v>
      </c>
      <c r="G17" s="243"/>
      <c r="H17" s="264">
        <v>0.65</v>
      </c>
      <c r="I17" s="156" t="str">
        <f t="shared" si="5"/>
        <v>0.125</v>
      </c>
      <c r="J17" s="156"/>
      <c r="K17" s="216">
        <v>675.0</v>
      </c>
      <c r="L17" s="156"/>
    </row>
    <row r="18">
      <c r="A18" s="196"/>
      <c r="B18" s="148"/>
      <c r="C18" s="196"/>
      <c r="D18" s="55" t="s">
        <v>224</v>
      </c>
      <c r="E18" s="56" t="str">
        <f t="shared" si="4"/>
        <v>1.450582347</v>
      </c>
      <c r="F18" s="251" t="s">
        <v>203</v>
      </c>
      <c r="G18" s="243"/>
      <c r="H18" s="264">
        <v>0.65</v>
      </c>
      <c r="I18" s="156" t="str">
        <f t="shared" si="5"/>
        <v>0.125</v>
      </c>
      <c r="J18" s="156"/>
      <c r="K18" s="216">
        <v>630.0</v>
      </c>
      <c r="L18" s="156"/>
    </row>
    <row r="19">
      <c r="A19" s="196"/>
      <c r="B19" s="148"/>
      <c r="C19" s="196"/>
      <c r="D19" s="55" t="s">
        <v>226</v>
      </c>
      <c r="E19" s="56" t="str">
        <f t="shared" si="4"/>
        <v>168.6182425</v>
      </c>
      <c r="F19" s="251" t="s">
        <v>203</v>
      </c>
      <c r="G19" s="243"/>
      <c r="H19" s="245">
        <v>6.15</v>
      </c>
      <c r="I19" s="156" t="str">
        <f t="shared" si="5"/>
        <v>0.125</v>
      </c>
      <c r="J19" s="259" t="str">
        <f>HYPERLINK("http://www.brookscustom.com/stainless-steel-countertops-faq.php","link")</f>
        <v>link</v>
      </c>
      <c r="K19" s="216">
        <v>7740.0</v>
      </c>
      <c r="L19" s="259" t="str">
        <f>HYPERLINK("http://www.engineeringtoolbox.com/metal-alloys-densities-d_50.html","link")</f>
        <v>link</v>
      </c>
    </row>
    <row r="20">
      <c r="A20" s="182"/>
      <c r="B20" s="148"/>
      <c r="C20" s="182" t="s">
        <v>238</v>
      </c>
      <c r="D20" s="275"/>
      <c r="E20" s="277"/>
      <c r="F20" s="279"/>
      <c r="G20" s="279"/>
      <c r="H20" s="156"/>
      <c r="I20" s="156"/>
      <c r="J20" s="156"/>
      <c r="K20" s="156"/>
      <c r="L20" s="145"/>
    </row>
    <row r="21">
      <c r="A21" s="182" t="s">
        <v>11</v>
      </c>
      <c r="B21" s="149"/>
      <c r="C21" s="185"/>
      <c r="D21" s="52" t="s">
        <v>241</v>
      </c>
      <c r="E21" s="51">
        <v>0.002357</v>
      </c>
      <c r="F21" s="50" t="s">
        <v>242</v>
      </c>
      <c r="G21" s="281" t="str">
        <f>HYPERLINK("https://docs.google.com/document/d/1XRNehb60tXAuIoQeadA1mZ24Ne2PMEjspV-w0Yn0kvU/edit","Link")</f>
        <v>Link</v>
      </c>
      <c r="H21" s="156"/>
      <c r="I21" s="156"/>
      <c r="J21" s="156"/>
      <c r="K21" s="156"/>
      <c r="L21" s="145"/>
    </row>
    <row r="22">
      <c r="A22" s="158"/>
      <c r="B22" s="148"/>
      <c r="C22" s="158" t="s">
        <v>243</v>
      </c>
      <c r="D22" s="282"/>
      <c r="E22" s="283"/>
      <c r="F22" s="285"/>
      <c r="G22" s="286"/>
      <c r="H22" s="156"/>
      <c r="I22" s="156"/>
      <c r="J22" s="156"/>
      <c r="K22" s="156"/>
      <c r="L22" s="145"/>
    </row>
    <row r="23">
      <c r="A23" s="158" t="s">
        <v>11</v>
      </c>
      <c r="B23" s="149"/>
      <c r="C23" s="162"/>
      <c r="D23" s="46" t="s">
        <v>245</v>
      </c>
      <c r="E23" s="287">
        <v>0.00316</v>
      </c>
      <c r="F23" s="42" t="s">
        <v>246</v>
      </c>
      <c r="G23" s="288" t="str">
        <f>HYPERLINK("https://docs.google.com/document/d/1XRNehb60tXAuIoQeadA1mZ24Ne2PMEjspV-w0Yn0kvU/edit","Link")</f>
        <v>Link</v>
      </c>
      <c r="H23" s="156"/>
      <c r="I23" s="156"/>
      <c r="J23" s="156"/>
      <c r="K23" s="156"/>
      <c r="L23" s="145"/>
    </row>
    <row r="24">
      <c r="A24" s="182"/>
      <c r="B24" s="148"/>
      <c r="C24" s="182" t="s">
        <v>248</v>
      </c>
      <c r="D24" s="275"/>
      <c r="E24" s="51"/>
      <c r="F24" s="279"/>
      <c r="G24" s="290"/>
      <c r="H24" s="156"/>
      <c r="I24" s="156"/>
      <c r="J24" s="156"/>
      <c r="K24" s="156"/>
      <c r="L24" s="145"/>
    </row>
    <row r="25" hidden="1">
      <c r="A25" s="292" t="s">
        <v>26</v>
      </c>
      <c r="B25" s="292"/>
      <c r="C25" s="294"/>
      <c r="D25" s="237" t="s">
        <v>250</v>
      </c>
      <c r="E25" s="239">
        <v>35.0</v>
      </c>
      <c r="F25" s="237" t="s">
        <v>251</v>
      </c>
      <c r="G25" s="296" t="str">
        <f t="shared" ref="G25:G27" si="6">HYPERLINK("https://docs.google.com/document/d/1XRNehb60tXAuIoQeadA1mZ24Ne2PMEjspV-w0Yn0kvU/edit","Link")</f>
        <v>Link</v>
      </c>
      <c r="H25" s="156"/>
      <c r="I25" s="156"/>
      <c r="J25" s="156"/>
      <c r="K25" s="156"/>
      <c r="L25" s="145"/>
      <c r="W25" s="232"/>
      <c r="X25" s="232"/>
      <c r="Y25" s="232"/>
      <c r="Z25" s="232"/>
    </row>
    <row r="26" hidden="1">
      <c r="A26" s="292" t="s">
        <v>26</v>
      </c>
      <c r="B26" s="292"/>
      <c r="C26" s="294"/>
      <c r="D26" s="237" t="s">
        <v>252</v>
      </c>
      <c r="E26" s="239">
        <v>0.00325</v>
      </c>
      <c r="F26" s="298" t="s">
        <v>253</v>
      </c>
      <c r="G26" s="296" t="str">
        <f t="shared" si="6"/>
        <v>Link</v>
      </c>
      <c r="H26" s="156"/>
      <c r="I26" s="156"/>
      <c r="J26" s="156"/>
      <c r="K26" s="156"/>
      <c r="L26" s="145"/>
      <c r="W26" s="232"/>
      <c r="X26" s="232"/>
      <c r="Y26" s="232"/>
      <c r="Z26" s="232"/>
    </row>
    <row r="27">
      <c r="A27" s="182" t="s">
        <v>11</v>
      </c>
      <c r="B27" s="148"/>
      <c r="C27" s="185"/>
      <c r="D27" s="52" t="s">
        <v>254</v>
      </c>
      <c r="E27" s="51">
        <v>40.0</v>
      </c>
      <c r="F27" s="52" t="s">
        <v>251</v>
      </c>
      <c r="G27" s="281" t="str">
        <f t="shared" si="6"/>
        <v>Link</v>
      </c>
      <c r="H27" s="156"/>
      <c r="I27" s="156"/>
      <c r="J27" s="156"/>
      <c r="K27" s="156"/>
      <c r="L27" s="145"/>
      <c r="W27" s="132"/>
      <c r="X27" s="132"/>
      <c r="Y27" s="132"/>
      <c r="Z27" s="132"/>
    </row>
    <row r="28">
      <c r="A28" s="301" t="s">
        <v>11</v>
      </c>
      <c r="B28" s="149"/>
      <c r="C28" s="301" t="s">
        <v>255</v>
      </c>
      <c r="D28" s="303"/>
      <c r="E28" s="56">
        <v>0.277</v>
      </c>
      <c r="F28" s="55" t="s">
        <v>256</v>
      </c>
      <c r="G28" s="59" t="str">
        <f>HYPERLINK("https://docs.google.com/document/d/1TuQ5xAmVXR1RRwtePE3EcsOikukVhDyB1kva1txRflc/edit","Link")</f>
        <v>Link</v>
      </c>
      <c r="H28" s="156"/>
      <c r="I28" s="156"/>
      <c r="J28" s="156"/>
      <c r="K28" s="156"/>
      <c r="L28" s="145"/>
    </row>
    <row r="29">
      <c r="A29" s="306"/>
      <c r="B29" s="308" t="s">
        <v>258</v>
      </c>
      <c r="C29" s="306"/>
      <c r="D29" s="306"/>
      <c r="E29" s="309"/>
      <c r="F29" s="306"/>
      <c r="G29" s="306"/>
      <c r="H29" s="156"/>
      <c r="I29" s="156"/>
      <c r="J29" s="156"/>
      <c r="K29" s="156"/>
      <c r="L29" s="145"/>
    </row>
    <row r="30">
      <c r="A30" s="310" t="s">
        <v>37</v>
      </c>
      <c r="B30" s="308"/>
      <c r="C30" s="310" t="s">
        <v>260</v>
      </c>
      <c r="D30" s="310" t="s">
        <v>261</v>
      </c>
      <c r="E30" s="312">
        <v>100.5</v>
      </c>
      <c r="F30" s="310" t="s">
        <v>16</v>
      </c>
      <c r="G30" s="315" t="str">
        <f>HYPERLINK("https://docs.google.com/document/d/1XvmNjE1i7UA0gMh-Rd7VKK3O7cBmC6_btbPk10u_3Ns/edit?usp=sharing","Link")</f>
        <v>Link</v>
      </c>
      <c r="H30" s="156"/>
      <c r="I30" s="156"/>
      <c r="J30" s="156"/>
      <c r="K30" s="156"/>
      <c r="L30" s="145"/>
    </row>
    <row r="31">
      <c r="A31" s="317" t="s">
        <v>37</v>
      </c>
      <c r="B31" s="306"/>
      <c r="C31" s="317" t="s">
        <v>268</v>
      </c>
      <c r="D31" s="318" t="s">
        <v>268</v>
      </c>
      <c r="E31" s="319">
        <v>0.7</v>
      </c>
      <c r="F31" s="318" t="s">
        <v>16</v>
      </c>
      <c r="G31" s="320" t="str">
        <f t="shared" ref="G31:G36" si="7">HYPERLINK("https://docs.google.com/document/d/1LwNkvhBzKISXS1ZVwePZRdJMUfKwnwVbP28CbGBwKcU/edit?usp=sharing","Link")</f>
        <v>Link</v>
      </c>
      <c r="H31" s="156"/>
      <c r="I31" s="156"/>
      <c r="J31" s="156"/>
      <c r="K31" s="156"/>
      <c r="L31" s="145"/>
    </row>
    <row r="32">
      <c r="A32" s="310" t="s">
        <v>11</v>
      </c>
      <c r="B32" s="306"/>
      <c r="C32" s="310" t="s">
        <v>269</v>
      </c>
      <c r="D32" s="310" t="s">
        <v>270</v>
      </c>
      <c r="E32" s="125" t="str">
        <f t="shared" ref="E32:E33" si="8">H32*0.453592</f>
        <v>0.34472992</v>
      </c>
      <c r="F32" s="122" t="s">
        <v>135</v>
      </c>
      <c r="G32" s="315" t="str">
        <f t="shared" si="7"/>
        <v>Link</v>
      </c>
      <c r="H32" s="241">
        <v>0.76</v>
      </c>
      <c r="I32" s="216" t="s">
        <v>78</v>
      </c>
      <c r="J32" s="156"/>
      <c r="K32" s="156"/>
      <c r="L32" s="145"/>
    </row>
    <row r="33">
      <c r="A33" s="318" t="s">
        <v>11</v>
      </c>
      <c r="B33" s="306"/>
      <c r="C33" s="318" t="s">
        <v>274</v>
      </c>
      <c r="D33" s="318" t="s">
        <v>275</v>
      </c>
      <c r="E33" s="135" t="str">
        <f t="shared" si="8"/>
        <v>0.54884632</v>
      </c>
      <c r="F33" s="134" t="s">
        <v>135</v>
      </c>
      <c r="G33" s="320" t="str">
        <f t="shared" si="7"/>
        <v>Link</v>
      </c>
      <c r="H33" s="241">
        <v>1.21</v>
      </c>
      <c r="I33" s="216" t="s">
        <v>78</v>
      </c>
      <c r="J33" s="156"/>
      <c r="K33" s="156"/>
      <c r="L33" s="145"/>
    </row>
    <row r="34">
      <c r="A34" s="310" t="s">
        <v>11</v>
      </c>
      <c r="B34" s="306"/>
      <c r="C34" s="310" t="s">
        <v>276</v>
      </c>
      <c r="D34" s="310" t="s">
        <v>179</v>
      </c>
      <c r="E34" s="312">
        <v>18.17</v>
      </c>
      <c r="F34" s="310" t="s">
        <v>16</v>
      </c>
      <c r="G34" s="315" t="str">
        <f t="shared" si="7"/>
        <v>Link</v>
      </c>
      <c r="H34" s="156"/>
      <c r="I34" s="156"/>
      <c r="J34" s="156"/>
      <c r="K34" s="156"/>
      <c r="L34" s="145"/>
    </row>
    <row r="35">
      <c r="A35" s="318" t="s">
        <v>11</v>
      </c>
      <c r="B35" s="306"/>
      <c r="C35" s="318" t="s">
        <v>277</v>
      </c>
      <c r="D35" s="318" t="s">
        <v>277</v>
      </c>
      <c r="E35" s="318">
        <v>4.44</v>
      </c>
      <c r="F35" s="318" t="s">
        <v>278</v>
      </c>
      <c r="G35" s="320" t="str">
        <f t="shared" si="7"/>
        <v>Link</v>
      </c>
      <c r="H35" s="156"/>
      <c r="I35" s="156"/>
      <c r="J35" s="156"/>
      <c r="K35" s="156"/>
      <c r="L35" s="145"/>
    </row>
    <row r="36">
      <c r="A36" s="310" t="s">
        <v>11</v>
      </c>
      <c r="B36" s="306"/>
      <c r="C36" s="310" t="s">
        <v>280</v>
      </c>
      <c r="D36" s="310" t="s">
        <v>280</v>
      </c>
      <c r="E36" s="310">
        <v>1.63</v>
      </c>
      <c r="F36" s="310" t="s">
        <v>278</v>
      </c>
      <c r="G36" s="315" t="str">
        <f t="shared" si="7"/>
        <v>Link</v>
      </c>
      <c r="H36" s="156"/>
      <c r="I36" s="156"/>
      <c r="J36" s="156"/>
      <c r="K36" s="216"/>
      <c r="L36" s="145"/>
    </row>
    <row r="37">
      <c r="A37" s="326"/>
      <c r="B37" s="327" t="s">
        <v>281</v>
      </c>
      <c r="C37" s="326"/>
      <c r="D37" s="326"/>
      <c r="E37" s="328"/>
      <c r="F37" s="326"/>
      <c r="G37" s="326"/>
      <c r="H37" s="216" t="s">
        <v>126</v>
      </c>
      <c r="I37" s="216" t="s">
        <v>284</v>
      </c>
      <c r="J37" s="216" t="s">
        <v>285</v>
      </c>
      <c r="K37" s="216" t="s">
        <v>138</v>
      </c>
      <c r="L37" s="331" t="str">
        <f>HYPERLINK("https://www.google.com/webhp?sourceid=chrome-instant&amp;ion=1&amp;espv=2&amp;ie=UTF-8#q=thickness%20or%20hardwood%20floor","thickness (ft)")</f>
        <v>thickness (ft)</v>
      </c>
    </row>
    <row r="38">
      <c r="A38" s="333" t="s">
        <v>26</v>
      </c>
      <c r="B38" s="327"/>
      <c r="C38" s="327" t="s">
        <v>281</v>
      </c>
      <c r="D38" s="333" t="s">
        <v>289</v>
      </c>
      <c r="E38" s="336" t="str">
        <f t="shared" ref="E38:E40" si="9">(H38*K38)*L38</f>
        <v>0.07571721042</v>
      </c>
      <c r="F38" s="336" t="s">
        <v>292</v>
      </c>
      <c r="G38" s="337" t="str">
        <f>HYPERLINK("http://web.mit.edu/2.813/www/readings/ICEv2.pdf.old","Link")</f>
        <v>Link</v>
      </c>
      <c r="H38" s="241">
        <v>0.19</v>
      </c>
      <c r="I38" s="216">
        <v>225.0</v>
      </c>
      <c r="J38" s="338" t="str">
        <f>HYPERLINK("http://www.engineeringtoolbox.com/wood-density-d_40.html","kg/m^3")</f>
        <v>kg/m^3</v>
      </c>
      <c r="K38" s="156" t="str">
        <f t="shared" ref="K38:K40" si="10">I38/(3.28^3)</f>
        <v>6.376186141</v>
      </c>
      <c r="L38" s="245" t="str">
        <f t="shared" ref="L38:L40" si="11">0.75/12</f>
        <v>0.0625</v>
      </c>
    </row>
    <row r="39">
      <c r="A39" s="341" t="s">
        <v>26</v>
      </c>
      <c r="B39" s="327"/>
      <c r="C39" s="327"/>
      <c r="D39" s="341" t="s">
        <v>298</v>
      </c>
      <c r="E39" s="342" t="str">
        <f t="shared" si="9"/>
        <v>0.0526920938</v>
      </c>
      <c r="F39" s="342" t="s">
        <v>292</v>
      </c>
      <c r="G39" s="344" t="str">
        <f>HYPERLINK("https://www.ucl.ac.uk/steapp/docs/htctw-docs/valuing-materials","Link")</f>
        <v>Link</v>
      </c>
      <c r="H39" s="241">
        <v>0.085</v>
      </c>
      <c r="I39" s="216">
        <v>350.0</v>
      </c>
      <c r="J39" s="259" t="str">
        <f>HYPERLINK("http://www.engineeringtoolbox.com/wood-density-d_40.html","kg/m3")</f>
        <v>kg/m3</v>
      </c>
      <c r="K39" s="156" t="str">
        <f t="shared" si="10"/>
        <v>9.918511774</v>
      </c>
      <c r="L39" s="245" t="str">
        <f t="shared" si="11"/>
        <v>0.0625</v>
      </c>
    </row>
    <row r="40">
      <c r="A40" s="346" t="s">
        <v>26</v>
      </c>
      <c r="B40" s="326"/>
      <c r="C40" s="327"/>
      <c r="D40" s="346" t="s">
        <v>300</v>
      </c>
      <c r="E40" s="347" t="str">
        <f t="shared" si="9"/>
        <v>1.096704016</v>
      </c>
      <c r="F40" s="347" t="s">
        <v>292</v>
      </c>
      <c r="G40" s="348" t="str">
        <f t="shared" ref="G40:G45" si="12">HYPERLINK("http://web.mit.edu/2.813/www/readings/ICEv2.pdf.old","Link")</f>
        <v>Link</v>
      </c>
      <c r="H40" s="241">
        <v>0.86</v>
      </c>
      <c r="I40" s="216">
        <v>720.0</v>
      </c>
      <c r="J40" s="216" t="s">
        <v>20</v>
      </c>
      <c r="K40" s="156" t="str">
        <f t="shared" si="10"/>
        <v>20.40379565</v>
      </c>
      <c r="L40" s="245" t="str">
        <f t="shared" si="11"/>
        <v>0.0625</v>
      </c>
    </row>
    <row r="41">
      <c r="A41" s="349" t="s">
        <v>26</v>
      </c>
      <c r="B41" s="326"/>
      <c r="C41" s="327"/>
      <c r="D41" s="349" t="s">
        <v>306</v>
      </c>
      <c r="E41" s="342" t="str">
        <f>H41/(3.28^2)</f>
        <v>0.9109161214</v>
      </c>
      <c r="F41" s="342" t="s">
        <v>292</v>
      </c>
      <c r="G41" s="344" t="str">
        <f t="shared" si="12"/>
        <v>Link</v>
      </c>
      <c r="H41" s="241">
        <v>9.8</v>
      </c>
      <c r="I41" s="156"/>
      <c r="J41" s="156"/>
      <c r="K41" s="156"/>
      <c r="L41" s="145"/>
    </row>
    <row r="42">
      <c r="A42" s="350" t="s">
        <v>26</v>
      </c>
      <c r="B42" s="352"/>
      <c r="C42" s="352"/>
      <c r="D42" s="350" t="s">
        <v>310</v>
      </c>
      <c r="E42" s="355" t="str">
        <f t="shared" ref="E42:E45" si="13">(H42*K42)*L42</f>
        <v>1.987244681</v>
      </c>
      <c r="F42" s="356" t="s">
        <v>292</v>
      </c>
      <c r="G42" s="357" t="str">
        <f t="shared" si="12"/>
        <v>Link</v>
      </c>
      <c r="H42" s="359">
        <v>0.66</v>
      </c>
      <c r="I42" s="216">
        <v>1700.0</v>
      </c>
      <c r="J42" s="216" t="s">
        <v>20</v>
      </c>
      <c r="K42" s="156" t="str">
        <f t="shared" ref="K42:K44" si="14">I42/(3.28^3)</f>
        <v>48.17562862</v>
      </c>
      <c r="L42" s="245" t="str">
        <f t="shared" ref="L42:L45" si="15">0.75/12</f>
        <v>0.0625</v>
      </c>
    </row>
    <row r="43">
      <c r="A43" s="333" t="s">
        <v>37</v>
      </c>
      <c r="B43" s="352"/>
      <c r="C43" s="352"/>
      <c r="D43" s="333" t="s">
        <v>315</v>
      </c>
      <c r="E43" s="362" t="str">
        <f t="shared" si="13"/>
        <v>0.396740471</v>
      </c>
      <c r="F43" s="336" t="s">
        <v>292</v>
      </c>
      <c r="G43" s="363" t="str">
        <f t="shared" si="12"/>
        <v>Link</v>
      </c>
      <c r="H43" s="359">
        <v>0.1</v>
      </c>
      <c r="I43" s="216">
        <v>2240.0</v>
      </c>
      <c r="J43" s="156"/>
      <c r="K43" s="156" t="str">
        <f t="shared" si="14"/>
        <v>63.47847536</v>
      </c>
      <c r="L43" s="245" t="str">
        <f t="shared" si="15"/>
        <v>0.0625</v>
      </c>
    </row>
    <row r="44">
      <c r="A44" s="350" t="s">
        <v>26</v>
      </c>
      <c r="B44" s="352"/>
      <c r="C44" s="352"/>
      <c r="D44" s="350" t="s">
        <v>318</v>
      </c>
      <c r="E44" s="366" t="str">
        <f t="shared" si="13"/>
        <v>2.57172841</v>
      </c>
      <c r="F44" s="356" t="s">
        <v>292</v>
      </c>
      <c r="G44" s="370" t="str">
        <f t="shared" si="12"/>
        <v>Link</v>
      </c>
      <c r="H44" s="359">
        <v>1.21</v>
      </c>
      <c r="I44" s="216">
        <v>1200.0</v>
      </c>
      <c r="J44" s="259" t="str">
        <f>HYPERLINK("http://www.engineeringtoolbox.com/density-solids-d_1265.html","kg/m^3")</f>
        <v>kg/m^3</v>
      </c>
      <c r="K44" s="156" t="str">
        <f t="shared" si="14"/>
        <v>34.00632608</v>
      </c>
      <c r="L44" s="245" t="str">
        <f t="shared" si="15"/>
        <v>0.0625</v>
      </c>
    </row>
    <row r="45">
      <c r="A45" s="333" t="s">
        <v>26</v>
      </c>
      <c r="B45" s="352"/>
      <c r="C45" s="352"/>
      <c r="D45" s="333" t="s">
        <v>321</v>
      </c>
      <c r="E45" s="362" t="str">
        <f t="shared" si="13"/>
        <v>6.32761875</v>
      </c>
      <c r="F45" s="336" t="s">
        <v>292</v>
      </c>
      <c r="G45" s="363" t="str">
        <f t="shared" si="12"/>
        <v>Link</v>
      </c>
      <c r="H45" s="359">
        <v>2.61</v>
      </c>
      <c r="I45" s="216">
        <v>1200.0</v>
      </c>
      <c r="J45" s="216" t="s">
        <v>20</v>
      </c>
      <c r="K45" s="216">
        <v>38.79</v>
      </c>
      <c r="L45" s="245" t="str">
        <f t="shared" si="15"/>
        <v>0.0625</v>
      </c>
    </row>
    <row r="46">
      <c r="A46" s="375"/>
      <c r="B46" s="376" t="s">
        <v>322</v>
      </c>
      <c r="C46" s="375"/>
      <c r="D46" s="377"/>
      <c r="E46" s="378"/>
      <c r="F46" s="380"/>
      <c r="G46" s="381"/>
      <c r="H46" s="156"/>
      <c r="I46" s="156"/>
      <c r="J46" s="156"/>
      <c r="K46" s="156"/>
      <c r="L46" s="245" t="s">
        <v>323</v>
      </c>
    </row>
    <row r="47">
      <c r="A47" s="382" t="s">
        <v>37</v>
      </c>
      <c r="B47" s="376"/>
      <c r="C47" s="376" t="s">
        <v>322</v>
      </c>
      <c r="D47" s="382" t="s">
        <v>324</v>
      </c>
      <c r="E47" s="383" t="str">
        <f>(H47*I47)/10.7639</f>
        <v>1.379611479</v>
      </c>
      <c r="F47" s="382" t="s">
        <v>175</v>
      </c>
      <c r="G47" s="385" t="s">
        <v>17</v>
      </c>
      <c r="H47" s="386">
        <v>2.7</v>
      </c>
      <c r="I47" s="216">
        <v>5.5</v>
      </c>
      <c r="J47" s="216" t="s">
        <v>325</v>
      </c>
      <c r="K47" s="156"/>
      <c r="L47" s="245"/>
    </row>
    <row r="48">
      <c r="A48" s="387" t="s">
        <v>37</v>
      </c>
      <c r="B48" s="376"/>
      <c r="C48" s="375"/>
      <c r="D48" s="387" t="s">
        <v>326</v>
      </c>
      <c r="E48" s="388" t="str">
        <f t="shared" ref="E48:E52" si="16">(H48*I48*L48)/10.7639</f>
        <v>0.4259329797</v>
      </c>
      <c r="F48" s="390" t="s">
        <v>175</v>
      </c>
      <c r="G48" s="391" t="s">
        <v>17</v>
      </c>
      <c r="H48" s="241">
        <v>0.38</v>
      </c>
      <c r="I48" s="216">
        <v>950.0</v>
      </c>
      <c r="J48" s="216" t="s">
        <v>20</v>
      </c>
      <c r="K48" s="156"/>
      <c r="L48" s="245">
        <v>0.0127</v>
      </c>
    </row>
    <row r="49">
      <c r="A49" s="392" t="s">
        <v>37</v>
      </c>
      <c r="B49" s="376"/>
      <c r="C49" s="375"/>
      <c r="D49" s="392" t="s">
        <v>329</v>
      </c>
      <c r="E49" s="393" t="str">
        <f t="shared" si="16"/>
        <v>0.1585744944</v>
      </c>
      <c r="F49" s="394" t="s">
        <v>175</v>
      </c>
      <c r="G49" s="395" t="s">
        <v>17</v>
      </c>
      <c r="H49" s="228">
        <v>0.12</v>
      </c>
      <c r="I49" s="216">
        <v>1120.0</v>
      </c>
      <c r="J49" s="216" t="s">
        <v>20</v>
      </c>
      <c r="K49" s="156"/>
      <c r="L49" s="245">
        <v>0.0127</v>
      </c>
    </row>
    <row r="50">
      <c r="A50" s="387" t="s">
        <v>37</v>
      </c>
      <c r="B50" s="376"/>
      <c r="C50" s="375"/>
      <c r="D50" s="387" t="s">
        <v>330</v>
      </c>
      <c r="E50" s="388" t="str">
        <f t="shared" si="16"/>
        <v>0.2477726475</v>
      </c>
      <c r="F50" s="390" t="s">
        <v>175</v>
      </c>
      <c r="G50" s="391" t="s">
        <v>17</v>
      </c>
      <c r="H50" s="228">
        <v>0.1</v>
      </c>
      <c r="I50" s="216">
        <v>2100.0</v>
      </c>
      <c r="J50" s="216" t="s">
        <v>20</v>
      </c>
      <c r="K50" s="156"/>
      <c r="L50" s="245">
        <v>0.0127</v>
      </c>
    </row>
    <row r="51">
      <c r="A51" s="397" t="s">
        <v>37</v>
      </c>
      <c r="B51" s="376"/>
      <c r="C51" s="375"/>
      <c r="D51" s="397" t="s">
        <v>332</v>
      </c>
      <c r="E51" s="398" t="str">
        <f t="shared" si="16"/>
        <v>1.035461125</v>
      </c>
      <c r="F51" s="382" t="s">
        <v>175</v>
      </c>
      <c r="G51" s="385" t="s">
        <v>17</v>
      </c>
      <c r="H51" s="228">
        <v>0.86</v>
      </c>
      <c r="I51" s="216">
        <v>720.0</v>
      </c>
      <c r="J51" s="216" t="s">
        <v>20</v>
      </c>
      <c r="K51" s="216"/>
      <c r="L51" s="245">
        <v>0.018</v>
      </c>
    </row>
    <row r="52">
      <c r="A52" s="387" t="s">
        <v>37</v>
      </c>
      <c r="B52" s="376"/>
      <c r="C52" s="375"/>
      <c r="D52" s="387" t="s">
        <v>333</v>
      </c>
      <c r="E52" s="388" t="str">
        <f t="shared" si="16"/>
        <v>0.4946534249</v>
      </c>
      <c r="F52" s="390" t="s">
        <v>175</v>
      </c>
      <c r="G52" s="391" t="s">
        <v>17</v>
      </c>
      <c r="H52" s="228">
        <v>0.58</v>
      </c>
      <c r="I52" s="216">
        <v>510.0</v>
      </c>
      <c r="J52" s="216" t="s">
        <v>20</v>
      </c>
      <c r="K52" s="156"/>
      <c r="L52" s="245">
        <v>0.018</v>
      </c>
    </row>
    <row r="53">
      <c r="A53" s="400"/>
      <c r="B53" s="402" t="s">
        <v>319</v>
      </c>
      <c r="C53" s="400"/>
      <c r="D53" s="202"/>
      <c r="E53" s="203"/>
      <c r="F53" s="404"/>
      <c r="G53" s="406"/>
      <c r="H53" s="228"/>
      <c r="I53" s="156"/>
      <c r="J53" s="156"/>
      <c r="K53" s="156"/>
      <c r="L53" s="145"/>
    </row>
    <row r="54">
      <c r="A54" s="407" t="s">
        <v>37</v>
      </c>
      <c r="B54" s="402"/>
      <c r="C54" s="408" t="s">
        <v>319</v>
      </c>
      <c r="D54" s="407" t="s">
        <v>334</v>
      </c>
      <c r="E54" s="410" t="str">
        <f t="shared" ref="E54:E58" si="17">(H54*I54*L54)/10.7639</f>
        <v>0.4259329797</v>
      </c>
      <c r="F54" s="411" t="s">
        <v>175</v>
      </c>
      <c r="G54" s="412" t="s">
        <v>17</v>
      </c>
      <c r="H54" s="241">
        <v>0.38</v>
      </c>
      <c r="I54" s="216">
        <v>950.0</v>
      </c>
      <c r="J54" s="216" t="s">
        <v>20</v>
      </c>
      <c r="K54" s="156"/>
      <c r="L54" s="245">
        <v>0.0127</v>
      </c>
    </row>
    <row r="55">
      <c r="A55" s="413" t="s">
        <v>37</v>
      </c>
      <c r="B55" s="402"/>
      <c r="C55" s="404"/>
      <c r="D55" s="413" t="s">
        <v>335</v>
      </c>
      <c r="E55" s="414" t="str">
        <f t="shared" si="17"/>
        <v>0.1585744944</v>
      </c>
      <c r="F55" s="415" t="s">
        <v>175</v>
      </c>
      <c r="G55" s="416" t="s">
        <v>17</v>
      </c>
      <c r="H55" s="228">
        <v>0.12</v>
      </c>
      <c r="I55" s="216">
        <v>1120.0</v>
      </c>
      <c r="J55" s="216" t="s">
        <v>20</v>
      </c>
      <c r="K55" s="156"/>
      <c r="L55" s="245">
        <v>0.0127</v>
      </c>
    </row>
    <row r="56">
      <c r="A56" s="417" t="s">
        <v>37</v>
      </c>
      <c r="B56" s="402"/>
      <c r="C56" s="404"/>
      <c r="D56" s="417" t="s">
        <v>337</v>
      </c>
      <c r="E56" s="418" t="str">
        <f t="shared" si="17"/>
        <v>0.3539051831</v>
      </c>
      <c r="F56" s="419" t="s">
        <v>175</v>
      </c>
      <c r="G56" s="420" t="s">
        <v>17</v>
      </c>
      <c r="H56" s="228">
        <v>0.1</v>
      </c>
      <c r="I56" s="216">
        <v>2100.0</v>
      </c>
      <c r="J56" s="216" t="s">
        <v>20</v>
      </c>
      <c r="K56" s="156"/>
      <c r="L56" s="245">
        <v>0.01814</v>
      </c>
    </row>
    <row r="57">
      <c r="A57" s="413" t="s">
        <v>37</v>
      </c>
      <c r="B57" s="402"/>
      <c r="C57" s="404"/>
      <c r="D57" s="413" t="s">
        <v>338</v>
      </c>
      <c r="E57" s="414" t="str">
        <f t="shared" si="17"/>
        <v>1.035461125</v>
      </c>
      <c r="F57" s="415" t="s">
        <v>175</v>
      </c>
      <c r="G57" s="416" t="s">
        <v>17</v>
      </c>
      <c r="H57" s="228">
        <v>0.86</v>
      </c>
      <c r="I57" s="216">
        <v>720.0</v>
      </c>
      <c r="J57" s="216" t="s">
        <v>20</v>
      </c>
      <c r="K57" s="156"/>
      <c r="L57" s="245">
        <v>0.018</v>
      </c>
    </row>
    <row r="58">
      <c r="A58" s="407" t="s">
        <v>37</v>
      </c>
      <c r="B58" s="402"/>
      <c r="C58" s="404"/>
      <c r="D58" s="407" t="s">
        <v>340</v>
      </c>
      <c r="E58" s="410" t="str">
        <f t="shared" si="17"/>
        <v>0.4946534249</v>
      </c>
      <c r="F58" s="411" t="s">
        <v>175</v>
      </c>
      <c r="G58" s="412" t="s">
        <v>17</v>
      </c>
      <c r="H58" s="228">
        <v>0.58</v>
      </c>
      <c r="I58" s="216">
        <v>510.0</v>
      </c>
      <c r="J58" s="216" t="s">
        <v>20</v>
      </c>
      <c r="K58" s="156"/>
      <c r="L58" s="245">
        <v>0.018</v>
      </c>
    </row>
    <row r="59">
      <c r="A59" s="422"/>
      <c r="B59" s="423" t="s">
        <v>341</v>
      </c>
      <c r="C59" s="422"/>
      <c r="D59" s="424"/>
      <c r="E59" s="425"/>
      <c r="F59" s="425"/>
      <c r="G59" s="425"/>
      <c r="H59" s="156"/>
      <c r="I59" s="156"/>
      <c r="J59" s="156"/>
      <c r="K59" s="156"/>
      <c r="L59" s="145"/>
    </row>
    <row r="60">
      <c r="A60" s="426"/>
      <c r="B60" s="422"/>
      <c r="C60" s="426" t="s">
        <v>342</v>
      </c>
      <c r="D60" s="427"/>
      <c r="E60" s="428"/>
      <c r="F60" s="429"/>
      <c r="G60" s="429"/>
      <c r="H60" s="156"/>
      <c r="I60" s="156"/>
      <c r="J60" s="156"/>
      <c r="K60" s="156"/>
      <c r="L60" s="145"/>
    </row>
    <row r="61">
      <c r="A61" s="426" t="s">
        <v>26</v>
      </c>
      <c r="B61" s="422"/>
      <c r="C61" s="426"/>
      <c r="D61" s="426" t="s">
        <v>344</v>
      </c>
      <c r="E61" s="430">
        <v>79.0</v>
      </c>
      <c r="F61" s="431" t="s">
        <v>345</v>
      </c>
      <c r="G61" s="433" t="str">
        <f t="shared" ref="G61:G67" si="18">HYPERLINK("https://www.fira.co.uk/document/fira-carbon-footprinting-document-2011.pdf","Link")</f>
        <v>Link</v>
      </c>
      <c r="H61" s="156"/>
      <c r="I61" s="156"/>
      <c r="J61" s="156"/>
      <c r="K61" s="156"/>
      <c r="L61" s="145"/>
    </row>
    <row r="62">
      <c r="A62" s="426" t="s">
        <v>26</v>
      </c>
      <c r="B62" s="422"/>
      <c r="C62" s="426"/>
      <c r="D62" s="426" t="s">
        <v>346</v>
      </c>
      <c r="E62" s="430">
        <v>33.0</v>
      </c>
      <c r="F62" s="431" t="s">
        <v>345</v>
      </c>
      <c r="G62" s="434" t="str">
        <f t="shared" si="18"/>
        <v>Link</v>
      </c>
      <c r="H62" s="156"/>
      <c r="I62" s="156"/>
      <c r="J62" s="156"/>
      <c r="K62" s="156"/>
      <c r="L62" s="145"/>
    </row>
    <row r="63">
      <c r="A63" s="426" t="s">
        <v>26</v>
      </c>
      <c r="B63" s="422"/>
      <c r="C63" s="426"/>
      <c r="D63" s="426" t="s">
        <v>348</v>
      </c>
      <c r="E63" s="430">
        <v>35.0</v>
      </c>
      <c r="F63" s="431" t="s">
        <v>345</v>
      </c>
      <c r="G63" s="435" t="str">
        <f t="shared" si="18"/>
        <v>Link</v>
      </c>
      <c r="H63" s="156"/>
      <c r="I63" s="156"/>
      <c r="J63" s="156"/>
      <c r="K63" s="156"/>
      <c r="L63" s="145"/>
    </row>
    <row r="64">
      <c r="A64" s="237" t="s">
        <v>26</v>
      </c>
      <c r="B64" s="294"/>
      <c r="C64" s="237"/>
      <c r="D64" s="237" t="s">
        <v>349</v>
      </c>
      <c r="E64" s="239">
        <v>22.0</v>
      </c>
      <c r="F64" s="298" t="s">
        <v>345</v>
      </c>
      <c r="G64" s="296" t="str">
        <f t="shared" si="18"/>
        <v>Link</v>
      </c>
      <c r="H64" s="156"/>
      <c r="I64" s="156"/>
      <c r="J64" s="156"/>
      <c r="K64" s="156"/>
      <c r="L64" s="145"/>
    </row>
    <row r="65">
      <c r="A65" s="436" t="s">
        <v>26</v>
      </c>
      <c r="B65" s="422"/>
      <c r="C65" s="436" t="s">
        <v>350</v>
      </c>
      <c r="D65" s="436"/>
      <c r="E65" s="437">
        <v>90.0</v>
      </c>
      <c r="F65" s="436" t="s">
        <v>345</v>
      </c>
      <c r="G65" s="438" t="str">
        <f t="shared" si="18"/>
        <v>Link</v>
      </c>
      <c r="H65" s="156"/>
      <c r="I65" s="156"/>
      <c r="J65" s="156"/>
      <c r="K65" s="156"/>
      <c r="L65" s="145"/>
    </row>
    <row r="66">
      <c r="A66" s="439" t="s">
        <v>26</v>
      </c>
      <c r="B66" s="422"/>
      <c r="C66" s="439" t="s">
        <v>351</v>
      </c>
      <c r="D66" s="440"/>
      <c r="E66" s="441">
        <v>228.0</v>
      </c>
      <c r="F66" s="439" t="s">
        <v>278</v>
      </c>
      <c r="G66" s="442" t="str">
        <f t="shared" si="18"/>
        <v>Link</v>
      </c>
      <c r="H66" s="156"/>
      <c r="I66" s="156"/>
      <c r="J66" s="156"/>
      <c r="K66" s="156"/>
      <c r="L66" s="145"/>
    </row>
    <row r="67">
      <c r="A67" s="443" t="s">
        <v>26</v>
      </c>
      <c r="B67" s="422"/>
      <c r="C67" s="443" t="s">
        <v>352</v>
      </c>
      <c r="D67" s="444"/>
      <c r="E67" s="445">
        <v>36.0</v>
      </c>
      <c r="F67" s="443" t="s">
        <v>278</v>
      </c>
      <c r="G67" s="446" t="str">
        <f t="shared" si="18"/>
        <v>Link</v>
      </c>
      <c r="H67" s="156"/>
      <c r="I67" s="156"/>
      <c r="J67" s="156"/>
      <c r="K67" s="156"/>
      <c r="L67" s="145"/>
    </row>
    <row r="68">
      <c r="A68" s="439"/>
      <c r="B68" s="422"/>
      <c r="C68" s="439" t="s">
        <v>353</v>
      </c>
      <c r="D68" s="440"/>
      <c r="E68" s="447"/>
      <c r="F68" s="440"/>
      <c r="G68" s="440"/>
      <c r="H68" s="156"/>
      <c r="I68" s="156"/>
      <c r="J68" s="156"/>
      <c r="K68" s="156"/>
      <c r="L68" s="145"/>
    </row>
    <row r="69">
      <c r="A69" s="439" t="s">
        <v>37</v>
      </c>
      <c r="B69" s="422"/>
      <c r="C69" s="439"/>
      <c r="D69" s="439" t="s">
        <v>354</v>
      </c>
      <c r="E69" s="441">
        <v>57.0</v>
      </c>
      <c r="F69" s="439" t="s">
        <v>345</v>
      </c>
      <c r="G69" s="442" t="str">
        <f>HYPERLINK("http://www.americanhardwood.org/fileadmin/docs/The_Wish_List_LCAs/rogers_moseley.pdf","Link")</f>
        <v>Link</v>
      </c>
      <c r="H69" s="156"/>
      <c r="I69" s="156"/>
      <c r="J69" s="156"/>
      <c r="K69" s="156"/>
      <c r="L69" s="145"/>
    </row>
    <row r="70">
      <c r="A70" s="439" t="s">
        <v>37</v>
      </c>
      <c r="B70" s="422"/>
      <c r="C70" s="439"/>
      <c r="D70" s="439" t="s">
        <v>272</v>
      </c>
      <c r="E70" s="441" t="s">
        <v>355</v>
      </c>
      <c r="F70" s="439" t="s">
        <v>345</v>
      </c>
      <c r="G70" s="442" t="str">
        <f>HYPERLINK("http://www.homedepot.com/p/Werner-6-ft-Aluminum-Step-Ladder-with-250-lb-Load-Capacity-Type-I-Duty-Rating-366/100659875","Link")</f>
        <v>Link</v>
      </c>
      <c r="H70" s="156"/>
      <c r="I70" s="156"/>
      <c r="J70" s="156"/>
      <c r="K70" s="156"/>
      <c r="L70" s="145"/>
    </row>
    <row r="71">
      <c r="A71" s="436" t="s">
        <v>37</v>
      </c>
      <c r="B71" s="422"/>
      <c r="C71" s="436" t="s">
        <v>356</v>
      </c>
      <c r="D71" s="436"/>
      <c r="E71" s="437">
        <v>326.15</v>
      </c>
      <c r="F71" s="436" t="s">
        <v>357</v>
      </c>
      <c r="G71" s="438" t="str">
        <f>HYPERLINK("https://docs.google.com/document/d/1RGJRWZSz6Pm3It8L2VC0OOwM9S7ytyMGF6GImQbeTHE/edit?usp=sharing","Link")</f>
        <v>Link</v>
      </c>
      <c r="H71" s="156"/>
      <c r="I71" s="156"/>
      <c r="J71" s="156"/>
      <c r="K71" s="156"/>
      <c r="L71" s="145"/>
    </row>
    <row r="72">
      <c r="H72" s="145"/>
      <c r="I72" s="145"/>
      <c r="J72" s="145"/>
      <c r="K72" s="145"/>
      <c r="L72" s="145"/>
    </row>
    <row r="73">
      <c r="H73" s="145"/>
      <c r="I73" s="145"/>
      <c r="J73" s="145"/>
      <c r="K73" s="145"/>
      <c r="L73" s="145"/>
    </row>
    <row r="74">
      <c r="H74" s="145"/>
      <c r="I74" s="145"/>
      <c r="J74" s="145"/>
      <c r="K74" s="145"/>
      <c r="L74" s="145"/>
    </row>
    <row r="75">
      <c r="H75" s="145"/>
      <c r="I75" s="145"/>
      <c r="J75" s="145"/>
      <c r="K75" s="145"/>
      <c r="L75" s="145"/>
    </row>
    <row r="76">
      <c r="H76" s="145"/>
      <c r="I76" s="145"/>
      <c r="J76" s="145"/>
      <c r="K76" s="145"/>
      <c r="L76" s="145"/>
    </row>
    <row r="77">
      <c r="H77" s="145"/>
      <c r="I77" s="145"/>
      <c r="J77" s="145"/>
      <c r="K77" s="145"/>
      <c r="L77" s="145"/>
    </row>
    <row r="78">
      <c r="H78" s="145"/>
      <c r="I78" s="145"/>
      <c r="J78" s="145"/>
      <c r="K78" s="145"/>
      <c r="L78" s="145"/>
    </row>
    <row r="79">
      <c r="H79" s="145"/>
      <c r="I79" s="145"/>
      <c r="J79" s="145"/>
      <c r="K79" s="145"/>
      <c r="L79" s="145"/>
    </row>
    <row r="80">
      <c r="H80" s="145"/>
      <c r="I80" s="145"/>
      <c r="J80" s="145"/>
      <c r="K80" s="145"/>
      <c r="L80" s="145"/>
    </row>
    <row r="81">
      <c r="H81" s="145"/>
      <c r="I81" s="145"/>
      <c r="J81" s="145"/>
      <c r="K81" s="145"/>
      <c r="L81" s="145"/>
    </row>
    <row r="82">
      <c r="H82" s="145"/>
      <c r="I82" s="145"/>
      <c r="J82" s="145"/>
      <c r="K82" s="145"/>
      <c r="L82" s="145"/>
    </row>
    <row r="83">
      <c r="H83" s="145"/>
      <c r="I83" s="145"/>
      <c r="J83" s="145"/>
      <c r="K83" s="145"/>
      <c r="L83" s="145"/>
    </row>
    <row r="84">
      <c r="E84" s="181"/>
      <c r="H84" s="145"/>
      <c r="I84" s="145"/>
      <c r="J84" s="145"/>
      <c r="K84" s="145"/>
      <c r="L84" s="145"/>
    </row>
    <row r="85">
      <c r="E85" s="181"/>
      <c r="H85" s="145"/>
      <c r="I85" s="145"/>
      <c r="J85" s="145"/>
      <c r="K85" s="145"/>
      <c r="L85" s="145"/>
    </row>
    <row r="86">
      <c r="E86" s="181"/>
      <c r="H86" s="145"/>
      <c r="I86" s="145"/>
      <c r="J86" s="145"/>
      <c r="K86" s="145"/>
      <c r="L86" s="145"/>
    </row>
    <row r="87">
      <c r="E87" s="181"/>
      <c r="H87" s="145"/>
      <c r="I87" s="145"/>
      <c r="J87" s="145"/>
      <c r="K87" s="145"/>
      <c r="L87" s="145"/>
    </row>
    <row r="88">
      <c r="E88" s="181"/>
      <c r="H88" s="145"/>
      <c r="I88" s="145"/>
      <c r="J88" s="145"/>
      <c r="K88" s="145"/>
      <c r="L88" s="145"/>
    </row>
    <row r="89">
      <c r="E89" s="181"/>
      <c r="H89" s="145"/>
      <c r="I89" s="145"/>
      <c r="J89" s="145"/>
      <c r="K89" s="145"/>
      <c r="L89" s="145"/>
    </row>
    <row r="90">
      <c r="E90" s="181"/>
      <c r="H90" s="145"/>
      <c r="I90" s="145"/>
      <c r="J90" s="145"/>
      <c r="K90" s="145"/>
      <c r="L90" s="145"/>
    </row>
    <row r="91">
      <c r="E91" s="181"/>
      <c r="H91" s="145"/>
      <c r="I91" s="145"/>
      <c r="J91" s="145"/>
      <c r="K91" s="145"/>
      <c r="L91" s="145"/>
    </row>
    <row r="92">
      <c r="E92" s="181"/>
      <c r="H92" s="145"/>
      <c r="I92" s="145"/>
      <c r="J92" s="145"/>
      <c r="K92" s="145"/>
      <c r="L92" s="145"/>
    </row>
    <row r="93">
      <c r="E93" s="181"/>
      <c r="H93" s="145"/>
      <c r="I93" s="145"/>
      <c r="J93" s="145"/>
      <c r="K93" s="145"/>
      <c r="L93" s="145"/>
    </row>
    <row r="94">
      <c r="E94" s="181"/>
      <c r="H94" s="145"/>
      <c r="I94" s="145"/>
      <c r="J94" s="145"/>
      <c r="K94" s="145"/>
      <c r="L94" s="145"/>
    </row>
    <row r="95">
      <c r="E95" s="181"/>
      <c r="H95" s="145"/>
      <c r="I95" s="145"/>
      <c r="J95" s="145"/>
      <c r="K95" s="145"/>
      <c r="L95" s="145"/>
    </row>
    <row r="96">
      <c r="E96" s="181"/>
      <c r="H96" s="145"/>
      <c r="I96" s="145"/>
      <c r="J96" s="145"/>
      <c r="K96" s="145"/>
      <c r="L96" s="145"/>
    </row>
    <row r="97">
      <c r="E97" s="181"/>
      <c r="H97" s="145"/>
      <c r="I97" s="145"/>
      <c r="J97" s="145"/>
      <c r="K97" s="145"/>
      <c r="L97" s="145"/>
    </row>
    <row r="98">
      <c r="E98" s="181"/>
      <c r="H98" s="145"/>
      <c r="I98" s="145"/>
      <c r="J98" s="145"/>
      <c r="K98" s="145"/>
      <c r="L98" s="145"/>
    </row>
    <row r="99">
      <c r="E99" s="181"/>
      <c r="H99" s="145"/>
      <c r="I99" s="145"/>
      <c r="J99" s="145"/>
      <c r="K99" s="145"/>
      <c r="L99" s="145"/>
    </row>
    <row r="100">
      <c r="E100" s="181"/>
      <c r="H100" s="145"/>
      <c r="I100" s="145"/>
      <c r="J100" s="145"/>
      <c r="K100" s="145"/>
      <c r="L100" s="145"/>
    </row>
    <row r="101">
      <c r="E101" s="181"/>
      <c r="H101" s="145"/>
      <c r="I101" s="145"/>
      <c r="J101" s="145"/>
      <c r="K101" s="145"/>
      <c r="L101" s="145"/>
    </row>
    <row r="102">
      <c r="E102" s="181"/>
      <c r="H102" s="145"/>
      <c r="I102" s="145"/>
      <c r="J102" s="145"/>
      <c r="K102" s="145"/>
      <c r="L102" s="145"/>
    </row>
    <row r="103">
      <c r="E103" s="181"/>
      <c r="H103" s="145"/>
      <c r="I103" s="145"/>
      <c r="J103" s="145"/>
      <c r="K103" s="145"/>
      <c r="L103" s="145"/>
    </row>
    <row r="104">
      <c r="E104" s="181"/>
      <c r="H104" s="145"/>
      <c r="I104" s="145"/>
      <c r="J104" s="145"/>
      <c r="K104" s="145"/>
      <c r="L104" s="145"/>
    </row>
    <row r="105">
      <c r="E105" s="181"/>
      <c r="H105" s="145"/>
      <c r="I105" s="145"/>
      <c r="J105" s="145"/>
      <c r="K105" s="145"/>
      <c r="L105" s="145"/>
    </row>
    <row r="106">
      <c r="E106" s="181"/>
      <c r="H106" s="145"/>
      <c r="I106" s="145"/>
      <c r="J106" s="145"/>
      <c r="K106" s="145"/>
      <c r="L106" s="145"/>
    </row>
    <row r="107">
      <c r="E107" s="181"/>
      <c r="H107" s="145"/>
      <c r="I107" s="145"/>
      <c r="J107" s="145"/>
      <c r="K107" s="145"/>
      <c r="L107" s="145"/>
    </row>
    <row r="108">
      <c r="E108" s="181"/>
      <c r="H108" s="145"/>
      <c r="I108" s="145"/>
      <c r="J108" s="145"/>
      <c r="K108" s="145"/>
      <c r="L108" s="145"/>
    </row>
    <row r="109">
      <c r="E109" s="181"/>
      <c r="H109" s="145"/>
      <c r="I109" s="145"/>
      <c r="J109" s="145"/>
      <c r="K109" s="145"/>
      <c r="L109" s="145"/>
    </row>
    <row r="110">
      <c r="E110" s="181"/>
      <c r="H110" s="145"/>
      <c r="I110" s="145"/>
      <c r="J110" s="145"/>
      <c r="K110" s="145"/>
      <c r="L110" s="145"/>
    </row>
    <row r="111">
      <c r="E111" s="181"/>
      <c r="H111" s="145"/>
      <c r="I111" s="145"/>
      <c r="J111" s="145"/>
      <c r="K111" s="145"/>
      <c r="L111" s="145"/>
    </row>
    <row r="112">
      <c r="E112" s="181"/>
      <c r="H112" s="145"/>
      <c r="I112" s="145"/>
      <c r="J112" s="145"/>
      <c r="K112" s="145"/>
      <c r="L112" s="145"/>
    </row>
    <row r="113">
      <c r="E113" s="181"/>
      <c r="H113" s="145"/>
      <c r="I113" s="145"/>
      <c r="J113" s="145"/>
      <c r="K113" s="145"/>
      <c r="L113" s="145"/>
    </row>
    <row r="114">
      <c r="E114" s="181"/>
      <c r="H114" s="145"/>
      <c r="I114" s="145"/>
      <c r="J114" s="145"/>
      <c r="K114" s="145"/>
      <c r="L114" s="145"/>
    </row>
    <row r="115">
      <c r="E115" s="181"/>
      <c r="H115" s="145"/>
      <c r="I115" s="145"/>
      <c r="J115" s="145"/>
      <c r="K115" s="145"/>
      <c r="L115" s="145"/>
    </row>
    <row r="116">
      <c r="E116" s="181"/>
      <c r="H116" s="145"/>
      <c r="I116" s="145"/>
      <c r="J116" s="145"/>
      <c r="K116" s="145"/>
      <c r="L116" s="145"/>
    </row>
    <row r="117">
      <c r="E117" s="181"/>
      <c r="H117" s="145"/>
      <c r="I117" s="145"/>
      <c r="J117" s="145"/>
      <c r="K117" s="145"/>
      <c r="L117" s="145"/>
    </row>
    <row r="118">
      <c r="E118" s="181"/>
      <c r="H118" s="145"/>
      <c r="I118" s="145"/>
      <c r="J118" s="145"/>
      <c r="K118" s="145"/>
      <c r="L118" s="145"/>
    </row>
    <row r="119">
      <c r="E119" s="181"/>
      <c r="H119" s="145"/>
      <c r="I119" s="145"/>
      <c r="J119" s="145"/>
      <c r="K119" s="145"/>
      <c r="L119" s="145"/>
    </row>
    <row r="120">
      <c r="E120" s="181"/>
      <c r="H120" s="145"/>
      <c r="I120" s="145"/>
      <c r="J120" s="145"/>
      <c r="K120" s="145"/>
      <c r="L120" s="145"/>
    </row>
    <row r="121">
      <c r="E121" s="181"/>
      <c r="H121" s="145"/>
      <c r="I121" s="145"/>
      <c r="J121" s="145"/>
      <c r="K121" s="145"/>
      <c r="L121" s="145"/>
    </row>
    <row r="122">
      <c r="E122" s="181"/>
      <c r="H122" s="145"/>
      <c r="I122" s="145"/>
      <c r="J122" s="145"/>
      <c r="K122" s="145"/>
      <c r="L122" s="145"/>
    </row>
    <row r="123">
      <c r="E123" s="181"/>
      <c r="H123" s="145"/>
      <c r="I123" s="145"/>
      <c r="J123" s="145"/>
      <c r="K123" s="145"/>
      <c r="L123" s="145"/>
    </row>
    <row r="124">
      <c r="E124" s="181"/>
      <c r="H124" s="145"/>
      <c r="I124" s="145"/>
      <c r="J124" s="145"/>
      <c r="K124" s="145"/>
      <c r="L124" s="145"/>
    </row>
    <row r="125">
      <c r="E125" s="181"/>
      <c r="H125" s="145"/>
      <c r="I125" s="145"/>
      <c r="J125" s="145"/>
      <c r="K125" s="145"/>
      <c r="L125" s="145"/>
    </row>
    <row r="126">
      <c r="E126" s="181"/>
      <c r="H126" s="145"/>
      <c r="I126" s="145"/>
      <c r="J126" s="145"/>
      <c r="K126" s="145"/>
      <c r="L126" s="145"/>
    </row>
    <row r="127">
      <c r="E127" s="181"/>
      <c r="H127" s="145"/>
      <c r="I127" s="145"/>
      <c r="J127" s="145"/>
      <c r="K127" s="145"/>
      <c r="L127" s="145"/>
    </row>
    <row r="128">
      <c r="E128" s="181"/>
      <c r="H128" s="145"/>
      <c r="I128" s="145"/>
      <c r="J128" s="145"/>
      <c r="K128" s="145"/>
      <c r="L128" s="145"/>
    </row>
    <row r="129">
      <c r="E129" s="181"/>
      <c r="H129" s="145"/>
      <c r="I129" s="145"/>
      <c r="J129" s="145"/>
      <c r="K129" s="145"/>
      <c r="L129" s="145"/>
    </row>
    <row r="130">
      <c r="E130" s="181"/>
      <c r="H130" s="145"/>
      <c r="I130" s="145"/>
      <c r="J130" s="145"/>
      <c r="K130" s="145"/>
      <c r="L130" s="145"/>
    </row>
    <row r="131">
      <c r="E131" s="181"/>
      <c r="H131" s="145"/>
      <c r="I131" s="145"/>
      <c r="J131" s="145"/>
      <c r="K131" s="145"/>
      <c r="L131" s="145"/>
    </row>
    <row r="132">
      <c r="E132" s="181"/>
      <c r="H132" s="145"/>
      <c r="I132" s="145"/>
      <c r="J132" s="145"/>
      <c r="K132" s="145"/>
      <c r="L132" s="145"/>
    </row>
    <row r="133">
      <c r="E133" s="181"/>
      <c r="H133" s="145"/>
      <c r="I133" s="145"/>
      <c r="J133" s="145"/>
      <c r="K133" s="145"/>
      <c r="L133" s="145"/>
    </row>
    <row r="134">
      <c r="E134" s="181"/>
      <c r="H134" s="145"/>
      <c r="I134" s="145"/>
      <c r="J134" s="145"/>
      <c r="K134" s="145"/>
      <c r="L134" s="145"/>
    </row>
    <row r="135">
      <c r="E135" s="181"/>
      <c r="H135" s="145"/>
      <c r="I135" s="145"/>
      <c r="J135" s="145"/>
      <c r="K135" s="145"/>
      <c r="L135" s="145"/>
    </row>
    <row r="136">
      <c r="E136" s="181"/>
      <c r="H136" s="145"/>
      <c r="I136" s="145"/>
      <c r="J136" s="145"/>
      <c r="K136" s="145"/>
      <c r="L136" s="145"/>
    </row>
    <row r="137">
      <c r="E137" s="181"/>
      <c r="H137" s="145"/>
      <c r="I137" s="145"/>
      <c r="J137" s="145"/>
      <c r="K137" s="145"/>
      <c r="L137" s="145"/>
    </row>
    <row r="138">
      <c r="E138" s="181"/>
      <c r="H138" s="145"/>
      <c r="I138" s="145"/>
      <c r="J138" s="145"/>
      <c r="K138" s="145"/>
      <c r="L138" s="145"/>
    </row>
    <row r="139">
      <c r="E139" s="181"/>
      <c r="H139" s="145"/>
      <c r="I139" s="145"/>
      <c r="J139" s="145"/>
      <c r="K139" s="145"/>
      <c r="L139" s="145"/>
    </row>
    <row r="140">
      <c r="E140" s="181"/>
      <c r="H140" s="145"/>
      <c r="I140" s="145"/>
      <c r="J140" s="145"/>
      <c r="K140" s="145"/>
      <c r="L140" s="145"/>
    </row>
    <row r="141">
      <c r="E141" s="181"/>
      <c r="H141" s="145"/>
      <c r="I141" s="145"/>
      <c r="J141" s="145"/>
      <c r="K141" s="145"/>
      <c r="L141" s="145"/>
    </row>
    <row r="142">
      <c r="E142" s="181"/>
      <c r="H142" s="145"/>
      <c r="I142" s="145"/>
      <c r="J142" s="145"/>
      <c r="K142" s="145"/>
      <c r="L142" s="145"/>
    </row>
    <row r="143">
      <c r="E143" s="181"/>
      <c r="H143" s="145"/>
      <c r="I143" s="145"/>
      <c r="J143" s="145"/>
      <c r="K143" s="145"/>
      <c r="L143" s="145"/>
    </row>
    <row r="144">
      <c r="E144" s="181"/>
      <c r="H144" s="145"/>
      <c r="I144" s="145"/>
      <c r="J144" s="145"/>
      <c r="K144" s="145"/>
      <c r="L144" s="145"/>
    </row>
    <row r="145">
      <c r="E145" s="181"/>
      <c r="H145" s="145"/>
      <c r="I145" s="145"/>
      <c r="J145" s="145"/>
      <c r="K145" s="145"/>
      <c r="L145" s="145"/>
    </row>
    <row r="146">
      <c r="E146" s="181"/>
      <c r="H146" s="145"/>
      <c r="I146" s="145"/>
      <c r="J146" s="145"/>
      <c r="K146" s="145"/>
      <c r="L146" s="145"/>
    </row>
    <row r="147">
      <c r="E147" s="181"/>
      <c r="H147" s="145"/>
      <c r="I147" s="145"/>
      <c r="J147" s="145"/>
      <c r="K147" s="145"/>
      <c r="L147" s="145"/>
    </row>
    <row r="148">
      <c r="E148" s="181"/>
      <c r="H148" s="145"/>
      <c r="I148" s="145"/>
      <c r="J148" s="145"/>
      <c r="K148" s="145"/>
      <c r="L148" s="145"/>
    </row>
    <row r="149">
      <c r="E149" s="181"/>
      <c r="H149" s="145"/>
      <c r="I149" s="145"/>
      <c r="J149" s="145"/>
      <c r="K149" s="145"/>
      <c r="L149" s="145"/>
    </row>
    <row r="150">
      <c r="E150" s="181"/>
      <c r="H150" s="145"/>
      <c r="I150" s="145"/>
      <c r="J150" s="145"/>
      <c r="K150" s="145"/>
      <c r="L150" s="145"/>
    </row>
    <row r="151">
      <c r="E151" s="181"/>
      <c r="H151" s="145"/>
      <c r="I151" s="145"/>
      <c r="J151" s="145"/>
      <c r="K151" s="145"/>
      <c r="L151" s="145"/>
    </row>
    <row r="152">
      <c r="E152" s="181"/>
      <c r="H152" s="145"/>
      <c r="I152" s="145"/>
      <c r="J152" s="145"/>
      <c r="K152" s="145"/>
      <c r="L152" s="145"/>
    </row>
    <row r="153">
      <c r="E153" s="181"/>
      <c r="H153" s="145"/>
      <c r="I153" s="145"/>
      <c r="J153" s="145"/>
      <c r="K153" s="145"/>
      <c r="L153" s="145"/>
    </row>
    <row r="154">
      <c r="E154" s="181"/>
      <c r="H154" s="145"/>
      <c r="I154" s="145"/>
      <c r="J154" s="145"/>
      <c r="K154" s="145"/>
      <c r="L154" s="145"/>
    </row>
    <row r="155">
      <c r="E155" s="181"/>
      <c r="H155" s="145"/>
      <c r="I155" s="145"/>
      <c r="J155" s="145"/>
      <c r="K155" s="145"/>
      <c r="L155" s="145"/>
    </row>
    <row r="156">
      <c r="E156" s="181"/>
      <c r="H156" s="145"/>
      <c r="I156" s="145"/>
      <c r="J156" s="145"/>
      <c r="K156" s="145"/>
      <c r="L156" s="145"/>
    </row>
    <row r="157">
      <c r="E157" s="181"/>
      <c r="H157" s="145"/>
      <c r="I157" s="145"/>
      <c r="J157" s="145"/>
      <c r="K157" s="145"/>
      <c r="L157" s="145"/>
    </row>
    <row r="158">
      <c r="E158" s="181"/>
      <c r="H158" s="145"/>
      <c r="I158" s="145"/>
      <c r="J158" s="145"/>
      <c r="K158" s="145"/>
      <c r="L158" s="145"/>
    </row>
    <row r="159">
      <c r="E159" s="181"/>
      <c r="H159" s="145"/>
      <c r="I159" s="145"/>
      <c r="J159" s="145"/>
      <c r="K159" s="145"/>
      <c r="L159" s="145"/>
    </row>
    <row r="160">
      <c r="E160" s="181"/>
      <c r="H160" s="145"/>
      <c r="I160" s="145"/>
      <c r="J160" s="145"/>
      <c r="K160" s="145"/>
      <c r="L160" s="145"/>
    </row>
    <row r="161">
      <c r="E161" s="181"/>
      <c r="H161" s="145"/>
      <c r="I161" s="145"/>
      <c r="J161" s="145"/>
      <c r="K161" s="145"/>
      <c r="L161" s="145"/>
    </row>
    <row r="162">
      <c r="E162" s="181"/>
      <c r="H162" s="145"/>
      <c r="I162" s="145"/>
      <c r="J162" s="145"/>
      <c r="K162" s="145"/>
      <c r="L162" s="145"/>
    </row>
    <row r="163">
      <c r="E163" s="181"/>
      <c r="H163" s="145"/>
      <c r="I163" s="145"/>
      <c r="J163" s="145"/>
      <c r="K163" s="145"/>
      <c r="L163" s="145"/>
    </row>
    <row r="164">
      <c r="E164" s="181"/>
      <c r="H164" s="145"/>
      <c r="I164" s="145"/>
      <c r="J164" s="145"/>
      <c r="K164" s="145"/>
      <c r="L164" s="145"/>
    </row>
    <row r="165">
      <c r="E165" s="181"/>
      <c r="H165" s="145"/>
      <c r="I165" s="145"/>
      <c r="J165" s="145"/>
      <c r="K165" s="145"/>
      <c r="L165" s="145"/>
    </row>
    <row r="166">
      <c r="E166" s="181"/>
      <c r="H166" s="145"/>
      <c r="I166" s="145"/>
      <c r="J166" s="145"/>
      <c r="K166" s="145"/>
      <c r="L166" s="145"/>
    </row>
    <row r="167">
      <c r="E167" s="181"/>
      <c r="H167" s="145"/>
      <c r="I167" s="145"/>
      <c r="J167" s="145"/>
      <c r="K167" s="145"/>
      <c r="L167" s="145"/>
    </row>
    <row r="168">
      <c r="E168" s="181"/>
      <c r="H168" s="145"/>
      <c r="I168" s="145"/>
      <c r="J168" s="145"/>
      <c r="K168" s="145"/>
      <c r="L168" s="145"/>
    </row>
    <row r="169">
      <c r="E169" s="181"/>
      <c r="H169" s="145"/>
      <c r="I169" s="145"/>
      <c r="J169" s="145"/>
      <c r="K169" s="145"/>
      <c r="L169" s="145"/>
    </row>
    <row r="170">
      <c r="E170" s="181"/>
      <c r="H170" s="145"/>
      <c r="I170" s="145"/>
      <c r="J170" s="145"/>
      <c r="K170" s="145"/>
      <c r="L170" s="145"/>
    </row>
    <row r="171">
      <c r="E171" s="181"/>
      <c r="H171" s="145"/>
      <c r="I171" s="145"/>
      <c r="J171" s="145"/>
      <c r="K171" s="145"/>
      <c r="L171" s="145"/>
    </row>
    <row r="172">
      <c r="E172" s="181"/>
      <c r="H172" s="145"/>
      <c r="I172" s="145"/>
      <c r="J172" s="145"/>
      <c r="K172" s="145"/>
      <c r="L172" s="145"/>
    </row>
    <row r="173">
      <c r="E173" s="181"/>
      <c r="H173" s="145"/>
      <c r="I173" s="145"/>
      <c r="J173" s="145"/>
      <c r="K173" s="145"/>
      <c r="L173" s="145"/>
    </row>
    <row r="174">
      <c r="E174" s="181"/>
      <c r="H174" s="145"/>
      <c r="I174" s="145"/>
      <c r="J174" s="145"/>
      <c r="K174" s="145"/>
      <c r="L174" s="145"/>
    </row>
    <row r="175">
      <c r="E175" s="181"/>
      <c r="H175" s="145"/>
      <c r="I175" s="145"/>
      <c r="J175" s="145"/>
      <c r="K175" s="145"/>
      <c r="L175" s="145"/>
    </row>
    <row r="176">
      <c r="E176" s="181"/>
      <c r="H176" s="145"/>
      <c r="I176" s="145"/>
      <c r="J176" s="145"/>
      <c r="K176" s="145"/>
      <c r="L176" s="145"/>
    </row>
    <row r="177">
      <c r="E177" s="181"/>
      <c r="H177" s="145"/>
      <c r="I177" s="145"/>
      <c r="J177" s="145"/>
      <c r="K177" s="145"/>
      <c r="L177" s="145"/>
    </row>
    <row r="178">
      <c r="E178" s="181"/>
      <c r="H178" s="145"/>
      <c r="I178" s="145"/>
      <c r="J178" s="145"/>
      <c r="K178" s="145"/>
      <c r="L178" s="145"/>
    </row>
    <row r="179">
      <c r="E179" s="181"/>
      <c r="H179" s="145"/>
      <c r="I179" s="145"/>
      <c r="J179" s="145"/>
      <c r="K179" s="145"/>
      <c r="L179" s="145"/>
    </row>
    <row r="180">
      <c r="E180" s="181"/>
      <c r="H180" s="145"/>
      <c r="I180" s="145"/>
      <c r="J180" s="145"/>
      <c r="K180" s="145"/>
      <c r="L180" s="145"/>
    </row>
    <row r="181">
      <c r="E181" s="181"/>
      <c r="H181" s="145"/>
      <c r="I181" s="145"/>
      <c r="J181" s="145"/>
      <c r="K181" s="145"/>
      <c r="L181" s="145"/>
    </row>
    <row r="182">
      <c r="E182" s="181"/>
      <c r="H182" s="145"/>
      <c r="I182" s="145"/>
      <c r="J182" s="145"/>
      <c r="K182" s="145"/>
      <c r="L182" s="145"/>
    </row>
    <row r="183">
      <c r="E183" s="181"/>
      <c r="H183" s="145"/>
      <c r="I183" s="145"/>
      <c r="J183" s="145"/>
      <c r="K183" s="145"/>
      <c r="L183" s="145"/>
    </row>
    <row r="184">
      <c r="E184" s="181"/>
      <c r="H184" s="145"/>
      <c r="I184" s="145"/>
      <c r="J184" s="145"/>
      <c r="K184" s="145"/>
      <c r="L184" s="145"/>
    </row>
    <row r="185">
      <c r="E185" s="181"/>
      <c r="H185" s="145"/>
      <c r="I185" s="145"/>
      <c r="J185" s="145"/>
      <c r="K185" s="145"/>
      <c r="L185" s="145"/>
    </row>
    <row r="186">
      <c r="E186" s="181"/>
      <c r="H186" s="145"/>
      <c r="I186" s="145"/>
      <c r="J186" s="145"/>
      <c r="K186" s="145"/>
      <c r="L186" s="145"/>
    </row>
    <row r="187">
      <c r="E187" s="181"/>
      <c r="H187" s="145"/>
      <c r="I187" s="145"/>
      <c r="J187" s="145"/>
      <c r="K187" s="145"/>
      <c r="L187" s="145"/>
    </row>
    <row r="188">
      <c r="E188" s="181"/>
      <c r="H188" s="145"/>
      <c r="I188" s="145"/>
      <c r="J188" s="145"/>
      <c r="K188" s="145"/>
      <c r="L188" s="145"/>
    </row>
    <row r="189">
      <c r="E189" s="181"/>
      <c r="H189" s="145"/>
      <c r="I189" s="145"/>
      <c r="J189" s="145"/>
      <c r="K189" s="145"/>
      <c r="L189" s="145"/>
    </row>
    <row r="190">
      <c r="E190" s="181"/>
      <c r="H190" s="145"/>
      <c r="I190" s="145"/>
      <c r="J190" s="145"/>
      <c r="K190" s="145"/>
      <c r="L190" s="145"/>
    </row>
    <row r="191">
      <c r="E191" s="181"/>
      <c r="H191" s="145"/>
      <c r="I191" s="145"/>
      <c r="J191" s="145"/>
      <c r="K191" s="145"/>
      <c r="L191" s="145"/>
    </row>
    <row r="192">
      <c r="E192" s="181"/>
      <c r="H192" s="145"/>
      <c r="I192" s="145"/>
      <c r="J192" s="145"/>
      <c r="K192" s="145"/>
      <c r="L192" s="145"/>
    </row>
    <row r="193">
      <c r="E193" s="181"/>
      <c r="H193" s="145"/>
      <c r="I193" s="145"/>
      <c r="J193" s="145"/>
      <c r="K193" s="145"/>
      <c r="L193" s="145"/>
    </row>
    <row r="194">
      <c r="E194" s="181"/>
      <c r="H194" s="145"/>
      <c r="I194" s="145"/>
      <c r="J194" s="145"/>
      <c r="K194" s="145"/>
      <c r="L194" s="145"/>
    </row>
    <row r="195">
      <c r="E195" s="181"/>
      <c r="H195" s="145"/>
      <c r="I195" s="145"/>
      <c r="J195" s="145"/>
      <c r="K195" s="145"/>
      <c r="L195" s="145"/>
    </row>
    <row r="196">
      <c r="E196" s="181"/>
      <c r="H196" s="145"/>
      <c r="I196" s="145"/>
      <c r="J196" s="145"/>
      <c r="K196" s="145"/>
      <c r="L196" s="145"/>
    </row>
    <row r="197">
      <c r="H197" s="145"/>
      <c r="I197" s="145"/>
      <c r="J197" s="145"/>
      <c r="K197" s="145"/>
      <c r="L197" s="145"/>
    </row>
    <row r="198">
      <c r="H198" s="145"/>
      <c r="I198" s="145"/>
      <c r="J198" s="145"/>
      <c r="K198" s="145"/>
      <c r="L198" s="145"/>
    </row>
    <row r="199">
      <c r="H199" s="145"/>
      <c r="I199" s="145"/>
      <c r="J199" s="145"/>
      <c r="K199" s="145"/>
      <c r="L199" s="145"/>
    </row>
    <row r="200">
      <c r="H200" s="145"/>
      <c r="I200" s="145"/>
      <c r="J200" s="145"/>
      <c r="K200" s="145"/>
      <c r="L200" s="145"/>
    </row>
    <row r="201">
      <c r="H201" s="145"/>
      <c r="I201" s="145"/>
      <c r="J201" s="145"/>
      <c r="K201" s="145"/>
      <c r="L201" s="145"/>
    </row>
    <row r="202">
      <c r="H202" s="145"/>
      <c r="I202" s="145"/>
      <c r="J202" s="145"/>
      <c r="K202" s="145"/>
      <c r="L202" s="145"/>
    </row>
    <row r="203">
      <c r="H203" s="145"/>
      <c r="I203" s="145"/>
      <c r="J203" s="145"/>
      <c r="K203" s="145"/>
      <c r="L203" s="145"/>
    </row>
    <row r="204">
      <c r="H204" s="145"/>
      <c r="I204" s="145"/>
      <c r="J204" s="145"/>
      <c r="K204" s="145"/>
      <c r="L204" s="145"/>
    </row>
    <row r="205">
      <c r="H205" s="145"/>
      <c r="I205" s="145"/>
      <c r="J205" s="145"/>
      <c r="K205" s="145"/>
      <c r="L205" s="145"/>
    </row>
    <row r="206">
      <c r="H206" s="145"/>
      <c r="I206" s="145"/>
      <c r="J206" s="145"/>
      <c r="K206" s="145"/>
      <c r="L206" s="145"/>
    </row>
    <row r="207">
      <c r="H207" s="145"/>
      <c r="I207" s="145"/>
      <c r="J207" s="145"/>
      <c r="K207" s="145"/>
      <c r="L207" s="145"/>
    </row>
    <row r="208">
      <c r="H208" s="145"/>
      <c r="I208" s="145"/>
      <c r="J208" s="145"/>
      <c r="K208" s="145"/>
      <c r="L208" s="145"/>
    </row>
    <row r="209">
      <c r="H209" s="145"/>
      <c r="I209" s="145"/>
      <c r="J209" s="145"/>
      <c r="K209" s="145"/>
      <c r="L209" s="145"/>
    </row>
    <row r="210">
      <c r="H210" s="145"/>
      <c r="I210" s="145"/>
      <c r="J210" s="145"/>
      <c r="K210" s="145"/>
      <c r="L210" s="145"/>
    </row>
    <row r="211">
      <c r="H211" s="145"/>
      <c r="I211" s="145"/>
      <c r="J211" s="145"/>
      <c r="K211" s="145"/>
      <c r="L211" s="145"/>
    </row>
    <row r="212">
      <c r="H212" s="145"/>
      <c r="I212" s="145"/>
      <c r="J212" s="145"/>
      <c r="K212" s="145"/>
      <c r="L212" s="145"/>
    </row>
    <row r="213">
      <c r="H213" s="145"/>
      <c r="I213" s="145"/>
      <c r="J213" s="145"/>
      <c r="K213" s="145"/>
      <c r="L213" s="145"/>
    </row>
    <row r="214">
      <c r="H214" s="145"/>
      <c r="I214" s="145"/>
      <c r="J214" s="145"/>
      <c r="K214" s="145"/>
      <c r="L214" s="145"/>
    </row>
    <row r="215">
      <c r="H215" s="145"/>
      <c r="I215" s="145"/>
      <c r="J215" s="145"/>
      <c r="K215" s="145"/>
      <c r="L215" s="145"/>
    </row>
    <row r="216">
      <c r="H216" s="145"/>
      <c r="I216" s="145"/>
      <c r="J216" s="145"/>
      <c r="K216" s="145"/>
      <c r="L216" s="145"/>
    </row>
    <row r="217">
      <c r="H217" s="145"/>
      <c r="I217" s="145"/>
      <c r="J217" s="145"/>
      <c r="K217" s="145"/>
      <c r="L217" s="145"/>
    </row>
    <row r="218">
      <c r="H218" s="145"/>
      <c r="I218" s="145"/>
      <c r="J218" s="145"/>
      <c r="K218" s="145"/>
      <c r="L218" s="145"/>
    </row>
    <row r="219">
      <c r="H219" s="145"/>
      <c r="I219" s="145"/>
      <c r="J219" s="145"/>
      <c r="K219" s="145"/>
      <c r="L219" s="145"/>
    </row>
    <row r="220">
      <c r="H220" s="145"/>
      <c r="I220" s="145"/>
      <c r="J220" s="145"/>
      <c r="K220" s="145"/>
      <c r="L220" s="145"/>
    </row>
    <row r="221">
      <c r="H221" s="145"/>
      <c r="I221" s="145"/>
      <c r="J221" s="145"/>
      <c r="K221" s="145"/>
      <c r="L221" s="145"/>
    </row>
    <row r="222">
      <c r="H222" s="145"/>
      <c r="I222" s="145"/>
      <c r="J222" s="145"/>
      <c r="K222" s="145"/>
      <c r="L222" s="145"/>
    </row>
    <row r="223">
      <c r="H223" s="145"/>
      <c r="I223" s="145"/>
      <c r="J223" s="145"/>
      <c r="K223" s="145"/>
      <c r="L223" s="145"/>
    </row>
    <row r="224">
      <c r="H224" s="145"/>
      <c r="I224" s="145"/>
      <c r="J224" s="145"/>
      <c r="K224" s="145"/>
      <c r="L224" s="145"/>
    </row>
    <row r="225">
      <c r="H225" s="145"/>
      <c r="I225" s="145"/>
      <c r="J225" s="145"/>
      <c r="K225" s="145"/>
      <c r="L225" s="145"/>
    </row>
    <row r="226">
      <c r="H226" s="145"/>
      <c r="I226" s="145"/>
      <c r="J226" s="145"/>
      <c r="K226" s="145"/>
      <c r="L226" s="145"/>
    </row>
    <row r="227">
      <c r="H227" s="145"/>
      <c r="I227" s="145"/>
      <c r="J227" s="145"/>
      <c r="K227" s="145"/>
      <c r="L227" s="145"/>
    </row>
    <row r="228">
      <c r="H228" s="145"/>
      <c r="I228" s="145"/>
      <c r="J228" s="145"/>
      <c r="K228" s="145"/>
      <c r="L228" s="145"/>
    </row>
    <row r="229">
      <c r="H229" s="145"/>
      <c r="I229" s="145"/>
      <c r="J229" s="145"/>
      <c r="K229" s="145"/>
      <c r="L229" s="145"/>
    </row>
    <row r="230">
      <c r="H230" s="145"/>
      <c r="I230" s="145"/>
      <c r="J230" s="145"/>
      <c r="K230" s="145"/>
      <c r="L230" s="145"/>
    </row>
    <row r="231">
      <c r="H231" s="145"/>
      <c r="I231" s="145"/>
      <c r="J231" s="145"/>
      <c r="K231" s="145"/>
      <c r="L231" s="145"/>
    </row>
    <row r="232">
      <c r="H232" s="145"/>
      <c r="I232" s="145"/>
      <c r="J232" s="145"/>
      <c r="K232" s="145"/>
      <c r="L232" s="145"/>
    </row>
    <row r="233">
      <c r="H233" s="145"/>
      <c r="I233" s="145"/>
      <c r="J233" s="145"/>
      <c r="K233" s="145"/>
      <c r="L233" s="145"/>
    </row>
    <row r="234">
      <c r="H234" s="145"/>
      <c r="I234" s="145"/>
      <c r="J234" s="145"/>
      <c r="K234" s="145"/>
      <c r="L234" s="145"/>
    </row>
    <row r="235">
      <c r="H235" s="145"/>
      <c r="I235" s="145"/>
      <c r="J235" s="145"/>
      <c r="K235" s="145"/>
      <c r="L235" s="145"/>
    </row>
    <row r="236">
      <c r="H236" s="145"/>
      <c r="I236" s="145"/>
      <c r="J236" s="145"/>
      <c r="K236" s="145"/>
      <c r="L236" s="145"/>
    </row>
    <row r="237">
      <c r="H237" s="145"/>
      <c r="I237" s="145"/>
      <c r="J237" s="145"/>
      <c r="K237" s="145"/>
      <c r="L237" s="145"/>
    </row>
    <row r="238">
      <c r="H238" s="145"/>
      <c r="I238" s="145"/>
      <c r="J238" s="145"/>
      <c r="K238" s="145"/>
      <c r="L238" s="145"/>
    </row>
    <row r="239">
      <c r="H239" s="145"/>
      <c r="I239" s="145"/>
      <c r="J239" s="145"/>
      <c r="K239" s="145"/>
      <c r="L239" s="145"/>
    </row>
    <row r="240">
      <c r="H240" s="145"/>
      <c r="I240" s="145"/>
      <c r="J240" s="145"/>
      <c r="K240" s="145"/>
      <c r="L240" s="145"/>
    </row>
    <row r="241">
      <c r="H241" s="145"/>
      <c r="I241" s="145"/>
      <c r="J241" s="145"/>
      <c r="K241" s="145"/>
      <c r="L241" s="145"/>
    </row>
    <row r="242">
      <c r="H242" s="145"/>
      <c r="I242" s="145"/>
      <c r="J242" s="145"/>
      <c r="K242" s="145"/>
      <c r="L242" s="145"/>
    </row>
    <row r="243">
      <c r="H243" s="145"/>
      <c r="I243" s="145"/>
      <c r="J243" s="145"/>
      <c r="K243" s="145"/>
      <c r="L243" s="145"/>
    </row>
    <row r="244">
      <c r="H244" s="145"/>
      <c r="I244" s="145"/>
      <c r="J244" s="145"/>
      <c r="K244" s="145"/>
      <c r="L244" s="145"/>
    </row>
    <row r="245">
      <c r="H245" s="145"/>
      <c r="I245" s="145"/>
      <c r="J245" s="145"/>
      <c r="K245" s="145"/>
      <c r="L245" s="145"/>
    </row>
    <row r="246">
      <c r="H246" s="145"/>
      <c r="I246" s="145"/>
      <c r="J246" s="145"/>
      <c r="K246" s="145"/>
      <c r="L246" s="145"/>
    </row>
    <row r="247">
      <c r="H247" s="145"/>
      <c r="I247" s="145"/>
      <c r="J247" s="145"/>
      <c r="K247" s="145"/>
      <c r="L247" s="145"/>
    </row>
    <row r="248">
      <c r="H248" s="145"/>
      <c r="I248" s="145"/>
      <c r="J248" s="145"/>
      <c r="K248" s="145"/>
      <c r="L248" s="145"/>
    </row>
    <row r="249">
      <c r="H249" s="145"/>
      <c r="I249" s="145"/>
      <c r="J249" s="145"/>
      <c r="K249" s="145"/>
      <c r="L249" s="145"/>
    </row>
    <row r="250">
      <c r="H250" s="145"/>
      <c r="I250" s="145"/>
      <c r="J250" s="145"/>
      <c r="K250" s="145"/>
      <c r="L250" s="145"/>
    </row>
    <row r="251">
      <c r="H251" s="145"/>
      <c r="I251" s="145"/>
      <c r="J251" s="145"/>
      <c r="K251" s="145"/>
      <c r="L251" s="145"/>
    </row>
    <row r="252">
      <c r="H252" s="145"/>
      <c r="I252" s="145"/>
      <c r="J252" s="145"/>
      <c r="K252" s="145"/>
      <c r="L252" s="145"/>
    </row>
    <row r="253">
      <c r="H253" s="145"/>
      <c r="I253" s="145"/>
      <c r="J253" s="145"/>
      <c r="K253" s="145"/>
      <c r="L253" s="145"/>
    </row>
    <row r="254">
      <c r="H254" s="145"/>
      <c r="I254" s="145"/>
      <c r="J254" s="145"/>
      <c r="K254" s="145"/>
      <c r="L254" s="145"/>
    </row>
    <row r="255">
      <c r="H255" s="145"/>
      <c r="I255" s="145"/>
      <c r="J255" s="145"/>
      <c r="K255" s="145"/>
      <c r="L255" s="145"/>
    </row>
    <row r="256">
      <c r="H256" s="145"/>
      <c r="I256" s="145"/>
      <c r="J256" s="145"/>
      <c r="K256" s="145"/>
      <c r="L256" s="145"/>
    </row>
    <row r="257">
      <c r="H257" s="145"/>
      <c r="I257" s="145"/>
      <c r="J257" s="145"/>
      <c r="K257" s="145"/>
      <c r="L257" s="145"/>
    </row>
    <row r="258">
      <c r="H258" s="145"/>
      <c r="I258" s="145"/>
      <c r="J258" s="145"/>
      <c r="K258" s="145"/>
      <c r="L258" s="145"/>
    </row>
    <row r="259">
      <c r="H259" s="145"/>
      <c r="I259" s="145"/>
      <c r="J259" s="145"/>
      <c r="K259" s="145"/>
      <c r="L259" s="145"/>
    </row>
    <row r="260">
      <c r="H260" s="145"/>
      <c r="I260" s="145"/>
      <c r="J260" s="145"/>
      <c r="K260" s="145"/>
      <c r="L260" s="145"/>
    </row>
    <row r="261">
      <c r="H261" s="145"/>
      <c r="I261" s="145"/>
      <c r="J261" s="145"/>
      <c r="K261" s="145"/>
      <c r="L261" s="145"/>
    </row>
    <row r="262">
      <c r="H262" s="145"/>
      <c r="I262" s="145"/>
      <c r="J262" s="145"/>
      <c r="K262" s="145"/>
      <c r="L262" s="145"/>
    </row>
    <row r="263">
      <c r="H263" s="145"/>
      <c r="I263" s="145"/>
      <c r="J263" s="145"/>
      <c r="K263" s="145"/>
      <c r="L263" s="145"/>
    </row>
    <row r="264">
      <c r="H264" s="145"/>
      <c r="I264" s="145"/>
      <c r="J264" s="145"/>
      <c r="K264" s="145"/>
      <c r="L264" s="145"/>
    </row>
    <row r="265">
      <c r="H265" s="145"/>
      <c r="I265" s="145"/>
      <c r="J265" s="145"/>
      <c r="K265" s="145"/>
      <c r="L265" s="145"/>
    </row>
    <row r="266">
      <c r="H266" s="145"/>
      <c r="I266" s="145"/>
      <c r="J266" s="145"/>
      <c r="K266" s="145"/>
      <c r="L266" s="145"/>
    </row>
    <row r="267">
      <c r="H267" s="145"/>
      <c r="I267" s="145"/>
      <c r="J267" s="145"/>
      <c r="K267" s="145"/>
      <c r="L267" s="145"/>
    </row>
    <row r="268">
      <c r="H268" s="145"/>
      <c r="I268" s="145"/>
      <c r="J268" s="145"/>
      <c r="K268" s="145"/>
      <c r="L268" s="145"/>
    </row>
    <row r="269">
      <c r="H269" s="145"/>
      <c r="I269" s="145"/>
      <c r="J269" s="145"/>
      <c r="K269" s="145"/>
      <c r="L269" s="145"/>
    </row>
    <row r="270">
      <c r="H270" s="145"/>
      <c r="I270" s="145"/>
      <c r="J270" s="145"/>
      <c r="K270" s="145"/>
      <c r="L270" s="145"/>
    </row>
    <row r="271">
      <c r="H271" s="145"/>
      <c r="I271" s="145"/>
      <c r="J271" s="145"/>
      <c r="K271" s="145"/>
      <c r="L271" s="145"/>
    </row>
    <row r="272">
      <c r="H272" s="145"/>
      <c r="I272" s="145"/>
      <c r="J272" s="145"/>
      <c r="K272" s="145"/>
      <c r="L272" s="145"/>
    </row>
    <row r="273">
      <c r="H273" s="145"/>
      <c r="I273" s="145"/>
      <c r="J273" s="145"/>
      <c r="K273" s="145"/>
      <c r="L273" s="145"/>
    </row>
    <row r="274">
      <c r="H274" s="145"/>
      <c r="I274" s="145"/>
      <c r="J274" s="145"/>
      <c r="K274" s="145"/>
      <c r="L274" s="145"/>
    </row>
    <row r="275">
      <c r="H275" s="145"/>
      <c r="I275" s="145"/>
      <c r="J275" s="145"/>
      <c r="K275" s="145"/>
      <c r="L275" s="145"/>
    </row>
    <row r="276">
      <c r="H276" s="145"/>
      <c r="I276" s="145"/>
      <c r="J276" s="145"/>
      <c r="K276" s="145"/>
      <c r="L276" s="145"/>
    </row>
    <row r="277">
      <c r="H277" s="145"/>
      <c r="I277" s="145"/>
      <c r="J277" s="145"/>
      <c r="K277" s="145"/>
      <c r="L277" s="145"/>
    </row>
    <row r="278">
      <c r="H278" s="145"/>
      <c r="I278" s="145"/>
      <c r="J278" s="145"/>
      <c r="K278" s="145"/>
      <c r="L278" s="145"/>
    </row>
    <row r="279">
      <c r="H279" s="145"/>
      <c r="I279" s="145"/>
      <c r="J279" s="145"/>
      <c r="K279" s="145"/>
      <c r="L279" s="145"/>
    </row>
    <row r="280">
      <c r="H280" s="145"/>
      <c r="I280" s="145"/>
      <c r="J280" s="145"/>
      <c r="K280" s="145"/>
      <c r="L280" s="145"/>
    </row>
    <row r="281">
      <c r="H281" s="145"/>
      <c r="I281" s="145"/>
      <c r="J281" s="145"/>
      <c r="K281" s="145"/>
      <c r="L281" s="145"/>
    </row>
    <row r="282">
      <c r="H282" s="145"/>
      <c r="I282" s="145"/>
      <c r="J282" s="145"/>
      <c r="K282" s="145"/>
      <c r="L282" s="145"/>
    </row>
    <row r="283">
      <c r="H283" s="145"/>
      <c r="I283" s="145"/>
      <c r="J283" s="145"/>
      <c r="K283" s="145"/>
      <c r="L283" s="145"/>
    </row>
    <row r="284">
      <c r="H284" s="145"/>
      <c r="I284" s="145"/>
      <c r="J284" s="145"/>
      <c r="K284" s="145"/>
      <c r="L284" s="145"/>
    </row>
    <row r="285">
      <c r="H285" s="145"/>
      <c r="I285" s="145"/>
      <c r="J285" s="145"/>
      <c r="K285" s="145"/>
      <c r="L285" s="145"/>
    </row>
    <row r="286">
      <c r="H286" s="145"/>
      <c r="I286" s="145"/>
      <c r="J286" s="145"/>
      <c r="K286" s="145"/>
      <c r="L286" s="145"/>
    </row>
    <row r="287">
      <c r="H287" s="145"/>
      <c r="I287" s="145"/>
      <c r="J287" s="145"/>
      <c r="K287" s="145"/>
      <c r="L287" s="145"/>
    </row>
    <row r="288">
      <c r="H288" s="145"/>
      <c r="I288" s="145"/>
      <c r="J288" s="145"/>
      <c r="K288" s="145"/>
      <c r="L288" s="145"/>
    </row>
    <row r="289">
      <c r="H289" s="145"/>
      <c r="I289" s="145"/>
      <c r="J289" s="145"/>
      <c r="K289" s="145"/>
      <c r="L289" s="145"/>
    </row>
    <row r="290">
      <c r="H290" s="145"/>
      <c r="I290" s="145"/>
      <c r="J290" s="145"/>
      <c r="K290" s="145"/>
      <c r="L290" s="145"/>
    </row>
    <row r="291">
      <c r="H291" s="145"/>
      <c r="I291" s="145"/>
      <c r="J291" s="145"/>
      <c r="K291" s="145"/>
      <c r="L291" s="145"/>
    </row>
    <row r="292">
      <c r="H292" s="145"/>
      <c r="I292" s="145"/>
      <c r="J292" s="145"/>
      <c r="K292" s="145"/>
      <c r="L292" s="145"/>
    </row>
    <row r="293">
      <c r="H293" s="145"/>
      <c r="I293" s="145"/>
      <c r="J293" s="145"/>
      <c r="K293" s="145"/>
      <c r="L293" s="145"/>
    </row>
    <row r="294">
      <c r="H294" s="145"/>
      <c r="I294" s="145"/>
      <c r="J294" s="145"/>
      <c r="K294" s="145"/>
      <c r="L294" s="145"/>
    </row>
    <row r="295">
      <c r="H295" s="145"/>
      <c r="I295" s="145"/>
      <c r="J295" s="145"/>
      <c r="K295" s="145"/>
      <c r="L295" s="145"/>
    </row>
    <row r="296">
      <c r="H296" s="145"/>
      <c r="I296" s="145"/>
      <c r="J296" s="145"/>
      <c r="K296" s="145"/>
      <c r="L296" s="145"/>
    </row>
    <row r="297">
      <c r="H297" s="145"/>
      <c r="I297" s="145"/>
      <c r="J297" s="145"/>
      <c r="K297" s="145"/>
      <c r="L297" s="145"/>
    </row>
    <row r="298">
      <c r="H298" s="145"/>
      <c r="I298" s="145"/>
      <c r="J298" s="145"/>
      <c r="K298" s="145"/>
      <c r="L298" s="145"/>
    </row>
    <row r="299">
      <c r="H299" s="145"/>
      <c r="I299" s="145"/>
      <c r="J299" s="145"/>
      <c r="K299" s="145"/>
      <c r="L299" s="145"/>
    </row>
    <row r="300">
      <c r="H300" s="145"/>
      <c r="I300" s="145"/>
      <c r="J300" s="145"/>
      <c r="K300" s="145"/>
      <c r="L300" s="145"/>
    </row>
    <row r="301">
      <c r="H301" s="145"/>
      <c r="I301" s="145"/>
      <c r="J301" s="145"/>
      <c r="K301" s="145"/>
      <c r="L301" s="145"/>
    </row>
    <row r="302">
      <c r="H302" s="145"/>
      <c r="I302" s="145"/>
      <c r="J302" s="145"/>
      <c r="K302" s="145"/>
      <c r="L302" s="145"/>
    </row>
    <row r="303">
      <c r="H303" s="145"/>
      <c r="I303" s="145"/>
      <c r="J303" s="145"/>
      <c r="K303" s="145"/>
      <c r="L303" s="145"/>
    </row>
    <row r="304">
      <c r="H304" s="145"/>
      <c r="I304" s="145"/>
      <c r="J304" s="145"/>
      <c r="K304" s="145"/>
      <c r="L304" s="145"/>
    </row>
    <row r="305">
      <c r="H305" s="145"/>
      <c r="I305" s="145"/>
      <c r="J305" s="145"/>
      <c r="K305" s="145"/>
      <c r="L305" s="145"/>
    </row>
    <row r="306">
      <c r="H306" s="145"/>
      <c r="I306" s="145"/>
      <c r="J306" s="145"/>
      <c r="K306" s="145"/>
      <c r="L306" s="145"/>
    </row>
    <row r="307">
      <c r="H307" s="145"/>
      <c r="I307" s="145"/>
      <c r="J307" s="145"/>
      <c r="K307" s="145"/>
      <c r="L307" s="145"/>
    </row>
    <row r="308">
      <c r="H308" s="145"/>
      <c r="I308" s="145"/>
      <c r="J308" s="145"/>
      <c r="K308" s="145"/>
      <c r="L308" s="145"/>
    </row>
    <row r="309">
      <c r="H309" s="145"/>
      <c r="I309" s="145"/>
      <c r="J309" s="145"/>
      <c r="K309" s="145"/>
      <c r="L309" s="145"/>
    </row>
    <row r="310">
      <c r="H310" s="145"/>
      <c r="I310" s="145"/>
      <c r="J310" s="145"/>
      <c r="K310" s="145"/>
      <c r="L310" s="145"/>
    </row>
    <row r="311">
      <c r="H311" s="145"/>
      <c r="I311" s="145"/>
      <c r="J311" s="145"/>
      <c r="K311" s="145"/>
      <c r="L311" s="145"/>
    </row>
    <row r="312">
      <c r="H312" s="145"/>
      <c r="I312" s="145"/>
      <c r="J312" s="145"/>
      <c r="K312" s="145"/>
      <c r="L312" s="145"/>
    </row>
    <row r="313">
      <c r="H313" s="145"/>
      <c r="I313" s="145"/>
      <c r="J313" s="145"/>
      <c r="K313" s="145"/>
      <c r="L313" s="145"/>
    </row>
    <row r="314">
      <c r="H314" s="145"/>
      <c r="I314" s="145"/>
      <c r="J314" s="145"/>
      <c r="K314" s="145"/>
      <c r="L314" s="145"/>
    </row>
    <row r="315">
      <c r="H315" s="145"/>
      <c r="I315" s="145"/>
      <c r="J315" s="145"/>
      <c r="K315" s="145"/>
      <c r="L315" s="145"/>
    </row>
    <row r="316">
      <c r="H316" s="145"/>
      <c r="I316" s="145"/>
      <c r="J316" s="145"/>
      <c r="K316" s="145"/>
      <c r="L316" s="145"/>
    </row>
    <row r="317">
      <c r="H317" s="145"/>
      <c r="I317" s="145"/>
      <c r="J317" s="145"/>
      <c r="K317" s="145"/>
      <c r="L317" s="145"/>
    </row>
    <row r="318">
      <c r="H318" s="145"/>
      <c r="I318" s="145"/>
      <c r="J318" s="145"/>
      <c r="K318" s="145"/>
      <c r="L318" s="145"/>
    </row>
    <row r="319">
      <c r="H319" s="145"/>
      <c r="I319" s="145"/>
      <c r="J319" s="145"/>
      <c r="K319" s="145"/>
      <c r="L319" s="145"/>
    </row>
    <row r="320">
      <c r="H320" s="145"/>
      <c r="I320" s="145"/>
      <c r="J320" s="145"/>
      <c r="K320" s="145"/>
      <c r="L320" s="145"/>
    </row>
    <row r="321">
      <c r="H321" s="145"/>
      <c r="I321" s="145"/>
      <c r="J321" s="145"/>
      <c r="K321" s="145"/>
      <c r="L321" s="145"/>
    </row>
    <row r="322">
      <c r="H322" s="145"/>
      <c r="I322" s="145"/>
      <c r="J322" s="145"/>
      <c r="K322" s="145"/>
      <c r="L322" s="145"/>
    </row>
    <row r="323">
      <c r="H323" s="145"/>
      <c r="I323" s="145"/>
      <c r="J323" s="145"/>
      <c r="K323" s="145"/>
      <c r="L323" s="145"/>
    </row>
    <row r="324">
      <c r="H324" s="145"/>
      <c r="I324" s="145"/>
      <c r="J324" s="145"/>
      <c r="K324" s="145"/>
      <c r="L324" s="145"/>
    </row>
    <row r="325">
      <c r="H325" s="145"/>
      <c r="I325" s="145"/>
      <c r="J325" s="145"/>
      <c r="K325" s="145"/>
      <c r="L325" s="145"/>
    </row>
    <row r="326">
      <c r="H326" s="145"/>
      <c r="I326" s="145"/>
      <c r="J326" s="145"/>
      <c r="K326" s="145"/>
      <c r="L326" s="145"/>
    </row>
    <row r="327">
      <c r="H327" s="145"/>
      <c r="I327" s="145"/>
      <c r="J327" s="145"/>
      <c r="K327" s="145"/>
      <c r="L327" s="145"/>
    </row>
    <row r="328">
      <c r="H328" s="145"/>
      <c r="I328" s="145"/>
      <c r="J328" s="145"/>
      <c r="K328" s="145"/>
      <c r="L328" s="145"/>
    </row>
    <row r="329">
      <c r="H329" s="145"/>
      <c r="I329" s="145"/>
      <c r="J329" s="145"/>
      <c r="K329" s="145"/>
      <c r="L329" s="145"/>
    </row>
    <row r="330">
      <c r="H330" s="145"/>
      <c r="I330" s="145"/>
      <c r="J330" s="145"/>
      <c r="K330" s="145"/>
      <c r="L330" s="145"/>
    </row>
    <row r="331">
      <c r="H331" s="145"/>
      <c r="I331" s="145"/>
      <c r="J331" s="145"/>
      <c r="K331" s="145"/>
      <c r="L331" s="145"/>
    </row>
    <row r="332">
      <c r="H332" s="145"/>
      <c r="I332" s="145"/>
      <c r="J332" s="145"/>
      <c r="K332" s="145"/>
      <c r="L332" s="145"/>
    </row>
    <row r="333">
      <c r="H333" s="145"/>
      <c r="I333" s="145"/>
      <c r="J333" s="145"/>
      <c r="K333" s="145"/>
      <c r="L333" s="145"/>
    </row>
    <row r="334">
      <c r="H334" s="145"/>
      <c r="I334" s="145"/>
      <c r="J334" s="145"/>
      <c r="K334" s="145"/>
      <c r="L334" s="145"/>
    </row>
    <row r="335">
      <c r="H335" s="145"/>
      <c r="I335" s="145"/>
      <c r="J335" s="145"/>
      <c r="K335" s="145"/>
      <c r="L335" s="145"/>
    </row>
    <row r="336">
      <c r="H336" s="145"/>
      <c r="I336" s="145"/>
      <c r="J336" s="145"/>
      <c r="K336" s="145"/>
      <c r="L336" s="145"/>
    </row>
    <row r="337">
      <c r="H337" s="145"/>
      <c r="I337" s="145"/>
      <c r="J337" s="145"/>
      <c r="K337" s="145"/>
      <c r="L337" s="145"/>
    </row>
    <row r="338">
      <c r="H338" s="145"/>
      <c r="I338" s="145"/>
      <c r="J338" s="145"/>
      <c r="K338" s="145"/>
      <c r="L338" s="145"/>
    </row>
    <row r="339">
      <c r="H339" s="145"/>
      <c r="I339" s="145"/>
      <c r="J339" s="145"/>
      <c r="K339" s="145"/>
      <c r="L339" s="145"/>
    </row>
    <row r="340">
      <c r="H340" s="145"/>
      <c r="I340" s="145"/>
      <c r="J340" s="145"/>
      <c r="K340" s="145"/>
      <c r="L340" s="145"/>
    </row>
    <row r="341">
      <c r="H341" s="145"/>
      <c r="I341" s="145"/>
      <c r="J341" s="145"/>
      <c r="K341" s="145"/>
      <c r="L341" s="145"/>
    </row>
    <row r="342">
      <c r="H342" s="145"/>
      <c r="I342" s="145"/>
      <c r="J342" s="145"/>
      <c r="K342" s="145"/>
      <c r="L342" s="145"/>
    </row>
    <row r="343">
      <c r="H343" s="145"/>
      <c r="I343" s="145"/>
      <c r="J343" s="145"/>
      <c r="K343" s="145"/>
      <c r="L343" s="145"/>
    </row>
    <row r="344">
      <c r="H344" s="145"/>
      <c r="I344" s="145"/>
      <c r="J344" s="145"/>
      <c r="K344" s="145"/>
      <c r="L344" s="145"/>
    </row>
    <row r="345">
      <c r="H345" s="145"/>
      <c r="I345" s="145"/>
      <c r="J345" s="145"/>
      <c r="K345" s="145"/>
      <c r="L345" s="145"/>
    </row>
    <row r="346">
      <c r="H346" s="145"/>
      <c r="I346" s="145"/>
      <c r="J346" s="145"/>
      <c r="K346" s="145"/>
      <c r="L346" s="145"/>
    </row>
    <row r="347">
      <c r="H347" s="145"/>
      <c r="I347" s="145"/>
      <c r="J347" s="145"/>
      <c r="K347" s="145"/>
      <c r="L347" s="145"/>
    </row>
    <row r="348">
      <c r="H348" s="145"/>
      <c r="I348" s="145"/>
      <c r="J348" s="145"/>
      <c r="K348" s="145"/>
      <c r="L348" s="145"/>
    </row>
    <row r="349">
      <c r="H349" s="145"/>
      <c r="I349" s="145"/>
      <c r="J349" s="145"/>
      <c r="K349" s="145"/>
      <c r="L349" s="145"/>
    </row>
    <row r="350">
      <c r="H350" s="145"/>
      <c r="I350" s="145"/>
      <c r="J350" s="145"/>
      <c r="K350" s="145"/>
      <c r="L350" s="145"/>
    </row>
    <row r="351">
      <c r="H351" s="145"/>
      <c r="I351" s="145"/>
      <c r="J351" s="145"/>
      <c r="K351" s="145"/>
      <c r="L351" s="145"/>
    </row>
    <row r="352">
      <c r="H352" s="145"/>
      <c r="I352" s="145"/>
      <c r="J352" s="145"/>
      <c r="K352" s="145"/>
      <c r="L352" s="145"/>
    </row>
    <row r="353">
      <c r="H353" s="145"/>
      <c r="I353" s="145"/>
      <c r="J353" s="145"/>
      <c r="K353" s="145"/>
      <c r="L353" s="145"/>
    </row>
    <row r="354">
      <c r="H354" s="145"/>
      <c r="I354" s="145"/>
      <c r="J354" s="145"/>
      <c r="K354" s="145"/>
      <c r="L354" s="145"/>
    </row>
    <row r="355">
      <c r="H355" s="145"/>
      <c r="I355" s="145"/>
      <c r="J355" s="145"/>
      <c r="K355" s="145"/>
      <c r="L355" s="145"/>
    </row>
    <row r="356">
      <c r="H356" s="145"/>
      <c r="I356" s="145"/>
      <c r="J356" s="145"/>
      <c r="K356" s="145"/>
      <c r="L356" s="145"/>
    </row>
    <row r="357">
      <c r="H357" s="145"/>
      <c r="I357" s="145"/>
      <c r="J357" s="145"/>
      <c r="K357" s="145"/>
      <c r="L357" s="145"/>
    </row>
    <row r="358">
      <c r="H358" s="145"/>
      <c r="I358" s="145"/>
      <c r="J358" s="145"/>
      <c r="K358" s="145"/>
      <c r="L358" s="145"/>
    </row>
    <row r="359">
      <c r="H359" s="145"/>
      <c r="I359" s="145"/>
      <c r="J359" s="145"/>
      <c r="K359" s="145"/>
      <c r="L359" s="145"/>
    </row>
    <row r="360">
      <c r="H360" s="145"/>
      <c r="I360" s="145"/>
      <c r="J360" s="145"/>
      <c r="K360" s="145"/>
      <c r="L360" s="145"/>
    </row>
    <row r="361">
      <c r="H361" s="145"/>
      <c r="I361" s="145"/>
      <c r="J361" s="145"/>
      <c r="K361" s="145"/>
      <c r="L361" s="145"/>
    </row>
    <row r="362">
      <c r="H362" s="145"/>
      <c r="I362" s="145"/>
      <c r="J362" s="145"/>
      <c r="K362" s="145"/>
      <c r="L362" s="145"/>
    </row>
    <row r="363">
      <c r="H363" s="145"/>
      <c r="I363" s="145"/>
      <c r="J363" s="145"/>
      <c r="K363" s="145"/>
      <c r="L363" s="145"/>
    </row>
    <row r="364">
      <c r="H364" s="145"/>
      <c r="I364" s="145"/>
      <c r="J364" s="145"/>
      <c r="K364" s="145"/>
      <c r="L364" s="145"/>
    </row>
    <row r="365">
      <c r="H365" s="145"/>
      <c r="I365" s="145"/>
      <c r="J365" s="145"/>
      <c r="K365" s="145"/>
      <c r="L365" s="145"/>
    </row>
    <row r="366">
      <c r="H366" s="145"/>
      <c r="I366" s="145"/>
      <c r="J366" s="145"/>
      <c r="K366" s="145"/>
      <c r="L366" s="145"/>
    </row>
    <row r="367">
      <c r="H367" s="145"/>
      <c r="I367" s="145"/>
      <c r="J367" s="145"/>
      <c r="K367" s="145"/>
      <c r="L367" s="145"/>
    </row>
    <row r="368">
      <c r="H368" s="145"/>
      <c r="I368" s="145"/>
      <c r="J368" s="145"/>
      <c r="K368" s="145"/>
      <c r="L368" s="145"/>
    </row>
    <row r="369">
      <c r="H369" s="145"/>
      <c r="I369" s="145"/>
      <c r="J369" s="145"/>
      <c r="K369" s="145"/>
      <c r="L369" s="145"/>
    </row>
    <row r="370">
      <c r="H370" s="145"/>
      <c r="I370" s="145"/>
      <c r="J370" s="145"/>
      <c r="K370" s="145"/>
      <c r="L370" s="145"/>
    </row>
    <row r="371">
      <c r="H371" s="145"/>
      <c r="I371" s="145"/>
      <c r="J371" s="145"/>
      <c r="K371" s="145"/>
      <c r="L371" s="145"/>
    </row>
    <row r="372">
      <c r="H372" s="145"/>
      <c r="I372" s="145"/>
      <c r="J372" s="145"/>
      <c r="K372" s="145"/>
      <c r="L372" s="145"/>
    </row>
    <row r="373">
      <c r="H373" s="145"/>
      <c r="I373" s="145"/>
      <c r="J373" s="145"/>
      <c r="K373" s="145"/>
      <c r="L373" s="145"/>
    </row>
    <row r="374">
      <c r="H374" s="145"/>
      <c r="I374" s="145"/>
      <c r="J374" s="145"/>
      <c r="K374" s="145"/>
      <c r="L374" s="145"/>
    </row>
    <row r="375">
      <c r="H375" s="145"/>
      <c r="I375" s="145"/>
      <c r="J375" s="145"/>
      <c r="K375" s="145"/>
      <c r="L375" s="145"/>
    </row>
    <row r="376">
      <c r="H376" s="145"/>
      <c r="I376" s="145"/>
      <c r="J376" s="145"/>
      <c r="K376" s="145"/>
      <c r="L376" s="145"/>
    </row>
    <row r="377">
      <c r="H377" s="145"/>
      <c r="I377" s="145"/>
      <c r="J377" s="145"/>
      <c r="K377" s="145"/>
      <c r="L377" s="145"/>
    </row>
    <row r="378">
      <c r="H378" s="145"/>
      <c r="I378" s="145"/>
      <c r="J378" s="145"/>
      <c r="K378" s="145"/>
      <c r="L378" s="145"/>
    </row>
    <row r="379">
      <c r="H379" s="145"/>
      <c r="I379" s="145"/>
      <c r="J379" s="145"/>
      <c r="K379" s="145"/>
      <c r="L379" s="145"/>
    </row>
    <row r="380">
      <c r="H380" s="145"/>
      <c r="I380" s="145"/>
      <c r="J380" s="145"/>
      <c r="K380" s="145"/>
      <c r="L380" s="145"/>
    </row>
    <row r="381">
      <c r="H381" s="145"/>
      <c r="I381" s="145"/>
      <c r="J381" s="145"/>
      <c r="K381" s="145"/>
      <c r="L381" s="145"/>
    </row>
    <row r="382">
      <c r="H382" s="145"/>
      <c r="I382" s="145"/>
      <c r="J382" s="145"/>
      <c r="K382" s="145"/>
      <c r="L382" s="145"/>
    </row>
    <row r="383">
      <c r="H383" s="145"/>
      <c r="I383" s="145"/>
      <c r="J383" s="145"/>
      <c r="K383" s="145"/>
      <c r="L383" s="145"/>
    </row>
    <row r="384">
      <c r="H384" s="145"/>
      <c r="I384" s="145"/>
      <c r="J384" s="145"/>
      <c r="K384" s="145"/>
      <c r="L384" s="145"/>
    </row>
    <row r="385">
      <c r="H385" s="145"/>
      <c r="I385" s="145"/>
      <c r="J385" s="145"/>
      <c r="K385" s="145"/>
      <c r="L385" s="145"/>
    </row>
    <row r="386">
      <c r="H386" s="145"/>
      <c r="I386" s="145"/>
      <c r="J386" s="145"/>
      <c r="K386" s="145"/>
      <c r="L386" s="145"/>
    </row>
    <row r="387">
      <c r="H387" s="145"/>
      <c r="I387" s="145"/>
      <c r="J387" s="145"/>
      <c r="K387" s="145"/>
      <c r="L387" s="145"/>
    </row>
    <row r="388">
      <c r="H388" s="145"/>
      <c r="I388" s="145"/>
      <c r="J388" s="145"/>
      <c r="K388" s="145"/>
      <c r="L388" s="145"/>
    </row>
    <row r="389">
      <c r="H389" s="145"/>
      <c r="I389" s="145"/>
      <c r="J389" s="145"/>
      <c r="K389" s="145"/>
      <c r="L389" s="145"/>
    </row>
    <row r="390">
      <c r="H390" s="145"/>
      <c r="I390" s="145"/>
      <c r="J390" s="145"/>
      <c r="K390" s="145"/>
      <c r="L390" s="145"/>
    </row>
    <row r="391">
      <c r="H391" s="145"/>
      <c r="I391" s="145"/>
      <c r="J391" s="145"/>
      <c r="K391" s="145"/>
      <c r="L391" s="145"/>
    </row>
    <row r="392">
      <c r="H392" s="145"/>
      <c r="I392" s="145"/>
      <c r="J392" s="145"/>
      <c r="K392" s="145"/>
      <c r="L392" s="145"/>
    </row>
    <row r="393">
      <c r="H393" s="145"/>
      <c r="I393" s="145"/>
      <c r="J393" s="145"/>
      <c r="K393" s="145"/>
      <c r="L393" s="145"/>
    </row>
    <row r="394">
      <c r="H394" s="145"/>
      <c r="I394" s="145"/>
      <c r="J394" s="145"/>
      <c r="K394" s="145"/>
      <c r="L394" s="145"/>
    </row>
    <row r="395">
      <c r="H395" s="145"/>
      <c r="I395" s="145"/>
      <c r="J395" s="145"/>
      <c r="K395" s="145"/>
      <c r="L395" s="145"/>
    </row>
    <row r="396">
      <c r="H396" s="145"/>
      <c r="I396" s="145"/>
      <c r="J396" s="145"/>
      <c r="K396" s="145"/>
      <c r="L396" s="145"/>
    </row>
    <row r="397">
      <c r="H397" s="145"/>
      <c r="I397" s="145"/>
      <c r="J397" s="145"/>
      <c r="K397" s="145"/>
      <c r="L397" s="145"/>
    </row>
    <row r="398">
      <c r="H398" s="145"/>
      <c r="I398" s="145"/>
      <c r="J398" s="145"/>
      <c r="K398" s="145"/>
      <c r="L398" s="145"/>
    </row>
    <row r="399">
      <c r="H399" s="145"/>
      <c r="I399" s="145"/>
      <c r="J399" s="145"/>
      <c r="K399" s="145"/>
      <c r="L399" s="145"/>
    </row>
    <row r="400">
      <c r="H400" s="145"/>
      <c r="I400" s="145"/>
      <c r="J400" s="145"/>
      <c r="K400" s="145"/>
      <c r="L400" s="145"/>
    </row>
    <row r="401">
      <c r="H401" s="145"/>
      <c r="I401" s="145"/>
      <c r="J401" s="145"/>
      <c r="K401" s="145"/>
      <c r="L401" s="145"/>
    </row>
    <row r="402">
      <c r="H402" s="145"/>
      <c r="I402" s="145"/>
      <c r="J402" s="145"/>
      <c r="K402" s="145"/>
      <c r="L402" s="145"/>
    </row>
    <row r="403">
      <c r="H403" s="145"/>
      <c r="I403" s="145"/>
      <c r="J403" s="145"/>
      <c r="K403" s="145"/>
      <c r="L403" s="145"/>
    </row>
    <row r="404">
      <c r="H404" s="145"/>
      <c r="I404" s="145"/>
      <c r="J404" s="145"/>
      <c r="K404" s="145"/>
      <c r="L404" s="145"/>
    </row>
    <row r="405">
      <c r="H405" s="145"/>
      <c r="I405" s="145"/>
      <c r="J405" s="145"/>
      <c r="K405" s="145"/>
      <c r="L405" s="145"/>
    </row>
    <row r="406">
      <c r="H406" s="145"/>
      <c r="I406" s="145"/>
      <c r="J406" s="145"/>
      <c r="K406" s="145"/>
      <c r="L406" s="145"/>
    </row>
    <row r="407">
      <c r="H407" s="145"/>
      <c r="I407" s="145"/>
      <c r="J407" s="145"/>
      <c r="K407" s="145"/>
      <c r="L407" s="145"/>
    </row>
    <row r="408">
      <c r="H408" s="145"/>
      <c r="I408" s="145"/>
      <c r="J408" s="145"/>
      <c r="K408" s="145"/>
      <c r="L408" s="145"/>
    </row>
    <row r="409">
      <c r="H409" s="145"/>
      <c r="I409" s="145"/>
      <c r="J409" s="145"/>
      <c r="K409" s="145"/>
      <c r="L409" s="145"/>
    </row>
    <row r="410">
      <c r="H410" s="145"/>
      <c r="I410" s="145"/>
      <c r="J410" s="145"/>
      <c r="K410" s="145"/>
      <c r="L410" s="145"/>
    </row>
    <row r="411">
      <c r="H411" s="145"/>
      <c r="I411" s="145"/>
      <c r="J411" s="145"/>
      <c r="K411" s="145"/>
      <c r="L411" s="145"/>
    </row>
    <row r="412">
      <c r="H412" s="145"/>
      <c r="I412" s="145"/>
      <c r="J412" s="145"/>
      <c r="K412" s="145"/>
      <c r="L412" s="145"/>
    </row>
    <row r="413">
      <c r="H413" s="145"/>
      <c r="I413" s="145"/>
      <c r="J413" s="145"/>
      <c r="K413" s="145"/>
      <c r="L413" s="145"/>
    </row>
    <row r="414">
      <c r="H414" s="145"/>
      <c r="I414" s="145"/>
      <c r="J414" s="145"/>
      <c r="K414" s="145"/>
      <c r="L414" s="145"/>
    </row>
    <row r="415">
      <c r="H415" s="145"/>
      <c r="I415" s="145"/>
      <c r="J415" s="145"/>
      <c r="K415" s="145"/>
      <c r="L415" s="145"/>
    </row>
    <row r="416">
      <c r="H416" s="145"/>
      <c r="I416" s="145"/>
      <c r="J416" s="145"/>
      <c r="K416" s="145"/>
      <c r="L416" s="145"/>
    </row>
    <row r="417">
      <c r="H417" s="145"/>
      <c r="I417" s="145"/>
      <c r="J417" s="145"/>
      <c r="K417" s="145"/>
      <c r="L417" s="145"/>
    </row>
    <row r="418">
      <c r="H418" s="145"/>
      <c r="I418" s="145"/>
      <c r="J418" s="145"/>
      <c r="K418" s="145"/>
      <c r="L418" s="145"/>
    </row>
    <row r="419">
      <c r="H419" s="145"/>
      <c r="I419" s="145"/>
      <c r="J419" s="145"/>
      <c r="K419" s="145"/>
      <c r="L419" s="145"/>
    </row>
    <row r="420">
      <c r="H420" s="145"/>
      <c r="I420" s="145"/>
      <c r="J420" s="145"/>
      <c r="K420" s="145"/>
      <c r="L420" s="145"/>
    </row>
    <row r="421">
      <c r="H421" s="145"/>
      <c r="I421" s="145"/>
      <c r="J421" s="145"/>
      <c r="K421" s="145"/>
      <c r="L421" s="145"/>
    </row>
    <row r="422">
      <c r="H422" s="145"/>
      <c r="I422" s="145"/>
      <c r="J422" s="145"/>
      <c r="K422" s="145"/>
      <c r="L422" s="145"/>
    </row>
    <row r="423">
      <c r="H423" s="145"/>
      <c r="I423" s="145"/>
      <c r="J423" s="145"/>
      <c r="K423" s="145"/>
      <c r="L423" s="145"/>
    </row>
    <row r="424">
      <c r="H424" s="145"/>
      <c r="I424" s="145"/>
      <c r="J424" s="145"/>
      <c r="K424" s="145"/>
      <c r="L424" s="145"/>
    </row>
    <row r="425">
      <c r="H425" s="145"/>
      <c r="I425" s="145"/>
      <c r="J425" s="145"/>
      <c r="K425" s="145"/>
      <c r="L425" s="145"/>
    </row>
    <row r="426">
      <c r="H426" s="145"/>
      <c r="I426" s="145"/>
      <c r="J426" s="145"/>
      <c r="K426" s="145"/>
      <c r="L426" s="145"/>
    </row>
    <row r="427">
      <c r="H427" s="145"/>
      <c r="I427" s="145"/>
      <c r="J427" s="145"/>
      <c r="K427" s="145"/>
      <c r="L427" s="145"/>
    </row>
    <row r="428">
      <c r="H428" s="145"/>
      <c r="I428" s="145"/>
      <c r="J428" s="145"/>
      <c r="K428" s="145"/>
      <c r="L428" s="145"/>
    </row>
    <row r="429">
      <c r="H429" s="145"/>
      <c r="I429" s="145"/>
      <c r="J429" s="145"/>
      <c r="K429" s="145"/>
      <c r="L429" s="145"/>
    </row>
    <row r="430">
      <c r="H430" s="145"/>
      <c r="I430" s="145"/>
      <c r="J430" s="145"/>
      <c r="K430" s="145"/>
      <c r="L430" s="145"/>
    </row>
    <row r="431">
      <c r="H431" s="145"/>
      <c r="I431" s="145"/>
      <c r="J431" s="145"/>
      <c r="K431" s="145"/>
      <c r="L431" s="145"/>
    </row>
    <row r="432">
      <c r="H432" s="145"/>
      <c r="I432" s="145"/>
      <c r="J432" s="145"/>
      <c r="K432" s="145"/>
      <c r="L432" s="145"/>
    </row>
    <row r="433">
      <c r="H433" s="145"/>
      <c r="I433" s="145"/>
      <c r="J433" s="145"/>
      <c r="K433" s="145"/>
      <c r="L433" s="145"/>
    </row>
    <row r="434">
      <c r="H434" s="145"/>
      <c r="I434" s="145"/>
      <c r="J434" s="145"/>
      <c r="K434" s="145"/>
      <c r="L434" s="145"/>
    </row>
    <row r="435">
      <c r="H435" s="145"/>
      <c r="I435" s="145"/>
      <c r="J435" s="145"/>
      <c r="K435" s="145"/>
      <c r="L435" s="145"/>
    </row>
    <row r="436">
      <c r="H436" s="145"/>
      <c r="I436" s="145"/>
      <c r="J436" s="145"/>
      <c r="K436" s="145"/>
      <c r="L436" s="145"/>
    </row>
    <row r="437">
      <c r="H437" s="145"/>
      <c r="I437" s="145"/>
      <c r="J437" s="145"/>
      <c r="K437" s="145"/>
      <c r="L437" s="145"/>
    </row>
    <row r="438">
      <c r="H438" s="145"/>
      <c r="I438" s="145"/>
      <c r="J438" s="145"/>
      <c r="K438" s="145"/>
      <c r="L438" s="145"/>
    </row>
    <row r="439">
      <c r="H439" s="145"/>
      <c r="I439" s="145"/>
      <c r="J439" s="145"/>
      <c r="K439" s="145"/>
      <c r="L439" s="145"/>
    </row>
    <row r="440">
      <c r="H440" s="145"/>
      <c r="I440" s="145"/>
      <c r="J440" s="145"/>
      <c r="K440" s="145"/>
      <c r="L440" s="145"/>
    </row>
    <row r="441">
      <c r="H441" s="145"/>
      <c r="I441" s="145"/>
      <c r="J441" s="145"/>
      <c r="K441" s="145"/>
      <c r="L441" s="145"/>
    </row>
    <row r="442">
      <c r="H442" s="145"/>
      <c r="I442" s="145"/>
      <c r="J442" s="145"/>
      <c r="K442" s="145"/>
      <c r="L442" s="145"/>
    </row>
    <row r="443">
      <c r="H443" s="145"/>
      <c r="I443" s="145"/>
      <c r="J443" s="145"/>
      <c r="K443" s="145"/>
      <c r="L443" s="145"/>
    </row>
    <row r="444">
      <c r="H444" s="145"/>
      <c r="I444" s="145"/>
      <c r="J444" s="145"/>
      <c r="K444" s="145"/>
      <c r="L444" s="145"/>
    </row>
    <row r="445">
      <c r="H445" s="145"/>
      <c r="I445" s="145"/>
      <c r="J445" s="145"/>
      <c r="K445" s="145"/>
      <c r="L445" s="145"/>
    </row>
    <row r="446">
      <c r="H446" s="145"/>
      <c r="I446" s="145"/>
      <c r="J446" s="145"/>
      <c r="K446" s="145"/>
      <c r="L446" s="145"/>
    </row>
    <row r="447">
      <c r="H447" s="145"/>
      <c r="I447" s="145"/>
      <c r="J447" s="145"/>
      <c r="K447" s="145"/>
      <c r="L447" s="145"/>
    </row>
    <row r="448">
      <c r="H448" s="145"/>
      <c r="I448" s="145"/>
      <c r="J448" s="145"/>
      <c r="K448" s="145"/>
      <c r="L448" s="145"/>
    </row>
    <row r="449">
      <c r="H449" s="145"/>
      <c r="I449" s="145"/>
      <c r="J449" s="145"/>
      <c r="K449" s="145"/>
      <c r="L449" s="145"/>
    </row>
    <row r="450">
      <c r="H450" s="145"/>
      <c r="I450" s="145"/>
      <c r="J450" s="145"/>
      <c r="K450" s="145"/>
      <c r="L450" s="145"/>
    </row>
    <row r="451">
      <c r="H451" s="145"/>
      <c r="I451" s="145"/>
      <c r="J451" s="145"/>
      <c r="K451" s="145"/>
      <c r="L451" s="145"/>
    </row>
    <row r="452">
      <c r="H452" s="145"/>
      <c r="I452" s="145"/>
      <c r="J452" s="145"/>
      <c r="K452" s="145"/>
      <c r="L452" s="145"/>
    </row>
    <row r="453">
      <c r="H453" s="145"/>
      <c r="I453" s="145"/>
      <c r="J453" s="145"/>
      <c r="K453" s="145"/>
      <c r="L453" s="145"/>
    </row>
    <row r="454">
      <c r="H454" s="145"/>
      <c r="I454" s="145"/>
      <c r="J454" s="145"/>
      <c r="K454" s="145"/>
      <c r="L454" s="145"/>
    </row>
    <row r="455">
      <c r="H455" s="145"/>
      <c r="I455" s="145"/>
      <c r="J455" s="145"/>
      <c r="K455" s="145"/>
      <c r="L455" s="145"/>
    </row>
    <row r="456">
      <c r="H456" s="145"/>
      <c r="I456" s="145"/>
      <c r="J456" s="145"/>
      <c r="K456" s="145"/>
      <c r="L456" s="145"/>
    </row>
    <row r="457">
      <c r="H457" s="145"/>
      <c r="I457" s="145"/>
      <c r="J457" s="145"/>
      <c r="K457" s="145"/>
      <c r="L457" s="145"/>
    </row>
    <row r="458">
      <c r="H458" s="145"/>
      <c r="I458" s="145"/>
      <c r="J458" s="145"/>
      <c r="K458" s="145"/>
      <c r="L458" s="145"/>
    </row>
    <row r="459">
      <c r="H459" s="145"/>
      <c r="I459" s="145"/>
      <c r="J459" s="145"/>
      <c r="K459" s="145"/>
      <c r="L459" s="145"/>
    </row>
    <row r="460">
      <c r="H460" s="145"/>
      <c r="I460" s="145"/>
      <c r="J460" s="145"/>
      <c r="K460" s="145"/>
      <c r="L460" s="145"/>
    </row>
    <row r="461">
      <c r="H461" s="145"/>
      <c r="I461" s="145"/>
      <c r="J461" s="145"/>
      <c r="K461" s="145"/>
      <c r="L461" s="145"/>
    </row>
    <row r="462">
      <c r="H462" s="145"/>
      <c r="I462" s="145"/>
      <c r="J462" s="145"/>
      <c r="K462" s="145"/>
      <c r="L462" s="145"/>
    </row>
    <row r="463">
      <c r="H463" s="145"/>
      <c r="I463" s="145"/>
      <c r="J463" s="145"/>
      <c r="K463" s="145"/>
      <c r="L463" s="145"/>
    </row>
    <row r="464">
      <c r="H464" s="145"/>
      <c r="I464" s="145"/>
      <c r="J464" s="145"/>
      <c r="K464" s="145"/>
      <c r="L464" s="145"/>
    </row>
    <row r="465">
      <c r="H465" s="145"/>
      <c r="I465" s="145"/>
      <c r="J465" s="145"/>
      <c r="K465" s="145"/>
      <c r="L465" s="145"/>
    </row>
    <row r="466">
      <c r="H466" s="145"/>
      <c r="I466" s="145"/>
      <c r="J466" s="145"/>
      <c r="K466" s="145"/>
      <c r="L466" s="145"/>
    </row>
    <row r="467">
      <c r="H467" s="145"/>
      <c r="I467" s="145"/>
      <c r="J467" s="145"/>
      <c r="K467" s="145"/>
      <c r="L467" s="145"/>
    </row>
    <row r="468">
      <c r="H468" s="145"/>
      <c r="I468" s="145"/>
      <c r="J468" s="145"/>
      <c r="K468" s="145"/>
      <c r="L468" s="145"/>
    </row>
    <row r="469">
      <c r="H469" s="145"/>
      <c r="I469" s="145"/>
      <c r="J469" s="145"/>
      <c r="K469" s="145"/>
      <c r="L469" s="145"/>
    </row>
    <row r="470">
      <c r="H470" s="145"/>
      <c r="I470" s="145"/>
      <c r="J470" s="145"/>
      <c r="K470" s="145"/>
      <c r="L470" s="145"/>
    </row>
    <row r="471">
      <c r="H471" s="145"/>
      <c r="I471" s="145"/>
      <c r="J471" s="145"/>
      <c r="K471" s="145"/>
      <c r="L471" s="145"/>
    </row>
    <row r="472">
      <c r="H472" s="145"/>
      <c r="I472" s="145"/>
      <c r="J472" s="145"/>
      <c r="K472" s="145"/>
      <c r="L472" s="145"/>
    </row>
    <row r="473">
      <c r="H473" s="145"/>
      <c r="I473" s="145"/>
      <c r="J473" s="145"/>
      <c r="K473" s="145"/>
      <c r="L473" s="145"/>
    </row>
    <row r="474">
      <c r="H474" s="145"/>
      <c r="I474" s="145"/>
      <c r="J474" s="145"/>
      <c r="K474" s="145"/>
      <c r="L474" s="145"/>
    </row>
    <row r="475">
      <c r="H475" s="145"/>
      <c r="I475" s="145"/>
      <c r="J475" s="145"/>
      <c r="K475" s="145"/>
      <c r="L475" s="145"/>
    </row>
    <row r="476">
      <c r="H476" s="145"/>
      <c r="I476" s="145"/>
      <c r="J476" s="145"/>
      <c r="K476" s="145"/>
      <c r="L476" s="145"/>
    </row>
    <row r="477">
      <c r="H477" s="145"/>
      <c r="I477" s="145"/>
      <c r="J477" s="145"/>
      <c r="K477" s="145"/>
      <c r="L477" s="145"/>
    </row>
    <row r="478">
      <c r="H478" s="145"/>
      <c r="I478" s="145"/>
      <c r="J478" s="145"/>
      <c r="K478" s="145"/>
      <c r="L478" s="145"/>
    </row>
    <row r="479">
      <c r="H479" s="145"/>
      <c r="I479" s="145"/>
      <c r="J479" s="145"/>
      <c r="K479" s="145"/>
      <c r="L479" s="145"/>
    </row>
    <row r="480">
      <c r="H480" s="145"/>
      <c r="I480" s="145"/>
      <c r="J480" s="145"/>
      <c r="K480" s="145"/>
      <c r="L480" s="145"/>
    </row>
    <row r="481">
      <c r="H481" s="145"/>
      <c r="I481" s="145"/>
      <c r="J481" s="145"/>
      <c r="K481" s="145"/>
      <c r="L481" s="145"/>
    </row>
    <row r="482">
      <c r="H482" s="145"/>
      <c r="I482" s="145"/>
      <c r="J482" s="145"/>
      <c r="K482" s="145"/>
      <c r="L482" s="145"/>
    </row>
    <row r="483">
      <c r="H483" s="145"/>
      <c r="I483" s="145"/>
      <c r="J483" s="145"/>
      <c r="K483" s="145"/>
      <c r="L483" s="145"/>
    </row>
    <row r="484">
      <c r="H484" s="145"/>
      <c r="I484" s="145"/>
      <c r="J484" s="145"/>
      <c r="K484" s="145"/>
      <c r="L484" s="145"/>
    </row>
    <row r="485">
      <c r="H485" s="145"/>
      <c r="I485" s="145"/>
      <c r="J485" s="145"/>
      <c r="K485" s="145"/>
      <c r="L485" s="145"/>
    </row>
    <row r="486">
      <c r="H486" s="145"/>
      <c r="I486" s="145"/>
      <c r="J486" s="145"/>
      <c r="K486" s="145"/>
      <c r="L486" s="145"/>
    </row>
    <row r="487">
      <c r="H487" s="145"/>
      <c r="I487" s="145"/>
      <c r="J487" s="145"/>
      <c r="K487" s="145"/>
      <c r="L487" s="145"/>
    </row>
    <row r="488">
      <c r="H488" s="145"/>
      <c r="I488" s="145"/>
      <c r="J488" s="145"/>
      <c r="K488" s="145"/>
      <c r="L488" s="145"/>
    </row>
    <row r="489">
      <c r="H489" s="145"/>
      <c r="I489" s="145"/>
      <c r="J489" s="145"/>
      <c r="K489" s="145"/>
      <c r="L489" s="145"/>
    </row>
    <row r="490">
      <c r="H490" s="145"/>
      <c r="I490" s="145"/>
      <c r="J490" s="145"/>
      <c r="K490" s="145"/>
      <c r="L490" s="145"/>
    </row>
    <row r="491">
      <c r="H491" s="145"/>
      <c r="I491" s="145"/>
      <c r="J491" s="145"/>
      <c r="K491" s="145"/>
      <c r="L491" s="145"/>
    </row>
    <row r="492">
      <c r="H492" s="145"/>
      <c r="I492" s="145"/>
      <c r="J492" s="145"/>
      <c r="K492" s="145"/>
      <c r="L492" s="145"/>
    </row>
    <row r="493">
      <c r="H493" s="145"/>
      <c r="I493" s="145"/>
      <c r="J493" s="145"/>
      <c r="K493" s="145"/>
      <c r="L493" s="145"/>
    </row>
    <row r="494">
      <c r="H494" s="145"/>
      <c r="I494" s="145"/>
      <c r="J494" s="145"/>
      <c r="K494" s="145"/>
      <c r="L494" s="145"/>
    </row>
    <row r="495">
      <c r="H495" s="145"/>
      <c r="I495" s="145"/>
      <c r="J495" s="145"/>
      <c r="K495" s="145"/>
      <c r="L495" s="145"/>
    </row>
    <row r="496">
      <c r="H496" s="145"/>
      <c r="I496" s="145"/>
      <c r="J496" s="145"/>
      <c r="K496" s="145"/>
      <c r="L496" s="145"/>
    </row>
    <row r="497">
      <c r="H497" s="145"/>
      <c r="I497" s="145"/>
      <c r="J497" s="145"/>
      <c r="K497" s="145"/>
      <c r="L497" s="145"/>
    </row>
    <row r="498">
      <c r="H498" s="145"/>
      <c r="I498" s="145"/>
      <c r="J498" s="145"/>
      <c r="K498" s="145"/>
      <c r="L498" s="145"/>
    </row>
    <row r="499">
      <c r="H499" s="145"/>
      <c r="I499" s="145"/>
      <c r="J499" s="145"/>
      <c r="K499" s="145"/>
      <c r="L499" s="145"/>
    </row>
    <row r="500">
      <c r="H500" s="145"/>
      <c r="I500" s="145"/>
      <c r="J500" s="145"/>
      <c r="K500" s="145"/>
      <c r="L500" s="145"/>
    </row>
    <row r="501">
      <c r="H501" s="145"/>
      <c r="I501" s="145"/>
      <c r="J501" s="145"/>
      <c r="K501" s="145"/>
      <c r="L501" s="145"/>
    </row>
    <row r="502">
      <c r="H502" s="145"/>
      <c r="I502" s="145"/>
      <c r="J502" s="145"/>
      <c r="K502" s="145"/>
      <c r="L502" s="145"/>
    </row>
    <row r="503">
      <c r="H503" s="145"/>
      <c r="I503" s="145"/>
      <c r="J503" s="145"/>
      <c r="K503" s="145"/>
      <c r="L503" s="145"/>
    </row>
    <row r="504">
      <c r="H504" s="145"/>
      <c r="I504" s="145"/>
      <c r="J504" s="145"/>
      <c r="K504" s="145"/>
      <c r="L504" s="145"/>
    </row>
    <row r="505">
      <c r="H505" s="145"/>
      <c r="I505" s="145"/>
      <c r="J505" s="145"/>
      <c r="K505" s="145"/>
      <c r="L505" s="145"/>
    </row>
    <row r="506">
      <c r="H506" s="145"/>
      <c r="I506" s="145"/>
      <c r="J506" s="145"/>
      <c r="K506" s="145"/>
      <c r="L506" s="145"/>
    </row>
    <row r="507">
      <c r="H507" s="145"/>
      <c r="I507" s="145"/>
      <c r="J507" s="145"/>
      <c r="K507" s="145"/>
      <c r="L507" s="145"/>
    </row>
    <row r="508">
      <c r="H508" s="145"/>
      <c r="I508" s="145"/>
      <c r="J508" s="145"/>
      <c r="K508" s="145"/>
      <c r="L508" s="145"/>
    </row>
    <row r="509">
      <c r="H509" s="145"/>
      <c r="I509" s="145"/>
      <c r="J509" s="145"/>
      <c r="K509" s="145"/>
      <c r="L509" s="145"/>
    </row>
    <row r="510">
      <c r="H510" s="145"/>
      <c r="I510" s="145"/>
      <c r="J510" s="145"/>
      <c r="K510" s="145"/>
      <c r="L510" s="145"/>
    </row>
    <row r="511">
      <c r="H511" s="145"/>
      <c r="I511" s="145"/>
      <c r="J511" s="145"/>
      <c r="K511" s="145"/>
      <c r="L511" s="145"/>
    </row>
    <row r="512">
      <c r="H512" s="145"/>
      <c r="I512" s="145"/>
      <c r="J512" s="145"/>
      <c r="K512" s="145"/>
      <c r="L512" s="145"/>
    </row>
    <row r="513">
      <c r="H513" s="145"/>
      <c r="I513" s="145"/>
      <c r="J513" s="145"/>
      <c r="K513" s="145"/>
      <c r="L513" s="145"/>
    </row>
    <row r="514">
      <c r="H514" s="145"/>
      <c r="I514" s="145"/>
      <c r="J514" s="145"/>
      <c r="K514" s="145"/>
      <c r="L514" s="145"/>
    </row>
    <row r="515">
      <c r="H515" s="145"/>
      <c r="I515" s="145"/>
      <c r="J515" s="145"/>
      <c r="K515" s="145"/>
      <c r="L515" s="145"/>
    </row>
    <row r="516">
      <c r="H516" s="145"/>
      <c r="I516" s="145"/>
      <c r="J516" s="145"/>
      <c r="K516" s="145"/>
      <c r="L516" s="145"/>
    </row>
    <row r="517">
      <c r="H517" s="145"/>
      <c r="I517" s="145"/>
      <c r="J517" s="145"/>
      <c r="K517" s="145"/>
      <c r="L517" s="145"/>
    </row>
    <row r="518">
      <c r="H518" s="145"/>
      <c r="I518" s="145"/>
      <c r="J518" s="145"/>
      <c r="K518" s="145"/>
      <c r="L518" s="145"/>
    </row>
    <row r="519">
      <c r="H519" s="145"/>
      <c r="I519" s="145"/>
      <c r="J519" s="145"/>
      <c r="K519" s="145"/>
      <c r="L519" s="145"/>
    </row>
    <row r="520">
      <c r="H520" s="145"/>
      <c r="I520" s="145"/>
      <c r="J520" s="145"/>
      <c r="K520" s="145"/>
      <c r="L520" s="145"/>
    </row>
    <row r="521">
      <c r="H521" s="145"/>
      <c r="I521" s="145"/>
      <c r="J521" s="145"/>
      <c r="K521" s="145"/>
      <c r="L521" s="145"/>
    </row>
    <row r="522">
      <c r="H522" s="145"/>
      <c r="I522" s="145"/>
      <c r="J522" s="145"/>
      <c r="K522" s="145"/>
      <c r="L522" s="145"/>
    </row>
    <row r="523">
      <c r="H523" s="145"/>
      <c r="I523" s="145"/>
      <c r="J523" s="145"/>
      <c r="K523" s="145"/>
      <c r="L523" s="145"/>
    </row>
    <row r="524">
      <c r="H524" s="145"/>
      <c r="I524" s="145"/>
      <c r="J524" s="145"/>
      <c r="K524" s="145"/>
      <c r="L524" s="145"/>
    </row>
    <row r="525">
      <c r="H525" s="145"/>
      <c r="I525" s="145"/>
      <c r="J525" s="145"/>
      <c r="K525" s="145"/>
      <c r="L525" s="145"/>
    </row>
    <row r="526">
      <c r="H526" s="145"/>
      <c r="I526" s="145"/>
      <c r="J526" s="145"/>
      <c r="K526" s="145"/>
      <c r="L526" s="145"/>
    </row>
    <row r="527">
      <c r="H527" s="145"/>
      <c r="I527" s="145"/>
      <c r="J527" s="145"/>
      <c r="K527" s="145"/>
      <c r="L527" s="145"/>
    </row>
    <row r="528">
      <c r="H528" s="145"/>
      <c r="I528" s="145"/>
      <c r="J528" s="145"/>
      <c r="K528" s="145"/>
      <c r="L528" s="145"/>
    </row>
    <row r="529">
      <c r="H529" s="145"/>
      <c r="I529" s="145"/>
      <c r="J529" s="145"/>
      <c r="K529" s="145"/>
      <c r="L529" s="145"/>
    </row>
    <row r="530">
      <c r="H530" s="145"/>
      <c r="I530" s="145"/>
      <c r="J530" s="145"/>
      <c r="K530" s="145"/>
      <c r="L530" s="145"/>
    </row>
    <row r="531">
      <c r="H531" s="145"/>
      <c r="I531" s="145"/>
      <c r="J531" s="145"/>
      <c r="K531" s="145"/>
      <c r="L531" s="145"/>
    </row>
    <row r="532">
      <c r="H532" s="145"/>
      <c r="I532" s="145"/>
      <c r="J532" s="145"/>
      <c r="K532" s="145"/>
      <c r="L532" s="145"/>
    </row>
    <row r="533">
      <c r="H533" s="145"/>
      <c r="I533" s="145"/>
      <c r="J533" s="145"/>
      <c r="K533" s="145"/>
      <c r="L533" s="145"/>
    </row>
    <row r="534">
      <c r="H534" s="145"/>
      <c r="I534" s="145"/>
      <c r="J534" s="145"/>
      <c r="K534" s="145"/>
      <c r="L534" s="145"/>
    </row>
    <row r="535">
      <c r="H535" s="145"/>
      <c r="I535" s="145"/>
      <c r="J535" s="145"/>
      <c r="K535" s="145"/>
      <c r="L535" s="145"/>
    </row>
    <row r="536">
      <c r="H536" s="145"/>
      <c r="I536" s="145"/>
      <c r="J536" s="145"/>
      <c r="K536" s="145"/>
      <c r="L536" s="145"/>
    </row>
    <row r="537">
      <c r="H537" s="145"/>
      <c r="I537" s="145"/>
      <c r="J537" s="145"/>
      <c r="K537" s="145"/>
      <c r="L537" s="145"/>
    </row>
    <row r="538">
      <c r="H538" s="145"/>
      <c r="I538" s="145"/>
      <c r="J538" s="145"/>
      <c r="K538" s="145"/>
      <c r="L538" s="145"/>
    </row>
    <row r="539">
      <c r="H539" s="145"/>
      <c r="I539" s="145"/>
      <c r="J539" s="145"/>
      <c r="K539" s="145"/>
      <c r="L539" s="145"/>
    </row>
    <row r="540">
      <c r="H540" s="145"/>
      <c r="I540" s="145"/>
      <c r="J540" s="145"/>
      <c r="K540" s="145"/>
      <c r="L540" s="145"/>
    </row>
    <row r="541">
      <c r="H541" s="145"/>
      <c r="I541" s="145"/>
      <c r="J541" s="145"/>
      <c r="K541" s="145"/>
      <c r="L541" s="145"/>
    </row>
    <row r="542">
      <c r="H542" s="145"/>
      <c r="I542" s="145"/>
      <c r="J542" s="145"/>
      <c r="K542" s="145"/>
      <c r="L542" s="145"/>
    </row>
    <row r="543">
      <c r="H543" s="145"/>
      <c r="I543" s="145"/>
      <c r="J543" s="145"/>
      <c r="K543" s="145"/>
      <c r="L543" s="145"/>
    </row>
    <row r="544">
      <c r="H544" s="145"/>
      <c r="I544" s="145"/>
      <c r="J544" s="145"/>
      <c r="K544" s="145"/>
      <c r="L544" s="145"/>
    </row>
    <row r="545">
      <c r="H545" s="145"/>
      <c r="I545" s="145"/>
      <c r="J545" s="145"/>
      <c r="K545" s="145"/>
      <c r="L545" s="145"/>
    </row>
    <row r="546">
      <c r="H546" s="145"/>
      <c r="I546" s="145"/>
      <c r="J546" s="145"/>
      <c r="K546" s="145"/>
      <c r="L546" s="145"/>
    </row>
    <row r="547">
      <c r="H547" s="145"/>
      <c r="I547" s="145"/>
      <c r="J547" s="145"/>
      <c r="K547" s="145"/>
      <c r="L547" s="145"/>
    </row>
    <row r="548">
      <c r="H548" s="145"/>
      <c r="I548" s="145"/>
      <c r="J548" s="145"/>
      <c r="K548" s="145"/>
      <c r="L548" s="145"/>
    </row>
    <row r="549">
      <c r="H549" s="145"/>
      <c r="I549" s="145"/>
      <c r="J549" s="145"/>
      <c r="K549" s="145"/>
      <c r="L549" s="145"/>
    </row>
    <row r="550">
      <c r="H550" s="145"/>
      <c r="I550" s="145"/>
      <c r="J550" s="145"/>
      <c r="K550" s="145"/>
      <c r="L550" s="145"/>
    </row>
    <row r="551">
      <c r="H551" s="145"/>
      <c r="I551" s="145"/>
      <c r="J551" s="145"/>
      <c r="K551" s="145"/>
      <c r="L551" s="145"/>
    </row>
    <row r="552">
      <c r="H552" s="145"/>
      <c r="I552" s="145"/>
      <c r="J552" s="145"/>
      <c r="K552" s="145"/>
      <c r="L552" s="145"/>
    </row>
    <row r="553">
      <c r="H553" s="145"/>
      <c r="I553" s="145"/>
      <c r="J553" s="145"/>
      <c r="K553" s="145"/>
      <c r="L553" s="145"/>
    </row>
    <row r="554">
      <c r="H554" s="145"/>
      <c r="I554" s="145"/>
      <c r="J554" s="145"/>
      <c r="K554" s="145"/>
      <c r="L554" s="145"/>
    </row>
    <row r="555">
      <c r="H555" s="145"/>
      <c r="I555" s="145"/>
      <c r="J555" s="145"/>
      <c r="K555" s="145"/>
      <c r="L555" s="145"/>
    </row>
    <row r="556">
      <c r="H556" s="145"/>
      <c r="I556" s="145"/>
      <c r="J556" s="145"/>
      <c r="K556" s="145"/>
      <c r="L556" s="145"/>
    </row>
    <row r="557">
      <c r="H557" s="145"/>
      <c r="I557" s="145"/>
      <c r="J557" s="145"/>
      <c r="K557" s="145"/>
      <c r="L557" s="145"/>
    </row>
    <row r="558">
      <c r="H558" s="145"/>
      <c r="I558" s="145"/>
      <c r="J558" s="145"/>
      <c r="K558" s="145"/>
      <c r="L558" s="145"/>
    </row>
    <row r="559">
      <c r="H559" s="145"/>
      <c r="I559" s="145"/>
      <c r="J559" s="145"/>
      <c r="K559" s="145"/>
      <c r="L559" s="145"/>
    </row>
    <row r="560">
      <c r="H560" s="145"/>
      <c r="I560" s="145"/>
      <c r="J560" s="145"/>
      <c r="K560" s="145"/>
      <c r="L560" s="145"/>
    </row>
    <row r="561">
      <c r="H561" s="145"/>
      <c r="I561" s="145"/>
      <c r="J561" s="145"/>
      <c r="K561" s="145"/>
      <c r="L561" s="145"/>
    </row>
    <row r="562">
      <c r="H562" s="145"/>
      <c r="I562" s="145"/>
      <c r="J562" s="145"/>
      <c r="K562" s="145"/>
      <c r="L562" s="145"/>
    </row>
    <row r="563">
      <c r="H563" s="145"/>
      <c r="I563" s="145"/>
      <c r="J563" s="145"/>
      <c r="K563" s="145"/>
      <c r="L563" s="145"/>
    </row>
    <row r="564">
      <c r="H564" s="145"/>
      <c r="I564" s="145"/>
      <c r="J564" s="145"/>
      <c r="K564" s="145"/>
      <c r="L564" s="145"/>
    </row>
    <row r="565">
      <c r="H565" s="145"/>
      <c r="I565" s="145"/>
      <c r="J565" s="145"/>
      <c r="K565" s="145"/>
      <c r="L565" s="145"/>
    </row>
    <row r="566">
      <c r="H566" s="145"/>
      <c r="I566" s="145"/>
      <c r="J566" s="145"/>
      <c r="K566" s="145"/>
      <c r="L566" s="145"/>
    </row>
    <row r="567">
      <c r="H567" s="145"/>
      <c r="I567" s="145"/>
      <c r="J567" s="145"/>
      <c r="K567" s="145"/>
      <c r="L567" s="145"/>
    </row>
    <row r="568">
      <c r="H568" s="145"/>
      <c r="I568" s="145"/>
      <c r="J568" s="145"/>
      <c r="K568" s="145"/>
      <c r="L568" s="145"/>
    </row>
    <row r="569">
      <c r="H569" s="145"/>
      <c r="I569" s="145"/>
      <c r="J569" s="145"/>
      <c r="K569" s="145"/>
      <c r="L569" s="145"/>
    </row>
    <row r="570">
      <c r="H570" s="145"/>
      <c r="I570" s="145"/>
      <c r="J570" s="145"/>
      <c r="K570" s="145"/>
      <c r="L570" s="145"/>
    </row>
    <row r="571">
      <c r="H571" s="145"/>
      <c r="I571" s="145"/>
      <c r="J571" s="145"/>
      <c r="K571" s="145"/>
      <c r="L571" s="145"/>
    </row>
    <row r="572">
      <c r="H572" s="145"/>
      <c r="I572" s="145"/>
      <c r="J572" s="145"/>
      <c r="K572" s="145"/>
      <c r="L572" s="145"/>
    </row>
    <row r="573">
      <c r="H573" s="145"/>
      <c r="I573" s="145"/>
      <c r="J573" s="145"/>
      <c r="K573" s="145"/>
      <c r="L573" s="145"/>
    </row>
    <row r="574">
      <c r="H574" s="145"/>
      <c r="I574" s="145"/>
      <c r="J574" s="145"/>
      <c r="K574" s="145"/>
      <c r="L574" s="145"/>
    </row>
    <row r="575">
      <c r="H575" s="145"/>
      <c r="I575" s="145"/>
      <c r="J575" s="145"/>
      <c r="K575" s="145"/>
      <c r="L575" s="145"/>
    </row>
    <row r="576">
      <c r="H576" s="145"/>
      <c r="I576" s="145"/>
      <c r="J576" s="145"/>
      <c r="K576" s="145"/>
      <c r="L576" s="145"/>
    </row>
    <row r="577">
      <c r="H577" s="145"/>
      <c r="I577" s="145"/>
      <c r="J577" s="145"/>
      <c r="K577" s="145"/>
      <c r="L577" s="145"/>
    </row>
    <row r="578">
      <c r="H578" s="145"/>
      <c r="I578" s="145"/>
      <c r="J578" s="145"/>
      <c r="K578" s="145"/>
      <c r="L578" s="145"/>
    </row>
    <row r="579">
      <c r="H579" s="145"/>
      <c r="I579" s="145"/>
      <c r="J579" s="145"/>
      <c r="K579" s="145"/>
      <c r="L579" s="145"/>
    </row>
    <row r="580">
      <c r="H580" s="145"/>
      <c r="I580" s="145"/>
      <c r="J580" s="145"/>
      <c r="K580" s="145"/>
      <c r="L580" s="145"/>
    </row>
    <row r="581">
      <c r="H581" s="145"/>
      <c r="I581" s="145"/>
      <c r="J581" s="145"/>
      <c r="K581" s="145"/>
      <c r="L581" s="145"/>
    </row>
    <row r="582">
      <c r="H582" s="145"/>
      <c r="I582" s="145"/>
      <c r="J582" s="145"/>
      <c r="K582" s="145"/>
      <c r="L582" s="145"/>
    </row>
    <row r="583">
      <c r="H583" s="145"/>
      <c r="I583" s="145"/>
      <c r="J583" s="145"/>
      <c r="K583" s="145"/>
      <c r="L583" s="145"/>
    </row>
    <row r="584">
      <c r="H584" s="145"/>
      <c r="I584" s="145"/>
      <c r="J584" s="145"/>
      <c r="K584" s="145"/>
      <c r="L584" s="145"/>
    </row>
    <row r="585">
      <c r="H585" s="145"/>
      <c r="I585" s="145"/>
      <c r="J585" s="145"/>
      <c r="K585" s="145"/>
      <c r="L585" s="145"/>
    </row>
    <row r="586">
      <c r="H586" s="145"/>
      <c r="I586" s="145"/>
      <c r="J586" s="145"/>
      <c r="K586" s="145"/>
      <c r="L586" s="145"/>
    </row>
    <row r="587">
      <c r="H587" s="145"/>
      <c r="I587" s="145"/>
      <c r="J587" s="145"/>
      <c r="K587" s="145"/>
      <c r="L587" s="145"/>
    </row>
    <row r="588">
      <c r="H588" s="145"/>
      <c r="I588" s="145"/>
      <c r="J588" s="145"/>
      <c r="K588" s="145"/>
      <c r="L588" s="145"/>
    </row>
    <row r="589">
      <c r="H589" s="145"/>
      <c r="I589" s="145"/>
      <c r="J589" s="145"/>
      <c r="K589" s="145"/>
      <c r="L589" s="145"/>
    </row>
    <row r="590">
      <c r="H590" s="145"/>
      <c r="I590" s="145"/>
      <c r="J590" s="145"/>
      <c r="K590" s="145"/>
      <c r="L590" s="145"/>
    </row>
    <row r="591">
      <c r="H591" s="145"/>
      <c r="I591" s="145"/>
      <c r="J591" s="145"/>
      <c r="K591" s="145"/>
      <c r="L591" s="145"/>
    </row>
    <row r="592">
      <c r="H592" s="145"/>
      <c r="I592" s="145"/>
      <c r="J592" s="145"/>
      <c r="K592" s="145"/>
      <c r="L592" s="145"/>
    </row>
    <row r="593">
      <c r="H593" s="145"/>
      <c r="I593" s="145"/>
      <c r="J593" s="145"/>
      <c r="K593" s="145"/>
      <c r="L593" s="145"/>
    </row>
    <row r="594">
      <c r="H594" s="145"/>
      <c r="I594" s="145"/>
      <c r="J594" s="145"/>
      <c r="K594" s="145"/>
      <c r="L594" s="145"/>
    </row>
    <row r="595">
      <c r="H595" s="145"/>
      <c r="I595" s="145"/>
      <c r="J595" s="145"/>
      <c r="K595" s="145"/>
      <c r="L595" s="145"/>
    </row>
    <row r="596">
      <c r="H596" s="145"/>
      <c r="I596" s="145"/>
      <c r="J596" s="145"/>
      <c r="K596" s="145"/>
      <c r="L596" s="145"/>
    </row>
    <row r="597">
      <c r="H597" s="145"/>
      <c r="I597" s="145"/>
      <c r="J597" s="145"/>
      <c r="K597" s="145"/>
      <c r="L597" s="145"/>
    </row>
    <row r="598">
      <c r="H598" s="145"/>
      <c r="I598" s="145"/>
      <c r="J598" s="145"/>
      <c r="K598" s="145"/>
      <c r="L598" s="145"/>
    </row>
    <row r="599">
      <c r="H599" s="145"/>
      <c r="I599" s="145"/>
      <c r="J599" s="145"/>
      <c r="K599" s="145"/>
      <c r="L599" s="145"/>
    </row>
    <row r="600">
      <c r="H600" s="145"/>
      <c r="I600" s="145"/>
      <c r="J600" s="145"/>
      <c r="K600" s="145"/>
      <c r="L600" s="145"/>
    </row>
    <row r="601">
      <c r="H601" s="145"/>
      <c r="I601" s="145"/>
      <c r="J601" s="145"/>
      <c r="K601" s="145"/>
      <c r="L601" s="145"/>
    </row>
    <row r="602">
      <c r="H602" s="145"/>
      <c r="I602" s="145"/>
      <c r="J602" s="145"/>
      <c r="K602" s="145"/>
      <c r="L602" s="145"/>
    </row>
    <row r="603">
      <c r="H603" s="145"/>
      <c r="I603" s="145"/>
      <c r="J603" s="145"/>
      <c r="K603" s="145"/>
      <c r="L603" s="145"/>
    </row>
    <row r="604">
      <c r="H604" s="145"/>
      <c r="I604" s="145"/>
      <c r="J604" s="145"/>
      <c r="K604" s="145"/>
      <c r="L604" s="145"/>
    </row>
    <row r="605">
      <c r="H605" s="145"/>
      <c r="I605" s="145"/>
      <c r="J605" s="145"/>
      <c r="K605" s="145"/>
      <c r="L605" s="145"/>
    </row>
    <row r="606">
      <c r="H606" s="145"/>
      <c r="I606" s="145"/>
      <c r="J606" s="145"/>
      <c r="K606" s="145"/>
      <c r="L606" s="145"/>
    </row>
    <row r="607">
      <c r="H607" s="145"/>
      <c r="I607" s="145"/>
      <c r="J607" s="145"/>
      <c r="K607" s="145"/>
      <c r="L607" s="145"/>
    </row>
    <row r="608">
      <c r="H608" s="145"/>
      <c r="I608" s="145"/>
      <c r="J608" s="145"/>
      <c r="K608" s="145"/>
      <c r="L608" s="145"/>
    </row>
    <row r="609">
      <c r="H609" s="145"/>
      <c r="I609" s="145"/>
      <c r="J609" s="145"/>
      <c r="K609" s="145"/>
      <c r="L609" s="145"/>
    </row>
    <row r="610">
      <c r="H610" s="145"/>
      <c r="I610" s="145"/>
      <c r="J610" s="145"/>
      <c r="K610" s="145"/>
      <c r="L610" s="145"/>
    </row>
    <row r="611">
      <c r="H611" s="145"/>
      <c r="I611" s="145"/>
      <c r="J611" s="145"/>
      <c r="K611" s="145"/>
      <c r="L611" s="145"/>
    </row>
    <row r="612">
      <c r="H612" s="145"/>
      <c r="I612" s="145"/>
      <c r="J612" s="145"/>
      <c r="K612" s="145"/>
      <c r="L612" s="145"/>
    </row>
    <row r="613">
      <c r="H613" s="145"/>
      <c r="I613" s="145"/>
      <c r="J613" s="145"/>
      <c r="K613" s="145"/>
      <c r="L613" s="145"/>
    </row>
    <row r="614">
      <c r="H614" s="145"/>
      <c r="I614" s="145"/>
      <c r="J614" s="145"/>
      <c r="K614" s="145"/>
      <c r="L614" s="145"/>
    </row>
    <row r="615">
      <c r="H615" s="145"/>
      <c r="I615" s="145"/>
      <c r="J615" s="145"/>
      <c r="K615" s="145"/>
      <c r="L615" s="145"/>
    </row>
    <row r="616">
      <c r="H616" s="145"/>
      <c r="I616" s="145"/>
      <c r="J616" s="145"/>
      <c r="K616" s="145"/>
      <c r="L616" s="145"/>
    </row>
    <row r="617">
      <c r="H617" s="145"/>
      <c r="I617" s="145"/>
      <c r="J617" s="145"/>
      <c r="K617" s="145"/>
      <c r="L617" s="145"/>
    </row>
    <row r="618">
      <c r="H618" s="145"/>
      <c r="I618" s="145"/>
      <c r="J618" s="145"/>
      <c r="K618" s="145"/>
      <c r="L618" s="145"/>
    </row>
    <row r="619">
      <c r="H619" s="145"/>
      <c r="I619" s="145"/>
      <c r="J619" s="145"/>
      <c r="K619" s="145"/>
      <c r="L619" s="145"/>
    </row>
    <row r="620">
      <c r="H620" s="145"/>
      <c r="I620" s="145"/>
      <c r="J620" s="145"/>
      <c r="K620" s="145"/>
      <c r="L620" s="145"/>
    </row>
    <row r="621">
      <c r="H621" s="145"/>
      <c r="I621" s="145"/>
      <c r="J621" s="145"/>
      <c r="K621" s="145"/>
      <c r="L621" s="145"/>
    </row>
    <row r="622">
      <c r="H622" s="145"/>
      <c r="I622" s="145"/>
      <c r="J622" s="145"/>
      <c r="K622" s="145"/>
      <c r="L622" s="145"/>
    </row>
    <row r="623">
      <c r="H623" s="145"/>
      <c r="I623" s="145"/>
      <c r="J623" s="145"/>
      <c r="K623" s="145"/>
      <c r="L623" s="145"/>
    </row>
    <row r="624">
      <c r="H624" s="145"/>
      <c r="I624" s="145"/>
      <c r="J624" s="145"/>
      <c r="K624" s="145"/>
      <c r="L624" s="145"/>
    </row>
    <row r="625">
      <c r="H625" s="145"/>
      <c r="I625" s="145"/>
      <c r="J625" s="145"/>
      <c r="K625" s="145"/>
      <c r="L625" s="145"/>
    </row>
    <row r="626">
      <c r="H626" s="145"/>
      <c r="I626" s="145"/>
      <c r="J626" s="145"/>
      <c r="K626" s="145"/>
      <c r="L626" s="145"/>
    </row>
    <row r="627">
      <c r="H627" s="145"/>
      <c r="I627" s="145"/>
      <c r="J627" s="145"/>
      <c r="K627" s="145"/>
      <c r="L627" s="145"/>
    </row>
    <row r="628">
      <c r="H628" s="145"/>
      <c r="I628" s="145"/>
      <c r="J628" s="145"/>
      <c r="K628" s="145"/>
      <c r="L628" s="145"/>
    </row>
    <row r="629">
      <c r="H629" s="145"/>
      <c r="I629" s="145"/>
      <c r="J629" s="145"/>
      <c r="K629" s="145"/>
      <c r="L629" s="145"/>
    </row>
    <row r="630">
      <c r="H630" s="145"/>
      <c r="I630" s="145"/>
      <c r="J630" s="145"/>
      <c r="K630" s="145"/>
      <c r="L630" s="145"/>
    </row>
    <row r="631">
      <c r="H631" s="145"/>
      <c r="I631" s="145"/>
      <c r="J631" s="145"/>
      <c r="K631" s="145"/>
      <c r="L631" s="145"/>
    </row>
    <row r="632">
      <c r="H632" s="145"/>
      <c r="I632" s="145"/>
      <c r="J632" s="145"/>
      <c r="K632" s="145"/>
      <c r="L632" s="145"/>
    </row>
    <row r="633">
      <c r="H633" s="145"/>
      <c r="I633" s="145"/>
      <c r="J633" s="145"/>
      <c r="K633" s="145"/>
      <c r="L633" s="145"/>
    </row>
    <row r="634">
      <c r="H634" s="145"/>
      <c r="I634" s="145"/>
      <c r="J634" s="145"/>
      <c r="K634" s="145"/>
      <c r="L634" s="145"/>
    </row>
    <row r="635">
      <c r="H635" s="145"/>
      <c r="I635" s="145"/>
      <c r="J635" s="145"/>
      <c r="K635" s="145"/>
      <c r="L635" s="145"/>
    </row>
    <row r="636">
      <c r="H636" s="145"/>
      <c r="I636" s="145"/>
      <c r="J636" s="145"/>
      <c r="K636" s="145"/>
      <c r="L636" s="145"/>
    </row>
    <row r="637">
      <c r="H637" s="145"/>
      <c r="I637" s="145"/>
      <c r="J637" s="145"/>
      <c r="K637" s="145"/>
      <c r="L637" s="145"/>
    </row>
    <row r="638">
      <c r="H638" s="145"/>
      <c r="I638" s="145"/>
      <c r="J638" s="145"/>
      <c r="K638" s="145"/>
      <c r="L638" s="145"/>
    </row>
    <row r="639">
      <c r="H639" s="145"/>
      <c r="I639" s="145"/>
      <c r="J639" s="145"/>
      <c r="K639" s="145"/>
      <c r="L639" s="145"/>
    </row>
    <row r="640">
      <c r="H640" s="145"/>
      <c r="I640" s="145"/>
      <c r="J640" s="145"/>
      <c r="K640" s="145"/>
      <c r="L640" s="145"/>
    </row>
    <row r="641">
      <c r="H641" s="145"/>
      <c r="I641" s="145"/>
      <c r="J641" s="145"/>
      <c r="K641" s="145"/>
      <c r="L641" s="145"/>
    </row>
    <row r="642">
      <c r="H642" s="145"/>
      <c r="I642" s="145"/>
      <c r="J642" s="145"/>
      <c r="K642" s="145"/>
      <c r="L642" s="145"/>
    </row>
    <row r="643">
      <c r="H643" s="145"/>
      <c r="I643" s="145"/>
      <c r="J643" s="145"/>
      <c r="K643" s="145"/>
      <c r="L643" s="145"/>
    </row>
    <row r="644">
      <c r="H644" s="145"/>
      <c r="I644" s="145"/>
      <c r="J644" s="145"/>
      <c r="K644" s="145"/>
      <c r="L644" s="145"/>
    </row>
    <row r="645">
      <c r="H645" s="145"/>
      <c r="I645" s="145"/>
      <c r="J645" s="145"/>
      <c r="K645" s="145"/>
      <c r="L645" s="145"/>
    </row>
    <row r="646">
      <c r="H646" s="145"/>
      <c r="I646" s="145"/>
      <c r="J646" s="145"/>
      <c r="K646" s="145"/>
      <c r="L646" s="145"/>
    </row>
    <row r="647">
      <c r="H647" s="145"/>
      <c r="I647" s="145"/>
      <c r="J647" s="145"/>
      <c r="K647" s="145"/>
      <c r="L647" s="145"/>
    </row>
    <row r="648">
      <c r="H648" s="145"/>
      <c r="I648" s="145"/>
      <c r="J648" s="145"/>
      <c r="K648" s="145"/>
      <c r="L648" s="145"/>
    </row>
    <row r="649">
      <c r="H649" s="145"/>
      <c r="I649" s="145"/>
      <c r="J649" s="145"/>
      <c r="K649" s="145"/>
      <c r="L649" s="145"/>
    </row>
    <row r="650">
      <c r="H650" s="145"/>
      <c r="I650" s="145"/>
      <c r="J650" s="145"/>
      <c r="K650" s="145"/>
      <c r="L650" s="145"/>
    </row>
    <row r="651">
      <c r="H651" s="145"/>
      <c r="I651" s="145"/>
      <c r="J651" s="145"/>
      <c r="K651" s="145"/>
      <c r="L651" s="145"/>
    </row>
    <row r="652">
      <c r="H652" s="145"/>
      <c r="I652" s="145"/>
      <c r="J652" s="145"/>
      <c r="K652" s="145"/>
      <c r="L652" s="145"/>
    </row>
    <row r="653">
      <c r="H653" s="145"/>
      <c r="I653" s="145"/>
      <c r="J653" s="145"/>
      <c r="K653" s="145"/>
      <c r="L653" s="145"/>
    </row>
    <row r="654">
      <c r="H654" s="145"/>
      <c r="I654" s="145"/>
      <c r="J654" s="145"/>
      <c r="K654" s="145"/>
      <c r="L654" s="145"/>
    </row>
    <row r="655">
      <c r="H655" s="145"/>
      <c r="I655" s="145"/>
      <c r="J655" s="145"/>
      <c r="K655" s="145"/>
      <c r="L655" s="145"/>
    </row>
    <row r="656">
      <c r="H656" s="145"/>
      <c r="I656" s="145"/>
      <c r="J656" s="145"/>
      <c r="K656" s="145"/>
      <c r="L656" s="145"/>
    </row>
    <row r="657">
      <c r="H657" s="145"/>
      <c r="I657" s="145"/>
      <c r="J657" s="145"/>
      <c r="K657" s="145"/>
      <c r="L657" s="145"/>
    </row>
    <row r="658">
      <c r="H658" s="145"/>
      <c r="I658" s="145"/>
      <c r="J658" s="145"/>
      <c r="K658" s="145"/>
      <c r="L658" s="145"/>
    </row>
    <row r="659">
      <c r="H659" s="145"/>
      <c r="I659" s="145"/>
      <c r="J659" s="145"/>
      <c r="K659" s="145"/>
      <c r="L659" s="145"/>
    </row>
    <row r="660">
      <c r="H660" s="145"/>
      <c r="I660" s="145"/>
      <c r="J660" s="145"/>
      <c r="K660" s="145"/>
      <c r="L660" s="145"/>
    </row>
    <row r="661">
      <c r="H661" s="145"/>
      <c r="I661" s="145"/>
      <c r="J661" s="145"/>
      <c r="K661" s="145"/>
      <c r="L661" s="145"/>
    </row>
    <row r="662">
      <c r="H662" s="145"/>
      <c r="I662" s="145"/>
      <c r="J662" s="145"/>
      <c r="K662" s="145"/>
      <c r="L662" s="145"/>
    </row>
    <row r="663">
      <c r="H663" s="145"/>
      <c r="I663" s="145"/>
      <c r="J663" s="145"/>
      <c r="K663" s="145"/>
      <c r="L663" s="145"/>
    </row>
    <row r="664">
      <c r="H664" s="145"/>
      <c r="I664" s="145"/>
      <c r="J664" s="145"/>
      <c r="K664" s="145"/>
      <c r="L664" s="145"/>
    </row>
    <row r="665">
      <c r="H665" s="145"/>
      <c r="I665" s="145"/>
      <c r="J665" s="145"/>
      <c r="K665" s="145"/>
      <c r="L665" s="145"/>
    </row>
    <row r="666">
      <c r="H666" s="145"/>
      <c r="I666" s="145"/>
      <c r="J666" s="145"/>
      <c r="K666" s="145"/>
      <c r="L666" s="145"/>
    </row>
    <row r="667">
      <c r="H667" s="145"/>
      <c r="I667" s="145"/>
      <c r="J667" s="145"/>
      <c r="K667" s="145"/>
      <c r="L667" s="145"/>
    </row>
    <row r="668">
      <c r="H668" s="145"/>
      <c r="I668" s="145"/>
      <c r="J668" s="145"/>
      <c r="K668" s="145"/>
      <c r="L668" s="145"/>
    </row>
    <row r="669">
      <c r="H669" s="145"/>
      <c r="I669" s="145"/>
      <c r="J669" s="145"/>
      <c r="K669" s="145"/>
      <c r="L669" s="145"/>
    </row>
    <row r="670">
      <c r="H670" s="145"/>
      <c r="I670" s="145"/>
      <c r="J670" s="145"/>
      <c r="K670" s="145"/>
      <c r="L670" s="145"/>
    </row>
    <row r="671">
      <c r="H671" s="145"/>
      <c r="I671" s="145"/>
      <c r="J671" s="145"/>
      <c r="K671" s="145"/>
      <c r="L671" s="145"/>
    </row>
    <row r="672">
      <c r="H672" s="145"/>
      <c r="I672" s="145"/>
      <c r="J672" s="145"/>
      <c r="K672" s="145"/>
      <c r="L672" s="145"/>
    </row>
    <row r="673">
      <c r="H673" s="145"/>
      <c r="I673" s="145"/>
      <c r="J673" s="145"/>
      <c r="K673" s="145"/>
      <c r="L673" s="145"/>
    </row>
    <row r="674">
      <c r="H674" s="145"/>
      <c r="I674" s="145"/>
      <c r="J674" s="145"/>
      <c r="K674" s="145"/>
      <c r="L674" s="145"/>
    </row>
    <row r="675">
      <c r="H675" s="145"/>
      <c r="I675" s="145"/>
      <c r="J675" s="145"/>
      <c r="K675" s="145"/>
      <c r="L675" s="145"/>
    </row>
    <row r="676">
      <c r="H676" s="145"/>
      <c r="I676" s="145"/>
      <c r="J676" s="145"/>
      <c r="K676" s="145"/>
      <c r="L676" s="145"/>
    </row>
    <row r="677">
      <c r="H677" s="145"/>
      <c r="I677" s="145"/>
      <c r="J677" s="145"/>
      <c r="K677" s="145"/>
      <c r="L677" s="145"/>
    </row>
    <row r="678">
      <c r="H678" s="145"/>
      <c r="I678" s="145"/>
      <c r="J678" s="145"/>
      <c r="K678" s="145"/>
      <c r="L678" s="145"/>
    </row>
    <row r="679">
      <c r="H679" s="145"/>
      <c r="I679" s="145"/>
      <c r="J679" s="145"/>
      <c r="K679" s="145"/>
      <c r="L679" s="145"/>
    </row>
    <row r="680">
      <c r="H680" s="145"/>
      <c r="I680" s="145"/>
      <c r="J680" s="145"/>
      <c r="K680" s="145"/>
      <c r="L680" s="145"/>
    </row>
    <row r="681">
      <c r="H681" s="145"/>
      <c r="I681" s="145"/>
      <c r="J681" s="145"/>
      <c r="K681" s="145"/>
      <c r="L681" s="145"/>
    </row>
    <row r="682">
      <c r="H682" s="145"/>
      <c r="I682" s="145"/>
      <c r="J682" s="145"/>
      <c r="K682" s="145"/>
      <c r="L682" s="145"/>
    </row>
    <row r="683">
      <c r="H683" s="145"/>
      <c r="I683" s="145"/>
      <c r="J683" s="145"/>
      <c r="K683" s="145"/>
      <c r="L683" s="145"/>
    </row>
    <row r="684">
      <c r="H684" s="145"/>
      <c r="I684" s="145"/>
      <c r="J684" s="145"/>
      <c r="K684" s="145"/>
      <c r="L684" s="145"/>
    </row>
    <row r="685">
      <c r="H685" s="145"/>
      <c r="I685" s="145"/>
      <c r="J685" s="145"/>
      <c r="K685" s="145"/>
      <c r="L685" s="145"/>
    </row>
    <row r="686">
      <c r="H686" s="145"/>
      <c r="I686" s="145"/>
      <c r="J686" s="145"/>
      <c r="K686" s="145"/>
      <c r="L686" s="145"/>
    </row>
    <row r="687">
      <c r="H687" s="145"/>
      <c r="I687" s="145"/>
      <c r="J687" s="145"/>
      <c r="K687" s="145"/>
      <c r="L687" s="145"/>
    </row>
    <row r="688">
      <c r="H688" s="145"/>
      <c r="I688" s="145"/>
      <c r="J688" s="145"/>
      <c r="K688" s="145"/>
      <c r="L688" s="145"/>
    </row>
    <row r="689">
      <c r="H689" s="145"/>
      <c r="I689" s="145"/>
      <c r="J689" s="145"/>
      <c r="K689" s="145"/>
      <c r="L689" s="145"/>
    </row>
    <row r="690">
      <c r="H690" s="145"/>
      <c r="I690" s="145"/>
      <c r="J690" s="145"/>
      <c r="K690" s="145"/>
      <c r="L690" s="145"/>
    </row>
    <row r="691">
      <c r="H691" s="145"/>
      <c r="I691" s="145"/>
      <c r="J691" s="145"/>
      <c r="K691" s="145"/>
      <c r="L691" s="145"/>
    </row>
    <row r="692">
      <c r="H692" s="145"/>
      <c r="I692" s="145"/>
      <c r="J692" s="145"/>
      <c r="K692" s="145"/>
      <c r="L692" s="145"/>
    </row>
    <row r="693">
      <c r="H693" s="145"/>
      <c r="I693" s="145"/>
      <c r="J693" s="145"/>
      <c r="K693" s="145"/>
      <c r="L693" s="145"/>
    </row>
    <row r="694">
      <c r="H694" s="145"/>
      <c r="I694" s="145"/>
      <c r="J694" s="145"/>
      <c r="K694" s="145"/>
      <c r="L694" s="145"/>
    </row>
    <row r="695">
      <c r="H695" s="145"/>
      <c r="I695" s="145"/>
      <c r="J695" s="145"/>
      <c r="K695" s="145"/>
      <c r="L695" s="145"/>
    </row>
    <row r="696">
      <c r="H696" s="145"/>
      <c r="I696" s="145"/>
      <c r="J696" s="145"/>
      <c r="K696" s="145"/>
      <c r="L696" s="145"/>
    </row>
    <row r="697">
      <c r="H697" s="145"/>
      <c r="I697" s="145"/>
      <c r="J697" s="145"/>
      <c r="K697" s="145"/>
      <c r="L697" s="145"/>
    </row>
    <row r="698">
      <c r="H698" s="145"/>
      <c r="I698" s="145"/>
      <c r="J698" s="145"/>
      <c r="K698" s="145"/>
      <c r="L698" s="145"/>
    </row>
    <row r="699">
      <c r="H699" s="145"/>
      <c r="I699" s="145"/>
      <c r="J699" s="145"/>
      <c r="K699" s="145"/>
      <c r="L699" s="145"/>
    </row>
    <row r="700">
      <c r="H700" s="145"/>
      <c r="I700" s="145"/>
      <c r="J700" s="145"/>
      <c r="K700" s="145"/>
      <c r="L700" s="145"/>
    </row>
    <row r="701">
      <c r="H701" s="145"/>
      <c r="I701" s="145"/>
      <c r="J701" s="145"/>
      <c r="K701" s="145"/>
      <c r="L701" s="145"/>
    </row>
    <row r="702">
      <c r="H702" s="145"/>
      <c r="I702" s="145"/>
      <c r="J702" s="145"/>
      <c r="K702" s="145"/>
      <c r="L702" s="145"/>
    </row>
    <row r="703">
      <c r="H703" s="145"/>
      <c r="I703" s="145"/>
      <c r="J703" s="145"/>
      <c r="K703" s="145"/>
      <c r="L703" s="145"/>
    </row>
    <row r="704">
      <c r="H704" s="145"/>
      <c r="I704" s="145"/>
      <c r="J704" s="145"/>
      <c r="K704" s="145"/>
      <c r="L704" s="145"/>
    </row>
    <row r="705">
      <c r="H705" s="145"/>
      <c r="I705" s="145"/>
      <c r="J705" s="145"/>
      <c r="K705" s="145"/>
      <c r="L705" s="145"/>
    </row>
    <row r="706">
      <c r="H706" s="145"/>
      <c r="I706" s="145"/>
      <c r="J706" s="145"/>
      <c r="K706" s="145"/>
      <c r="L706" s="145"/>
    </row>
    <row r="707">
      <c r="H707" s="145"/>
      <c r="I707" s="145"/>
      <c r="J707" s="145"/>
      <c r="K707" s="145"/>
      <c r="L707" s="145"/>
    </row>
    <row r="708">
      <c r="H708" s="145"/>
      <c r="I708" s="145"/>
      <c r="J708" s="145"/>
      <c r="K708" s="145"/>
      <c r="L708" s="145"/>
    </row>
    <row r="709">
      <c r="H709" s="145"/>
      <c r="I709" s="145"/>
      <c r="J709" s="145"/>
      <c r="K709" s="145"/>
      <c r="L709" s="145"/>
    </row>
    <row r="710">
      <c r="H710" s="145"/>
      <c r="I710" s="145"/>
      <c r="J710" s="145"/>
      <c r="K710" s="145"/>
      <c r="L710" s="145"/>
    </row>
    <row r="711">
      <c r="H711" s="145"/>
      <c r="I711" s="145"/>
      <c r="J711" s="145"/>
      <c r="K711" s="145"/>
      <c r="L711" s="145"/>
    </row>
    <row r="712">
      <c r="H712" s="145"/>
      <c r="I712" s="145"/>
      <c r="J712" s="145"/>
      <c r="K712" s="145"/>
      <c r="L712" s="145"/>
    </row>
    <row r="713">
      <c r="H713" s="145"/>
      <c r="I713" s="145"/>
      <c r="J713" s="145"/>
      <c r="K713" s="145"/>
      <c r="L713" s="145"/>
    </row>
    <row r="714">
      <c r="H714" s="145"/>
      <c r="I714" s="145"/>
      <c r="J714" s="145"/>
      <c r="K714" s="145"/>
      <c r="L714" s="145"/>
    </row>
    <row r="715">
      <c r="H715" s="145"/>
      <c r="I715" s="145"/>
      <c r="J715" s="145"/>
      <c r="K715" s="145"/>
      <c r="L715" s="145"/>
    </row>
    <row r="716">
      <c r="H716" s="145"/>
      <c r="I716" s="145"/>
      <c r="J716" s="145"/>
      <c r="K716" s="145"/>
      <c r="L716" s="145"/>
    </row>
    <row r="717">
      <c r="H717" s="145"/>
      <c r="I717" s="145"/>
      <c r="J717" s="145"/>
      <c r="K717" s="145"/>
      <c r="L717" s="145"/>
    </row>
    <row r="718">
      <c r="H718" s="145"/>
      <c r="I718" s="145"/>
      <c r="J718" s="145"/>
      <c r="K718" s="145"/>
      <c r="L718" s="145"/>
    </row>
    <row r="719">
      <c r="H719" s="145"/>
      <c r="I719" s="145"/>
      <c r="J719" s="145"/>
      <c r="K719" s="145"/>
      <c r="L719" s="145"/>
    </row>
    <row r="720">
      <c r="H720" s="145"/>
      <c r="I720" s="145"/>
      <c r="J720" s="145"/>
      <c r="K720" s="145"/>
      <c r="L720" s="145"/>
    </row>
    <row r="721">
      <c r="H721" s="145"/>
      <c r="I721" s="145"/>
      <c r="J721" s="145"/>
      <c r="K721" s="145"/>
      <c r="L721" s="145"/>
    </row>
    <row r="722">
      <c r="H722" s="145"/>
      <c r="I722" s="145"/>
      <c r="J722" s="145"/>
      <c r="K722" s="145"/>
      <c r="L722" s="145"/>
    </row>
    <row r="723">
      <c r="H723" s="145"/>
      <c r="I723" s="145"/>
      <c r="J723" s="145"/>
      <c r="K723" s="145"/>
      <c r="L723" s="145"/>
    </row>
    <row r="724">
      <c r="H724" s="145"/>
      <c r="I724" s="145"/>
      <c r="J724" s="145"/>
      <c r="K724" s="145"/>
      <c r="L724" s="145"/>
    </row>
    <row r="725">
      <c r="H725" s="145"/>
      <c r="I725" s="145"/>
      <c r="J725" s="145"/>
      <c r="K725" s="145"/>
      <c r="L725" s="145"/>
    </row>
    <row r="726">
      <c r="H726" s="145"/>
      <c r="I726" s="145"/>
      <c r="J726" s="145"/>
      <c r="K726" s="145"/>
      <c r="L726" s="145"/>
    </row>
    <row r="727">
      <c r="H727" s="145"/>
      <c r="I727" s="145"/>
      <c r="J727" s="145"/>
      <c r="K727" s="145"/>
      <c r="L727" s="145"/>
    </row>
    <row r="728">
      <c r="H728" s="145"/>
      <c r="I728" s="145"/>
      <c r="J728" s="145"/>
      <c r="K728" s="145"/>
      <c r="L728" s="145"/>
    </row>
    <row r="729">
      <c r="H729" s="145"/>
      <c r="I729" s="145"/>
      <c r="J729" s="145"/>
      <c r="K729" s="145"/>
      <c r="L729" s="145"/>
    </row>
    <row r="730">
      <c r="H730" s="145"/>
      <c r="I730" s="145"/>
      <c r="J730" s="145"/>
      <c r="K730" s="145"/>
      <c r="L730" s="145"/>
    </row>
    <row r="731">
      <c r="H731" s="145"/>
      <c r="I731" s="145"/>
      <c r="J731" s="145"/>
      <c r="K731" s="145"/>
      <c r="L731" s="145"/>
    </row>
    <row r="732">
      <c r="H732" s="145"/>
      <c r="I732" s="145"/>
      <c r="J732" s="145"/>
      <c r="K732" s="145"/>
      <c r="L732" s="145"/>
    </row>
    <row r="733">
      <c r="H733" s="145"/>
      <c r="I733" s="145"/>
      <c r="J733" s="145"/>
      <c r="K733" s="145"/>
      <c r="L733" s="145"/>
    </row>
    <row r="734">
      <c r="H734" s="145"/>
      <c r="I734" s="145"/>
      <c r="J734" s="145"/>
      <c r="K734" s="145"/>
      <c r="L734" s="145"/>
    </row>
    <row r="735">
      <c r="H735" s="145"/>
      <c r="I735" s="145"/>
      <c r="J735" s="145"/>
      <c r="K735" s="145"/>
      <c r="L735" s="145"/>
    </row>
    <row r="736">
      <c r="H736" s="145"/>
      <c r="I736" s="145"/>
      <c r="J736" s="145"/>
      <c r="K736" s="145"/>
      <c r="L736" s="145"/>
    </row>
    <row r="737">
      <c r="H737" s="145"/>
      <c r="I737" s="145"/>
      <c r="J737" s="145"/>
      <c r="K737" s="145"/>
      <c r="L737" s="145"/>
    </row>
    <row r="738">
      <c r="H738" s="145"/>
      <c r="I738" s="145"/>
      <c r="J738" s="145"/>
      <c r="K738" s="145"/>
      <c r="L738" s="145"/>
    </row>
    <row r="739">
      <c r="H739" s="145"/>
      <c r="I739" s="145"/>
      <c r="J739" s="145"/>
      <c r="K739" s="145"/>
      <c r="L739" s="145"/>
    </row>
    <row r="740">
      <c r="H740" s="145"/>
      <c r="I740" s="145"/>
      <c r="J740" s="145"/>
      <c r="K740" s="145"/>
      <c r="L740" s="145"/>
    </row>
    <row r="741">
      <c r="H741" s="145"/>
      <c r="I741" s="145"/>
      <c r="J741" s="145"/>
      <c r="K741" s="145"/>
      <c r="L741" s="145"/>
    </row>
    <row r="742">
      <c r="H742" s="145"/>
      <c r="I742" s="145"/>
      <c r="J742" s="145"/>
      <c r="K742" s="145"/>
      <c r="L742" s="145"/>
    </row>
    <row r="743">
      <c r="H743" s="145"/>
      <c r="I743" s="145"/>
      <c r="J743" s="145"/>
      <c r="K743" s="145"/>
      <c r="L743" s="145"/>
    </row>
    <row r="744">
      <c r="H744" s="145"/>
      <c r="I744" s="145"/>
      <c r="J744" s="145"/>
      <c r="K744" s="145"/>
      <c r="L744" s="145"/>
    </row>
    <row r="745">
      <c r="H745" s="145"/>
      <c r="I745" s="145"/>
      <c r="J745" s="145"/>
      <c r="K745" s="145"/>
      <c r="L745" s="145"/>
    </row>
    <row r="746">
      <c r="H746" s="145"/>
      <c r="I746" s="145"/>
      <c r="J746" s="145"/>
      <c r="K746" s="145"/>
      <c r="L746" s="145"/>
    </row>
    <row r="747">
      <c r="H747" s="145"/>
      <c r="I747" s="145"/>
      <c r="J747" s="145"/>
      <c r="K747" s="145"/>
      <c r="L747" s="145"/>
    </row>
    <row r="748">
      <c r="H748" s="145"/>
      <c r="I748" s="145"/>
      <c r="J748" s="145"/>
      <c r="K748" s="145"/>
      <c r="L748" s="145"/>
    </row>
    <row r="749">
      <c r="H749" s="145"/>
      <c r="I749" s="145"/>
      <c r="J749" s="145"/>
      <c r="K749" s="145"/>
      <c r="L749" s="145"/>
    </row>
    <row r="750">
      <c r="H750" s="145"/>
      <c r="I750" s="145"/>
      <c r="J750" s="145"/>
      <c r="K750" s="145"/>
      <c r="L750" s="145"/>
    </row>
    <row r="751">
      <c r="H751" s="145"/>
      <c r="I751" s="145"/>
      <c r="J751" s="145"/>
      <c r="K751" s="145"/>
      <c r="L751" s="145"/>
    </row>
    <row r="752">
      <c r="H752" s="145"/>
      <c r="I752" s="145"/>
      <c r="J752" s="145"/>
      <c r="K752" s="145"/>
      <c r="L752" s="145"/>
    </row>
    <row r="753">
      <c r="H753" s="145"/>
      <c r="I753" s="145"/>
      <c r="J753" s="145"/>
      <c r="K753" s="145"/>
      <c r="L753" s="145"/>
    </row>
    <row r="754">
      <c r="H754" s="145"/>
      <c r="I754" s="145"/>
      <c r="J754" s="145"/>
      <c r="K754" s="145"/>
      <c r="L754" s="145"/>
    </row>
    <row r="755">
      <c r="H755" s="145"/>
      <c r="I755" s="145"/>
      <c r="J755" s="145"/>
      <c r="K755" s="145"/>
      <c r="L755" s="145"/>
    </row>
    <row r="756">
      <c r="H756" s="145"/>
      <c r="I756" s="145"/>
      <c r="J756" s="145"/>
      <c r="K756" s="145"/>
      <c r="L756" s="145"/>
    </row>
    <row r="757">
      <c r="H757" s="145"/>
      <c r="I757" s="145"/>
      <c r="J757" s="145"/>
      <c r="K757" s="145"/>
      <c r="L757" s="145"/>
    </row>
    <row r="758">
      <c r="H758" s="145"/>
      <c r="I758" s="145"/>
      <c r="J758" s="145"/>
      <c r="K758" s="145"/>
      <c r="L758" s="145"/>
    </row>
    <row r="759">
      <c r="H759" s="145"/>
      <c r="I759" s="145"/>
      <c r="J759" s="145"/>
      <c r="K759" s="145"/>
      <c r="L759" s="145"/>
    </row>
    <row r="760">
      <c r="H760" s="145"/>
      <c r="I760" s="145"/>
      <c r="J760" s="145"/>
      <c r="K760" s="145"/>
      <c r="L760" s="145"/>
    </row>
    <row r="761">
      <c r="H761" s="145"/>
      <c r="I761" s="145"/>
      <c r="J761" s="145"/>
      <c r="K761" s="145"/>
      <c r="L761" s="145"/>
    </row>
    <row r="762">
      <c r="H762" s="145"/>
      <c r="I762" s="145"/>
      <c r="J762" s="145"/>
      <c r="K762" s="145"/>
      <c r="L762" s="145"/>
    </row>
    <row r="763">
      <c r="H763" s="145"/>
      <c r="I763" s="145"/>
      <c r="J763" s="145"/>
      <c r="K763" s="145"/>
      <c r="L763" s="145"/>
    </row>
    <row r="764">
      <c r="H764" s="145"/>
      <c r="I764" s="145"/>
      <c r="J764" s="145"/>
      <c r="K764" s="145"/>
      <c r="L764" s="145"/>
    </row>
    <row r="765">
      <c r="H765" s="145"/>
      <c r="I765" s="145"/>
      <c r="J765" s="145"/>
      <c r="K765" s="145"/>
      <c r="L765" s="145"/>
    </row>
    <row r="766">
      <c r="H766" s="145"/>
      <c r="I766" s="145"/>
      <c r="J766" s="145"/>
      <c r="K766" s="145"/>
      <c r="L766" s="145"/>
    </row>
    <row r="767">
      <c r="H767" s="145"/>
      <c r="I767" s="145"/>
      <c r="J767" s="145"/>
      <c r="K767" s="145"/>
      <c r="L767" s="145"/>
    </row>
    <row r="768">
      <c r="H768" s="145"/>
      <c r="I768" s="145"/>
      <c r="J768" s="145"/>
      <c r="K768" s="145"/>
      <c r="L768" s="145"/>
    </row>
    <row r="769">
      <c r="H769" s="145"/>
      <c r="I769" s="145"/>
      <c r="J769" s="145"/>
      <c r="K769" s="145"/>
      <c r="L769" s="145"/>
    </row>
    <row r="770">
      <c r="H770" s="145"/>
      <c r="I770" s="145"/>
      <c r="J770" s="145"/>
      <c r="K770" s="145"/>
      <c r="L770" s="145"/>
    </row>
    <row r="771">
      <c r="H771" s="145"/>
      <c r="I771" s="145"/>
      <c r="J771" s="145"/>
      <c r="K771" s="145"/>
      <c r="L771" s="145"/>
    </row>
    <row r="772">
      <c r="H772" s="145"/>
      <c r="I772" s="145"/>
      <c r="J772" s="145"/>
      <c r="K772" s="145"/>
      <c r="L772" s="145"/>
    </row>
    <row r="773">
      <c r="H773" s="145"/>
      <c r="I773" s="145"/>
      <c r="J773" s="145"/>
      <c r="K773" s="145"/>
      <c r="L773" s="145"/>
    </row>
    <row r="774">
      <c r="H774" s="145"/>
      <c r="I774" s="145"/>
      <c r="J774" s="145"/>
      <c r="K774" s="145"/>
      <c r="L774" s="145"/>
    </row>
    <row r="775">
      <c r="H775" s="145"/>
      <c r="I775" s="145"/>
      <c r="J775" s="145"/>
      <c r="K775" s="145"/>
      <c r="L775" s="145"/>
    </row>
    <row r="776">
      <c r="H776" s="145"/>
      <c r="I776" s="145"/>
      <c r="J776" s="145"/>
      <c r="K776" s="145"/>
      <c r="L776" s="145"/>
    </row>
    <row r="777">
      <c r="H777" s="145"/>
      <c r="I777" s="145"/>
      <c r="J777" s="145"/>
      <c r="K777" s="145"/>
      <c r="L777" s="145"/>
    </row>
    <row r="778">
      <c r="H778" s="145"/>
      <c r="I778" s="145"/>
      <c r="J778" s="145"/>
      <c r="K778" s="145"/>
      <c r="L778" s="145"/>
    </row>
    <row r="779">
      <c r="H779" s="145"/>
      <c r="I779" s="145"/>
      <c r="J779" s="145"/>
      <c r="K779" s="145"/>
      <c r="L779" s="145"/>
    </row>
    <row r="780">
      <c r="H780" s="145"/>
      <c r="I780" s="145"/>
      <c r="J780" s="145"/>
      <c r="K780" s="145"/>
      <c r="L780" s="145"/>
    </row>
    <row r="781">
      <c r="H781" s="145"/>
      <c r="I781" s="145"/>
      <c r="J781" s="145"/>
      <c r="K781" s="145"/>
      <c r="L781" s="145"/>
    </row>
    <row r="782">
      <c r="H782" s="145"/>
      <c r="I782" s="145"/>
      <c r="J782" s="145"/>
      <c r="K782" s="145"/>
      <c r="L782" s="145"/>
    </row>
    <row r="783">
      <c r="H783" s="145"/>
      <c r="I783" s="145"/>
      <c r="J783" s="145"/>
      <c r="K783" s="145"/>
      <c r="L783" s="145"/>
    </row>
    <row r="784">
      <c r="H784" s="145"/>
      <c r="I784" s="145"/>
      <c r="J784" s="145"/>
      <c r="K784" s="145"/>
      <c r="L784" s="145"/>
    </row>
    <row r="785">
      <c r="H785" s="145"/>
      <c r="I785" s="145"/>
      <c r="J785" s="145"/>
      <c r="K785" s="145"/>
      <c r="L785" s="145"/>
    </row>
    <row r="786">
      <c r="H786" s="145"/>
      <c r="I786" s="145"/>
      <c r="J786" s="145"/>
      <c r="K786" s="145"/>
      <c r="L786" s="145"/>
    </row>
    <row r="787">
      <c r="H787" s="145"/>
      <c r="I787" s="145"/>
      <c r="J787" s="145"/>
      <c r="K787" s="145"/>
      <c r="L787" s="145"/>
    </row>
    <row r="788">
      <c r="H788" s="145"/>
      <c r="I788" s="145"/>
      <c r="J788" s="145"/>
      <c r="K788" s="145"/>
      <c r="L788" s="145"/>
    </row>
    <row r="789">
      <c r="H789" s="145"/>
      <c r="I789" s="145"/>
      <c r="J789" s="145"/>
      <c r="K789" s="145"/>
      <c r="L789" s="145"/>
    </row>
    <row r="790">
      <c r="H790" s="145"/>
      <c r="I790" s="145"/>
      <c r="J790" s="145"/>
      <c r="K790" s="145"/>
      <c r="L790" s="145"/>
    </row>
    <row r="791">
      <c r="H791" s="145"/>
      <c r="I791" s="145"/>
      <c r="J791" s="145"/>
      <c r="K791" s="145"/>
      <c r="L791" s="145"/>
    </row>
    <row r="792">
      <c r="H792" s="145"/>
      <c r="I792" s="145"/>
      <c r="J792" s="145"/>
      <c r="K792" s="145"/>
      <c r="L792" s="145"/>
    </row>
    <row r="793">
      <c r="H793" s="145"/>
      <c r="I793" s="145"/>
      <c r="J793" s="145"/>
      <c r="K793" s="145"/>
      <c r="L793" s="145"/>
    </row>
    <row r="794">
      <c r="H794" s="145"/>
      <c r="I794" s="145"/>
      <c r="J794" s="145"/>
      <c r="K794" s="145"/>
      <c r="L794" s="145"/>
    </row>
    <row r="795">
      <c r="H795" s="145"/>
      <c r="I795" s="145"/>
      <c r="J795" s="145"/>
      <c r="K795" s="145"/>
      <c r="L795" s="145"/>
    </row>
    <row r="796">
      <c r="H796" s="145"/>
      <c r="I796" s="145"/>
      <c r="J796" s="145"/>
      <c r="K796" s="145"/>
      <c r="L796" s="145"/>
    </row>
    <row r="797">
      <c r="H797" s="145"/>
      <c r="I797" s="145"/>
      <c r="J797" s="145"/>
      <c r="K797" s="145"/>
      <c r="L797" s="145"/>
    </row>
    <row r="798">
      <c r="H798" s="145"/>
      <c r="I798" s="145"/>
      <c r="J798" s="145"/>
      <c r="K798" s="145"/>
      <c r="L798" s="145"/>
    </row>
    <row r="799">
      <c r="H799" s="145"/>
      <c r="I799" s="145"/>
      <c r="J799" s="145"/>
      <c r="K799" s="145"/>
      <c r="L799" s="145"/>
    </row>
    <row r="800">
      <c r="H800" s="145"/>
      <c r="I800" s="145"/>
      <c r="J800" s="145"/>
      <c r="K800" s="145"/>
      <c r="L800" s="145"/>
    </row>
    <row r="801">
      <c r="H801" s="145"/>
      <c r="I801" s="145"/>
      <c r="J801" s="145"/>
      <c r="K801" s="145"/>
      <c r="L801" s="145"/>
    </row>
    <row r="802">
      <c r="H802" s="145"/>
      <c r="I802" s="145"/>
      <c r="J802" s="145"/>
      <c r="K802" s="145"/>
      <c r="L802" s="145"/>
    </row>
    <row r="803">
      <c r="H803" s="145"/>
      <c r="I803" s="145"/>
      <c r="J803" s="145"/>
      <c r="K803" s="145"/>
      <c r="L803" s="145"/>
    </row>
    <row r="804">
      <c r="H804" s="145"/>
      <c r="I804" s="145"/>
      <c r="J804" s="145"/>
      <c r="K804" s="145"/>
      <c r="L804" s="145"/>
    </row>
    <row r="805">
      <c r="H805" s="145"/>
      <c r="I805" s="145"/>
      <c r="J805" s="145"/>
      <c r="K805" s="145"/>
      <c r="L805" s="145"/>
    </row>
    <row r="806">
      <c r="H806" s="145"/>
      <c r="I806" s="145"/>
      <c r="J806" s="145"/>
      <c r="K806" s="145"/>
      <c r="L806" s="145"/>
    </row>
    <row r="807">
      <c r="H807" s="145"/>
      <c r="I807" s="145"/>
      <c r="J807" s="145"/>
      <c r="K807" s="145"/>
      <c r="L807" s="145"/>
    </row>
    <row r="808">
      <c r="H808" s="145"/>
      <c r="I808" s="145"/>
      <c r="J808" s="145"/>
      <c r="K808" s="145"/>
      <c r="L808" s="145"/>
    </row>
    <row r="809">
      <c r="H809" s="145"/>
      <c r="I809" s="145"/>
      <c r="J809" s="145"/>
      <c r="K809" s="145"/>
      <c r="L809" s="145"/>
    </row>
    <row r="810">
      <c r="H810" s="145"/>
      <c r="I810" s="145"/>
      <c r="J810" s="145"/>
      <c r="K810" s="145"/>
      <c r="L810" s="145"/>
    </row>
    <row r="811">
      <c r="H811" s="145"/>
      <c r="I811" s="145"/>
      <c r="J811" s="145"/>
      <c r="K811" s="145"/>
      <c r="L811" s="145"/>
    </row>
    <row r="812">
      <c r="H812" s="145"/>
      <c r="I812" s="145"/>
      <c r="J812" s="145"/>
      <c r="K812" s="145"/>
      <c r="L812" s="145"/>
    </row>
    <row r="813">
      <c r="H813" s="145"/>
      <c r="I813" s="145"/>
      <c r="J813" s="145"/>
      <c r="K813" s="145"/>
      <c r="L813" s="145"/>
    </row>
    <row r="814">
      <c r="H814" s="145"/>
      <c r="I814" s="145"/>
      <c r="J814" s="145"/>
      <c r="K814" s="145"/>
      <c r="L814" s="145"/>
    </row>
    <row r="815">
      <c r="H815" s="145"/>
      <c r="I815" s="145"/>
      <c r="J815" s="145"/>
      <c r="K815" s="145"/>
      <c r="L815" s="145"/>
    </row>
    <row r="816">
      <c r="H816" s="145"/>
      <c r="I816" s="145"/>
      <c r="J816" s="145"/>
      <c r="K816" s="145"/>
      <c r="L816" s="145"/>
    </row>
    <row r="817">
      <c r="H817" s="145"/>
      <c r="I817" s="145"/>
      <c r="J817" s="145"/>
      <c r="K817" s="145"/>
      <c r="L817" s="145"/>
    </row>
    <row r="818">
      <c r="H818" s="145"/>
      <c r="I818" s="145"/>
      <c r="J818" s="145"/>
      <c r="K818" s="145"/>
      <c r="L818" s="145"/>
    </row>
    <row r="819">
      <c r="H819" s="145"/>
      <c r="I819" s="145"/>
      <c r="J819" s="145"/>
      <c r="K819" s="145"/>
      <c r="L819" s="145"/>
    </row>
    <row r="820">
      <c r="H820" s="145"/>
      <c r="I820" s="145"/>
      <c r="J820" s="145"/>
      <c r="K820" s="145"/>
      <c r="L820" s="145"/>
    </row>
    <row r="821">
      <c r="H821" s="145"/>
      <c r="I821" s="145"/>
      <c r="J821" s="145"/>
      <c r="K821" s="145"/>
      <c r="L821" s="145"/>
    </row>
    <row r="822">
      <c r="H822" s="145"/>
      <c r="I822" s="145"/>
      <c r="J822" s="145"/>
      <c r="K822" s="145"/>
      <c r="L822" s="145"/>
    </row>
    <row r="823">
      <c r="H823" s="145"/>
      <c r="I823" s="145"/>
      <c r="J823" s="145"/>
      <c r="K823" s="145"/>
      <c r="L823" s="145"/>
    </row>
    <row r="824">
      <c r="H824" s="145"/>
      <c r="I824" s="145"/>
      <c r="J824" s="145"/>
      <c r="K824" s="145"/>
      <c r="L824" s="145"/>
    </row>
    <row r="825">
      <c r="H825" s="145"/>
      <c r="I825" s="145"/>
      <c r="J825" s="145"/>
      <c r="K825" s="145"/>
      <c r="L825" s="145"/>
    </row>
    <row r="826">
      <c r="H826" s="145"/>
      <c r="I826" s="145"/>
      <c r="J826" s="145"/>
      <c r="K826" s="145"/>
      <c r="L826" s="145"/>
    </row>
    <row r="827">
      <c r="H827" s="145"/>
      <c r="I827" s="145"/>
      <c r="J827" s="145"/>
      <c r="K827" s="145"/>
      <c r="L827" s="145"/>
    </row>
    <row r="828">
      <c r="H828" s="145"/>
      <c r="I828" s="145"/>
      <c r="J828" s="145"/>
      <c r="K828" s="145"/>
      <c r="L828" s="145"/>
    </row>
    <row r="829">
      <c r="H829" s="145"/>
      <c r="I829" s="145"/>
      <c r="J829" s="145"/>
      <c r="K829" s="145"/>
      <c r="L829" s="145"/>
    </row>
    <row r="830">
      <c r="H830" s="145"/>
      <c r="I830" s="145"/>
      <c r="J830" s="145"/>
      <c r="K830" s="145"/>
      <c r="L830" s="145"/>
    </row>
    <row r="831">
      <c r="H831" s="145"/>
      <c r="I831" s="145"/>
      <c r="J831" s="145"/>
      <c r="K831" s="145"/>
      <c r="L831" s="145"/>
    </row>
    <row r="832">
      <c r="H832" s="145"/>
      <c r="I832" s="145"/>
      <c r="J832" s="145"/>
      <c r="K832" s="145"/>
      <c r="L832" s="145"/>
    </row>
    <row r="833">
      <c r="H833" s="145"/>
      <c r="I833" s="145"/>
      <c r="J833" s="145"/>
      <c r="K833" s="145"/>
      <c r="L833" s="145"/>
    </row>
    <row r="834">
      <c r="H834" s="145"/>
      <c r="I834" s="145"/>
      <c r="J834" s="145"/>
      <c r="K834" s="145"/>
      <c r="L834" s="145"/>
    </row>
    <row r="835">
      <c r="H835" s="145"/>
      <c r="I835" s="145"/>
      <c r="J835" s="145"/>
      <c r="K835" s="145"/>
      <c r="L835" s="145"/>
    </row>
    <row r="836">
      <c r="H836" s="145"/>
      <c r="I836" s="145"/>
      <c r="J836" s="145"/>
      <c r="K836" s="145"/>
      <c r="L836" s="145"/>
    </row>
    <row r="837">
      <c r="H837" s="145"/>
      <c r="I837" s="145"/>
      <c r="J837" s="145"/>
      <c r="K837" s="145"/>
      <c r="L837" s="145"/>
    </row>
    <row r="838">
      <c r="H838" s="145"/>
      <c r="I838" s="145"/>
      <c r="J838" s="145"/>
      <c r="K838" s="145"/>
      <c r="L838" s="145"/>
    </row>
    <row r="839">
      <c r="H839" s="145"/>
      <c r="I839" s="145"/>
      <c r="J839" s="145"/>
      <c r="K839" s="145"/>
      <c r="L839" s="145"/>
    </row>
    <row r="840">
      <c r="H840" s="145"/>
      <c r="I840" s="145"/>
      <c r="J840" s="145"/>
      <c r="K840" s="145"/>
      <c r="L840" s="145"/>
    </row>
    <row r="841">
      <c r="H841" s="145"/>
      <c r="I841" s="145"/>
      <c r="J841" s="145"/>
      <c r="K841" s="145"/>
      <c r="L841" s="145"/>
    </row>
    <row r="842">
      <c r="H842" s="145"/>
      <c r="I842" s="145"/>
      <c r="J842" s="145"/>
      <c r="K842" s="145"/>
      <c r="L842" s="145"/>
    </row>
    <row r="843">
      <c r="H843" s="145"/>
      <c r="I843" s="145"/>
      <c r="J843" s="145"/>
      <c r="K843" s="145"/>
      <c r="L843" s="145"/>
    </row>
    <row r="844">
      <c r="H844" s="145"/>
      <c r="I844" s="145"/>
      <c r="J844" s="145"/>
      <c r="K844" s="145"/>
      <c r="L844" s="145"/>
    </row>
    <row r="845">
      <c r="H845" s="145"/>
      <c r="I845" s="145"/>
      <c r="J845" s="145"/>
      <c r="K845" s="145"/>
      <c r="L845" s="145"/>
    </row>
    <row r="846">
      <c r="H846" s="145"/>
      <c r="I846" s="145"/>
      <c r="J846" s="145"/>
      <c r="K846" s="145"/>
      <c r="L846" s="145"/>
    </row>
    <row r="847">
      <c r="H847" s="145"/>
      <c r="I847" s="145"/>
      <c r="J847" s="145"/>
      <c r="K847" s="145"/>
      <c r="L847" s="145"/>
    </row>
    <row r="848">
      <c r="H848" s="145"/>
      <c r="I848" s="145"/>
      <c r="J848" s="145"/>
      <c r="K848" s="145"/>
      <c r="L848" s="145"/>
    </row>
    <row r="849">
      <c r="H849" s="145"/>
      <c r="I849" s="145"/>
      <c r="J849" s="145"/>
      <c r="K849" s="145"/>
      <c r="L849" s="145"/>
    </row>
    <row r="850">
      <c r="H850" s="145"/>
      <c r="I850" s="145"/>
      <c r="J850" s="145"/>
      <c r="K850" s="145"/>
      <c r="L850" s="145"/>
    </row>
    <row r="851">
      <c r="H851" s="145"/>
      <c r="I851" s="145"/>
      <c r="J851" s="145"/>
      <c r="K851" s="145"/>
      <c r="L851" s="145"/>
    </row>
    <row r="852">
      <c r="H852" s="145"/>
      <c r="I852" s="145"/>
      <c r="J852" s="145"/>
      <c r="K852" s="145"/>
      <c r="L852" s="145"/>
    </row>
    <row r="853">
      <c r="H853" s="145"/>
      <c r="I853" s="145"/>
      <c r="J853" s="145"/>
      <c r="K853" s="145"/>
      <c r="L853" s="145"/>
    </row>
    <row r="854">
      <c r="H854" s="145"/>
      <c r="I854" s="145"/>
      <c r="J854" s="145"/>
      <c r="K854" s="145"/>
      <c r="L854" s="145"/>
    </row>
    <row r="855">
      <c r="H855" s="145"/>
      <c r="I855" s="145"/>
      <c r="J855" s="145"/>
      <c r="K855" s="145"/>
      <c r="L855" s="145"/>
    </row>
    <row r="856">
      <c r="H856" s="145"/>
      <c r="I856" s="145"/>
      <c r="J856" s="145"/>
      <c r="K856" s="145"/>
      <c r="L856" s="145"/>
    </row>
    <row r="857">
      <c r="H857" s="145"/>
      <c r="I857" s="145"/>
      <c r="J857" s="145"/>
      <c r="K857" s="145"/>
      <c r="L857" s="145"/>
    </row>
    <row r="858">
      <c r="H858" s="145"/>
      <c r="I858" s="145"/>
      <c r="J858" s="145"/>
      <c r="K858" s="145"/>
      <c r="L858" s="145"/>
    </row>
    <row r="859">
      <c r="H859" s="145"/>
      <c r="I859" s="145"/>
      <c r="J859" s="145"/>
      <c r="K859" s="145"/>
      <c r="L859" s="145"/>
    </row>
    <row r="860">
      <c r="H860" s="145"/>
      <c r="I860" s="145"/>
      <c r="J860" s="145"/>
      <c r="K860" s="145"/>
      <c r="L860" s="145"/>
    </row>
    <row r="861">
      <c r="H861" s="145"/>
      <c r="I861" s="145"/>
      <c r="J861" s="145"/>
      <c r="K861" s="145"/>
      <c r="L861" s="145"/>
    </row>
    <row r="862">
      <c r="H862" s="145"/>
      <c r="I862" s="145"/>
      <c r="J862" s="145"/>
      <c r="K862" s="145"/>
      <c r="L862" s="145"/>
    </row>
    <row r="863">
      <c r="H863" s="145"/>
      <c r="I863" s="145"/>
      <c r="J863" s="145"/>
      <c r="K863" s="145"/>
      <c r="L863" s="145"/>
    </row>
    <row r="864">
      <c r="H864" s="145"/>
      <c r="I864" s="145"/>
      <c r="J864" s="145"/>
      <c r="K864" s="145"/>
      <c r="L864" s="145"/>
    </row>
    <row r="865">
      <c r="H865" s="145"/>
      <c r="I865" s="145"/>
      <c r="J865" s="145"/>
      <c r="K865" s="145"/>
      <c r="L865" s="145"/>
    </row>
    <row r="866">
      <c r="H866" s="145"/>
      <c r="I866" s="145"/>
      <c r="J866" s="145"/>
      <c r="K866" s="145"/>
      <c r="L866" s="145"/>
    </row>
    <row r="867">
      <c r="H867" s="145"/>
      <c r="I867" s="145"/>
      <c r="J867" s="145"/>
      <c r="K867" s="145"/>
      <c r="L867" s="145"/>
    </row>
    <row r="868">
      <c r="H868" s="145"/>
      <c r="I868" s="145"/>
      <c r="J868" s="145"/>
      <c r="K868" s="145"/>
      <c r="L868" s="145"/>
    </row>
    <row r="869">
      <c r="H869" s="145"/>
      <c r="I869" s="145"/>
      <c r="J869" s="145"/>
      <c r="K869" s="145"/>
      <c r="L869" s="145"/>
    </row>
    <row r="870">
      <c r="H870" s="145"/>
      <c r="I870" s="145"/>
      <c r="J870" s="145"/>
      <c r="K870" s="145"/>
      <c r="L870" s="145"/>
    </row>
    <row r="871">
      <c r="H871" s="145"/>
      <c r="I871" s="145"/>
      <c r="J871" s="145"/>
      <c r="K871" s="145"/>
      <c r="L871" s="145"/>
    </row>
    <row r="872">
      <c r="H872" s="145"/>
      <c r="I872" s="145"/>
      <c r="J872" s="145"/>
      <c r="K872" s="145"/>
      <c r="L872" s="145"/>
    </row>
    <row r="873">
      <c r="H873" s="145"/>
      <c r="I873" s="145"/>
      <c r="J873" s="145"/>
      <c r="K873" s="145"/>
      <c r="L873" s="145"/>
    </row>
    <row r="874">
      <c r="H874" s="145"/>
      <c r="I874" s="145"/>
      <c r="J874" s="145"/>
      <c r="K874" s="145"/>
      <c r="L874" s="145"/>
    </row>
    <row r="875">
      <c r="H875" s="145"/>
      <c r="I875" s="145"/>
      <c r="J875" s="145"/>
      <c r="K875" s="145"/>
      <c r="L875" s="145"/>
    </row>
    <row r="876">
      <c r="H876" s="145"/>
      <c r="I876" s="145"/>
      <c r="J876" s="145"/>
      <c r="K876" s="145"/>
      <c r="L876" s="145"/>
    </row>
    <row r="877">
      <c r="H877" s="145"/>
      <c r="I877" s="145"/>
      <c r="J877" s="145"/>
      <c r="K877" s="145"/>
      <c r="L877" s="145"/>
    </row>
    <row r="878">
      <c r="H878" s="145"/>
      <c r="I878" s="145"/>
      <c r="J878" s="145"/>
      <c r="K878" s="145"/>
      <c r="L878" s="145"/>
    </row>
    <row r="879">
      <c r="H879" s="145"/>
      <c r="I879" s="145"/>
      <c r="J879" s="145"/>
      <c r="K879" s="145"/>
      <c r="L879" s="145"/>
    </row>
    <row r="880">
      <c r="H880" s="145"/>
      <c r="I880" s="145"/>
      <c r="J880" s="145"/>
      <c r="K880" s="145"/>
      <c r="L880" s="145"/>
    </row>
    <row r="881">
      <c r="H881" s="145"/>
      <c r="I881" s="145"/>
      <c r="J881" s="145"/>
      <c r="K881" s="145"/>
      <c r="L881" s="145"/>
    </row>
    <row r="882">
      <c r="H882" s="145"/>
      <c r="I882" s="145"/>
      <c r="J882" s="145"/>
      <c r="K882" s="145"/>
      <c r="L882" s="145"/>
    </row>
    <row r="883">
      <c r="H883" s="145"/>
      <c r="I883" s="145"/>
      <c r="J883" s="145"/>
      <c r="K883" s="145"/>
      <c r="L883" s="145"/>
    </row>
    <row r="884">
      <c r="H884" s="145"/>
      <c r="I884" s="145"/>
      <c r="J884" s="145"/>
      <c r="K884" s="145"/>
      <c r="L884" s="145"/>
    </row>
    <row r="885">
      <c r="H885" s="145"/>
      <c r="I885" s="145"/>
      <c r="J885" s="145"/>
      <c r="K885" s="145"/>
      <c r="L885" s="145"/>
    </row>
    <row r="886">
      <c r="H886" s="145"/>
      <c r="I886" s="145"/>
      <c r="J886" s="145"/>
      <c r="K886" s="145"/>
      <c r="L886" s="145"/>
    </row>
    <row r="887">
      <c r="H887" s="145"/>
      <c r="I887" s="145"/>
      <c r="J887" s="145"/>
      <c r="K887" s="145"/>
      <c r="L887" s="145"/>
    </row>
    <row r="888">
      <c r="H888" s="145"/>
      <c r="I888" s="145"/>
      <c r="J888" s="145"/>
      <c r="K888" s="145"/>
      <c r="L888" s="145"/>
    </row>
    <row r="889">
      <c r="H889" s="145"/>
      <c r="I889" s="145"/>
      <c r="J889" s="145"/>
      <c r="K889" s="145"/>
      <c r="L889" s="145"/>
    </row>
    <row r="890">
      <c r="H890" s="145"/>
      <c r="I890" s="145"/>
      <c r="J890" s="145"/>
      <c r="K890" s="145"/>
      <c r="L890" s="145"/>
    </row>
    <row r="891">
      <c r="H891" s="145"/>
      <c r="I891" s="145"/>
      <c r="J891" s="145"/>
      <c r="K891" s="145"/>
      <c r="L891" s="145"/>
    </row>
    <row r="892">
      <c r="H892" s="145"/>
      <c r="I892" s="145"/>
      <c r="J892" s="145"/>
      <c r="K892" s="145"/>
      <c r="L892" s="145"/>
    </row>
    <row r="893">
      <c r="H893" s="145"/>
      <c r="I893" s="145"/>
      <c r="J893" s="145"/>
      <c r="K893" s="145"/>
      <c r="L893" s="145"/>
    </row>
    <row r="894">
      <c r="H894" s="145"/>
      <c r="I894" s="145"/>
      <c r="J894" s="145"/>
      <c r="K894" s="145"/>
      <c r="L894" s="145"/>
    </row>
    <row r="895">
      <c r="H895" s="145"/>
      <c r="I895" s="145"/>
      <c r="J895" s="145"/>
      <c r="K895" s="145"/>
      <c r="L895" s="145"/>
    </row>
    <row r="896">
      <c r="H896" s="145"/>
      <c r="I896" s="145"/>
      <c r="J896" s="145"/>
      <c r="K896" s="145"/>
      <c r="L896" s="145"/>
    </row>
    <row r="897">
      <c r="H897" s="145"/>
      <c r="I897" s="145"/>
      <c r="J897" s="145"/>
      <c r="K897" s="145"/>
      <c r="L897" s="145"/>
    </row>
    <row r="898">
      <c r="H898" s="145"/>
      <c r="I898" s="145"/>
      <c r="J898" s="145"/>
      <c r="K898" s="145"/>
      <c r="L898" s="145"/>
    </row>
    <row r="899">
      <c r="H899" s="145"/>
      <c r="I899" s="145"/>
      <c r="J899" s="145"/>
      <c r="K899" s="145"/>
      <c r="L899" s="145"/>
    </row>
    <row r="900">
      <c r="H900" s="145"/>
      <c r="I900" s="145"/>
      <c r="J900" s="145"/>
      <c r="K900" s="145"/>
      <c r="L900" s="145"/>
    </row>
    <row r="901">
      <c r="H901" s="145"/>
      <c r="I901" s="145"/>
      <c r="J901" s="145"/>
      <c r="K901" s="145"/>
      <c r="L901" s="145"/>
    </row>
    <row r="902">
      <c r="H902" s="145"/>
      <c r="I902" s="145"/>
      <c r="J902" s="145"/>
      <c r="K902" s="145"/>
      <c r="L902" s="145"/>
    </row>
    <row r="903">
      <c r="H903" s="145"/>
      <c r="I903" s="145"/>
      <c r="J903" s="145"/>
      <c r="K903" s="145"/>
      <c r="L903" s="145"/>
    </row>
    <row r="904">
      <c r="H904" s="145"/>
      <c r="I904" s="145"/>
      <c r="J904" s="145"/>
      <c r="K904" s="145"/>
      <c r="L904" s="145"/>
    </row>
    <row r="905">
      <c r="H905" s="145"/>
      <c r="I905" s="145"/>
      <c r="J905" s="145"/>
      <c r="K905" s="145"/>
      <c r="L905" s="145"/>
    </row>
    <row r="906">
      <c r="H906" s="145"/>
      <c r="I906" s="145"/>
      <c r="J906" s="145"/>
      <c r="K906" s="145"/>
      <c r="L906" s="145"/>
    </row>
    <row r="907">
      <c r="H907" s="145"/>
      <c r="I907" s="145"/>
      <c r="J907" s="145"/>
      <c r="K907" s="145"/>
      <c r="L907" s="145"/>
    </row>
    <row r="908">
      <c r="H908" s="145"/>
      <c r="I908" s="145"/>
      <c r="J908" s="145"/>
      <c r="K908" s="145"/>
      <c r="L908" s="145"/>
    </row>
    <row r="909">
      <c r="H909" s="145"/>
      <c r="I909" s="145"/>
      <c r="J909" s="145"/>
      <c r="K909" s="145"/>
      <c r="L909" s="145"/>
    </row>
    <row r="910">
      <c r="H910" s="145"/>
      <c r="I910" s="145"/>
      <c r="J910" s="145"/>
      <c r="K910" s="145"/>
      <c r="L910" s="145"/>
    </row>
    <row r="911">
      <c r="H911" s="145"/>
      <c r="I911" s="145"/>
      <c r="J911" s="145"/>
      <c r="K911" s="145"/>
      <c r="L911" s="145"/>
    </row>
    <row r="912">
      <c r="H912" s="145"/>
      <c r="I912" s="145"/>
      <c r="J912" s="145"/>
      <c r="K912" s="145"/>
      <c r="L912" s="145"/>
    </row>
    <row r="913">
      <c r="H913" s="145"/>
      <c r="I913" s="145"/>
      <c r="J913" s="145"/>
      <c r="K913" s="145"/>
      <c r="L913" s="145"/>
    </row>
    <row r="914">
      <c r="H914" s="145"/>
      <c r="I914" s="145"/>
      <c r="J914" s="145"/>
      <c r="K914" s="145"/>
      <c r="L914" s="145"/>
    </row>
    <row r="915">
      <c r="H915" s="145"/>
      <c r="I915" s="145"/>
      <c r="J915" s="145"/>
      <c r="K915" s="145"/>
      <c r="L915" s="145"/>
    </row>
    <row r="916">
      <c r="H916" s="145"/>
      <c r="I916" s="145"/>
      <c r="J916" s="145"/>
      <c r="K916" s="145"/>
      <c r="L916" s="145"/>
    </row>
    <row r="917">
      <c r="H917" s="145"/>
      <c r="I917" s="145"/>
      <c r="J917" s="145"/>
      <c r="K917" s="145"/>
      <c r="L917" s="145"/>
    </row>
    <row r="918">
      <c r="H918" s="145"/>
      <c r="I918" s="145"/>
      <c r="J918" s="145"/>
      <c r="K918" s="145"/>
      <c r="L918" s="145"/>
    </row>
    <row r="919">
      <c r="H919" s="145"/>
      <c r="I919" s="145"/>
      <c r="J919" s="145"/>
      <c r="K919" s="145"/>
      <c r="L919" s="145"/>
    </row>
    <row r="920">
      <c r="H920" s="145"/>
      <c r="I920" s="145"/>
      <c r="J920" s="145"/>
      <c r="K920" s="145"/>
      <c r="L920" s="145"/>
    </row>
    <row r="921">
      <c r="H921" s="145"/>
      <c r="I921" s="145"/>
      <c r="J921" s="145"/>
      <c r="K921" s="145"/>
      <c r="L921" s="145"/>
    </row>
    <row r="922">
      <c r="H922" s="145"/>
      <c r="I922" s="145"/>
      <c r="J922" s="145"/>
      <c r="K922" s="145"/>
      <c r="L922" s="145"/>
    </row>
    <row r="923">
      <c r="H923" s="145"/>
      <c r="I923" s="145"/>
      <c r="J923" s="145"/>
      <c r="K923" s="145"/>
      <c r="L923" s="145"/>
    </row>
    <row r="924">
      <c r="H924" s="145"/>
      <c r="I924" s="145"/>
      <c r="J924" s="145"/>
      <c r="K924" s="145"/>
      <c r="L924" s="145"/>
    </row>
    <row r="925">
      <c r="H925" s="145"/>
      <c r="I925" s="145"/>
      <c r="J925" s="145"/>
      <c r="K925" s="145"/>
      <c r="L925" s="145"/>
    </row>
    <row r="926">
      <c r="H926" s="145"/>
      <c r="I926" s="145"/>
      <c r="J926" s="145"/>
      <c r="K926" s="145"/>
      <c r="L926" s="145"/>
    </row>
    <row r="927">
      <c r="H927" s="145"/>
      <c r="I927" s="145"/>
      <c r="J927" s="145"/>
      <c r="K927" s="145"/>
      <c r="L927" s="145"/>
    </row>
    <row r="928">
      <c r="H928" s="145"/>
      <c r="I928" s="145"/>
      <c r="J928" s="145"/>
      <c r="K928" s="145"/>
      <c r="L928" s="145"/>
    </row>
    <row r="929">
      <c r="H929" s="145"/>
      <c r="I929" s="145"/>
      <c r="J929" s="145"/>
      <c r="K929" s="145"/>
      <c r="L929" s="145"/>
    </row>
    <row r="930">
      <c r="H930" s="145"/>
      <c r="I930" s="145"/>
      <c r="J930" s="145"/>
      <c r="K930" s="145"/>
      <c r="L930" s="145"/>
    </row>
    <row r="931">
      <c r="H931" s="145"/>
      <c r="I931" s="145"/>
      <c r="J931" s="145"/>
      <c r="K931" s="145"/>
      <c r="L931" s="145"/>
    </row>
    <row r="932">
      <c r="H932" s="145"/>
      <c r="I932" s="145"/>
      <c r="J932" s="145"/>
      <c r="K932" s="145"/>
      <c r="L932" s="145"/>
    </row>
    <row r="933">
      <c r="H933" s="145"/>
      <c r="I933" s="145"/>
      <c r="J933" s="145"/>
      <c r="K933" s="145"/>
      <c r="L933" s="145"/>
    </row>
    <row r="934">
      <c r="H934" s="145"/>
      <c r="I934" s="145"/>
      <c r="J934" s="145"/>
      <c r="K934" s="145"/>
      <c r="L934" s="145"/>
    </row>
    <row r="935">
      <c r="H935" s="145"/>
      <c r="I935" s="145"/>
      <c r="J935" s="145"/>
      <c r="K935" s="145"/>
      <c r="L935" s="145"/>
    </row>
    <row r="936">
      <c r="H936" s="145"/>
      <c r="I936" s="145"/>
      <c r="J936" s="145"/>
      <c r="K936" s="145"/>
      <c r="L936" s="145"/>
    </row>
    <row r="937">
      <c r="H937" s="145"/>
      <c r="I937" s="145"/>
      <c r="J937" s="145"/>
      <c r="K937" s="145"/>
      <c r="L937" s="145"/>
    </row>
    <row r="938">
      <c r="H938" s="145"/>
      <c r="I938" s="145"/>
      <c r="J938" s="145"/>
      <c r="K938" s="145"/>
      <c r="L938" s="145"/>
    </row>
    <row r="939">
      <c r="H939" s="145"/>
      <c r="I939" s="145"/>
      <c r="J939" s="145"/>
      <c r="K939" s="145"/>
      <c r="L939" s="145"/>
    </row>
    <row r="940">
      <c r="H940" s="145"/>
      <c r="I940" s="145"/>
      <c r="J940" s="145"/>
      <c r="K940" s="145"/>
      <c r="L940" s="145"/>
    </row>
    <row r="941">
      <c r="H941" s="145"/>
      <c r="I941" s="145"/>
      <c r="J941" s="145"/>
      <c r="K941" s="145"/>
      <c r="L941" s="145"/>
    </row>
    <row r="942">
      <c r="H942" s="145"/>
      <c r="I942" s="145"/>
      <c r="J942" s="145"/>
      <c r="K942" s="145"/>
      <c r="L942" s="145"/>
    </row>
    <row r="943">
      <c r="H943" s="145"/>
      <c r="I943" s="145"/>
      <c r="J943" s="145"/>
      <c r="K943" s="145"/>
      <c r="L943" s="145"/>
    </row>
    <row r="944">
      <c r="H944" s="145"/>
      <c r="I944" s="145"/>
      <c r="J944" s="145"/>
      <c r="K944" s="145"/>
      <c r="L944" s="145"/>
    </row>
    <row r="945">
      <c r="H945" s="145"/>
      <c r="I945" s="145"/>
      <c r="J945" s="145"/>
      <c r="K945" s="145"/>
      <c r="L945" s="145"/>
    </row>
    <row r="946">
      <c r="H946" s="145"/>
      <c r="I946" s="145"/>
      <c r="J946" s="145"/>
      <c r="K946" s="145"/>
      <c r="L946" s="145"/>
    </row>
    <row r="947">
      <c r="H947" s="145"/>
      <c r="I947" s="145"/>
      <c r="J947" s="145"/>
      <c r="K947" s="145"/>
      <c r="L947" s="145"/>
    </row>
    <row r="948">
      <c r="H948" s="145"/>
      <c r="I948" s="145"/>
      <c r="J948" s="145"/>
      <c r="K948" s="145"/>
      <c r="L948" s="145"/>
    </row>
    <row r="949">
      <c r="H949" s="145"/>
      <c r="I949" s="145"/>
      <c r="J949" s="145"/>
      <c r="K949" s="145"/>
      <c r="L949" s="145"/>
    </row>
    <row r="950">
      <c r="H950" s="145"/>
      <c r="I950" s="145"/>
      <c r="J950" s="145"/>
      <c r="K950" s="145"/>
      <c r="L950" s="145"/>
    </row>
    <row r="951">
      <c r="H951" s="145"/>
      <c r="I951" s="145"/>
      <c r="J951" s="145"/>
      <c r="K951" s="145"/>
      <c r="L951" s="145"/>
    </row>
    <row r="952">
      <c r="H952" s="145"/>
      <c r="I952" s="145"/>
      <c r="J952" s="145"/>
      <c r="K952" s="145"/>
      <c r="L952" s="145"/>
    </row>
    <row r="953">
      <c r="H953" s="145"/>
      <c r="I953" s="145"/>
      <c r="J953" s="145"/>
      <c r="K953" s="145"/>
      <c r="L953" s="145"/>
    </row>
    <row r="954">
      <c r="H954" s="145"/>
      <c r="I954" s="145"/>
      <c r="J954" s="145"/>
      <c r="K954" s="145"/>
      <c r="L954" s="145"/>
    </row>
    <row r="955">
      <c r="H955" s="145"/>
      <c r="I955" s="145"/>
      <c r="J955" s="145"/>
      <c r="K955" s="145"/>
      <c r="L955" s="145"/>
    </row>
    <row r="956">
      <c r="H956" s="145"/>
      <c r="I956" s="145"/>
      <c r="J956" s="145"/>
      <c r="K956" s="145"/>
      <c r="L956" s="145"/>
    </row>
    <row r="957">
      <c r="H957" s="145"/>
      <c r="I957" s="145"/>
      <c r="J957" s="145"/>
      <c r="K957" s="145"/>
      <c r="L957" s="145"/>
    </row>
    <row r="958">
      <c r="H958" s="145"/>
      <c r="I958" s="145"/>
      <c r="J958" s="145"/>
      <c r="K958" s="145"/>
      <c r="L958" s="145"/>
    </row>
    <row r="959">
      <c r="H959" s="145"/>
      <c r="I959" s="145"/>
      <c r="J959" s="145"/>
      <c r="K959" s="145"/>
      <c r="L959" s="145"/>
    </row>
    <row r="960">
      <c r="H960" s="145"/>
      <c r="I960" s="145"/>
      <c r="J960" s="145"/>
      <c r="K960" s="145"/>
      <c r="L960" s="145"/>
    </row>
    <row r="961">
      <c r="H961" s="145"/>
      <c r="I961" s="145"/>
      <c r="J961" s="145"/>
      <c r="K961" s="145"/>
      <c r="L961" s="145"/>
    </row>
    <row r="962">
      <c r="H962" s="145"/>
      <c r="I962" s="145"/>
      <c r="J962" s="145"/>
      <c r="K962" s="145"/>
      <c r="L962" s="145"/>
    </row>
    <row r="963">
      <c r="H963" s="145"/>
      <c r="I963" s="145"/>
      <c r="J963" s="145"/>
      <c r="K963" s="145"/>
      <c r="L963" s="145"/>
    </row>
    <row r="964">
      <c r="H964" s="145"/>
      <c r="I964" s="145"/>
      <c r="J964" s="145"/>
      <c r="K964" s="145"/>
      <c r="L964" s="145"/>
    </row>
    <row r="965">
      <c r="H965" s="145"/>
      <c r="I965" s="145"/>
      <c r="J965" s="145"/>
      <c r="K965" s="145"/>
      <c r="L965" s="145"/>
    </row>
    <row r="966">
      <c r="H966" s="145"/>
      <c r="I966" s="145"/>
      <c r="J966" s="145"/>
      <c r="K966" s="145"/>
      <c r="L966" s="145"/>
    </row>
    <row r="967">
      <c r="H967" s="145"/>
      <c r="I967" s="145"/>
      <c r="J967" s="145"/>
      <c r="K967" s="145"/>
      <c r="L967" s="145"/>
    </row>
    <row r="968">
      <c r="H968" s="145"/>
      <c r="I968" s="145"/>
      <c r="J968" s="145"/>
      <c r="K968" s="145"/>
      <c r="L968" s="145"/>
    </row>
    <row r="969">
      <c r="H969" s="145"/>
      <c r="I969" s="145"/>
      <c r="J969" s="145"/>
      <c r="K969" s="145"/>
      <c r="L969" s="145"/>
    </row>
    <row r="970">
      <c r="H970" s="145"/>
      <c r="I970" s="145"/>
      <c r="J970" s="145"/>
      <c r="K970" s="145"/>
      <c r="L970" s="145"/>
    </row>
    <row r="971">
      <c r="H971" s="145"/>
      <c r="I971" s="145"/>
      <c r="J971" s="145"/>
      <c r="K971" s="145"/>
      <c r="L971" s="145"/>
    </row>
    <row r="972">
      <c r="H972" s="145"/>
      <c r="I972" s="145"/>
      <c r="J972" s="145"/>
      <c r="K972" s="145"/>
      <c r="L972" s="145"/>
    </row>
    <row r="973">
      <c r="H973" s="145"/>
      <c r="I973" s="145"/>
      <c r="J973" s="145"/>
      <c r="K973" s="145"/>
      <c r="L973" s="145"/>
    </row>
    <row r="974">
      <c r="H974" s="145"/>
      <c r="I974" s="145"/>
      <c r="J974" s="145"/>
      <c r="K974" s="145"/>
      <c r="L974" s="145"/>
    </row>
    <row r="975">
      <c r="H975" s="145"/>
      <c r="I975" s="145"/>
      <c r="J975" s="145"/>
      <c r="K975" s="145"/>
      <c r="L975" s="145"/>
    </row>
    <row r="976">
      <c r="H976" s="145"/>
      <c r="I976" s="145"/>
      <c r="J976" s="145"/>
      <c r="K976" s="145"/>
      <c r="L976" s="145"/>
    </row>
    <row r="977">
      <c r="H977" s="145"/>
      <c r="I977" s="145"/>
      <c r="J977" s="145"/>
      <c r="K977" s="145"/>
      <c r="L977" s="145"/>
    </row>
    <row r="978">
      <c r="H978" s="145"/>
      <c r="I978" s="145"/>
      <c r="J978" s="145"/>
      <c r="K978" s="145"/>
      <c r="L978" s="145"/>
    </row>
    <row r="979">
      <c r="H979" s="145"/>
      <c r="I979" s="145"/>
      <c r="J979" s="145"/>
      <c r="K979" s="145"/>
      <c r="L979" s="145"/>
    </row>
    <row r="980">
      <c r="H980" s="145"/>
      <c r="I980" s="145"/>
      <c r="J980" s="145"/>
      <c r="K980" s="145"/>
      <c r="L980" s="145"/>
    </row>
    <row r="981">
      <c r="H981" s="145"/>
      <c r="I981" s="145"/>
      <c r="J981" s="145"/>
      <c r="K981" s="145"/>
      <c r="L981" s="145"/>
    </row>
    <row r="982">
      <c r="H982" s="145"/>
      <c r="I982" s="145"/>
      <c r="J982" s="145"/>
      <c r="K982" s="145"/>
      <c r="L982" s="145"/>
    </row>
    <row r="983">
      <c r="H983" s="145"/>
      <c r="I983" s="145"/>
      <c r="J983" s="145"/>
      <c r="K983" s="145"/>
      <c r="L983" s="145"/>
    </row>
    <row r="984">
      <c r="H984" s="145"/>
      <c r="I984" s="145"/>
      <c r="J984" s="145"/>
      <c r="K984" s="145"/>
      <c r="L984" s="145"/>
    </row>
    <row r="985">
      <c r="H985" s="145"/>
      <c r="I985" s="145"/>
      <c r="J985" s="145"/>
      <c r="K985" s="145"/>
      <c r="L985" s="145"/>
    </row>
    <row r="986">
      <c r="H986" s="145"/>
      <c r="I986" s="145"/>
      <c r="J986" s="145"/>
      <c r="K986" s="145"/>
      <c r="L986" s="145"/>
    </row>
    <row r="987">
      <c r="H987" s="145"/>
      <c r="I987" s="145"/>
      <c r="J987" s="145"/>
      <c r="K987" s="145"/>
      <c r="L987" s="145"/>
    </row>
    <row r="988">
      <c r="H988" s="145"/>
      <c r="I988" s="145"/>
      <c r="J988" s="145"/>
      <c r="K988" s="145"/>
      <c r="L988" s="145"/>
    </row>
    <row r="989">
      <c r="H989" s="145"/>
      <c r="I989" s="145"/>
      <c r="J989" s="145"/>
      <c r="K989" s="145"/>
      <c r="L989" s="145"/>
    </row>
    <row r="990">
      <c r="H990" s="145"/>
      <c r="I990" s="145"/>
      <c r="J990" s="145"/>
      <c r="K990" s="145"/>
      <c r="L990" s="145"/>
    </row>
    <row r="991">
      <c r="H991" s="145"/>
      <c r="I991" s="145"/>
      <c r="J991" s="145"/>
      <c r="K991" s="145"/>
      <c r="L991" s="145"/>
    </row>
    <row r="992">
      <c r="H992" s="145"/>
      <c r="I992" s="145"/>
      <c r="J992" s="145"/>
      <c r="K992" s="145"/>
      <c r="L992" s="145"/>
    </row>
    <row r="993">
      <c r="H993" s="145"/>
      <c r="I993" s="145"/>
      <c r="J993" s="145"/>
      <c r="K993" s="145"/>
      <c r="L993" s="145"/>
    </row>
    <row r="994">
      <c r="H994" s="145"/>
      <c r="I994" s="145"/>
      <c r="J994" s="145"/>
      <c r="K994" s="145"/>
      <c r="L994" s="145"/>
    </row>
    <row r="995">
      <c r="H995" s="145"/>
      <c r="I995" s="145"/>
      <c r="J995" s="145"/>
      <c r="K995" s="145"/>
      <c r="L995" s="145"/>
    </row>
    <row r="996">
      <c r="H996" s="145"/>
      <c r="I996" s="145"/>
      <c r="J996" s="145"/>
      <c r="K996" s="145"/>
      <c r="L996" s="145"/>
    </row>
    <row r="997">
      <c r="H997" s="145"/>
      <c r="I997" s="145"/>
      <c r="J997" s="145"/>
      <c r="K997" s="145"/>
      <c r="L997" s="145"/>
    </row>
    <row r="998">
      <c r="H998" s="145"/>
      <c r="I998" s="145"/>
      <c r="J998" s="145"/>
      <c r="K998" s="145"/>
      <c r="L998" s="145"/>
    </row>
    <row r="999">
      <c r="H999" s="145"/>
      <c r="I999" s="145"/>
      <c r="J999" s="145"/>
      <c r="K999" s="145"/>
      <c r="L999" s="145"/>
    </row>
    <row r="1000">
      <c r="H1000" s="145"/>
      <c r="I1000" s="145"/>
      <c r="J1000" s="145"/>
      <c r="K1000" s="145"/>
      <c r="L1000" s="145"/>
    </row>
    <row r="1001">
      <c r="H1001" s="145"/>
      <c r="I1001" s="145"/>
      <c r="J1001" s="145"/>
      <c r="K1001" s="145"/>
      <c r="L1001" s="145"/>
    </row>
    <row r="1002">
      <c r="H1002" s="145"/>
      <c r="I1002" s="145"/>
      <c r="J1002" s="145"/>
      <c r="K1002" s="145"/>
      <c r="L1002" s="145"/>
    </row>
    <row r="1003">
      <c r="H1003" s="145"/>
      <c r="I1003" s="145"/>
      <c r="J1003" s="145"/>
      <c r="K1003" s="145"/>
      <c r="L1003" s="145"/>
    </row>
    <row r="1004">
      <c r="H1004" s="145"/>
      <c r="I1004" s="145"/>
      <c r="J1004" s="145"/>
      <c r="K1004" s="145"/>
      <c r="L1004" s="145"/>
    </row>
    <row r="1005">
      <c r="H1005" s="145"/>
      <c r="I1005" s="145"/>
      <c r="J1005" s="145"/>
      <c r="K1005" s="145"/>
      <c r="L1005" s="145"/>
    </row>
    <row r="1006">
      <c r="H1006" s="145"/>
      <c r="I1006" s="145"/>
      <c r="J1006" s="145"/>
      <c r="K1006" s="145"/>
      <c r="L1006" s="145"/>
    </row>
    <row r="1007">
      <c r="H1007" s="145"/>
      <c r="I1007" s="145"/>
      <c r="J1007" s="145"/>
      <c r="K1007" s="145"/>
      <c r="L1007" s="145"/>
    </row>
    <row r="1008">
      <c r="H1008" s="145"/>
      <c r="I1008" s="145"/>
      <c r="J1008" s="145"/>
      <c r="K1008" s="145"/>
      <c r="L1008" s="145"/>
    </row>
    <row r="1009">
      <c r="H1009" s="145"/>
      <c r="I1009" s="145"/>
      <c r="J1009" s="145"/>
      <c r="K1009" s="145"/>
      <c r="L1009" s="145"/>
    </row>
    <row r="1010">
      <c r="H1010" s="145"/>
      <c r="I1010" s="145"/>
      <c r="J1010" s="145"/>
      <c r="K1010" s="145"/>
      <c r="L1010" s="145"/>
    </row>
    <row r="1011">
      <c r="H1011" s="145"/>
      <c r="I1011" s="145"/>
      <c r="J1011" s="145"/>
      <c r="K1011" s="145"/>
      <c r="L1011" s="145"/>
    </row>
    <row r="1012">
      <c r="H1012" s="145"/>
      <c r="I1012" s="145"/>
      <c r="J1012" s="145"/>
      <c r="K1012" s="145"/>
      <c r="L1012" s="145"/>
    </row>
    <row r="1013">
      <c r="H1013" s="145"/>
      <c r="I1013" s="145"/>
      <c r="J1013" s="145"/>
      <c r="K1013" s="145"/>
      <c r="L1013" s="145"/>
    </row>
    <row r="1014">
      <c r="H1014" s="145"/>
      <c r="I1014" s="145"/>
      <c r="J1014" s="145"/>
      <c r="K1014" s="145"/>
      <c r="L1014" s="145"/>
    </row>
    <row r="1015">
      <c r="H1015" s="145"/>
      <c r="I1015" s="145"/>
      <c r="J1015" s="145"/>
      <c r="K1015" s="145"/>
      <c r="L1015" s="145"/>
    </row>
    <row r="1016">
      <c r="H1016" s="145"/>
      <c r="I1016" s="145"/>
      <c r="J1016" s="145"/>
      <c r="K1016" s="145"/>
      <c r="L1016" s="145"/>
    </row>
    <row r="1017">
      <c r="H1017" s="145"/>
      <c r="I1017" s="145"/>
      <c r="J1017" s="145"/>
      <c r="K1017" s="145"/>
      <c r="L1017" s="145"/>
    </row>
    <row r="1018">
      <c r="H1018" s="145"/>
      <c r="I1018" s="145"/>
      <c r="J1018" s="145"/>
      <c r="K1018" s="145"/>
      <c r="L1018" s="145"/>
    </row>
    <row r="1019">
      <c r="H1019" s="145"/>
      <c r="I1019" s="145"/>
      <c r="J1019" s="145"/>
      <c r="K1019" s="145"/>
      <c r="L1019" s="145"/>
    </row>
    <row r="1020">
      <c r="H1020" s="145"/>
      <c r="I1020" s="145"/>
      <c r="J1020" s="145"/>
      <c r="K1020" s="145"/>
      <c r="L1020" s="145"/>
    </row>
    <row r="1021">
      <c r="H1021" s="145"/>
      <c r="I1021" s="145"/>
      <c r="J1021" s="145"/>
      <c r="K1021" s="145"/>
      <c r="L1021" s="145"/>
    </row>
    <row r="1022">
      <c r="H1022" s="145"/>
      <c r="I1022" s="145"/>
      <c r="J1022" s="145"/>
      <c r="K1022" s="145"/>
      <c r="L1022" s="145"/>
    </row>
    <row r="1023">
      <c r="H1023" s="145"/>
      <c r="I1023" s="145"/>
      <c r="J1023" s="145"/>
      <c r="K1023" s="145"/>
      <c r="L1023" s="145"/>
    </row>
    <row r="1024">
      <c r="H1024" s="145"/>
      <c r="I1024" s="145"/>
      <c r="J1024" s="145"/>
      <c r="K1024" s="145"/>
      <c r="L1024" s="145"/>
    </row>
    <row r="1025">
      <c r="H1025" s="145"/>
      <c r="I1025" s="145"/>
      <c r="J1025" s="145"/>
      <c r="K1025" s="145"/>
      <c r="L1025" s="145"/>
    </row>
    <row r="1026">
      <c r="H1026" s="145"/>
      <c r="I1026" s="145"/>
      <c r="J1026" s="145"/>
      <c r="K1026" s="145"/>
      <c r="L1026" s="145"/>
    </row>
    <row r="1027">
      <c r="H1027" s="145"/>
      <c r="I1027" s="145"/>
      <c r="J1027" s="145"/>
      <c r="K1027" s="145"/>
      <c r="L1027" s="145"/>
    </row>
    <row r="1028">
      <c r="H1028" s="145"/>
      <c r="I1028" s="145"/>
      <c r="J1028" s="145"/>
      <c r="K1028" s="145"/>
      <c r="L1028" s="145"/>
    </row>
    <row r="1029">
      <c r="H1029" s="145"/>
      <c r="I1029" s="145"/>
      <c r="J1029" s="145"/>
      <c r="K1029" s="145"/>
      <c r="L1029" s="145"/>
    </row>
    <row r="1030">
      <c r="H1030" s="145"/>
      <c r="I1030" s="145"/>
      <c r="J1030" s="145"/>
      <c r="K1030" s="145"/>
      <c r="L1030" s="145"/>
    </row>
    <row r="1031">
      <c r="H1031" s="145"/>
      <c r="I1031" s="145"/>
      <c r="J1031" s="145"/>
      <c r="K1031" s="145"/>
      <c r="L1031" s="145"/>
    </row>
    <row r="1032">
      <c r="H1032" s="145"/>
      <c r="I1032" s="145"/>
      <c r="J1032" s="145"/>
      <c r="K1032" s="145"/>
      <c r="L1032" s="145"/>
    </row>
    <row r="1033">
      <c r="H1033" s="145"/>
      <c r="I1033" s="145"/>
      <c r="J1033" s="145"/>
      <c r="K1033" s="145"/>
      <c r="L1033" s="145"/>
    </row>
    <row r="1034">
      <c r="H1034" s="145"/>
      <c r="I1034" s="145"/>
      <c r="J1034" s="145"/>
      <c r="K1034" s="145"/>
      <c r="L1034" s="145"/>
    </row>
  </sheetData>
  <hyperlinks>
    <hyperlink r:id="rId1" ref="G3"/>
    <hyperlink r:id="rId2" ref="G4"/>
    <hyperlink r:id="rId3" ref="G6"/>
    <hyperlink r:id="rId4" ref="G7"/>
    <hyperlink r:id="rId5" ref="G9"/>
    <hyperlink r:id="rId6" ref="G10"/>
    <hyperlink r:id="rId7" ref="G11"/>
    <hyperlink r:id="rId8" ref="J13"/>
    <hyperlink r:id="rId9" ref="L13"/>
    <hyperlink r:id="rId10" ref="J19"/>
    <hyperlink r:id="rId11" ref="L19"/>
    <hyperlink r:id="rId12" ref="G21"/>
    <hyperlink r:id="rId13" ref="G23"/>
    <hyperlink r:id="rId14" ref="G25"/>
    <hyperlink r:id="rId15" ref="G26"/>
    <hyperlink r:id="rId16" ref="G27"/>
    <hyperlink r:id="rId17" ref="G28"/>
    <hyperlink r:id="rId18" ref="G30"/>
    <hyperlink r:id="rId19" ref="G31"/>
    <hyperlink r:id="rId20" ref="G32"/>
    <hyperlink r:id="rId21" ref="G33"/>
    <hyperlink r:id="rId22" ref="G34"/>
    <hyperlink r:id="rId23" ref="G35"/>
    <hyperlink r:id="rId24" ref="G36"/>
    <hyperlink r:id="rId25" location="q=thickness%20or%20hardwood%20floor" ref="L37"/>
    <hyperlink r:id="rId26" ref="G38"/>
    <hyperlink r:id="rId27" ref="J38"/>
    <hyperlink r:id="rId28" ref="G39"/>
    <hyperlink r:id="rId29" ref="J39"/>
    <hyperlink r:id="rId30" ref="G40"/>
    <hyperlink r:id="rId31" ref="G41"/>
    <hyperlink r:id="rId32" ref="G42"/>
    <hyperlink r:id="rId33" ref="G43"/>
    <hyperlink r:id="rId34" ref="G44"/>
    <hyperlink r:id="rId35" ref="J44"/>
    <hyperlink r:id="rId36" ref="G45"/>
    <hyperlink r:id="rId37" ref="G61"/>
    <hyperlink r:id="rId38" ref="G62"/>
    <hyperlink r:id="rId39" ref="G63"/>
    <hyperlink r:id="rId40" ref="G64"/>
    <hyperlink r:id="rId41" ref="G65"/>
    <hyperlink r:id="rId42" ref="G66"/>
    <hyperlink r:id="rId43" ref="G67"/>
    <hyperlink r:id="rId44" ref="G69"/>
    <hyperlink r:id="rId45" ref="G70"/>
    <hyperlink r:id="rId46" ref="G71"/>
  </hyperlinks>
  <drawing r:id="rId4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29"/>
    <col customWidth="1" min="3" max="3" width="27.14"/>
    <col customWidth="1" min="4" max="4" width="40.0"/>
    <col customWidth="1" min="5" max="5" width="17.57"/>
    <col customWidth="1" hidden="1" min="8" max="9" width="24.14"/>
    <col hidden="1" min="10" max="1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66" t="s">
        <v>4</v>
      </c>
      <c r="F1" s="1" t="s">
        <v>5</v>
      </c>
      <c r="G1" s="1" t="s">
        <v>6</v>
      </c>
      <c r="J1" s="16" t="s">
        <v>218</v>
      </c>
    </row>
    <row r="2">
      <c r="A2" s="267" t="s">
        <v>219</v>
      </c>
      <c r="B2" s="267" t="s">
        <v>221</v>
      </c>
      <c r="C2" s="268"/>
      <c r="D2" s="268"/>
      <c r="E2" s="269"/>
      <c r="F2" s="268"/>
      <c r="G2" s="268"/>
      <c r="H2" s="16" t="s">
        <v>78</v>
      </c>
      <c r="I2" s="16" t="s">
        <v>131</v>
      </c>
      <c r="J2" s="16" t="s">
        <v>222</v>
      </c>
    </row>
    <row r="3">
      <c r="A3" s="172"/>
      <c r="B3" s="267"/>
      <c r="C3" s="172" t="s">
        <v>223</v>
      </c>
      <c r="D3" s="172"/>
      <c r="E3" s="270"/>
      <c r="F3" s="271"/>
      <c r="G3" s="172"/>
    </row>
    <row r="4">
      <c r="A4" s="172" t="s">
        <v>26</v>
      </c>
      <c r="B4" s="267"/>
      <c r="C4" s="172"/>
      <c r="D4" s="179" t="s">
        <v>215</v>
      </c>
      <c r="E4" s="177" t="str">
        <f t="shared" ref="E4:E10" si="1">(H4*I4*0.01)/35.3147</f>
        <v>4.512426836</v>
      </c>
      <c r="F4" s="179" t="s">
        <v>71</v>
      </c>
      <c r="G4" s="172" t="s">
        <v>17</v>
      </c>
      <c r="H4" s="114">
        <v>2.03</v>
      </c>
      <c r="I4" s="235">
        <v>7850.0</v>
      </c>
      <c r="J4" s="235">
        <v>0.01</v>
      </c>
      <c r="K4" s="238"/>
    </row>
    <row r="5">
      <c r="A5" s="172" t="s">
        <v>26</v>
      </c>
      <c r="B5" s="267"/>
      <c r="C5" s="172"/>
      <c r="D5" s="172" t="s">
        <v>225</v>
      </c>
      <c r="E5" s="177" t="str">
        <f t="shared" si="1"/>
        <v>0.1451520188</v>
      </c>
      <c r="F5" s="179" t="s">
        <v>71</v>
      </c>
      <c r="G5" s="194" t="str">
        <f>HYPERLINK("http://www3.epa.gov/climatechange/wycd/waste/downloads/asphalt-shingles10-28-10.pdf","Link")</f>
        <v>Link</v>
      </c>
      <c r="H5" s="114">
        <v>0.22</v>
      </c>
      <c r="I5" s="235">
        <v>2330.0</v>
      </c>
      <c r="J5" s="235">
        <v>0.01</v>
      </c>
      <c r="K5" s="238"/>
    </row>
    <row r="6">
      <c r="A6" s="172" t="s">
        <v>37</v>
      </c>
      <c r="B6" s="267"/>
      <c r="C6" s="172"/>
      <c r="D6" s="172" t="s">
        <v>227</v>
      </c>
      <c r="E6" s="177" t="str">
        <f t="shared" si="1"/>
        <v>0.2535771223</v>
      </c>
      <c r="F6" s="179" t="s">
        <v>71</v>
      </c>
      <c r="G6" s="175" t="s">
        <v>17</v>
      </c>
      <c r="H6" s="114">
        <v>0.45</v>
      </c>
      <c r="I6" s="235">
        <v>1990.0</v>
      </c>
      <c r="J6" s="235">
        <v>0.01</v>
      </c>
      <c r="K6" s="238"/>
    </row>
    <row r="7">
      <c r="A7" s="172" t="s">
        <v>26</v>
      </c>
      <c r="B7" s="267"/>
      <c r="C7" s="172"/>
      <c r="D7" s="172" t="s">
        <v>230</v>
      </c>
      <c r="E7" s="177" t="str">
        <f t="shared" si="1"/>
        <v>1.205163855</v>
      </c>
      <c r="F7" s="179" t="s">
        <v>71</v>
      </c>
      <c r="G7" s="175" t="s">
        <v>17</v>
      </c>
      <c r="H7" s="114">
        <v>2.66</v>
      </c>
      <c r="I7" s="235">
        <v>1600.0</v>
      </c>
      <c r="J7" s="235">
        <v>0.01</v>
      </c>
      <c r="K7" s="238"/>
    </row>
    <row r="8">
      <c r="A8" s="172" t="s">
        <v>26</v>
      </c>
      <c r="B8" s="267"/>
      <c r="C8" s="172"/>
      <c r="D8" s="179" t="s">
        <v>233</v>
      </c>
      <c r="E8" s="177" t="str">
        <f t="shared" si="1"/>
        <v>0.8868827995</v>
      </c>
      <c r="F8" s="179" t="s">
        <v>71</v>
      </c>
      <c r="G8" s="175" t="s">
        <v>17</v>
      </c>
      <c r="H8" s="201">
        <v>2.61</v>
      </c>
      <c r="I8" s="235">
        <v>1200.0</v>
      </c>
      <c r="J8" s="235">
        <v>0.01</v>
      </c>
      <c r="K8" s="238"/>
    </row>
    <row r="9">
      <c r="A9" s="172" t="s">
        <v>26</v>
      </c>
      <c r="B9" s="267"/>
      <c r="C9" s="172"/>
      <c r="D9" s="179" t="s">
        <v>234</v>
      </c>
      <c r="E9" s="177" t="str">
        <f t="shared" si="1"/>
        <v>0.01449821179</v>
      </c>
      <c r="F9" s="179" t="s">
        <v>71</v>
      </c>
      <c r="G9" s="175" t="s">
        <v>17</v>
      </c>
      <c r="H9" s="201">
        <v>0.032</v>
      </c>
      <c r="I9" s="235">
        <v>1600.0</v>
      </c>
      <c r="J9" s="235">
        <v>0.01</v>
      </c>
      <c r="K9" s="238"/>
    </row>
    <row r="10">
      <c r="A10" s="172" t="s">
        <v>37</v>
      </c>
      <c r="B10" s="267"/>
      <c r="C10" s="172"/>
      <c r="D10" s="179" t="s">
        <v>237</v>
      </c>
      <c r="E10" s="177" t="str">
        <f t="shared" si="1"/>
        <v>0.02759190932</v>
      </c>
      <c r="F10" s="179" t="s">
        <v>71</v>
      </c>
      <c r="G10" s="175" t="s">
        <v>17</v>
      </c>
      <c r="H10" s="201">
        <v>4.06</v>
      </c>
      <c r="I10" s="235">
        <v>24.0</v>
      </c>
      <c r="J10" s="235">
        <v>0.01</v>
      </c>
      <c r="K10" s="238"/>
    </row>
    <row r="11">
      <c r="A11" s="274"/>
      <c r="B11" s="267"/>
      <c r="C11" s="274" t="s">
        <v>239</v>
      </c>
      <c r="D11" s="274"/>
      <c r="E11" s="276"/>
      <c r="F11" s="274"/>
      <c r="G11" s="278"/>
      <c r="H11" s="235"/>
      <c r="I11" s="124"/>
      <c r="J11" s="124"/>
      <c r="K11" s="238"/>
    </row>
    <row r="12">
      <c r="A12" s="274" t="s">
        <v>37</v>
      </c>
      <c r="B12" s="267"/>
      <c r="C12" s="274"/>
      <c r="D12" s="274" t="s">
        <v>240</v>
      </c>
      <c r="E12" s="276" t="str">
        <f t="shared" ref="E12:E14" si="2">H12/(3.28^2)</f>
        <v>0.5577037478</v>
      </c>
      <c r="F12" s="280" t="s">
        <v>71</v>
      </c>
      <c r="G12" s="284" t="str">
        <f t="shared" ref="G12:G14" si="3">HYPERLINK("https://drive.google.com/file/d/0B--O_p54KxzvZ1ZCaEhhcVp4S2c/view?usp=sharing","Link")</f>
        <v>Link</v>
      </c>
      <c r="H12" s="114">
        <v>6.0</v>
      </c>
      <c r="I12" s="114"/>
      <c r="J12" s="124"/>
      <c r="K12" s="238"/>
    </row>
    <row r="13">
      <c r="A13" s="274" t="s">
        <v>37</v>
      </c>
      <c r="B13" s="267"/>
      <c r="C13" s="274"/>
      <c r="D13" s="274" t="s">
        <v>244</v>
      </c>
      <c r="E13" s="276" t="str">
        <f t="shared" si="2"/>
        <v>0.5112284355</v>
      </c>
      <c r="F13" s="280" t="s">
        <v>71</v>
      </c>
      <c r="G13" s="284" t="str">
        <f t="shared" si="3"/>
        <v>Link</v>
      </c>
      <c r="H13" s="114">
        <v>5.5</v>
      </c>
      <c r="I13" s="114"/>
      <c r="J13" s="124"/>
      <c r="K13" s="238"/>
    </row>
    <row r="14">
      <c r="A14" s="274" t="s">
        <v>26</v>
      </c>
      <c r="B14" s="267"/>
      <c r="C14" s="274"/>
      <c r="D14" s="274" t="s">
        <v>247</v>
      </c>
      <c r="E14" s="276" t="str">
        <f t="shared" si="2"/>
        <v>0.7900803093</v>
      </c>
      <c r="F14" s="280" t="s">
        <v>71</v>
      </c>
      <c r="G14" s="284" t="str">
        <f t="shared" si="3"/>
        <v>Link</v>
      </c>
      <c r="H14" s="114">
        <v>8.5</v>
      </c>
      <c r="I14" s="114"/>
      <c r="J14" s="124"/>
      <c r="K14" s="238"/>
    </row>
    <row r="15">
      <c r="A15" s="289"/>
      <c r="B15" s="267"/>
      <c r="C15" s="289" t="s">
        <v>249</v>
      </c>
      <c r="D15" s="289"/>
      <c r="E15" s="291"/>
      <c r="F15" s="289"/>
      <c r="G15" s="293"/>
      <c r="H15" s="124"/>
      <c r="I15" s="124"/>
      <c r="J15" s="295" t="str">
        <f>HYPERLINK("http://homeguides.sfgate.com/size-plywood-goes-exterior-wall-96180.html","thickness (in)")</f>
        <v>thickness (in)</v>
      </c>
      <c r="K15" s="238"/>
    </row>
    <row r="16" ht="14.25" customHeight="1">
      <c r="A16" s="289" t="s">
        <v>37</v>
      </c>
      <c r="B16" s="267"/>
      <c r="C16" s="289"/>
      <c r="D16" s="297" t="s">
        <v>174</v>
      </c>
      <c r="E16" s="299" t="str">
        <f>H16*I16*J16/(12*3.28^3)</f>
        <v>0.6633004749</v>
      </c>
      <c r="F16" s="300" t="s">
        <v>175</v>
      </c>
      <c r="G16" s="302" t="s">
        <v>17</v>
      </c>
      <c r="H16" s="235">
        <v>1.07</v>
      </c>
      <c r="I16" s="235">
        <v>700.0</v>
      </c>
      <c r="J16" s="124" t="str">
        <f>3/8</f>
        <v>0.375</v>
      </c>
      <c r="K16" s="238"/>
    </row>
    <row r="17" ht="14.25" customHeight="1">
      <c r="A17" s="225"/>
      <c r="B17" s="225" t="s">
        <v>257</v>
      </c>
      <c r="C17" s="225"/>
      <c r="D17" s="304"/>
      <c r="E17" s="305"/>
      <c r="F17" s="304"/>
      <c r="G17" s="307"/>
      <c r="H17" s="235"/>
      <c r="I17" s="235"/>
      <c r="J17" s="124"/>
      <c r="K17" s="238"/>
    </row>
    <row r="18" ht="14.25" customHeight="1">
      <c r="A18" s="225"/>
      <c r="B18" s="225"/>
      <c r="C18" s="225" t="s">
        <v>257</v>
      </c>
      <c r="D18" s="304"/>
      <c r="E18" s="305"/>
      <c r="F18" s="304"/>
      <c r="G18" s="307"/>
      <c r="H18" s="235"/>
      <c r="I18" s="235"/>
      <c r="J18" s="124"/>
      <c r="K18" s="238"/>
    </row>
    <row r="19" ht="14.25" customHeight="1">
      <c r="A19" s="215" t="s">
        <v>26</v>
      </c>
      <c r="B19" s="225"/>
      <c r="C19" s="225"/>
      <c r="D19" s="231" t="s">
        <v>259</v>
      </c>
      <c r="E19" s="311">
        <v>8.9044E-4</v>
      </c>
      <c r="F19" s="231" t="s">
        <v>71</v>
      </c>
      <c r="G19" s="233" t="s">
        <v>17</v>
      </c>
      <c r="H19" s="235"/>
      <c r="I19" s="235"/>
      <c r="J19" s="124"/>
      <c r="K19" s="238"/>
    </row>
    <row r="20">
      <c r="A20" s="5"/>
      <c r="B20" s="5" t="s">
        <v>262</v>
      </c>
      <c r="C20" s="7"/>
      <c r="D20" s="7"/>
      <c r="E20" s="9"/>
      <c r="F20" s="9"/>
      <c r="G20" s="9"/>
      <c r="J20" s="16" t="s">
        <v>263</v>
      </c>
    </row>
    <row r="21">
      <c r="A21" s="11"/>
      <c r="B21" s="7"/>
      <c r="C21" s="11" t="s">
        <v>264</v>
      </c>
      <c r="D21" s="313"/>
      <c r="E21" s="314"/>
      <c r="F21" s="314"/>
      <c r="G21" s="314"/>
    </row>
    <row r="22">
      <c r="A22" s="11" t="s">
        <v>26</v>
      </c>
      <c r="B22" s="7"/>
      <c r="C22" s="11"/>
      <c r="D22" s="11" t="s">
        <v>265</v>
      </c>
      <c r="E22" s="11">
        <v>31.7581301</v>
      </c>
      <c r="F22" s="11" t="s">
        <v>266</v>
      </c>
      <c r="G22" s="316"/>
      <c r="H22" s="16" t="s">
        <v>267</v>
      </c>
      <c r="I22" s="114">
        <v>61.5</v>
      </c>
      <c r="J22" s="114" t="str">
        <f t="shared" ref="J22:J25" si="4">I22/1.44</f>
        <v>42.70833333</v>
      </c>
      <c r="K22" s="108" t="str">
        <f t="shared" ref="K22:K25" si="5">J22/(3.28^2)</f>
        <v>3.96976626</v>
      </c>
      <c r="L22" s="321" t="str">
        <f t="shared" ref="L22:L25" si="6">HYPERLINK("http://www.greenspec.co.uk/building-design/embodied-energy/","Link")</f>
        <v>Link</v>
      </c>
    </row>
    <row r="23">
      <c r="A23" s="11" t="s">
        <v>26</v>
      </c>
      <c r="B23" s="7"/>
      <c r="C23" s="11"/>
      <c r="D23" s="11" t="s">
        <v>271</v>
      </c>
      <c r="E23" s="11">
        <v>15.879065</v>
      </c>
      <c r="F23" s="11" t="s">
        <v>266</v>
      </c>
      <c r="G23" s="316"/>
      <c r="H23" s="16" t="s">
        <v>272</v>
      </c>
      <c r="I23" s="114">
        <v>279.0</v>
      </c>
      <c r="J23" s="114" t="str">
        <f t="shared" si="4"/>
        <v>193.75</v>
      </c>
      <c r="K23" s="108" t="str">
        <f t="shared" si="5"/>
        <v>18.00918352</v>
      </c>
      <c r="L23" s="321" t="str">
        <f t="shared" si="6"/>
        <v>Link</v>
      </c>
    </row>
    <row r="24">
      <c r="A24" s="28"/>
      <c r="B24" s="5"/>
      <c r="C24" s="28" t="s">
        <v>273</v>
      </c>
      <c r="D24" s="28"/>
      <c r="E24" s="322"/>
      <c r="F24" s="28"/>
      <c r="G24" s="323"/>
      <c r="H24" s="16" t="s">
        <v>233</v>
      </c>
      <c r="I24" s="114">
        <v>118.0</v>
      </c>
      <c r="J24" s="114" t="str">
        <f t="shared" si="4"/>
        <v>81.94444444</v>
      </c>
      <c r="K24" s="108" t="str">
        <f t="shared" si="5"/>
        <v>7.616787296</v>
      </c>
      <c r="L24" s="324" t="str">
        <f t="shared" si="6"/>
        <v>Link</v>
      </c>
    </row>
    <row r="25">
      <c r="A25" s="325" t="s">
        <v>26</v>
      </c>
      <c r="B25" s="7"/>
      <c r="C25" s="325"/>
      <c r="D25" s="28" t="s">
        <v>265</v>
      </c>
      <c r="E25" s="322">
        <v>31.7581301</v>
      </c>
      <c r="F25" s="28" t="s">
        <v>266</v>
      </c>
      <c r="G25" s="323"/>
      <c r="H25" s="16" t="s">
        <v>279</v>
      </c>
      <c r="I25" s="114">
        <v>18.5</v>
      </c>
      <c r="J25" s="114" t="str">
        <f t="shared" si="4"/>
        <v>12.84722222</v>
      </c>
      <c r="K25" s="108" t="str">
        <f t="shared" si="5"/>
        <v>1.19415733</v>
      </c>
      <c r="L25" s="321" t="str">
        <f t="shared" si="6"/>
        <v>Link</v>
      </c>
    </row>
    <row r="26">
      <c r="A26" s="325" t="s">
        <v>26</v>
      </c>
      <c r="B26" s="7"/>
      <c r="C26" s="325"/>
      <c r="D26" s="28" t="s">
        <v>271</v>
      </c>
      <c r="E26" s="322">
        <v>15.879065</v>
      </c>
      <c r="F26" s="28" t="s">
        <v>266</v>
      </c>
      <c r="G26" s="323"/>
      <c r="H26" s="114"/>
      <c r="I26" s="114"/>
    </row>
    <row r="27">
      <c r="A27" s="11"/>
      <c r="B27" s="5"/>
      <c r="C27" s="11" t="s">
        <v>282</v>
      </c>
      <c r="D27" s="11"/>
      <c r="E27" s="313"/>
      <c r="F27" s="11"/>
      <c r="G27" s="316"/>
      <c r="H27" s="114"/>
      <c r="I27" s="114"/>
    </row>
    <row r="28">
      <c r="A28" s="11" t="s">
        <v>26</v>
      </c>
      <c r="B28" s="5"/>
      <c r="C28" s="11"/>
      <c r="D28" s="329" t="s">
        <v>283</v>
      </c>
      <c r="E28" s="11">
        <v>24.3148183</v>
      </c>
      <c r="F28" s="11" t="s">
        <v>266</v>
      </c>
      <c r="G28" s="316"/>
      <c r="H28" s="114"/>
      <c r="I28" s="114"/>
    </row>
    <row r="29">
      <c r="A29" s="313"/>
      <c r="B29" s="7"/>
      <c r="C29" s="313"/>
      <c r="D29" s="11"/>
      <c r="E29" s="313"/>
      <c r="F29" s="11"/>
      <c r="G29" s="316"/>
      <c r="H29" s="114"/>
      <c r="I29" s="114"/>
    </row>
    <row r="30">
      <c r="A30" s="152"/>
      <c r="B30" s="152" t="s">
        <v>286</v>
      </c>
      <c r="C30" s="154"/>
      <c r="D30" s="152"/>
      <c r="E30" s="330"/>
      <c r="F30" s="155"/>
      <c r="G30" s="155"/>
    </row>
    <row r="31">
      <c r="A31" s="152" t="s">
        <v>11</v>
      </c>
      <c r="B31" s="152"/>
      <c r="C31" s="157"/>
      <c r="D31" s="157" t="s">
        <v>287</v>
      </c>
      <c r="E31" s="332"/>
      <c r="F31" s="157" t="s">
        <v>14</v>
      </c>
      <c r="G31" s="157" t="s">
        <v>288</v>
      </c>
      <c r="H31" s="16"/>
      <c r="I31" s="16"/>
    </row>
    <row r="32" hidden="1">
      <c r="A32" s="334"/>
      <c r="B32" s="334"/>
      <c r="C32" s="334" t="s">
        <v>290</v>
      </c>
      <c r="D32" s="232"/>
      <c r="E32" s="335"/>
      <c r="F32" s="232"/>
      <c r="G32" s="232"/>
      <c r="H32" s="16" t="s">
        <v>18</v>
      </c>
      <c r="I32" s="16" t="s">
        <v>291</v>
      </c>
    </row>
    <row r="33" hidden="1">
      <c r="A33" s="334"/>
      <c r="B33" s="334"/>
      <c r="C33" s="232"/>
      <c r="D33" s="334" t="s">
        <v>272</v>
      </c>
      <c r="E33" s="334" t="str">
        <f t="shared" ref="E33:E37" si="7">H33*I33/(3.28^3)</f>
        <v>21347.4712</v>
      </c>
      <c r="F33" s="334" t="s">
        <v>293</v>
      </c>
      <c r="G33" s="334" t="s">
        <v>17</v>
      </c>
      <c r="H33" s="114">
        <v>279.0</v>
      </c>
      <c r="I33" s="16">
        <v>2700.0</v>
      </c>
    </row>
    <row r="34" hidden="1">
      <c r="A34" s="334"/>
      <c r="B34" s="334"/>
      <c r="C34" s="232"/>
      <c r="D34" s="334" t="s">
        <v>294</v>
      </c>
      <c r="E34" s="334" t="str">
        <f t="shared" si="7"/>
        <v>9.394247581</v>
      </c>
      <c r="F34" s="334" t="s">
        <v>293</v>
      </c>
      <c r="G34" s="334" t="s">
        <v>17</v>
      </c>
      <c r="H34" s="114">
        <v>0.65</v>
      </c>
      <c r="I34" s="16">
        <v>510.0</v>
      </c>
    </row>
    <row r="35" hidden="1">
      <c r="A35" s="334"/>
      <c r="B35" s="334"/>
      <c r="C35" s="232"/>
      <c r="D35" s="334" t="s">
        <v>295</v>
      </c>
      <c r="E35" s="334" t="str">
        <f t="shared" si="7"/>
        <v>88.75651108</v>
      </c>
      <c r="F35" s="334" t="s">
        <v>293</v>
      </c>
      <c r="G35" s="334" t="s">
        <v>17</v>
      </c>
      <c r="H35" s="114">
        <v>2.61</v>
      </c>
      <c r="I35" s="16">
        <v>1200.0</v>
      </c>
    </row>
    <row r="36" hidden="1">
      <c r="A36" s="334"/>
      <c r="B36" s="334"/>
      <c r="C36" s="232"/>
      <c r="D36" s="334" t="s">
        <v>156</v>
      </c>
      <c r="E36" s="334" t="str">
        <f t="shared" si="7"/>
        <v>1.091036295</v>
      </c>
      <c r="F36" s="334" t="s">
        <v>293</v>
      </c>
      <c r="G36" s="334" t="s">
        <v>17</v>
      </c>
      <c r="H36" s="114">
        <v>1.54</v>
      </c>
      <c r="I36" s="16">
        <v>25.0</v>
      </c>
    </row>
    <row r="37" hidden="1">
      <c r="A37" s="334"/>
      <c r="B37" s="334"/>
      <c r="C37" s="232"/>
      <c r="D37" s="334" t="s">
        <v>296</v>
      </c>
      <c r="E37" s="339" t="str">
        <f t="shared" si="7"/>
        <v>87.17379998</v>
      </c>
      <c r="F37" s="334" t="s">
        <v>293</v>
      </c>
      <c r="G37" s="339" t="s">
        <v>17</v>
      </c>
      <c r="H37" s="340">
        <v>3.29</v>
      </c>
      <c r="I37" s="16">
        <v>935.0</v>
      </c>
    </row>
    <row r="38" hidden="1">
      <c r="A38" s="334"/>
      <c r="B38" s="334"/>
      <c r="C38" s="334" t="s">
        <v>297</v>
      </c>
      <c r="D38" s="232"/>
      <c r="E38" s="335"/>
      <c r="F38" s="232"/>
      <c r="G38" s="232"/>
      <c r="K38" s="16" t="s">
        <v>194</v>
      </c>
    </row>
    <row r="39" hidden="1">
      <c r="A39" s="334"/>
      <c r="B39" s="334"/>
      <c r="C39" s="232"/>
      <c r="D39" s="334" t="s">
        <v>294</v>
      </c>
      <c r="E39" s="232" t="str">
        <f t="shared" ref="E39:E42" si="8">(H39*I39*K39)/10.7639</f>
        <v>1.368943877</v>
      </c>
      <c r="F39" s="334" t="s">
        <v>18</v>
      </c>
      <c r="G39" s="334" t="s">
        <v>17</v>
      </c>
      <c r="H39" s="343">
        <v>0.65</v>
      </c>
      <c r="I39" s="16">
        <v>510.0</v>
      </c>
      <c r="K39" s="16">
        <v>0.04445</v>
      </c>
    </row>
    <row r="40" hidden="1">
      <c r="A40" s="334"/>
      <c r="B40" s="334"/>
      <c r="C40" s="232"/>
      <c r="D40" s="334" t="s">
        <v>183</v>
      </c>
      <c r="E40" s="232" t="str">
        <f t="shared" si="8"/>
        <v>47.02724849</v>
      </c>
      <c r="F40" s="334" t="s">
        <v>18</v>
      </c>
      <c r="G40" s="334" t="s">
        <v>17</v>
      </c>
      <c r="H40" s="114">
        <v>1.46</v>
      </c>
      <c r="I40" s="16">
        <v>7800.0</v>
      </c>
      <c r="K40" s="16">
        <v>0.04445</v>
      </c>
    </row>
    <row r="41" hidden="1">
      <c r="A41" s="334"/>
      <c r="B41" s="334"/>
      <c r="C41" s="232"/>
      <c r="D41" s="334" t="s">
        <v>179</v>
      </c>
      <c r="E41" s="232" t="str">
        <f t="shared" si="8"/>
        <v>2.983182675</v>
      </c>
      <c r="F41" s="334" t="s">
        <v>18</v>
      </c>
      <c r="G41" s="334" t="s">
        <v>17</v>
      </c>
      <c r="H41" s="114">
        <v>0.86</v>
      </c>
      <c r="I41" s="16">
        <v>840.0</v>
      </c>
      <c r="K41" s="16">
        <v>0.04445</v>
      </c>
    </row>
    <row r="42" hidden="1">
      <c r="A42" s="334"/>
      <c r="B42" s="334"/>
      <c r="C42" s="232"/>
      <c r="D42" s="334" t="s">
        <v>156</v>
      </c>
      <c r="E42" s="232" t="str">
        <f t="shared" si="8"/>
        <v>0.1589874488</v>
      </c>
      <c r="F42" s="334" t="s">
        <v>18</v>
      </c>
      <c r="G42" s="334" t="s">
        <v>17</v>
      </c>
      <c r="H42" s="114">
        <v>1.54</v>
      </c>
      <c r="I42" s="16">
        <v>25.0</v>
      </c>
      <c r="K42" s="16">
        <v>0.04445</v>
      </c>
    </row>
    <row r="43">
      <c r="A43" s="104"/>
      <c r="B43" s="104" t="s">
        <v>299</v>
      </c>
      <c r="C43" s="105"/>
      <c r="D43" s="105"/>
      <c r="E43" s="106"/>
      <c r="F43" s="106"/>
      <c r="G43" s="106"/>
    </row>
    <row r="44">
      <c r="A44" s="104"/>
      <c r="B44" s="104"/>
      <c r="C44" s="104" t="s">
        <v>299</v>
      </c>
      <c r="D44" s="105"/>
      <c r="E44" s="106"/>
      <c r="F44" s="106"/>
      <c r="G44" s="106"/>
      <c r="H44" s="345"/>
      <c r="I44" s="16"/>
    </row>
    <row r="45">
      <c r="A45" s="102" t="s">
        <v>37</v>
      </c>
      <c r="B45" s="104"/>
      <c r="C45" s="104"/>
      <c r="D45" s="102" t="s">
        <v>159</v>
      </c>
      <c r="E45" s="112" t="str">
        <f t="shared" ref="E45:E52" si="9">H45*0.453592</f>
        <v>0.2948348</v>
      </c>
      <c r="F45" s="102" t="s">
        <v>301</v>
      </c>
      <c r="G45" s="102" t="s">
        <v>17</v>
      </c>
      <c r="H45" s="345">
        <v>0.65</v>
      </c>
      <c r="I45" s="16" t="s">
        <v>18</v>
      </c>
    </row>
    <row r="46">
      <c r="A46" s="102" t="s">
        <v>37</v>
      </c>
      <c r="B46" s="104"/>
      <c r="C46" s="104"/>
      <c r="D46" s="102" t="s">
        <v>302</v>
      </c>
      <c r="E46" s="112" t="str">
        <f t="shared" si="9"/>
        <v>0.0453592</v>
      </c>
      <c r="F46" s="102" t="s">
        <v>301</v>
      </c>
      <c r="G46" s="102" t="s">
        <v>17</v>
      </c>
      <c r="H46" s="114">
        <v>0.1</v>
      </c>
      <c r="I46" s="16" t="s">
        <v>18</v>
      </c>
    </row>
    <row r="47">
      <c r="A47" s="102" t="s">
        <v>37</v>
      </c>
      <c r="B47" s="104"/>
      <c r="C47" s="105"/>
      <c r="D47" s="102" t="s">
        <v>303</v>
      </c>
      <c r="E47" s="112" t="str">
        <f t="shared" si="9"/>
        <v>0.29029888</v>
      </c>
      <c r="F47" s="102" t="s">
        <v>301</v>
      </c>
      <c r="G47" s="102" t="s">
        <v>17</v>
      </c>
      <c r="H47" s="114">
        <v>0.64</v>
      </c>
      <c r="I47" s="16" t="s">
        <v>18</v>
      </c>
    </row>
    <row r="48">
      <c r="A48" s="102" t="s">
        <v>37</v>
      </c>
      <c r="B48" s="104"/>
      <c r="C48" s="105"/>
      <c r="D48" s="102" t="s">
        <v>304</v>
      </c>
      <c r="E48" s="112" t="str">
        <f t="shared" si="9"/>
        <v>0.039462504</v>
      </c>
      <c r="F48" s="102" t="s">
        <v>301</v>
      </c>
      <c r="G48" s="102" t="s">
        <v>17</v>
      </c>
      <c r="H48" s="114">
        <v>0.087</v>
      </c>
      <c r="I48" s="16" t="s">
        <v>18</v>
      </c>
    </row>
    <row r="49">
      <c r="A49" s="102" t="s">
        <v>37</v>
      </c>
      <c r="B49" s="104"/>
      <c r="C49" s="105"/>
      <c r="D49" s="102" t="s">
        <v>305</v>
      </c>
      <c r="E49" s="112" t="str">
        <f t="shared" si="9"/>
        <v>0.052616672</v>
      </c>
      <c r="F49" s="102" t="s">
        <v>301</v>
      </c>
      <c r="G49" s="102" t="s">
        <v>17</v>
      </c>
      <c r="H49" s="114">
        <v>0.116</v>
      </c>
      <c r="I49" s="16" t="s">
        <v>18</v>
      </c>
    </row>
    <row r="50">
      <c r="A50" s="102" t="s">
        <v>37</v>
      </c>
      <c r="B50" s="104"/>
      <c r="C50" s="105"/>
      <c r="D50" s="102" t="s">
        <v>307</v>
      </c>
      <c r="E50" s="112" t="str">
        <f t="shared" si="9"/>
        <v>0.026308336</v>
      </c>
      <c r="F50" s="102" t="s">
        <v>301</v>
      </c>
      <c r="G50" s="102" t="s">
        <v>17</v>
      </c>
      <c r="H50" s="114">
        <v>0.058</v>
      </c>
      <c r="I50" s="16" t="s">
        <v>18</v>
      </c>
    </row>
    <row r="51">
      <c r="A51" s="102" t="s">
        <v>37</v>
      </c>
      <c r="B51" s="104"/>
      <c r="C51" s="105"/>
      <c r="D51" s="102" t="s">
        <v>308</v>
      </c>
      <c r="E51" s="112" t="str">
        <f t="shared" si="9"/>
        <v>0.000907184</v>
      </c>
      <c r="F51" s="102" t="s">
        <v>301</v>
      </c>
      <c r="G51" s="102" t="s">
        <v>17</v>
      </c>
      <c r="H51" s="114">
        <v>0.002</v>
      </c>
      <c r="I51" s="16" t="s">
        <v>18</v>
      </c>
    </row>
    <row r="52">
      <c r="A52" s="102" t="s">
        <v>26</v>
      </c>
      <c r="B52" s="104"/>
      <c r="C52" s="105"/>
      <c r="D52" s="102" t="s">
        <v>234</v>
      </c>
      <c r="E52" s="112" t="str">
        <f t="shared" si="9"/>
        <v>0.014514944</v>
      </c>
      <c r="F52" s="102" t="s">
        <v>301</v>
      </c>
      <c r="G52" s="102" t="s">
        <v>17</v>
      </c>
      <c r="H52" s="114">
        <v>0.032</v>
      </c>
      <c r="I52" s="16" t="s">
        <v>18</v>
      </c>
    </row>
    <row r="53" ht="15.0" customHeight="1">
      <c r="A53" s="351"/>
      <c r="B53" s="351" t="s">
        <v>309</v>
      </c>
      <c r="C53" s="353"/>
      <c r="D53" s="353"/>
      <c r="E53" s="354"/>
      <c r="F53" s="354"/>
      <c r="G53" s="354"/>
      <c r="H53" s="16" t="s">
        <v>18</v>
      </c>
      <c r="I53" s="16" t="s">
        <v>311</v>
      </c>
      <c r="J53" s="170" t="str">
        <f>HYPERLINK("http://www.paintcenter.org/rj/sep06d.cfm","Link")</f>
        <v>Link</v>
      </c>
    </row>
    <row r="54">
      <c r="A54" s="351"/>
      <c r="B54" s="353"/>
      <c r="C54" s="351" t="s">
        <v>309</v>
      </c>
      <c r="D54" s="353"/>
      <c r="E54" s="354"/>
      <c r="F54" s="354"/>
      <c r="G54" s="354"/>
      <c r="H54" s="114"/>
      <c r="I54" s="16"/>
    </row>
    <row r="55">
      <c r="A55" s="358" t="s">
        <v>26</v>
      </c>
      <c r="B55" s="353"/>
      <c r="C55" s="351"/>
      <c r="D55" s="358" t="s">
        <v>312</v>
      </c>
      <c r="E55" s="360" t="str">
        <f t="shared" ref="E55:E58" si="10">H55*I55</f>
        <v>10.89</v>
      </c>
      <c r="F55" s="361" t="s">
        <v>313</v>
      </c>
      <c r="G55" s="361" t="s">
        <v>17</v>
      </c>
      <c r="H55" s="114">
        <v>2.42</v>
      </c>
      <c r="I55" s="16">
        <v>4.5</v>
      </c>
    </row>
    <row r="56">
      <c r="A56" s="358" t="s">
        <v>37</v>
      </c>
      <c r="B56" s="353"/>
      <c r="C56" s="351"/>
      <c r="D56" s="358" t="s">
        <v>314</v>
      </c>
      <c r="E56" s="360" t="str">
        <f t="shared" si="10"/>
        <v>9.54</v>
      </c>
      <c r="F56" s="361" t="s">
        <v>313</v>
      </c>
      <c r="G56" s="361" t="s">
        <v>17</v>
      </c>
      <c r="H56" s="114">
        <v>2.12</v>
      </c>
      <c r="I56" s="16">
        <v>4.5</v>
      </c>
    </row>
    <row r="57">
      <c r="A57" s="358" t="s">
        <v>37</v>
      </c>
      <c r="B57" s="353"/>
      <c r="C57" s="351"/>
      <c r="D57" s="358" t="s">
        <v>316</v>
      </c>
      <c r="E57" s="360" t="str">
        <f t="shared" si="10"/>
        <v>14.085</v>
      </c>
      <c r="F57" s="361" t="s">
        <v>313</v>
      </c>
      <c r="G57" s="361" t="s">
        <v>17</v>
      </c>
      <c r="H57" s="114">
        <v>3.13</v>
      </c>
      <c r="I57" s="16">
        <v>4.5</v>
      </c>
    </row>
    <row r="58">
      <c r="A58" s="364" t="s">
        <v>37</v>
      </c>
      <c r="B58" s="353"/>
      <c r="C58" s="351"/>
      <c r="D58" s="364" t="s">
        <v>317</v>
      </c>
      <c r="E58" s="360" t="str">
        <f t="shared" si="10"/>
        <v>24.075</v>
      </c>
      <c r="F58" s="361" t="s">
        <v>313</v>
      </c>
      <c r="G58" s="361" t="s">
        <v>17</v>
      </c>
      <c r="H58" s="114">
        <v>5.35</v>
      </c>
      <c r="I58" s="16">
        <v>4.5</v>
      </c>
    </row>
    <row r="59">
      <c r="A59" s="365"/>
      <c r="B59" s="365" t="s">
        <v>319</v>
      </c>
      <c r="C59" s="365"/>
      <c r="D59" s="367"/>
      <c r="E59" s="368"/>
      <c r="F59" s="367"/>
      <c r="G59" s="369"/>
      <c r="H59" s="16" t="s">
        <v>18</v>
      </c>
      <c r="I59" s="16" t="s">
        <v>19</v>
      </c>
      <c r="J59" s="371"/>
      <c r="K59" s="16" t="s">
        <v>21</v>
      </c>
      <c r="L59" s="16"/>
      <c r="M59" s="16"/>
    </row>
    <row r="60">
      <c r="A60" s="367"/>
      <c r="B60" s="367"/>
      <c r="C60" s="367" t="s">
        <v>319</v>
      </c>
      <c r="D60" s="367"/>
      <c r="E60" s="368"/>
      <c r="F60" s="367"/>
      <c r="G60" s="369"/>
      <c r="H60" s="138"/>
      <c r="I60" s="16"/>
      <c r="J60" s="16"/>
    </row>
    <row r="61">
      <c r="A61" s="372" t="s">
        <v>37</v>
      </c>
      <c r="B61" s="367"/>
      <c r="C61" s="367"/>
      <c r="D61" s="372" t="s">
        <v>320</v>
      </c>
      <c r="E61" s="373" t="str">
        <f t="shared" ref="E61:E67" si="11">H61*K61*L61</f>
        <v>0.3914269825</v>
      </c>
      <c r="F61" s="374" t="s">
        <v>175</v>
      </c>
      <c r="G61" s="374" t="s">
        <v>17</v>
      </c>
      <c r="H61" s="138">
        <v>0.65</v>
      </c>
      <c r="I61" s="16">
        <v>510.0</v>
      </c>
      <c r="J61" s="16" t="s">
        <v>20</v>
      </c>
      <c r="K61" t="str">
        <f t="shared" ref="K61:K67" si="12">(I61/3.28^3)</f>
        <v>14.45268859</v>
      </c>
      <c r="L61" t="str">
        <f t="shared" ref="L61:L67" si="13">0.5/12</f>
        <v>0.04166666667</v>
      </c>
    </row>
    <row r="62">
      <c r="A62" s="379" t="s">
        <v>37</v>
      </c>
      <c r="B62" s="367"/>
      <c r="C62" s="367"/>
      <c r="D62" s="379" t="s">
        <v>44</v>
      </c>
      <c r="E62" s="373" t="str">
        <f t="shared" si="11"/>
        <v>0.4930917282</v>
      </c>
      <c r="F62" s="374" t="s">
        <v>175</v>
      </c>
      <c r="G62" s="374" t="s">
        <v>17</v>
      </c>
      <c r="H62" s="138">
        <v>0.87</v>
      </c>
      <c r="I62" s="16">
        <v>480.0</v>
      </c>
      <c r="J62" s="16" t="s">
        <v>20</v>
      </c>
      <c r="K62" t="str">
        <f t="shared" si="12"/>
        <v>13.60253043</v>
      </c>
      <c r="L62" t="str">
        <f t="shared" si="13"/>
        <v>0.04166666667</v>
      </c>
    </row>
    <row r="63">
      <c r="A63" s="379" t="s">
        <v>37</v>
      </c>
      <c r="B63" s="367"/>
      <c r="C63" s="367"/>
      <c r="D63" s="379" t="s">
        <v>58</v>
      </c>
      <c r="E63" s="373" t="str">
        <f t="shared" si="11"/>
        <v>0.3552952611</v>
      </c>
      <c r="F63" s="374" t="s">
        <v>175</v>
      </c>
      <c r="G63" s="374" t="s">
        <v>17</v>
      </c>
      <c r="H63" s="138">
        <v>0.59</v>
      </c>
      <c r="I63" s="16">
        <v>510.0</v>
      </c>
      <c r="J63" s="16" t="s">
        <v>20</v>
      </c>
      <c r="K63" t="str">
        <f t="shared" si="12"/>
        <v>14.45268859</v>
      </c>
      <c r="L63" t="str">
        <f t="shared" si="13"/>
        <v>0.04166666667</v>
      </c>
    </row>
    <row r="64">
      <c r="A64" s="384" t="s">
        <v>37</v>
      </c>
      <c r="B64" s="367"/>
      <c r="C64" s="367"/>
      <c r="D64" s="384" t="s">
        <v>183</v>
      </c>
      <c r="E64" s="373" t="str">
        <f t="shared" si="11"/>
        <v>12.06516111</v>
      </c>
      <c r="F64" s="374" t="s">
        <v>175</v>
      </c>
      <c r="G64" s="374" t="s">
        <v>17</v>
      </c>
      <c r="H64" s="133">
        <v>1.31</v>
      </c>
      <c r="I64" s="16">
        <v>7800.0</v>
      </c>
      <c r="J64" s="16" t="s">
        <v>20</v>
      </c>
      <c r="K64" t="str">
        <f t="shared" si="12"/>
        <v>221.0411195</v>
      </c>
      <c r="L64" t="str">
        <f t="shared" si="13"/>
        <v>0.04166666667</v>
      </c>
    </row>
    <row r="65">
      <c r="A65" s="384" t="s">
        <v>37</v>
      </c>
      <c r="B65" s="367"/>
      <c r="C65" s="367"/>
      <c r="D65" s="384" t="s">
        <v>327</v>
      </c>
      <c r="E65" s="373" t="str">
        <f t="shared" si="11"/>
        <v>0.09741395493</v>
      </c>
      <c r="F65" s="374" t="s">
        <v>175</v>
      </c>
      <c r="G65" s="374" t="s">
        <v>17</v>
      </c>
      <c r="H65" s="133">
        <v>0.11</v>
      </c>
      <c r="I65" s="16">
        <v>750.0</v>
      </c>
      <c r="J65" s="16" t="s">
        <v>20</v>
      </c>
      <c r="K65" t="str">
        <f t="shared" si="12"/>
        <v>21.2539538</v>
      </c>
      <c r="L65" t="str">
        <f t="shared" si="13"/>
        <v>0.04166666667</v>
      </c>
    </row>
    <row r="66">
      <c r="A66" s="389" t="s">
        <v>37</v>
      </c>
      <c r="B66" s="367"/>
      <c r="C66" s="367"/>
      <c r="D66" s="389" t="s">
        <v>328</v>
      </c>
      <c r="E66" s="373" t="str">
        <f t="shared" si="11"/>
        <v>0.2763013994</v>
      </c>
      <c r="F66" s="374" t="s">
        <v>175</v>
      </c>
      <c r="G66" s="374" t="s">
        <v>17</v>
      </c>
      <c r="H66" s="133">
        <v>0.45</v>
      </c>
      <c r="I66" s="16">
        <v>520.0</v>
      </c>
      <c r="J66" s="16" t="s">
        <v>20</v>
      </c>
      <c r="K66" t="str">
        <f t="shared" si="12"/>
        <v>14.73607464</v>
      </c>
      <c r="L66" t="str">
        <f t="shared" si="13"/>
        <v>0.04166666667</v>
      </c>
    </row>
    <row r="67">
      <c r="A67" s="389" t="s">
        <v>37</v>
      </c>
      <c r="B67" s="369"/>
      <c r="C67" s="369"/>
      <c r="D67" s="389" t="s">
        <v>62</v>
      </c>
      <c r="E67" s="373" t="str">
        <f t="shared" si="11"/>
        <v>57.2794055</v>
      </c>
      <c r="F67" s="374" t="s">
        <v>175</v>
      </c>
      <c r="G67" s="396" t="str">
        <f>HYPERLINK("http://web.mit.edu/2.813/www/readings/ICEv2.pdf.old","ICE V2")</f>
        <v>ICE V2</v>
      </c>
      <c r="H67" s="146">
        <v>46.2</v>
      </c>
      <c r="I67" s="16">
        <v>1050.0</v>
      </c>
      <c r="J67" s="16" t="s">
        <v>20</v>
      </c>
      <c r="K67" t="str">
        <f t="shared" si="12"/>
        <v>29.75553532</v>
      </c>
      <c r="L67" t="str">
        <f t="shared" si="13"/>
        <v>0.04166666667</v>
      </c>
    </row>
    <row r="68">
      <c r="A68" s="152"/>
      <c r="B68" s="152" t="s">
        <v>331</v>
      </c>
      <c r="C68" s="154"/>
      <c r="D68" s="154"/>
      <c r="E68" s="154"/>
      <c r="F68" s="154"/>
      <c r="G68" s="154"/>
      <c r="H68" s="16" t="s">
        <v>18</v>
      </c>
      <c r="I68" s="16" t="s">
        <v>19</v>
      </c>
      <c r="J68" s="211" t="s">
        <v>285</v>
      </c>
      <c r="K68" s="211" t="s">
        <v>138</v>
      </c>
      <c r="L68" s="170" t="str">
        <f>HYPERLINK("https://www.google.com/webhp?sourceid=chrome-instant&amp;ion=1&amp;espv=2&amp;ie=UTF-8#q=thickness%20or%20hardwood%20floor","thickness (ft)")</f>
        <v>thickness (ft)</v>
      </c>
    </row>
    <row r="69">
      <c r="A69" s="152"/>
      <c r="B69" s="154"/>
      <c r="C69" s="327" t="s">
        <v>281</v>
      </c>
      <c r="D69" s="154"/>
      <c r="E69" s="154"/>
      <c r="F69" s="154"/>
      <c r="G69" s="154"/>
      <c r="H69" s="399"/>
      <c r="I69" s="211"/>
      <c r="J69" s="401"/>
      <c r="K69" s="403"/>
      <c r="L69" s="16"/>
    </row>
    <row r="70">
      <c r="A70" s="405" t="s">
        <v>37</v>
      </c>
      <c r="B70" s="154"/>
      <c r="C70" s="327"/>
      <c r="D70" s="405" t="s">
        <v>152</v>
      </c>
      <c r="E70" s="356" t="str">
        <f t="shared" ref="E70:E72" si="14">(H70*K70)*L70</f>
        <v>0.07571721042</v>
      </c>
      <c r="F70" s="356" t="s">
        <v>292</v>
      </c>
      <c r="G70" s="409" t="str">
        <f>HYPERLINK("http://web.mit.edu/2.813/www/readings/ICEv2.pdf.old","Link")</f>
        <v>Link</v>
      </c>
      <c r="H70" s="399">
        <v>0.19</v>
      </c>
      <c r="I70" s="211">
        <v>225.0</v>
      </c>
      <c r="J70" s="401" t="str">
        <f>HYPERLINK("http://www.engineeringtoolbox.com/wood-density-d_40.html","kg/m^3")</f>
        <v>kg/m^3</v>
      </c>
      <c r="K70" s="403" t="str">
        <f t="shared" ref="K70:K72" si="15">I70/(3.28^3)</f>
        <v>6.376186141</v>
      </c>
      <c r="L70" s="16" t="str">
        <f t="shared" ref="L70:L72" si="16">0.75/12</f>
        <v>0.0625</v>
      </c>
    </row>
    <row r="71">
      <c r="A71" s="405" t="s">
        <v>37</v>
      </c>
      <c r="B71" s="154"/>
      <c r="C71" s="327"/>
      <c r="D71" s="405" t="s">
        <v>336</v>
      </c>
      <c r="E71" s="356" t="str">
        <f t="shared" si="14"/>
        <v>0.0526920938</v>
      </c>
      <c r="F71" s="356" t="s">
        <v>292</v>
      </c>
      <c r="G71" s="409" t="str">
        <f>HYPERLINK("https://www.ucl.ac.uk/steapp/docs/htctw-docs/valuing-materials","Link")</f>
        <v>Link</v>
      </c>
      <c r="H71" s="399">
        <v>0.085</v>
      </c>
      <c r="I71" s="211">
        <v>350.0</v>
      </c>
      <c r="J71" s="421" t="str">
        <f>HYPERLINK("http://www.engineeringtoolbox.com/wood-density-d_40.html","kg/m3")</f>
        <v>kg/m3</v>
      </c>
      <c r="K71" s="403" t="str">
        <f t="shared" si="15"/>
        <v>9.918511774</v>
      </c>
      <c r="L71" s="16" t="str">
        <f t="shared" si="16"/>
        <v>0.0625</v>
      </c>
    </row>
    <row r="72">
      <c r="A72" s="405" t="s">
        <v>37</v>
      </c>
      <c r="B72" s="154"/>
      <c r="C72" s="327"/>
      <c r="D72" s="405" t="s">
        <v>339</v>
      </c>
      <c r="E72" s="356" t="str">
        <f t="shared" si="14"/>
        <v>1.096704016</v>
      </c>
      <c r="F72" s="356" t="s">
        <v>292</v>
      </c>
      <c r="G72" s="409" t="str">
        <f t="shared" ref="G72:G77" si="17">HYPERLINK("http://web.mit.edu/2.813/www/readings/ICEv2.pdf.old","Link")</f>
        <v>Link</v>
      </c>
      <c r="H72" s="399">
        <v>0.86</v>
      </c>
      <c r="I72" s="211">
        <v>720.0</v>
      </c>
      <c r="J72" s="211" t="s">
        <v>20</v>
      </c>
      <c r="K72" s="403" t="str">
        <f t="shared" si="15"/>
        <v>20.40379565</v>
      </c>
      <c r="L72" s="16" t="str">
        <f t="shared" si="16"/>
        <v>0.0625</v>
      </c>
    </row>
    <row r="73">
      <c r="A73" s="405" t="s">
        <v>37</v>
      </c>
      <c r="B73" s="154"/>
      <c r="C73" s="327"/>
      <c r="D73" s="405" t="s">
        <v>306</v>
      </c>
      <c r="E73" s="356" t="str">
        <f>H73/(3.28^2)</f>
        <v>0.9109161214</v>
      </c>
      <c r="F73" s="356" t="s">
        <v>292</v>
      </c>
      <c r="G73" s="409" t="str">
        <f t="shared" si="17"/>
        <v>Link</v>
      </c>
      <c r="H73" s="399">
        <v>9.8</v>
      </c>
      <c r="I73" s="403"/>
      <c r="J73" s="403"/>
      <c r="K73" s="403"/>
    </row>
    <row r="74">
      <c r="A74" s="405" t="s">
        <v>37</v>
      </c>
      <c r="B74" s="154"/>
      <c r="C74" s="352"/>
      <c r="D74" s="405" t="s">
        <v>343</v>
      </c>
      <c r="E74" s="355" t="str">
        <f t="shared" ref="E74:E77" si="18">(H74*K74)*L74</f>
        <v>1.987244681</v>
      </c>
      <c r="F74" s="356" t="s">
        <v>292</v>
      </c>
      <c r="G74" s="409" t="str">
        <f t="shared" si="17"/>
        <v>Link</v>
      </c>
      <c r="H74" s="432">
        <v>0.66</v>
      </c>
      <c r="I74" s="211">
        <v>1700.0</v>
      </c>
      <c r="J74" s="211" t="s">
        <v>20</v>
      </c>
      <c r="K74" s="403" t="str">
        <f t="shared" ref="K74:K76" si="19">I74/(3.28^3)</f>
        <v>48.17562862</v>
      </c>
      <c r="L74" s="16" t="str">
        <f t="shared" ref="L74:L77" si="20">0.75/12</f>
        <v>0.0625</v>
      </c>
    </row>
    <row r="75">
      <c r="A75" s="405" t="s">
        <v>26</v>
      </c>
      <c r="B75" s="154"/>
      <c r="C75" s="352"/>
      <c r="D75" s="405" t="s">
        <v>347</v>
      </c>
      <c r="E75" s="366" t="str">
        <f t="shared" si="18"/>
        <v>0.396740471</v>
      </c>
      <c r="F75" s="356" t="s">
        <v>292</v>
      </c>
      <c r="G75" s="370" t="str">
        <f t="shared" si="17"/>
        <v>Link</v>
      </c>
      <c r="H75" s="432">
        <v>0.1</v>
      </c>
      <c r="I75" s="211">
        <v>2240.0</v>
      </c>
      <c r="J75" s="403"/>
      <c r="K75" s="403" t="str">
        <f t="shared" si="19"/>
        <v>63.47847536</v>
      </c>
      <c r="L75" s="16" t="str">
        <f t="shared" si="20"/>
        <v>0.0625</v>
      </c>
    </row>
    <row r="76">
      <c r="A76" s="405" t="s">
        <v>37</v>
      </c>
      <c r="B76" s="154"/>
      <c r="C76" s="352"/>
      <c r="D76" s="405" t="s">
        <v>275</v>
      </c>
      <c r="E76" s="366" t="str">
        <f t="shared" si="18"/>
        <v>2.57172841</v>
      </c>
      <c r="F76" s="356" t="s">
        <v>292</v>
      </c>
      <c r="G76" s="370" t="str">
        <f t="shared" si="17"/>
        <v>Link</v>
      </c>
      <c r="H76" s="432">
        <v>1.21</v>
      </c>
      <c r="I76" s="211">
        <v>1200.0</v>
      </c>
      <c r="J76" s="421" t="str">
        <f>HYPERLINK("http://www.engineeringtoolbox.com/density-solids-d_1265.html","kg/m^3")</f>
        <v>kg/m^3</v>
      </c>
      <c r="K76" s="403" t="str">
        <f t="shared" si="19"/>
        <v>34.00632608</v>
      </c>
      <c r="L76" s="16" t="str">
        <f t="shared" si="20"/>
        <v>0.0625</v>
      </c>
    </row>
    <row r="77">
      <c r="A77" s="405" t="s">
        <v>37</v>
      </c>
      <c r="B77" s="154"/>
      <c r="C77" s="352"/>
      <c r="D77" s="405" t="s">
        <v>295</v>
      </c>
      <c r="E77" s="366" t="str">
        <f t="shared" si="18"/>
        <v>6.32761875</v>
      </c>
      <c r="F77" s="356" t="s">
        <v>292</v>
      </c>
      <c r="G77" s="370" t="str">
        <f t="shared" si="17"/>
        <v>Link</v>
      </c>
      <c r="H77" s="432">
        <v>2.61</v>
      </c>
      <c r="I77" s="211">
        <v>1200.0</v>
      </c>
      <c r="J77" s="211" t="s">
        <v>20</v>
      </c>
      <c r="K77" s="211">
        <v>38.79</v>
      </c>
      <c r="L77" s="16" t="str">
        <f t="shared" si="20"/>
        <v>0.0625</v>
      </c>
    </row>
  </sheetData>
  <hyperlinks>
    <hyperlink r:id="rId1" ref="G5"/>
    <hyperlink r:id="rId2" ref="G12"/>
    <hyperlink r:id="rId3" ref="G13"/>
    <hyperlink r:id="rId4" ref="G14"/>
    <hyperlink r:id="rId5" ref="J15"/>
    <hyperlink r:id="rId6" ref="L22"/>
    <hyperlink r:id="rId7" ref="L23"/>
    <hyperlink r:id="rId8" ref="L24"/>
    <hyperlink r:id="rId9" ref="L25"/>
    <hyperlink r:id="rId10" ref="J53"/>
    <hyperlink r:id="rId11" ref="G67"/>
    <hyperlink r:id="rId12" location="q=thickness%20or%20hardwood%20floor" ref="L68"/>
    <hyperlink r:id="rId13" ref="G70"/>
    <hyperlink r:id="rId14" ref="J70"/>
    <hyperlink r:id="rId15" ref="G71"/>
    <hyperlink r:id="rId16" ref="J71"/>
    <hyperlink r:id="rId17" ref="G72"/>
    <hyperlink r:id="rId18" ref="G73"/>
    <hyperlink r:id="rId19" ref="G74"/>
    <hyperlink r:id="rId20" ref="G75"/>
    <hyperlink r:id="rId21" ref="G76"/>
    <hyperlink r:id="rId22" ref="J76"/>
    <hyperlink r:id="rId23" ref="G77"/>
  </hyperlinks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1.0"/>
  </cols>
  <sheetData>
    <row r="1">
      <c r="A1" s="1" t="s">
        <v>1</v>
      </c>
      <c r="B1" s="1" t="s">
        <v>3</v>
      </c>
      <c r="C1" s="2" t="s">
        <v>4</v>
      </c>
      <c r="D1" s="1" t="s">
        <v>5</v>
      </c>
      <c r="E1" s="1" t="s">
        <v>6</v>
      </c>
      <c r="F1" s="16" t="s">
        <v>228</v>
      </c>
    </row>
    <row r="2">
      <c r="A2" s="5" t="s">
        <v>229</v>
      </c>
      <c r="B2" s="7"/>
      <c r="C2" s="5"/>
      <c r="D2" s="5"/>
      <c r="E2" s="272"/>
      <c r="F2" s="5"/>
      <c r="G2" s="7"/>
      <c r="H2" s="7"/>
      <c r="I2" s="7"/>
    </row>
    <row r="3">
      <c r="A3" s="5"/>
      <c r="B3" s="5" t="s">
        <v>231</v>
      </c>
      <c r="C3" s="5">
        <v>0.18</v>
      </c>
      <c r="D3" s="5" t="s">
        <v>232</v>
      </c>
      <c r="E3" s="273" t="str">
        <f>HYPERLINK("http://www.co2list.org/files/carbon.htm","Link")</f>
        <v>Link</v>
      </c>
      <c r="F3" s="5" t="s">
        <v>235</v>
      </c>
      <c r="G3" s="7"/>
      <c r="H3" s="7"/>
      <c r="I3" s="7"/>
    </row>
    <row r="4">
      <c r="F4" s="16" t="s">
        <v>236</v>
      </c>
    </row>
  </sheetData>
  <hyperlinks>
    <hyperlink r:id="rId1" ref="E3"/>
  </hyperlinks>
  <drawing r:id="rId2"/>
</worksheet>
</file>