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280" yWindow="0" windowWidth="25520" windowHeight="15600" tabRatio="500" activeTab="1"/>
  </bookViews>
  <sheets>
    <sheet name="Battery Summary" sheetId="1" r:id="rId1"/>
    <sheet name="NPV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0" i="2" l="1"/>
  <c r="G3" i="1"/>
  <c r="G5" i="2"/>
  <c r="G2" i="1"/>
  <c r="B5" i="2"/>
  <c r="G4" i="1"/>
  <c r="L18" i="2"/>
  <c r="L5" i="2"/>
  <c r="G22" i="2"/>
  <c r="B29" i="2"/>
  <c r="B25" i="2"/>
  <c r="B21" i="2"/>
  <c r="B17" i="2"/>
  <c r="B13" i="2"/>
  <c r="B9" i="2"/>
  <c r="M6" i="2"/>
  <c r="M7" i="2"/>
  <c r="M8" i="2"/>
  <c r="M9" i="2"/>
  <c r="L10" i="2"/>
  <c r="M10" i="2"/>
  <c r="M11" i="2"/>
  <c r="M12" i="2"/>
  <c r="M13" i="2"/>
  <c r="M14" i="2"/>
  <c r="L15" i="2"/>
  <c r="M15" i="2"/>
  <c r="M16" i="2"/>
  <c r="M17" i="2"/>
  <c r="M18" i="2"/>
  <c r="M19" i="2"/>
  <c r="L20" i="2"/>
  <c r="M20" i="2"/>
  <c r="M21" i="2"/>
  <c r="M22" i="2"/>
  <c r="M23" i="2"/>
  <c r="M24" i="2"/>
  <c r="L25" i="2"/>
  <c r="M25" i="2"/>
  <c r="M26" i="2"/>
  <c r="M27" i="2"/>
  <c r="M28" i="2"/>
  <c r="M29" i="2"/>
  <c r="L30" i="2"/>
  <c r="M30" i="2"/>
  <c r="M5" i="2"/>
  <c r="G30" i="2"/>
  <c r="G25" i="2"/>
  <c r="G15" i="2"/>
  <c r="G10" i="2"/>
  <c r="B30" i="2"/>
  <c r="B20" i="2"/>
  <c r="B15" i="2"/>
  <c r="B10" i="2"/>
  <c r="I2" i="1"/>
  <c r="P3" i="1"/>
  <c r="Q3" i="1"/>
  <c r="P4" i="1"/>
  <c r="Q4" i="1"/>
  <c r="P2" i="1"/>
  <c r="Q2" i="1"/>
  <c r="F6" i="2"/>
  <c r="F7" i="2"/>
  <c r="F8" i="2"/>
  <c r="F9" i="2"/>
  <c r="F10" i="2"/>
  <c r="F11" i="2"/>
  <c r="H11" i="2"/>
  <c r="K2" i="1"/>
  <c r="N2" i="1"/>
  <c r="I4" i="1"/>
  <c r="I3" i="1"/>
  <c r="N3" i="1"/>
  <c r="N4" i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H6" i="2"/>
  <c r="H7" i="2"/>
  <c r="H8" i="2"/>
  <c r="H9" i="2"/>
  <c r="H10" i="2"/>
  <c r="F12" i="2"/>
  <c r="H12" i="2"/>
  <c r="F13" i="2"/>
  <c r="H13" i="2"/>
  <c r="F14" i="2"/>
  <c r="H14" i="2"/>
  <c r="F15" i="2"/>
  <c r="H15" i="2"/>
  <c r="F16" i="2"/>
  <c r="H16" i="2"/>
  <c r="F17" i="2"/>
  <c r="H17" i="2"/>
  <c r="F18" i="2"/>
  <c r="H18" i="2"/>
  <c r="F19" i="2"/>
  <c r="H19" i="2"/>
  <c r="F20" i="2"/>
  <c r="H20" i="2"/>
  <c r="F21" i="2"/>
  <c r="H21" i="2"/>
  <c r="F22" i="2"/>
  <c r="H22" i="2"/>
  <c r="F23" i="2"/>
  <c r="H23" i="2"/>
  <c r="F24" i="2"/>
  <c r="H24" i="2"/>
  <c r="F25" i="2"/>
  <c r="H25" i="2"/>
  <c r="F26" i="2"/>
  <c r="H26" i="2"/>
  <c r="F27" i="2"/>
  <c r="H27" i="2"/>
  <c r="F28" i="2"/>
  <c r="H28" i="2"/>
  <c r="F29" i="2"/>
  <c r="H29" i="2"/>
  <c r="F30" i="2"/>
  <c r="H30" i="2"/>
  <c r="H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5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K3" i="1"/>
  <c r="K4" i="1"/>
  <c r="D3" i="1"/>
  <c r="D4" i="1"/>
  <c r="D2" i="1"/>
</calcChain>
</file>

<file path=xl/sharedStrings.xml><?xml version="1.0" encoding="utf-8"?>
<sst xmlns="http://schemas.openxmlformats.org/spreadsheetml/2006/main" count="82" uniqueCount="70">
  <si>
    <t>Battery Type</t>
  </si>
  <si>
    <t>Lead Acid - New</t>
  </si>
  <si>
    <t>Tesla Powerwall</t>
  </si>
  <si>
    <t>Used Tesla Model S</t>
  </si>
  <si>
    <t>Longevity (cycles)</t>
  </si>
  <si>
    <t>Notes</t>
  </si>
  <si>
    <t>Source</t>
  </si>
  <si>
    <t>Price</t>
  </si>
  <si>
    <t>1300 mm x 860 mm x 180 mm</t>
  </si>
  <si>
    <t>http://cleantechnica.com/2015/05/09/tesla-powerwall-powerblocks-per-kwh-lifetime-prices-vs-aquion-energy-eos-energy-imergy/</t>
  </si>
  <si>
    <t>Lead Acid Recycling</t>
  </si>
  <si>
    <t>https://www.hmndgroup.com/advantages-of-lead-acid/</t>
  </si>
  <si>
    <t>http://www.ebay.com/itm/4-Tesla-Model-S-battery-modules-24V-21-2kWh-1776-Panasonic-18650-cells-/262133050550?hash=item3d0858ecb6:g:TNcAAOSw~bFWPoc5&amp;vxp=mtr</t>
  </si>
  <si>
    <t>685 mm x 300 mm x 75 mm</t>
  </si>
  <si>
    <t>http://industrial.panasonic.com/lecs/www-data/pdf2/ACI4000/ACI4000CE17.pdf</t>
  </si>
  <si>
    <t>Types of Pb-A</t>
  </si>
  <si>
    <t>http://www.trojanbattery.com/markets/renewable-energy-re/</t>
  </si>
  <si>
    <t>http://bigtimebattery.com/store/Trojan_J185E-AC_replacement_battery.html?gclid=CPOA2YWIvMkCFdKGfgodb3wDNg</t>
  </si>
  <si>
    <t>http://batteryuniversity.com/learn/article/how_to_prolong_lithium_based_batteries</t>
  </si>
  <si>
    <t>https://www.teslamotors.com/POWERWALL</t>
  </si>
  <si>
    <t>http://solarcraft.net/articles/gel-vs-agm-vs-wet-cell-batteries/</t>
  </si>
  <si>
    <t>http://www.solarpowerworldonline.com/2013/03/what-is-the-best-battery-for-your-solar-power-system/</t>
  </si>
  <si>
    <t>Sources:</t>
  </si>
  <si>
    <t>Each pack has a BMS, but functionality is "to be determined by the user"</t>
  </si>
  <si>
    <t>https://www.altestore.com/store/Deep-Cycle-Batteries/Batteries-Sealed-Gel-Cell/Trojan-5SHP-GEL-12V-125AH-20HR-Gel-Battery/p9837/</t>
  </si>
  <si>
    <t>345 mm x 172 mm x 280 mm</t>
  </si>
  <si>
    <t>Price / Capacity</t>
  </si>
  <si>
    <t>Capacity [kWh]</t>
  </si>
  <si>
    <t>Usable Fraction</t>
  </si>
  <si>
    <t>Total Battery Cost</t>
  </si>
  <si>
    <t>Weight Per Unit [kg]</t>
  </si>
  <si>
    <t>Auxillary Components</t>
  </si>
  <si>
    <t>http://www.wholesalesolar.com/power-inverters</t>
  </si>
  <si>
    <t>Example System</t>
  </si>
  <si>
    <t>http://www.wholesalesolar.com/1890710/wholesale-solar/complete-systems/the-homestead-2.34-kw-9-panel-astronergy-off-grid-solar-system</t>
  </si>
  <si>
    <t>Approx. Life (years)</t>
  </si>
  <si>
    <t>http://www.mastervolt.com/news/lifespan-of-solar-inverters/</t>
  </si>
  <si>
    <t>http://www.wholesalesolar.com/1440010/four-star-solar/power-center/four-star-solar-ms4448pae-single-magnum</t>
  </si>
  <si>
    <t>inverter</t>
  </si>
  <si>
    <t>5y</t>
  </si>
  <si>
    <t>http://www.wholesalesolar.com/2954842/magnum/inverters/magnum-ms4448pae-inverter</t>
  </si>
  <si>
    <t>http://www.wholesalesolar.com/3900141/midnite/charge-controllers/midnite-classic-150-mppt-charge-controller</t>
  </si>
  <si>
    <t>NPV</t>
  </si>
  <si>
    <t>Lead Acid</t>
  </si>
  <si>
    <t>Year</t>
  </si>
  <si>
    <t>CF</t>
  </si>
  <si>
    <t>Cumulative</t>
  </si>
  <si>
    <t>Power Wall</t>
  </si>
  <si>
    <t>Carbon Intensity</t>
  </si>
  <si>
    <t>http://www.apcmedia.com/salestools/VAVR-9KZQVW/VAVR-9KZQVW_R0_EN.pdf?sdirect=true</t>
  </si>
  <si>
    <t>98% of lead in lead acid batteries are recycled</t>
  </si>
  <si>
    <t>50% materials in Li Ion can be recovered</t>
  </si>
  <si>
    <t>Carbon Per kWh</t>
  </si>
  <si>
    <t>https://books.google.com/books?id=AxMl85jnORcC&amp;pg=PA41&amp;lpg=PA41&amp;dq=lithium+ion+battery+manufacturing+carbon+footprint&amp;source=bl&amp;ots=bW4q50k_dB&amp;sig=m8kjqv33b8I1eMmH7oH2z32l-pg&amp;hl=en&amp;sa=X&amp;ved=0ahUKEwjX5uCN8cXJAhVLpYMKHeurAD4Q6AEIXzAJ#v=onepage&amp;q=lithium%20ion%20battery%20manufacturing%20carbon%20footprint&amp;f=false</t>
  </si>
  <si>
    <t>Carbon Per kg</t>
  </si>
  <si>
    <t>n/a</t>
  </si>
  <si>
    <t>Gel batteries must be charged carefully to preserve battery life</t>
  </si>
  <si>
    <t xml:space="preserve">Super Simple to operate, Charge Controller but not inverter Included in System, $500 installation fee included in price </t>
  </si>
  <si>
    <t>Dimensions [mm]</t>
  </si>
  <si>
    <t>Units For ~15kWh</t>
  </si>
  <si>
    <t>System Weight</t>
  </si>
  <si>
    <t>System Carbon</t>
  </si>
  <si>
    <t>System Volume</t>
  </si>
  <si>
    <t>Li-Ion Comparison</t>
  </si>
  <si>
    <t>Used Model S</t>
  </si>
  <si>
    <t>Reference:</t>
  </si>
  <si>
    <t>Unit Volume [m^3]</t>
  </si>
  <si>
    <t>Tesla Cells</t>
  </si>
  <si>
    <t>chrg. cont.</t>
  </si>
  <si>
    <t>CRF: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</si>
</sst>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;[Red]\-&quot;$&quot;#,##0"/>
    <numFmt numFmtId="8" formatCode="&quot;$&quot;#,##0.00;[Red]\-&quot;$&quot;#,##0.00"/>
    <numFmt numFmtId="164" formatCode="0.000"/>
  </numFmts>
  <fonts count="10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scheme val="minor"/>
    </font>
    <font>
      <sz val="12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u/>
      <sz val="12"/>
      <color theme="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20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wrapText="1"/>
    </xf>
    <xf numFmtId="0" fontId="5" fillId="0" borderId="0" xfId="0" applyFont="1"/>
    <xf numFmtId="0" fontId="6" fillId="0" borderId="0" xfId="0" applyFont="1"/>
    <xf numFmtId="6" fontId="6" fillId="0" borderId="0" xfId="0" applyNumberFormat="1" applyFont="1"/>
    <xf numFmtId="2" fontId="0" fillId="0" borderId="0" xfId="0" applyNumberFormat="1"/>
    <xf numFmtId="3" fontId="0" fillId="0" borderId="0" xfId="0" applyNumberFormat="1" applyBorder="1"/>
    <xf numFmtId="3" fontId="6" fillId="0" borderId="0" xfId="0" applyNumberFormat="1" applyFont="1" applyBorder="1"/>
    <xf numFmtId="0" fontId="6" fillId="0" borderId="4" xfId="0" applyFont="1" applyBorder="1"/>
    <xf numFmtId="3" fontId="0" fillId="0" borderId="5" xfId="0" applyNumberFormat="1" applyBorder="1"/>
    <xf numFmtId="0" fontId="6" fillId="0" borderId="6" xfId="0" applyFont="1" applyBorder="1"/>
    <xf numFmtId="3" fontId="0" fillId="0" borderId="7" xfId="0" applyNumberFormat="1" applyBorder="1"/>
    <xf numFmtId="3" fontId="0" fillId="3" borderId="8" xfId="0" applyNumberFormat="1" applyFill="1" applyBorder="1"/>
    <xf numFmtId="0" fontId="0" fillId="0" borderId="4" xfId="0" applyBorder="1"/>
    <xf numFmtId="0" fontId="0" fillId="0" borderId="6" xfId="0" applyBorder="1"/>
    <xf numFmtId="3" fontId="6" fillId="0" borderId="7" xfId="0" applyNumberFormat="1" applyFont="1" applyBorder="1"/>
    <xf numFmtId="3" fontId="6" fillId="0" borderId="5" xfId="0" applyNumberFormat="1" applyFont="1" applyBorder="1"/>
    <xf numFmtId="3" fontId="6" fillId="3" borderId="8" xfId="0" applyNumberFormat="1" applyFont="1" applyFill="1" applyBorder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6" fontId="0" fillId="0" borderId="0" xfId="0" applyNumberFormat="1" applyBorder="1" applyAlignment="1">
      <alignment wrapText="1"/>
    </xf>
    <xf numFmtId="0" fontId="0" fillId="0" borderId="0" xfId="0" applyBorder="1" applyAlignment="1">
      <alignment wrapText="1"/>
    </xf>
    <xf numFmtId="2" fontId="0" fillId="0" borderId="0" xfId="0" applyNumberFormat="1" applyBorder="1" applyAlignment="1">
      <alignment wrapText="1"/>
    </xf>
    <xf numFmtId="8" fontId="0" fillId="0" borderId="0" xfId="0" applyNumberFormat="1" applyBorder="1" applyAlignment="1">
      <alignment wrapText="1"/>
    </xf>
    <xf numFmtId="0" fontId="0" fillId="0" borderId="0" xfId="0" applyBorder="1" applyAlignment="1">
      <alignment horizontal="right"/>
    </xf>
    <xf numFmtId="164" fontId="0" fillId="0" borderId="0" xfId="0" applyNumberForma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Border="1" applyAlignment="1">
      <alignment horizontal="right" wrapText="1"/>
    </xf>
    <xf numFmtId="0" fontId="2" fillId="0" borderId="0" xfId="0" applyFont="1" applyBorder="1" applyAlignment="1">
      <alignment wrapText="1"/>
    </xf>
    <xf numFmtId="164" fontId="2" fillId="0" borderId="0" xfId="0" applyNumberFormat="1" applyFont="1" applyBorder="1" applyAlignment="1">
      <alignment wrapText="1"/>
    </xf>
    <xf numFmtId="6" fontId="0" fillId="0" borderId="7" xfId="0" applyNumberFormat="1" applyBorder="1" applyAlignment="1">
      <alignment wrapText="1"/>
    </xf>
    <xf numFmtId="0" fontId="0" fillId="0" borderId="7" xfId="0" applyBorder="1" applyAlignment="1">
      <alignment wrapText="1"/>
    </xf>
    <xf numFmtId="2" fontId="0" fillId="0" borderId="7" xfId="0" applyNumberFormat="1" applyBorder="1" applyAlignment="1">
      <alignment wrapText="1"/>
    </xf>
    <xf numFmtId="8" fontId="0" fillId="0" borderId="7" xfId="0" applyNumberFormat="1" applyBorder="1" applyAlignment="1">
      <alignment wrapText="1"/>
    </xf>
    <xf numFmtId="0" fontId="0" fillId="0" borderId="7" xfId="0" applyBorder="1" applyAlignment="1">
      <alignment horizontal="right" wrapText="1"/>
    </xf>
    <xf numFmtId="164" fontId="0" fillId="0" borderId="7" xfId="0" applyNumberFormat="1" applyBorder="1" applyAlignment="1">
      <alignment wrapText="1"/>
    </xf>
    <xf numFmtId="0" fontId="0" fillId="0" borderId="8" xfId="0" applyBorder="1" applyAlignment="1">
      <alignment wrapText="1"/>
    </xf>
    <xf numFmtId="0" fontId="8" fillId="2" borderId="1" xfId="0" applyFont="1" applyFill="1" applyBorder="1"/>
    <xf numFmtId="0" fontId="8" fillId="2" borderId="2" xfId="0" applyFont="1" applyFill="1" applyBorder="1"/>
    <xf numFmtId="0" fontId="8" fillId="2" borderId="3" xfId="0" applyFont="1" applyFill="1" applyBorder="1"/>
    <xf numFmtId="0" fontId="7" fillId="2" borderId="11" xfId="0" applyFont="1" applyFill="1" applyBorder="1"/>
    <xf numFmtId="0" fontId="7" fillId="2" borderId="11" xfId="0" applyNumberFormat="1" applyFont="1" applyFill="1" applyBorder="1" applyAlignment="1">
      <alignment wrapText="1"/>
    </xf>
    <xf numFmtId="0" fontId="7" fillId="2" borderId="12" xfId="0" applyFont="1" applyFill="1" applyBorder="1"/>
    <xf numFmtId="0" fontId="7" fillId="2" borderId="13" xfId="0" applyFont="1" applyFill="1" applyBorder="1"/>
    <xf numFmtId="0" fontId="8" fillId="4" borderId="14" xfId="0" applyFont="1" applyFill="1" applyBorder="1" applyAlignment="1">
      <alignment wrapText="1"/>
    </xf>
    <xf numFmtId="0" fontId="8" fillId="4" borderId="15" xfId="0" applyFont="1" applyFill="1" applyBorder="1" applyAlignment="1">
      <alignment wrapText="1"/>
    </xf>
    <xf numFmtId="0" fontId="8" fillId="4" borderId="10" xfId="0" applyFont="1" applyFill="1" applyBorder="1" applyAlignment="1">
      <alignment wrapText="1"/>
    </xf>
    <xf numFmtId="2" fontId="8" fillId="2" borderId="2" xfId="0" applyNumberFormat="1" applyFont="1" applyFill="1" applyBorder="1"/>
    <xf numFmtId="0" fontId="0" fillId="0" borderId="0" xfId="0" applyAlignment="1">
      <alignment horizontal="left"/>
    </xf>
    <xf numFmtId="0" fontId="9" fillId="2" borderId="9" xfId="0" applyFont="1" applyFill="1" applyBorder="1"/>
  </cellXfs>
  <cellStyles count="2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THIMBY</a:t>
            </a:r>
            <a:r>
              <a:rPr lang="en-US" baseline="0"/>
              <a:t> </a:t>
            </a:r>
            <a:r>
              <a:rPr lang="en-US"/>
              <a:t>Battery System</a:t>
            </a:r>
            <a:r>
              <a:rPr lang="en-US" baseline="0"/>
              <a:t> Cost v. Time [NPV]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Lead Acid</c:v>
          </c:tx>
          <c:marker>
            <c:symbol val="none"/>
          </c:marker>
          <c:cat>
            <c:numRef>
              <c:f>NPV!$A$5:$A$30</c:f>
              <c:numCache>
                <c:formatCode>General</c:formatCode>
                <c:ptCount val="2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</c:numCache>
            </c:numRef>
          </c:cat>
          <c:val>
            <c:numRef>
              <c:f>NPV!$D$5:$D$30</c:f>
              <c:numCache>
                <c:formatCode>#,##0</c:formatCode>
                <c:ptCount val="26"/>
                <c:pt idx="0">
                  <c:v>8582.799999999999</c:v>
                </c:pt>
                <c:pt idx="1">
                  <c:v>8582.799999999999</c:v>
                </c:pt>
                <c:pt idx="2">
                  <c:v>8582.799999999999</c:v>
                </c:pt>
                <c:pt idx="3">
                  <c:v>8582.799999999999</c:v>
                </c:pt>
                <c:pt idx="4">
                  <c:v>13750.06297326806</c:v>
                </c:pt>
                <c:pt idx="5">
                  <c:v>16136.90147965905</c:v>
                </c:pt>
                <c:pt idx="6">
                  <c:v>16136.90147965905</c:v>
                </c:pt>
                <c:pt idx="7">
                  <c:v>16136.90147965905</c:v>
                </c:pt>
                <c:pt idx="8">
                  <c:v>20727.94770458203</c:v>
                </c:pt>
                <c:pt idx="9">
                  <c:v>20727.94770458203</c:v>
                </c:pt>
                <c:pt idx="10">
                  <c:v>22786.85556710127</c:v>
                </c:pt>
                <c:pt idx="11">
                  <c:v>22786.85556710127</c:v>
                </c:pt>
                <c:pt idx="12">
                  <c:v>26865.94067432756</c:v>
                </c:pt>
                <c:pt idx="13">
                  <c:v>26865.94067432756</c:v>
                </c:pt>
                <c:pt idx="14">
                  <c:v>26865.94067432756</c:v>
                </c:pt>
                <c:pt idx="15">
                  <c:v>28641.97268277428</c:v>
                </c:pt>
                <c:pt idx="16">
                  <c:v>32266.18696789062</c:v>
                </c:pt>
                <c:pt idx="17">
                  <c:v>32266.18696789062</c:v>
                </c:pt>
                <c:pt idx="18">
                  <c:v>32266.18696789062</c:v>
                </c:pt>
                <c:pt idx="19">
                  <c:v>32266.18696789062</c:v>
                </c:pt>
                <c:pt idx="20">
                  <c:v>37018.2752309211</c:v>
                </c:pt>
                <c:pt idx="21">
                  <c:v>37018.2752309211</c:v>
                </c:pt>
                <c:pt idx="22">
                  <c:v>37018.2752309211</c:v>
                </c:pt>
                <c:pt idx="23">
                  <c:v>37018.2752309211</c:v>
                </c:pt>
                <c:pt idx="24">
                  <c:v>39879.26345472442</c:v>
                </c:pt>
                <c:pt idx="25">
                  <c:v>41200.79806487143</c:v>
                </c:pt>
              </c:numCache>
            </c:numRef>
          </c:val>
          <c:smooth val="0"/>
        </c:ser>
        <c:ser>
          <c:idx val="1"/>
          <c:order val="1"/>
          <c:tx>
            <c:v>Power Wall</c:v>
          </c:tx>
          <c:marker>
            <c:symbol val="none"/>
          </c:marker>
          <c:cat>
            <c:numRef>
              <c:f>NPV!$A$5:$A$30</c:f>
              <c:numCache>
                <c:formatCode>General</c:formatCode>
                <c:ptCount val="2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</c:numCache>
            </c:numRef>
          </c:cat>
          <c:val>
            <c:numRef>
              <c:f>NPV!$I$5:$I$30</c:f>
              <c:numCache>
                <c:formatCode>#,##0</c:formatCode>
                <c:ptCount val="26"/>
                <c:pt idx="0">
                  <c:v>16160.0</c:v>
                </c:pt>
                <c:pt idx="1">
                  <c:v>16160.0</c:v>
                </c:pt>
                <c:pt idx="2">
                  <c:v>16160.0</c:v>
                </c:pt>
                <c:pt idx="3">
                  <c:v>16160.0</c:v>
                </c:pt>
                <c:pt idx="4">
                  <c:v>16160.0</c:v>
                </c:pt>
                <c:pt idx="5">
                  <c:v>18546.83850639098</c:v>
                </c:pt>
                <c:pt idx="6">
                  <c:v>18546.83850639098</c:v>
                </c:pt>
                <c:pt idx="7">
                  <c:v>18546.83850639098</c:v>
                </c:pt>
                <c:pt idx="8">
                  <c:v>18546.83850639098</c:v>
                </c:pt>
                <c:pt idx="9">
                  <c:v>18546.83850639098</c:v>
                </c:pt>
                <c:pt idx="10">
                  <c:v>20605.74636891022</c:v>
                </c:pt>
                <c:pt idx="11">
                  <c:v>20605.74636891022</c:v>
                </c:pt>
                <c:pt idx="12">
                  <c:v>20605.74636891022</c:v>
                </c:pt>
                <c:pt idx="13">
                  <c:v>20605.74636891022</c:v>
                </c:pt>
                <c:pt idx="14">
                  <c:v>20605.74636891022</c:v>
                </c:pt>
                <c:pt idx="15">
                  <c:v>21992.16817528713</c:v>
                </c:pt>
                <c:pt idx="16">
                  <c:v>21992.16817528713</c:v>
                </c:pt>
                <c:pt idx="17">
                  <c:v>30462.39841711393</c:v>
                </c:pt>
                <c:pt idx="18">
                  <c:v>30462.39841711393</c:v>
                </c:pt>
                <c:pt idx="19">
                  <c:v>30462.39841711393</c:v>
                </c:pt>
                <c:pt idx="20">
                  <c:v>31994.41922894752</c:v>
                </c:pt>
                <c:pt idx="21">
                  <c:v>31994.41922894752</c:v>
                </c:pt>
                <c:pt idx="22">
                  <c:v>31994.41922894752</c:v>
                </c:pt>
                <c:pt idx="23">
                  <c:v>31994.41922894752</c:v>
                </c:pt>
                <c:pt idx="24">
                  <c:v>31994.41922894752</c:v>
                </c:pt>
                <c:pt idx="25">
                  <c:v>33315.95383909453</c:v>
                </c:pt>
              </c:numCache>
            </c:numRef>
          </c:val>
          <c:smooth val="0"/>
        </c:ser>
        <c:ser>
          <c:idx val="2"/>
          <c:order val="2"/>
          <c:tx>
            <c:v>Used Model S</c:v>
          </c:tx>
          <c:marker>
            <c:symbol val="none"/>
          </c:marker>
          <c:cat>
            <c:numRef>
              <c:f>NPV!$A$5:$A$30</c:f>
              <c:numCache>
                <c:formatCode>General</c:formatCode>
                <c:ptCount val="2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</c:numCache>
            </c:numRef>
          </c:cat>
          <c:val>
            <c:numRef>
              <c:f>NPV!$N$5:$N$32</c:f>
              <c:numCache>
                <c:formatCode>#,##0</c:formatCode>
                <c:ptCount val="28"/>
                <c:pt idx="0">
                  <c:v>17167.0</c:v>
                </c:pt>
                <c:pt idx="1">
                  <c:v>17167.0</c:v>
                </c:pt>
                <c:pt idx="2">
                  <c:v>17167.0</c:v>
                </c:pt>
                <c:pt idx="3">
                  <c:v>17167.0</c:v>
                </c:pt>
                <c:pt idx="4">
                  <c:v>17167.0</c:v>
                </c:pt>
                <c:pt idx="5">
                  <c:v>19553.83850639098</c:v>
                </c:pt>
                <c:pt idx="6">
                  <c:v>19553.83850639098</c:v>
                </c:pt>
                <c:pt idx="7">
                  <c:v>19553.83850639098</c:v>
                </c:pt>
                <c:pt idx="8">
                  <c:v>19553.83850639098</c:v>
                </c:pt>
                <c:pt idx="9">
                  <c:v>19553.83850639098</c:v>
                </c:pt>
                <c:pt idx="10">
                  <c:v>21612.74636891022</c:v>
                </c:pt>
                <c:pt idx="11">
                  <c:v>21612.74636891022</c:v>
                </c:pt>
                <c:pt idx="12">
                  <c:v>21612.74636891022</c:v>
                </c:pt>
                <c:pt idx="13">
                  <c:v>31418.44566481198</c:v>
                </c:pt>
                <c:pt idx="14">
                  <c:v>31418.44566481198</c:v>
                </c:pt>
                <c:pt idx="15">
                  <c:v>33194.4776732587</c:v>
                </c:pt>
                <c:pt idx="16">
                  <c:v>33194.4776732587</c:v>
                </c:pt>
                <c:pt idx="17">
                  <c:v>33194.4776732587</c:v>
                </c:pt>
                <c:pt idx="18">
                  <c:v>33194.4776732587</c:v>
                </c:pt>
                <c:pt idx="19">
                  <c:v>33194.4776732587</c:v>
                </c:pt>
                <c:pt idx="20">
                  <c:v>34726.49848509228</c:v>
                </c:pt>
                <c:pt idx="21">
                  <c:v>34726.49848509228</c:v>
                </c:pt>
                <c:pt idx="22">
                  <c:v>34726.49848509228</c:v>
                </c:pt>
                <c:pt idx="23">
                  <c:v>34726.49848509228</c:v>
                </c:pt>
                <c:pt idx="24">
                  <c:v>34726.49848509228</c:v>
                </c:pt>
                <c:pt idx="25">
                  <c:v>36048.0330952393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004600"/>
        <c:axId val="-2120999176"/>
      </c:lineChart>
      <c:catAx>
        <c:axId val="-21210046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[y]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0999176"/>
        <c:crosses val="autoZero"/>
        <c:auto val="1"/>
        <c:lblAlgn val="ctr"/>
        <c:lblOffset val="100"/>
        <c:noMultiLvlLbl val="0"/>
      </c:catAx>
      <c:valAx>
        <c:axId val="-2120999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[</a:t>
                </a:r>
                <a:r>
                  <a:rPr lang="en-US" baseline="0"/>
                  <a:t>$</a:t>
                </a:r>
                <a:r>
                  <a:rPr lang="en-US"/>
                  <a:t>]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-2121004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482600</xdr:colOff>
      <xdr:row>3</xdr:row>
      <xdr:rowOff>63500</xdr:rowOff>
    </xdr:from>
    <xdr:to>
      <xdr:col>26</xdr:col>
      <xdr:colOff>800100</xdr:colOff>
      <xdr:row>27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workbookViewId="0">
      <selection activeCell="C39" sqref="C39"/>
    </sheetView>
  </sheetViews>
  <sheetFormatPr baseColWidth="10" defaultRowHeight="15" x14ac:dyDescent="0"/>
  <cols>
    <col min="1" max="18" width="18" customWidth="1"/>
    <col min="19" max="19" width="27.6640625" hidden="1" customWidth="1"/>
    <col min="20" max="20" width="28.83203125" customWidth="1"/>
  </cols>
  <sheetData>
    <row r="1" spans="1:20" ht="39" customHeight="1" thickBot="1">
      <c r="A1" s="45" t="s">
        <v>0</v>
      </c>
      <c r="B1" s="42" t="s">
        <v>7</v>
      </c>
      <c r="C1" s="42" t="s">
        <v>27</v>
      </c>
      <c r="D1" s="42" t="s">
        <v>26</v>
      </c>
      <c r="E1" s="42" t="s">
        <v>28</v>
      </c>
      <c r="F1" s="43" t="s">
        <v>59</v>
      </c>
      <c r="G1" s="42" t="s">
        <v>29</v>
      </c>
      <c r="H1" s="42" t="s">
        <v>4</v>
      </c>
      <c r="I1" s="42" t="s">
        <v>35</v>
      </c>
      <c r="J1" s="42" t="s">
        <v>30</v>
      </c>
      <c r="K1" s="42" t="s">
        <v>60</v>
      </c>
      <c r="L1" s="42" t="s">
        <v>52</v>
      </c>
      <c r="M1" s="42" t="s">
        <v>54</v>
      </c>
      <c r="N1" s="42" t="s">
        <v>61</v>
      </c>
      <c r="O1" s="42" t="s">
        <v>58</v>
      </c>
      <c r="P1" s="42" t="s">
        <v>66</v>
      </c>
      <c r="Q1" s="42" t="s">
        <v>62</v>
      </c>
      <c r="R1" s="44" t="s">
        <v>5</v>
      </c>
      <c r="S1" s="2" t="s">
        <v>6</v>
      </c>
    </row>
    <row r="2" spans="1:20" ht="72" customHeight="1">
      <c r="A2" s="46" t="s">
        <v>1</v>
      </c>
      <c r="B2" s="22">
        <v>387.72</v>
      </c>
      <c r="C2" s="23">
        <v>1.64</v>
      </c>
      <c r="D2" s="24">
        <f>B2/C2</f>
        <v>236.41463414634148</v>
      </c>
      <c r="E2" s="23">
        <v>0.5</v>
      </c>
      <c r="F2" s="23">
        <v>15</v>
      </c>
      <c r="G2" s="25">
        <f>F2*B2</f>
        <v>5815.8</v>
      </c>
      <c r="H2" s="23">
        <v>750</v>
      </c>
      <c r="I2" s="24">
        <f>H2*(1/0.5)/365</f>
        <v>4.1095890410958908</v>
      </c>
      <c r="J2" s="23">
        <v>39</v>
      </c>
      <c r="K2" s="23">
        <f>J2*F2</f>
        <v>585</v>
      </c>
      <c r="L2" s="26" t="s">
        <v>55</v>
      </c>
      <c r="M2" s="23">
        <v>1.1399999999999999</v>
      </c>
      <c r="N2" s="23">
        <f>K2*M2</f>
        <v>666.9</v>
      </c>
      <c r="O2" s="23" t="s">
        <v>25</v>
      </c>
      <c r="P2" s="27">
        <f>345*172*280/(1000)^3</f>
        <v>1.66152E-2</v>
      </c>
      <c r="Q2" s="27">
        <f>P2*F2</f>
        <v>0.24922800000000001</v>
      </c>
      <c r="R2" s="28" t="s">
        <v>56</v>
      </c>
      <c r="S2" s="3" t="s">
        <v>24</v>
      </c>
    </row>
    <row r="3" spans="1:20" ht="72" customHeight="1">
      <c r="A3" s="47" t="s">
        <v>2</v>
      </c>
      <c r="B3" s="22">
        <v>7000</v>
      </c>
      <c r="C3" s="23">
        <v>7</v>
      </c>
      <c r="D3" s="24">
        <f>B3/C3</f>
        <v>1000</v>
      </c>
      <c r="E3" s="23">
        <v>0.8</v>
      </c>
      <c r="F3" s="23">
        <v>2</v>
      </c>
      <c r="G3" s="25">
        <f>F3*B3</f>
        <v>14000</v>
      </c>
      <c r="H3" s="23">
        <v>5000</v>
      </c>
      <c r="I3" s="24">
        <f>H3*(1/0.8)/365</f>
        <v>17.123287671232877</v>
      </c>
      <c r="J3" s="23">
        <v>100</v>
      </c>
      <c r="K3" s="23">
        <f>J3*F3</f>
        <v>200</v>
      </c>
      <c r="L3" s="23">
        <v>22</v>
      </c>
      <c r="M3" s="29" t="s">
        <v>55</v>
      </c>
      <c r="N3" s="23">
        <f t="shared" ref="N3:N4" si="0">L3*15</f>
        <v>330</v>
      </c>
      <c r="O3" s="30" t="s">
        <v>8</v>
      </c>
      <c r="P3" s="31">
        <f>1300*860*180/(1000)^3</f>
        <v>0.20124</v>
      </c>
      <c r="Q3" s="27">
        <f>P3*F3</f>
        <v>0.40248</v>
      </c>
      <c r="R3" s="28" t="s">
        <v>57</v>
      </c>
      <c r="S3" s="3" t="s">
        <v>19</v>
      </c>
    </row>
    <row r="4" spans="1:20" ht="72" customHeight="1" thickBot="1">
      <c r="A4" s="48" t="s">
        <v>3</v>
      </c>
      <c r="B4" s="32">
        <v>4800</v>
      </c>
      <c r="C4" s="33">
        <v>5.3</v>
      </c>
      <c r="D4" s="34">
        <f>B4/C4</f>
        <v>905.66037735849056</v>
      </c>
      <c r="E4" s="33">
        <v>0.8</v>
      </c>
      <c r="F4" s="33">
        <v>3</v>
      </c>
      <c r="G4" s="35">
        <f>F4*B4</f>
        <v>14400</v>
      </c>
      <c r="H4" s="33">
        <v>4000</v>
      </c>
      <c r="I4" s="34">
        <f>H4*(1/0.8)/365</f>
        <v>13.698630136986301</v>
      </c>
      <c r="J4" s="33">
        <v>25</v>
      </c>
      <c r="K4" s="33">
        <f>J4*F4</f>
        <v>75</v>
      </c>
      <c r="L4" s="33">
        <v>22</v>
      </c>
      <c r="M4" s="36" t="s">
        <v>55</v>
      </c>
      <c r="N4" s="33">
        <f t="shared" si="0"/>
        <v>330</v>
      </c>
      <c r="O4" s="33" t="s">
        <v>13</v>
      </c>
      <c r="P4" s="37">
        <f>685*300*75/(1000)^3</f>
        <v>1.5412500000000001E-2</v>
      </c>
      <c r="Q4" s="37">
        <f>P4*F4</f>
        <v>4.6237500000000001E-2</v>
      </c>
      <c r="R4" s="38" t="s">
        <v>23</v>
      </c>
      <c r="S4" s="3" t="s">
        <v>12</v>
      </c>
    </row>
    <row r="5" spans="1:20" ht="68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21"/>
      <c r="M5" s="21"/>
      <c r="N5" s="3"/>
      <c r="O5" s="3"/>
      <c r="P5" s="3"/>
      <c r="Q5" s="3"/>
      <c r="R5" s="3"/>
      <c r="S5" s="3"/>
    </row>
    <row r="6" spans="1:20" ht="29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29" customHeight="1">
      <c r="A7" s="1" t="s">
        <v>22</v>
      </c>
    </row>
    <row r="9" spans="1:20">
      <c r="A9" s="4" t="s">
        <v>63</v>
      </c>
    </row>
    <row r="10" spans="1:20">
      <c r="A10" t="s">
        <v>9</v>
      </c>
    </row>
    <row r="11" spans="1:20">
      <c r="A11" t="s">
        <v>18</v>
      </c>
    </row>
    <row r="13" spans="1:20">
      <c r="A13" s="4" t="s">
        <v>31</v>
      </c>
    </row>
    <row r="14" spans="1:20">
      <c r="A14" t="s">
        <v>32</v>
      </c>
    </row>
    <row r="15" spans="1:20">
      <c r="A15" t="s">
        <v>36</v>
      </c>
    </row>
    <row r="17" spans="1:1">
      <c r="A17" s="4" t="s">
        <v>33</v>
      </c>
    </row>
    <row r="18" spans="1:1">
      <c r="A18" t="s">
        <v>34</v>
      </c>
    </row>
    <row r="19" spans="1:1">
      <c r="A19" t="s">
        <v>37</v>
      </c>
    </row>
    <row r="21" spans="1:1">
      <c r="A21" s="4" t="s">
        <v>67</v>
      </c>
    </row>
    <row r="22" spans="1:1">
      <c r="A22" t="s">
        <v>14</v>
      </c>
    </row>
    <row r="24" spans="1:1">
      <c r="A24" s="4" t="s">
        <v>15</v>
      </c>
    </row>
    <row r="25" spans="1:1">
      <c r="A25" t="s">
        <v>16</v>
      </c>
    </row>
    <row r="26" spans="1:1">
      <c r="A26" t="s">
        <v>20</v>
      </c>
    </row>
    <row r="27" spans="1:1">
      <c r="A27" t="s">
        <v>17</v>
      </c>
    </row>
    <row r="28" spans="1:1">
      <c r="A28" t="s">
        <v>21</v>
      </c>
    </row>
    <row r="30" spans="1:1">
      <c r="A30" s="4" t="s">
        <v>48</v>
      </c>
    </row>
    <row r="31" spans="1:1">
      <c r="A31" t="s">
        <v>49</v>
      </c>
    </row>
    <row r="32" spans="1:1">
      <c r="A32" t="s">
        <v>53</v>
      </c>
    </row>
    <row r="33" spans="1:1">
      <c r="A33" t="s">
        <v>50</v>
      </c>
    </row>
    <row r="34" spans="1:1">
      <c r="A34" t="s">
        <v>51</v>
      </c>
    </row>
    <row r="36" spans="1:1">
      <c r="A36" s="4" t="s">
        <v>10</v>
      </c>
    </row>
    <row r="37" spans="1:1">
      <c r="A37" t="s">
        <v>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workbookViewId="0">
      <selection activeCell="H32" sqref="H32"/>
    </sheetView>
  </sheetViews>
  <sheetFormatPr baseColWidth="10" defaultRowHeight="15" x14ac:dyDescent="0"/>
  <cols>
    <col min="1" max="1" width="10" customWidth="1"/>
    <col min="2" max="3" width="10.83203125" customWidth="1"/>
    <col min="7" max="8" width="10.83203125" customWidth="1"/>
    <col min="11" max="11" width="12.6640625" customWidth="1"/>
    <col min="12" max="13" width="10.83203125" customWidth="1"/>
  </cols>
  <sheetData>
    <row r="1" spans="1:14" ht="16" thickBot="1">
      <c r="A1" s="51" t="s">
        <v>42</v>
      </c>
      <c r="C1" s="20" t="s">
        <v>69</v>
      </c>
      <c r="D1" s="50">
        <v>1.03</v>
      </c>
    </row>
    <row r="2" spans="1:14">
      <c r="C2" s="5"/>
    </row>
    <row r="3" spans="1:14" ht="16" thickBot="1">
      <c r="A3" s="1" t="s">
        <v>43</v>
      </c>
      <c r="B3" s="5"/>
      <c r="C3" s="7"/>
      <c r="F3" s="1" t="s">
        <v>47</v>
      </c>
      <c r="H3" s="7"/>
      <c r="K3" s="1" t="s">
        <v>64</v>
      </c>
      <c r="L3" s="5"/>
      <c r="M3" s="7"/>
    </row>
    <row r="4" spans="1:14">
      <c r="A4" s="39" t="s">
        <v>44</v>
      </c>
      <c r="B4" s="40" t="s">
        <v>45</v>
      </c>
      <c r="C4" s="40" t="s">
        <v>42</v>
      </c>
      <c r="D4" s="41" t="s">
        <v>46</v>
      </c>
      <c r="F4" s="39" t="s">
        <v>44</v>
      </c>
      <c r="G4" s="40" t="s">
        <v>45</v>
      </c>
      <c r="H4" s="40" t="s">
        <v>42</v>
      </c>
      <c r="I4" s="41" t="s">
        <v>46</v>
      </c>
      <c r="K4" s="39" t="s">
        <v>44</v>
      </c>
      <c r="L4" s="40" t="s">
        <v>45</v>
      </c>
      <c r="M4" s="49" t="s">
        <v>42</v>
      </c>
      <c r="N4" s="41" t="s">
        <v>46</v>
      </c>
    </row>
    <row r="5" spans="1:14">
      <c r="A5" s="10">
        <v>0</v>
      </c>
      <c r="B5" s="8">
        <f>$B$34+$B$35+'Battery Summary'!G2</f>
        <v>8582.7999999999993</v>
      </c>
      <c r="C5" s="8">
        <f>B5/($D$1)^A5</f>
        <v>8582.7999999999993</v>
      </c>
      <c r="D5" s="11">
        <f>C5</f>
        <v>8582.7999999999993</v>
      </c>
      <c r="F5" s="15">
        <v>0</v>
      </c>
      <c r="G5" s="8">
        <f>$B$35+'Battery Summary'!G3</f>
        <v>16160</v>
      </c>
      <c r="H5" s="8">
        <f>G5/($D$1)^F5</f>
        <v>16160</v>
      </c>
      <c r="I5" s="11">
        <f>H5</f>
        <v>16160</v>
      </c>
      <c r="K5" s="10">
        <v>0</v>
      </c>
      <c r="L5" s="8">
        <f>$B$34+$B$35+'Battery Summary'!G4</f>
        <v>17167</v>
      </c>
      <c r="M5" s="9">
        <f>L5/($D$1)^K5</f>
        <v>17167</v>
      </c>
      <c r="N5" s="18">
        <f>M5</f>
        <v>17167</v>
      </c>
    </row>
    <row r="6" spans="1:14">
      <c r="A6" s="10">
        <v>1</v>
      </c>
      <c r="B6" s="8"/>
      <c r="C6" s="8">
        <f>B6/($D$1)^A6</f>
        <v>0</v>
      </c>
      <c r="D6" s="11">
        <f>D5+C6</f>
        <v>8582.7999999999993</v>
      </c>
      <c r="F6" s="15">
        <f t="shared" ref="F6:F30" si="0">F5+1</f>
        <v>1</v>
      </c>
      <c r="G6" s="8"/>
      <c r="H6" s="8">
        <f>G6/($D$1)^F6</f>
        <v>0</v>
      </c>
      <c r="I6" s="11">
        <f>H6+I5</f>
        <v>16160</v>
      </c>
      <c r="K6" s="10">
        <v>1</v>
      </c>
      <c r="L6" s="8"/>
      <c r="M6" s="9">
        <f>L6/($D$1)^K6</f>
        <v>0</v>
      </c>
      <c r="N6" s="18">
        <f>M6+N5</f>
        <v>17167</v>
      </c>
    </row>
    <row r="7" spans="1:14">
      <c r="A7" s="10">
        <v>2</v>
      </c>
      <c r="B7" s="8"/>
      <c r="C7" s="8">
        <f>B7/($D$1)^A7</f>
        <v>0</v>
      </c>
      <c r="D7" s="11">
        <f t="shared" ref="D7:D30" si="1">D6+C7</f>
        <v>8582.7999999999993</v>
      </c>
      <c r="F7" s="15">
        <f t="shared" si="0"/>
        <v>2</v>
      </c>
      <c r="G7" s="8"/>
      <c r="H7" s="8">
        <f>G7/($D$1)^F7</f>
        <v>0</v>
      </c>
      <c r="I7" s="11">
        <f t="shared" ref="I7:I30" si="2">H7+I6</f>
        <v>16160</v>
      </c>
      <c r="K7" s="10">
        <v>2</v>
      </c>
      <c r="L7" s="8"/>
      <c r="M7" s="9">
        <f>L7/($D$1)^K7</f>
        <v>0</v>
      </c>
      <c r="N7" s="18">
        <f t="shared" ref="N7:N30" si="3">M7+N6</f>
        <v>17167</v>
      </c>
    </row>
    <row r="8" spans="1:14">
      <c r="A8" s="10">
        <v>3</v>
      </c>
      <c r="B8" s="8"/>
      <c r="C8" s="8">
        <f>B8/($D$1)^A8</f>
        <v>0</v>
      </c>
      <c r="D8" s="11">
        <f t="shared" si="1"/>
        <v>8582.7999999999993</v>
      </c>
      <c r="F8" s="15">
        <f t="shared" si="0"/>
        <v>3</v>
      </c>
      <c r="G8" s="8"/>
      <c r="H8" s="8">
        <f>G8/($D$1)^F8</f>
        <v>0</v>
      </c>
      <c r="I8" s="11">
        <f t="shared" si="2"/>
        <v>16160</v>
      </c>
      <c r="K8" s="10">
        <v>3</v>
      </c>
      <c r="L8" s="8"/>
      <c r="M8" s="9">
        <f>L8/($D$1)^K8</f>
        <v>0</v>
      </c>
      <c r="N8" s="18">
        <f t="shared" si="3"/>
        <v>17167</v>
      </c>
    </row>
    <row r="9" spans="1:14">
      <c r="A9" s="10">
        <v>4</v>
      </c>
      <c r="B9" s="8">
        <f>'Battery Summary'!$G$2</f>
        <v>5815.8</v>
      </c>
      <c r="C9" s="8">
        <f>B9/($D$1)^A9</f>
        <v>5167.2629732680643</v>
      </c>
      <c r="D9" s="11">
        <f t="shared" si="1"/>
        <v>13750.062973268065</v>
      </c>
      <c r="F9" s="15">
        <f t="shared" si="0"/>
        <v>4</v>
      </c>
      <c r="G9" s="8"/>
      <c r="H9" s="8">
        <f>G9/($D$1)^F9</f>
        <v>0</v>
      </c>
      <c r="I9" s="11">
        <f t="shared" si="2"/>
        <v>16160</v>
      </c>
      <c r="K9" s="10">
        <v>4</v>
      </c>
      <c r="L9" s="8"/>
      <c r="M9" s="9">
        <f>L9/($D$1)^K9</f>
        <v>0</v>
      </c>
      <c r="N9" s="18">
        <f t="shared" si="3"/>
        <v>17167</v>
      </c>
    </row>
    <row r="10" spans="1:14">
      <c r="A10" s="10">
        <v>5</v>
      </c>
      <c r="B10" s="8">
        <f>$B$34+$B$35</f>
        <v>2767</v>
      </c>
      <c r="C10" s="8">
        <f>B10/($D$1)^A10</f>
        <v>2386.8385063909823</v>
      </c>
      <c r="D10" s="11">
        <f t="shared" si="1"/>
        <v>16136.901479659047</v>
      </c>
      <c r="F10" s="15">
        <f t="shared" si="0"/>
        <v>5</v>
      </c>
      <c r="G10" s="8">
        <f>$B$34+$B$35</f>
        <v>2767</v>
      </c>
      <c r="H10" s="8">
        <f>G10/($D$1)^F10</f>
        <v>2386.8385063909823</v>
      </c>
      <c r="I10" s="11">
        <f t="shared" si="2"/>
        <v>18546.838506390981</v>
      </c>
      <c r="K10" s="10">
        <v>5</v>
      </c>
      <c r="L10" s="8">
        <f>$B$34+$B$35</f>
        <v>2767</v>
      </c>
      <c r="M10" s="9">
        <f>L10/($D$1)^K10</f>
        <v>2386.8385063909823</v>
      </c>
      <c r="N10" s="18">
        <f t="shared" si="3"/>
        <v>19553.838506390981</v>
      </c>
    </row>
    <row r="11" spans="1:14">
      <c r="A11" s="10">
        <v>6</v>
      </c>
      <c r="B11" s="8"/>
      <c r="C11" s="8">
        <f>B11/($D$1)^A11</f>
        <v>0</v>
      </c>
      <c r="D11" s="11">
        <f t="shared" si="1"/>
        <v>16136.901479659047</v>
      </c>
      <c r="F11" s="15">
        <f t="shared" si="0"/>
        <v>6</v>
      </c>
      <c r="G11" s="8"/>
      <c r="H11" s="8">
        <f>G11/($D$1)^F11</f>
        <v>0</v>
      </c>
      <c r="I11" s="11">
        <f t="shared" si="2"/>
        <v>18546.838506390981</v>
      </c>
      <c r="K11" s="10">
        <v>6</v>
      </c>
      <c r="L11" s="8"/>
      <c r="M11" s="9">
        <f>L11/($D$1)^K11</f>
        <v>0</v>
      </c>
      <c r="N11" s="18">
        <f t="shared" si="3"/>
        <v>19553.838506390981</v>
      </c>
    </row>
    <row r="12" spans="1:14">
      <c r="A12" s="10">
        <v>7</v>
      </c>
      <c r="B12" s="8"/>
      <c r="C12" s="8">
        <f>B12/($D$1)^A12</f>
        <v>0</v>
      </c>
      <c r="D12" s="11">
        <f t="shared" si="1"/>
        <v>16136.901479659047</v>
      </c>
      <c r="F12" s="15">
        <f t="shared" si="0"/>
        <v>7</v>
      </c>
      <c r="G12" s="8"/>
      <c r="H12" s="8">
        <f>G12/($D$1)^F12</f>
        <v>0</v>
      </c>
      <c r="I12" s="11">
        <f t="shared" si="2"/>
        <v>18546.838506390981</v>
      </c>
      <c r="K12" s="10">
        <v>7</v>
      </c>
      <c r="L12" s="8"/>
      <c r="M12" s="9">
        <f>L12/($D$1)^K12</f>
        <v>0</v>
      </c>
      <c r="N12" s="18">
        <f t="shared" si="3"/>
        <v>19553.838506390981</v>
      </c>
    </row>
    <row r="13" spans="1:14">
      <c r="A13" s="10">
        <v>8</v>
      </c>
      <c r="B13" s="8">
        <f>'Battery Summary'!$G$2</f>
        <v>5815.8</v>
      </c>
      <c r="C13" s="8">
        <f>B13/($D$1)^A13</f>
        <v>4591.0462249229877</v>
      </c>
      <c r="D13" s="11">
        <f t="shared" si="1"/>
        <v>20727.947704582035</v>
      </c>
      <c r="F13" s="15">
        <f t="shared" si="0"/>
        <v>8</v>
      </c>
      <c r="G13" s="8"/>
      <c r="H13" s="8">
        <f>G13/($D$1)^F13</f>
        <v>0</v>
      </c>
      <c r="I13" s="11">
        <f t="shared" si="2"/>
        <v>18546.838506390981</v>
      </c>
      <c r="K13" s="10">
        <v>8</v>
      </c>
      <c r="L13" s="8"/>
      <c r="M13" s="9">
        <f>L13/($D$1)^K13</f>
        <v>0</v>
      </c>
      <c r="N13" s="18">
        <f t="shared" si="3"/>
        <v>19553.838506390981</v>
      </c>
    </row>
    <row r="14" spans="1:14">
      <c r="A14" s="10">
        <v>9</v>
      </c>
      <c r="B14" s="8"/>
      <c r="C14" s="8">
        <f>B14/($D$1)^A14</f>
        <v>0</v>
      </c>
      <c r="D14" s="11">
        <f t="shared" si="1"/>
        <v>20727.947704582035</v>
      </c>
      <c r="F14" s="15">
        <f t="shared" si="0"/>
        <v>9</v>
      </c>
      <c r="G14" s="8"/>
      <c r="H14" s="8">
        <f>G14/($D$1)^F14</f>
        <v>0</v>
      </c>
      <c r="I14" s="11">
        <f t="shared" si="2"/>
        <v>18546.838506390981</v>
      </c>
      <c r="K14" s="10">
        <v>9</v>
      </c>
      <c r="L14" s="8"/>
      <c r="M14" s="9">
        <f>L14/($D$1)^K14</f>
        <v>0</v>
      </c>
      <c r="N14" s="18">
        <f t="shared" si="3"/>
        <v>19553.838506390981</v>
      </c>
    </row>
    <row r="15" spans="1:14">
      <c r="A15" s="10">
        <v>10</v>
      </c>
      <c r="B15" s="8">
        <f>$B$34+$B$35</f>
        <v>2767</v>
      </c>
      <c r="C15" s="8">
        <f>B15/($D$1)^A15</f>
        <v>2058.9078625192387</v>
      </c>
      <c r="D15" s="11">
        <f t="shared" si="1"/>
        <v>22786.855567101273</v>
      </c>
      <c r="F15" s="15">
        <f t="shared" si="0"/>
        <v>10</v>
      </c>
      <c r="G15" s="8">
        <f>$B$34+$B$35</f>
        <v>2767</v>
      </c>
      <c r="H15" s="8">
        <f>G15/($D$1)^F15</f>
        <v>2058.9078625192387</v>
      </c>
      <c r="I15" s="11">
        <f t="shared" si="2"/>
        <v>20605.746368910219</v>
      </c>
      <c r="K15" s="10">
        <v>10</v>
      </c>
      <c r="L15" s="8">
        <f>$B$34+$B$35</f>
        <v>2767</v>
      </c>
      <c r="M15" s="9">
        <f>L15/($D$1)^K15</f>
        <v>2058.9078625192387</v>
      </c>
      <c r="N15" s="18">
        <f t="shared" si="3"/>
        <v>21612.746368910219</v>
      </c>
    </row>
    <row r="16" spans="1:14">
      <c r="A16" s="10">
        <v>11</v>
      </c>
      <c r="B16" s="8"/>
      <c r="C16" s="8">
        <f>B16/($D$1)^A16</f>
        <v>0</v>
      </c>
      <c r="D16" s="11">
        <f t="shared" si="1"/>
        <v>22786.855567101273</v>
      </c>
      <c r="F16" s="15">
        <f t="shared" si="0"/>
        <v>11</v>
      </c>
      <c r="G16" s="8"/>
      <c r="H16" s="8">
        <f>G16/($D$1)^F16</f>
        <v>0</v>
      </c>
      <c r="I16" s="11">
        <f t="shared" si="2"/>
        <v>20605.746368910219</v>
      </c>
      <c r="K16" s="10">
        <v>11</v>
      </c>
      <c r="L16" s="8"/>
      <c r="M16" s="9">
        <f>L16/($D$1)^K16</f>
        <v>0</v>
      </c>
      <c r="N16" s="18">
        <f t="shared" si="3"/>
        <v>21612.746368910219</v>
      </c>
    </row>
    <row r="17" spans="1:14">
      <c r="A17" s="10">
        <v>12</v>
      </c>
      <c r="B17" s="8">
        <f>'Battery Summary'!$G$2</f>
        <v>5815.8</v>
      </c>
      <c r="C17" s="8">
        <f>B17/($D$1)^A17</f>
        <v>4079.0851072262935</v>
      </c>
      <c r="D17" s="11">
        <f t="shared" si="1"/>
        <v>26865.940674327565</v>
      </c>
      <c r="F17" s="15">
        <f t="shared" si="0"/>
        <v>12</v>
      </c>
      <c r="G17" s="8"/>
      <c r="H17" s="8">
        <f>G17/($D$1)^F17</f>
        <v>0</v>
      </c>
      <c r="I17" s="11">
        <f t="shared" si="2"/>
        <v>20605.746368910219</v>
      </c>
      <c r="K17" s="10">
        <v>12</v>
      </c>
      <c r="L17" s="8"/>
      <c r="M17" s="9">
        <f>L17/($D$1)^K17</f>
        <v>0</v>
      </c>
      <c r="N17" s="18">
        <f t="shared" si="3"/>
        <v>21612.746368910219</v>
      </c>
    </row>
    <row r="18" spans="1:14">
      <c r="A18" s="10">
        <v>13</v>
      </c>
      <c r="B18" s="8"/>
      <c r="C18" s="8">
        <f>B18/($D$1)^A18</f>
        <v>0</v>
      </c>
      <c r="D18" s="11">
        <f t="shared" si="1"/>
        <v>26865.940674327565</v>
      </c>
      <c r="F18" s="15">
        <f t="shared" si="0"/>
        <v>13</v>
      </c>
      <c r="G18" s="8"/>
      <c r="H18" s="8">
        <f>G18/($D$1)^F18</f>
        <v>0</v>
      </c>
      <c r="I18" s="11">
        <f t="shared" si="2"/>
        <v>20605.746368910219</v>
      </c>
      <c r="K18" s="10">
        <v>13</v>
      </c>
      <c r="L18" s="8">
        <f>'Battery Summary'!G4</f>
        <v>14400</v>
      </c>
      <c r="M18" s="9">
        <f>L18/($D$1)^K18</f>
        <v>9805.6992959017625</v>
      </c>
      <c r="N18" s="18">
        <f t="shared" si="3"/>
        <v>31418.445664811981</v>
      </c>
    </row>
    <row r="19" spans="1:14">
      <c r="A19" s="10">
        <v>14</v>
      </c>
      <c r="B19" s="8"/>
      <c r="C19" s="8">
        <f>B19/($D$1)^A19</f>
        <v>0</v>
      </c>
      <c r="D19" s="11">
        <f t="shared" si="1"/>
        <v>26865.940674327565</v>
      </c>
      <c r="F19" s="15">
        <f t="shared" si="0"/>
        <v>14</v>
      </c>
      <c r="G19" s="8"/>
      <c r="H19" s="8">
        <f>G19/($D$1)^F19</f>
        <v>0</v>
      </c>
      <c r="I19" s="11">
        <f t="shared" si="2"/>
        <v>20605.746368910219</v>
      </c>
      <c r="K19" s="10">
        <v>14</v>
      </c>
      <c r="L19" s="8"/>
      <c r="M19" s="9">
        <f>L19/($D$1)^K19</f>
        <v>0</v>
      </c>
      <c r="N19" s="18">
        <f t="shared" si="3"/>
        <v>31418.445664811981</v>
      </c>
    </row>
    <row r="20" spans="1:14">
      <c r="A20" s="10">
        <v>15</v>
      </c>
      <c r="B20" s="8">
        <f>$B$34+$B$35</f>
        <v>2767</v>
      </c>
      <c r="C20" s="8">
        <f>B20/($D$1)^A20</f>
        <v>1776.0320084467178</v>
      </c>
      <c r="D20" s="11">
        <f t="shared" si="1"/>
        <v>28641.972682774282</v>
      </c>
      <c r="F20" s="15">
        <f t="shared" si="0"/>
        <v>15</v>
      </c>
      <c r="G20" s="8">
        <f>$B$35</f>
        <v>2160</v>
      </c>
      <c r="H20" s="8">
        <f>G20/($D$1)^F20</f>
        <v>1386.4218063769101</v>
      </c>
      <c r="I20" s="11">
        <f t="shared" si="2"/>
        <v>21992.16817528713</v>
      </c>
      <c r="K20" s="10">
        <v>15</v>
      </c>
      <c r="L20" s="8">
        <f>$B$34+$B$35</f>
        <v>2767</v>
      </c>
      <c r="M20" s="9">
        <f>L20/($D$1)^K20</f>
        <v>1776.0320084467178</v>
      </c>
      <c r="N20" s="18">
        <f t="shared" si="3"/>
        <v>33194.477673258698</v>
      </c>
    </row>
    <row r="21" spans="1:14">
      <c r="A21" s="10">
        <v>16</v>
      </c>
      <c r="B21" s="8">
        <f>'Battery Summary'!$G$2</f>
        <v>5815.8</v>
      </c>
      <c r="C21" s="8">
        <f>B21/($D$1)^A21</f>
        <v>3624.2142851163412</v>
      </c>
      <c r="D21" s="11">
        <f t="shared" si="1"/>
        <v>32266.186967890622</v>
      </c>
      <c r="F21" s="15">
        <f t="shared" si="0"/>
        <v>16</v>
      </c>
      <c r="G21" s="8"/>
      <c r="H21" s="8">
        <f>G21/($D$1)^F21</f>
        <v>0</v>
      </c>
      <c r="I21" s="11">
        <f t="shared" si="2"/>
        <v>21992.16817528713</v>
      </c>
      <c r="K21" s="10">
        <v>16</v>
      </c>
      <c r="L21" s="8"/>
      <c r="M21" s="9">
        <f>L21/($D$1)^K21</f>
        <v>0</v>
      </c>
      <c r="N21" s="18">
        <f t="shared" si="3"/>
        <v>33194.477673258698</v>
      </c>
    </row>
    <row r="22" spans="1:14">
      <c r="A22" s="10">
        <v>17</v>
      </c>
      <c r="B22" s="8"/>
      <c r="C22" s="8">
        <f>B22/($D$1)^A22</f>
        <v>0</v>
      </c>
      <c r="D22" s="11">
        <f t="shared" si="1"/>
        <v>32266.186967890622</v>
      </c>
      <c r="F22" s="15">
        <f t="shared" si="0"/>
        <v>17</v>
      </c>
      <c r="G22" s="8">
        <f>'Battery Summary'!G3</f>
        <v>14000</v>
      </c>
      <c r="H22" s="8">
        <f>G22/($D$1)^F22</f>
        <v>8470.2302418267973</v>
      </c>
      <c r="I22" s="11">
        <f t="shared" si="2"/>
        <v>30462.398417113927</v>
      </c>
      <c r="K22" s="10">
        <v>17</v>
      </c>
      <c r="L22" s="8"/>
      <c r="M22" s="9">
        <f>L22/($D$1)^K22</f>
        <v>0</v>
      </c>
      <c r="N22" s="18">
        <f t="shared" si="3"/>
        <v>33194.477673258698</v>
      </c>
    </row>
    <row r="23" spans="1:14">
      <c r="A23" s="10">
        <v>18</v>
      </c>
      <c r="B23" s="8"/>
      <c r="C23" s="8">
        <f>B23/($D$1)^A23</f>
        <v>0</v>
      </c>
      <c r="D23" s="11">
        <f t="shared" si="1"/>
        <v>32266.186967890622</v>
      </c>
      <c r="F23" s="15">
        <f t="shared" si="0"/>
        <v>18</v>
      </c>
      <c r="G23" s="8"/>
      <c r="H23" s="8">
        <f>G23/($D$1)^F23</f>
        <v>0</v>
      </c>
      <c r="I23" s="11">
        <f t="shared" si="2"/>
        <v>30462.398417113927</v>
      </c>
      <c r="K23" s="10">
        <v>18</v>
      </c>
      <c r="L23" s="8"/>
      <c r="M23" s="9">
        <f>L23/($D$1)^K23</f>
        <v>0</v>
      </c>
      <c r="N23" s="18">
        <f t="shared" si="3"/>
        <v>33194.477673258698</v>
      </c>
    </row>
    <row r="24" spans="1:14">
      <c r="A24" s="10">
        <v>19</v>
      </c>
      <c r="B24" s="8"/>
      <c r="C24" s="8">
        <f>B24/($D$1)^A24</f>
        <v>0</v>
      </c>
      <c r="D24" s="11">
        <f t="shared" si="1"/>
        <v>32266.186967890622</v>
      </c>
      <c r="F24" s="15">
        <f t="shared" si="0"/>
        <v>19</v>
      </c>
      <c r="G24" s="8"/>
      <c r="H24" s="8">
        <f>G24/($D$1)^F24</f>
        <v>0</v>
      </c>
      <c r="I24" s="11">
        <f t="shared" si="2"/>
        <v>30462.398417113927</v>
      </c>
      <c r="K24" s="10">
        <v>19</v>
      </c>
      <c r="L24" s="8"/>
      <c r="M24" s="9">
        <f>L24/($D$1)^K24</f>
        <v>0</v>
      </c>
      <c r="N24" s="18">
        <f t="shared" si="3"/>
        <v>33194.477673258698</v>
      </c>
    </row>
    <row r="25" spans="1:14">
      <c r="A25" s="10">
        <v>20</v>
      </c>
      <c r="B25" s="8">
        <f>$B$34+$B$35+'Battery Summary'!$G$2</f>
        <v>8582.7999999999993</v>
      </c>
      <c r="C25" s="8">
        <f>B25/($D$1)^A25</f>
        <v>4752.088263030475</v>
      </c>
      <c r="D25" s="11">
        <f t="shared" si="1"/>
        <v>37018.275230921099</v>
      </c>
      <c r="F25" s="15">
        <f t="shared" si="0"/>
        <v>20</v>
      </c>
      <c r="G25" s="8">
        <f>$B$34+$B$35</f>
        <v>2767</v>
      </c>
      <c r="H25" s="8">
        <f>G25/($D$1)^F25</f>
        <v>1532.0208118335888</v>
      </c>
      <c r="I25" s="11">
        <f t="shared" si="2"/>
        <v>31994.419228947518</v>
      </c>
      <c r="K25" s="10">
        <v>20</v>
      </c>
      <c r="L25" s="8">
        <f>$B$34+$B$35</f>
        <v>2767</v>
      </c>
      <c r="M25" s="9">
        <f>L25/($D$1)^K25</f>
        <v>1532.0208118335888</v>
      </c>
      <c r="N25" s="18">
        <f t="shared" si="3"/>
        <v>34726.498485092285</v>
      </c>
    </row>
    <row r="26" spans="1:14">
      <c r="A26" s="10">
        <v>21</v>
      </c>
      <c r="B26" s="8"/>
      <c r="C26" s="8">
        <f>B26/($D$1)^A26</f>
        <v>0</v>
      </c>
      <c r="D26" s="11">
        <f t="shared" si="1"/>
        <v>37018.275230921099</v>
      </c>
      <c r="F26" s="15">
        <f t="shared" si="0"/>
        <v>21</v>
      </c>
      <c r="G26" s="8"/>
      <c r="H26" s="8">
        <f>G26/($D$1)^F26</f>
        <v>0</v>
      </c>
      <c r="I26" s="11">
        <f t="shared" si="2"/>
        <v>31994.419228947518</v>
      </c>
      <c r="K26" s="10">
        <v>21</v>
      </c>
      <c r="L26" s="8"/>
      <c r="M26" s="9">
        <f>L26/($D$1)^K26</f>
        <v>0</v>
      </c>
      <c r="N26" s="18">
        <f t="shared" si="3"/>
        <v>34726.498485092285</v>
      </c>
    </row>
    <row r="27" spans="1:14">
      <c r="A27" s="10">
        <v>22</v>
      </c>
      <c r="B27" s="8"/>
      <c r="C27" s="8">
        <f>B27/($D$1)^A27</f>
        <v>0</v>
      </c>
      <c r="D27" s="11">
        <f t="shared" si="1"/>
        <v>37018.275230921099</v>
      </c>
      <c r="F27" s="15">
        <f t="shared" si="0"/>
        <v>22</v>
      </c>
      <c r="G27" s="8"/>
      <c r="H27" s="8">
        <f>G27/($D$1)^F27</f>
        <v>0</v>
      </c>
      <c r="I27" s="11">
        <f t="shared" si="2"/>
        <v>31994.419228947518</v>
      </c>
      <c r="K27" s="10">
        <v>22</v>
      </c>
      <c r="L27" s="8"/>
      <c r="M27" s="9">
        <f>L27/($D$1)^K27</f>
        <v>0</v>
      </c>
      <c r="N27" s="18">
        <f t="shared" si="3"/>
        <v>34726.498485092285</v>
      </c>
    </row>
    <row r="28" spans="1:14">
      <c r="A28" s="10">
        <v>23</v>
      </c>
      <c r="B28" s="8"/>
      <c r="C28" s="8">
        <f>B28/($D$1)^A28</f>
        <v>0</v>
      </c>
      <c r="D28" s="11">
        <f t="shared" si="1"/>
        <v>37018.275230921099</v>
      </c>
      <c r="F28" s="15">
        <f t="shared" si="0"/>
        <v>23</v>
      </c>
      <c r="G28" s="8"/>
      <c r="H28" s="8">
        <f>G28/($D$1)^F28</f>
        <v>0</v>
      </c>
      <c r="I28" s="11">
        <f t="shared" si="2"/>
        <v>31994.419228947518</v>
      </c>
      <c r="K28" s="10">
        <v>23</v>
      </c>
      <c r="L28" s="8"/>
      <c r="M28" s="9">
        <f>L28/($D$1)^K28</f>
        <v>0</v>
      </c>
      <c r="N28" s="18">
        <f t="shared" si="3"/>
        <v>34726.498485092285</v>
      </c>
    </row>
    <row r="29" spans="1:14">
      <c r="A29" s="10">
        <v>24</v>
      </c>
      <c r="B29" s="8">
        <f>'Battery Summary'!$G$2</f>
        <v>5815.8</v>
      </c>
      <c r="C29" s="8">
        <f>B29/($D$1)^A29</f>
        <v>2860.9882238033192</v>
      </c>
      <c r="D29" s="11">
        <f t="shared" si="1"/>
        <v>39879.263454724416</v>
      </c>
      <c r="F29" s="15">
        <f t="shared" si="0"/>
        <v>24</v>
      </c>
      <c r="G29" s="8"/>
      <c r="H29" s="8">
        <f>G29/($D$1)^F29</f>
        <v>0</v>
      </c>
      <c r="I29" s="11">
        <f t="shared" si="2"/>
        <v>31994.419228947518</v>
      </c>
      <c r="K29" s="10">
        <v>24</v>
      </c>
      <c r="L29" s="8"/>
      <c r="M29" s="9">
        <f>L29/($D$1)^K29</f>
        <v>0</v>
      </c>
      <c r="N29" s="18">
        <f t="shared" si="3"/>
        <v>34726.498485092285</v>
      </c>
    </row>
    <row r="30" spans="1:14" ht="16" thickBot="1">
      <c r="A30" s="12">
        <v>25</v>
      </c>
      <c r="B30" s="13">
        <f>$B$34+$B$35</f>
        <v>2767</v>
      </c>
      <c r="C30" s="13">
        <f>B30/($D$1)^A30</f>
        <v>1321.5346101470122</v>
      </c>
      <c r="D30" s="14">
        <f t="shared" si="1"/>
        <v>41200.798064871429</v>
      </c>
      <c r="F30" s="16">
        <f t="shared" si="0"/>
        <v>25</v>
      </c>
      <c r="G30" s="13">
        <f>$B$34+$B$35</f>
        <v>2767</v>
      </c>
      <c r="H30" s="13">
        <f>G30/($D$1)^F30</f>
        <v>1321.5346101470122</v>
      </c>
      <c r="I30" s="14">
        <f t="shared" si="2"/>
        <v>33315.953839094531</v>
      </c>
      <c r="K30" s="12">
        <v>25</v>
      </c>
      <c r="L30" s="13">
        <f>$B$34+$B$35</f>
        <v>2767</v>
      </c>
      <c r="M30" s="17">
        <f>L30/($D$1)^K30</f>
        <v>1321.5346101470122</v>
      </c>
      <c r="N30" s="19">
        <f t="shared" si="3"/>
        <v>36048.033095239298</v>
      </c>
    </row>
    <row r="33" spans="1:4">
      <c r="A33" t="s">
        <v>65</v>
      </c>
    </row>
    <row r="34" spans="1:4">
      <c r="A34" s="5" t="s">
        <v>68</v>
      </c>
      <c r="B34" s="6">
        <v>607</v>
      </c>
      <c r="C34" s="5" t="s">
        <v>39</v>
      </c>
      <c r="D34" s="5" t="s">
        <v>41</v>
      </c>
    </row>
    <row r="35" spans="1:4">
      <c r="A35" s="5" t="s">
        <v>38</v>
      </c>
      <c r="B35" s="6">
        <v>2160</v>
      </c>
      <c r="C35" s="5" t="s">
        <v>39</v>
      </c>
      <c r="D35" s="5" t="s">
        <v>40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Battery Summary</vt:lpstr>
      <vt:lpstr>NPV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Maxfield Morrison</dc:creator>
  <cp:lastModifiedBy>Maxfield Morrison</cp:lastModifiedBy>
  <dcterms:created xsi:type="dcterms:W3CDTF">2015-11-25T21:55:25Z</dcterms:created>
  <dcterms:modified xsi:type="dcterms:W3CDTF">2015-12-08T14:25:58Z</dcterms:modified>
</cp:coreProperties>
</file>