
<file path=[Content_Types].xml><?xml version="1.0" encoding="utf-8"?>
<Types xmlns="http://schemas.openxmlformats.org/package/2006/content-types">
  <Override PartName="/docProps/app.xml" ContentType="application/vnd.openxmlformats-officedocument.extended-properties+xml"/>
  <Override PartName="/xl/sharedStrings.xml" ContentType="application/vnd.openxmlformats-officedocument.spreadsheetml.sharedStrings+xml"/>
  <Default Extension="vml" ContentType="application/vnd.openxmlformats-officedocument.vmlDrawing"/>
  <Override PartName="/xl/worksheets/sheet1.xml" ContentType="application/vnd.openxmlformats-officedocument.spreadsheetml.worksheet+xml"/>
  <Override PartName="/xl/workbook.xml" ContentType="application/vnd.openxmlformats-officedocument.spreadsheetml.sheet.main+xml"/>
  <Default Extension="xml" ContentType="application/xml"/>
  <Override PartName="/xl/comments1.xml" ContentType="application/vnd.openxmlformats-officedocument.spreadsheetml.comments+xml"/>
  <Override PartName="/xl/styles.xml" ContentType="application/vnd.openxmlformats-officedocument.spreadsheetml.styles+xml"/>
  <Override PartName="/xl/theme/theme1.xml" ContentType="application/vnd.openxmlformats-officedocument.theme+xml"/>
  <Override PartName="/xl/worksheets/sheet2.xml" ContentType="application/vnd.openxmlformats-officedocument.spreadsheetml.worksheet+xml"/>
  <Default Extension="png" ContentType="image/png"/>
  <Override PartName="/xl/calcChain.xml" ContentType="application/vnd.openxmlformats-officedocument.spreadsheetml.calcChain+xml"/>
  <Default Extension="rels" ContentType="application/vnd.openxmlformats-package.relationships+xml"/>
  <Override PartName="/docProps/custom.xml" ContentType="application/vnd.openxmlformats-officedocument.custom-properties+xml"/>
  <Override PartName="/xl/drawings/drawing1.xml" ContentType="application/vnd.openxmlformats-officedocument.drawing+xml"/>
  <Override PartName="/docProps/core.xml" ContentType="application/vnd.openxmlformats-package.core-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5"/>
  <workbookPr date1904="1" showInkAnnotation="0" autoCompressPictures="0"/>
  <bookViews>
    <workbookView xWindow="28740" yWindow="1080" windowWidth="24720" windowHeight="17400"/>
  </bookViews>
  <sheets>
    <sheet name="ProForma income" sheetId="1" r:id="rId1"/>
    <sheet name="Assumptions" sheetId="3" r:id="rId2"/>
  </sheets>
  <calcPr calcId="130407" concurrentCalc="0"/>
  <extLst>
    <ext xmlns:mx="http://schemas.microsoft.com/office/mac/excel/2008/main" uri="http://schemas.microsoft.com/office/mac/excel/2008/main">
      <mx:ArchID Flags="2"/>
    </ext>
  </extLst>
</workbook>
</file>

<file path=xl/calcChain.xml><?xml version="1.0" encoding="utf-8"?>
<calcChain xmlns="http://schemas.openxmlformats.org/spreadsheetml/2006/main">
  <c r="G25" i="1"/>
  <c r="G24"/>
  <c r="G27"/>
  <c r="F27"/>
  <c r="C84"/>
  <c r="E27"/>
  <c r="E84"/>
  <c r="D27"/>
  <c r="C80"/>
  <c r="E80"/>
  <c r="D24"/>
  <c r="E24"/>
  <c r="F24"/>
  <c r="E23"/>
  <c r="E25"/>
  <c r="F23"/>
  <c r="D23"/>
  <c r="D25"/>
  <c r="D16"/>
  <c r="D10"/>
  <c r="E16"/>
  <c r="E10"/>
  <c r="F16"/>
  <c r="F10"/>
  <c r="G16"/>
  <c r="G10"/>
  <c r="C16"/>
  <c r="C10"/>
  <c r="C11"/>
  <c r="D8"/>
  <c r="D11"/>
  <c r="D19"/>
  <c r="E19"/>
  <c r="F19"/>
  <c r="G19"/>
  <c r="C19"/>
  <c r="J69"/>
  <c r="H67"/>
  <c r="H69"/>
  <c r="H70"/>
  <c r="G68"/>
  <c r="F68"/>
  <c r="E68"/>
  <c r="F70"/>
  <c r="G70"/>
  <c r="G23"/>
  <c r="G67"/>
  <c r="G69"/>
  <c r="I14"/>
  <c r="J75"/>
  <c r="E8"/>
  <c r="F8"/>
  <c r="F67"/>
  <c r="F69"/>
  <c r="I10"/>
  <c r="F49"/>
  <c r="E49"/>
  <c r="D49"/>
  <c r="C49"/>
  <c r="F50"/>
  <c r="E50"/>
  <c r="D50"/>
  <c r="C50"/>
  <c r="F51"/>
  <c r="E51"/>
  <c r="D51"/>
  <c r="C51"/>
  <c r="C58"/>
  <c r="B58"/>
  <c r="E67"/>
  <c r="E69"/>
  <c r="H10"/>
  <c r="C78"/>
  <c r="E78"/>
  <c r="C79"/>
  <c r="E79"/>
  <c r="C81"/>
  <c r="E81"/>
  <c r="C82"/>
  <c r="E82"/>
  <c r="C83"/>
  <c r="E83"/>
  <c r="C85"/>
  <c r="E85"/>
  <c r="C86"/>
  <c r="E86"/>
  <c r="C87"/>
  <c r="E87"/>
  <c r="C88"/>
  <c r="E88"/>
  <c r="C89"/>
  <c r="E89"/>
  <c r="C90"/>
  <c r="E90"/>
  <c r="C91"/>
  <c r="E91"/>
  <c r="C92"/>
  <c r="E92"/>
  <c r="C93"/>
  <c r="E93"/>
  <c r="C77"/>
  <c r="E77"/>
  <c r="D78"/>
  <c r="D79"/>
  <c r="D80"/>
  <c r="D81"/>
  <c r="D82"/>
  <c r="D83"/>
  <c r="D84"/>
  <c r="D85"/>
  <c r="D86"/>
  <c r="D87"/>
  <c r="D88"/>
  <c r="D89"/>
  <c r="D90"/>
  <c r="D91"/>
  <c r="D92"/>
  <c r="D93"/>
  <c r="D77"/>
  <c r="C26"/>
  <c r="C30"/>
  <c r="C33"/>
  <c r="C34"/>
  <c r="D26"/>
  <c r="D30"/>
  <c r="D33"/>
  <c r="D34"/>
  <c r="F25"/>
  <c r="H54"/>
  <c r="E58"/>
  <c r="D58"/>
  <c r="E59"/>
  <c r="F58"/>
  <c r="F59"/>
  <c r="G58"/>
  <c r="G59"/>
  <c r="D59"/>
  <c r="E11"/>
  <c r="C37"/>
  <c r="G8"/>
  <c r="E30"/>
  <c r="E33"/>
  <c r="E34"/>
  <c r="G30"/>
  <c r="G37"/>
  <c r="D37"/>
  <c r="D39"/>
  <c r="C39"/>
  <c r="C40"/>
  <c r="C41"/>
  <c r="F11"/>
  <c r="G11"/>
  <c r="D40"/>
  <c r="D41"/>
  <c r="G40"/>
  <c r="G41"/>
  <c r="G39"/>
  <c r="G33"/>
  <c r="G34"/>
  <c r="F30"/>
  <c r="F37"/>
  <c r="E37"/>
  <c r="F40"/>
  <c r="F41"/>
  <c r="F39"/>
  <c r="E39"/>
  <c r="E40"/>
  <c r="E41"/>
  <c r="F33"/>
  <c r="F34"/>
</calcChain>
</file>

<file path=xl/comments1.xml><?xml version="1.0" encoding="utf-8"?>
<comments xmlns="http://schemas.openxmlformats.org/spreadsheetml/2006/main">
  <authors>
    <author>Mohammad Rashti</author>
    <author>Jenny Servo</author>
  </authors>
  <commentList>
    <comment ref="C8" authorId="0">
      <text>
        <r>
          <rPr>
            <b/>
            <sz val="9"/>
            <color indexed="81"/>
            <rFont val="Tahoma"/>
            <charset val="1"/>
          </rPr>
          <t>2012: $160M (Cloudera, Hortonworks, MapR)
CAGR: 23% for 2013-2017</t>
        </r>
      </text>
    </comment>
    <comment ref="B22" authorId="1">
      <text>
        <r>
          <rPr>
            <b/>
            <sz val="9"/>
            <color indexed="81"/>
            <rFont val="Geneva"/>
          </rPr>
          <t>Obligations based on licensing in technology</t>
        </r>
        <r>
          <rPr>
            <sz val="9"/>
            <color indexed="81"/>
            <rFont val="Geneva"/>
          </rPr>
          <t xml:space="preserve">
</t>
        </r>
      </text>
    </comment>
    <comment ref="B33" authorId="1">
      <text>
        <r>
          <rPr>
            <b/>
            <sz val="9"/>
            <color indexed="81"/>
            <rFont val="Geneva"/>
          </rPr>
          <t>EBIT = Earnings Befroe Interest and Taxes</t>
        </r>
        <r>
          <rPr>
            <sz val="9"/>
            <color indexed="81"/>
            <rFont val="Geneva"/>
          </rPr>
          <t xml:space="preserve">
This is also equal for EBITDA (Earnings Befroe Interest, Taxes Depreciation and Amortization) in the licensing case as there is no depreciation</t>
        </r>
      </text>
    </comment>
    <comment ref="B34" authorId="1">
      <text>
        <r>
          <rPr>
            <b/>
            <sz val="9"/>
            <color indexed="81"/>
            <rFont val="Geneva"/>
          </rPr>
          <t>EBITDA/Production Revenue</t>
        </r>
        <r>
          <rPr>
            <sz val="9"/>
            <color indexed="81"/>
            <rFont val="Geneva"/>
          </rPr>
          <t xml:space="preserve">
</t>
        </r>
      </text>
    </comment>
  </commentList>
</comments>
</file>

<file path=xl/sharedStrings.xml><?xml version="1.0" encoding="utf-8"?>
<sst xmlns="http://schemas.openxmlformats.org/spreadsheetml/2006/main" count="59" uniqueCount="57">
  <si>
    <r>
      <t>How are your consulting services estimated?  Are there any assumptions about the terms of your planned licensing arrangement that you need to state to justify the revenues or fees in this section?  Will you be applying for Phase IIb?</t>
    </r>
    <r>
      <rPr>
        <sz val="10"/>
        <color rgb="FFFF0000"/>
        <rFont val="Verdana"/>
        <family val="2"/>
      </rPr>
      <t xml:space="preserve"> Lexis revenue in average of 10 years should match up to 2.4million. Makre sure. For Hadoop, Cloudera, Mapr, Intel charge in the range of $4000/node per year for enterprise Hadoop, while Hortonworks charges ~$1200/node for support contracts. Not based on 2012 market share of these three, but rather based on the fact that we are partnering with Hortonworks, we assume an average of $2500/node for a hadoop installation. We assume our additions to Hadoop be priced at $250 each (VDI and MATE) per node. We assume an average of 25 new Hadoop and 10 new HPCC customers per year, with a 100 node deployment each. So a total of $625K in new Hadoop revenue each year. We assume a 50% royalty on revenues of the added Hadoop subscription.</t>
    </r>
  </si>
  <si>
    <t>Rate Market growth (average)</t>
    <phoneticPr fontId="16" type="noConversion"/>
  </si>
  <si>
    <t>Floating Node Price</t>
    <phoneticPr fontId="16" type="noConversion"/>
  </si>
  <si>
    <t>Nodes Per User</t>
    <phoneticPr fontId="16" type="noConversion"/>
  </si>
  <si>
    <t>Revenue per User</t>
    <phoneticPr fontId="16" type="noConversion"/>
  </si>
  <si>
    <t>Num Users</t>
    <phoneticPr fontId="16" type="noConversion"/>
  </si>
  <si>
    <t>Revenue</t>
    <phoneticPr fontId="16" type="noConversion"/>
  </si>
  <si>
    <t>Total Expenses</t>
    <phoneticPr fontId="16" type="noConversion"/>
  </si>
  <si>
    <t>Phase II (2018)</t>
    <phoneticPr fontId="16" type="noConversion"/>
  </si>
  <si>
    <t xml:space="preserve">Licensing &amp; Royalties </t>
    <phoneticPr fontId="16" type="noConversion"/>
  </si>
  <si>
    <t>Max users</t>
    <phoneticPr fontId="16" type="noConversion"/>
  </si>
  <si>
    <t>Phase II (2017)</t>
    <phoneticPr fontId="16" type="noConversion"/>
  </si>
  <si>
    <t>For years 2017 to 2021</t>
    <phoneticPr fontId="16" type="noConversion"/>
  </si>
  <si>
    <t xml:space="preserve">CAE and Simulation Market Size </t>
    <phoneticPr fontId="16" type="noConversion"/>
  </si>
  <si>
    <t xml:space="preserve">Sales (Revenue)   </t>
    <phoneticPr fontId="16" type="noConversion"/>
  </si>
  <si>
    <t>How did you calculate the market size for the initial year of the projection period? How is the growth rate calculated? Is it applied over the projection period? How did you calculate/estimate the sales of the potential licensee (license revenue base)? Does the growth rate apply to this or did you estimate each year independently? How did you estimate the royalty rate (a good way to do this is to look at comparables for similar goods/services or call a licensing expert in your technology area)?</t>
    <phoneticPr fontId="16" type="noConversion"/>
  </si>
  <si>
    <t>Income Before Tax</t>
    <phoneticPr fontId="16" type="noConversion"/>
  </si>
  <si>
    <t>Income</t>
    <phoneticPr fontId="16" type="noConversion"/>
  </si>
  <si>
    <t>Net Income</t>
    <phoneticPr fontId="16" type="noConversion"/>
  </si>
  <si>
    <t>Total Revenue</t>
    <phoneticPr fontId="16" type="noConversion"/>
  </si>
  <si>
    <t>Expenses</t>
  </si>
  <si>
    <t>Revenue</t>
  </si>
  <si>
    <t xml:space="preserve"> Revenues </t>
  </si>
  <si>
    <t>SBIR R&amp;D</t>
  </si>
  <si>
    <t>SBIR/STTR Contract R&amp;D</t>
  </si>
  <si>
    <t>Assumptions accompanying financials, organized by section</t>
  </si>
  <si>
    <t>Market</t>
  </si>
  <si>
    <t>Internal R&amp;D</t>
  </si>
  <si>
    <t>Legal</t>
  </si>
  <si>
    <t xml:space="preserve">Facilities </t>
  </si>
  <si>
    <t>Taxes</t>
  </si>
  <si>
    <t xml:space="preserve"> Expenses</t>
  </si>
  <si>
    <t>Net income as %/sales</t>
  </si>
  <si>
    <t>Tax rate</t>
  </si>
  <si>
    <t>State any assumptions you used along with your methodology for calculating/estimating the expenses in this section.</t>
  </si>
  <si>
    <t>Operating Earnings (EBIT)</t>
  </si>
  <si>
    <t>Operating Margin %</t>
  </si>
  <si>
    <t>&lt;= this is also EBITDA</t>
  </si>
  <si>
    <t>Sales &amp; Marketing</t>
  </si>
  <si>
    <t>RNET Technologies, Inc.</t>
    <phoneticPr fontId="16" type="noConversion"/>
  </si>
  <si>
    <t>G&amp;A</t>
    <phoneticPr fontId="16" type="noConversion"/>
  </si>
  <si>
    <t>OH</t>
    <phoneticPr fontId="16" type="noConversion"/>
  </si>
  <si>
    <t>Back calculated revnue and CAGR</t>
    <phoneticPr fontId="16" type="noConversion"/>
  </si>
  <si>
    <t>Salary</t>
    <phoneticPr fontId="16" type="noConversion"/>
  </si>
  <si>
    <t>Loaded Rate</t>
    <phoneticPr fontId="16" type="noConversion"/>
  </si>
  <si>
    <t>25% of loaded rate</t>
    <phoneticPr fontId="16" type="noConversion"/>
  </si>
  <si>
    <t>50%of loaded Rate</t>
    <phoneticPr fontId="16" type="noConversion"/>
  </si>
  <si>
    <t>1, 2 and then 3 full time support staff/FAE</t>
    <phoneticPr fontId="16" type="noConversion"/>
  </si>
  <si>
    <t>0.25, 0.5, 1.5, and then 2 salesmen</t>
    <phoneticPr fontId="16" type="noConversion"/>
  </si>
  <si>
    <t>Cost of services (technical support)</t>
    <phoneticPr fontId="16" type="noConversion"/>
  </si>
  <si>
    <t>% market share</t>
    <phoneticPr fontId="16" type="noConversion"/>
  </si>
  <si>
    <t>Pro Forma Income Statement (CloudBench)</t>
    <phoneticPr fontId="16" type="noConversion"/>
  </si>
  <si>
    <t>Administrative (G&amp;A) - 7%</t>
    <phoneticPr fontId="16" type="noConversion"/>
  </si>
  <si>
    <t>Software Licenses Sold</t>
    <phoneticPr fontId="16" type="noConversion"/>
  </si>
  <si>
    <t>Average License Price</t>
    <phoneticPr fontId="16" type="noConversion"/>
  </si>
  <si>
    <t>Consulting or aftersale services</t>
    <phoneticPr fontId="16" type="noConversion"/>
  </si>
  <si>
    <t>Software Sales</t>
    <phoneticPr fontId="16" type="noConversion"/>
  </si>
</sst>
</file>

<file path=xl/styles.xml><?xml version="1.0" encoding="utf-8"?>
<styleSheet xmlns="http://schemas.openxmlformats.org/spreadsheetml/2006/main">
  <numFmts count="11">
    <numFmt numFmtId="5" formatCode="&quot;$&quot;#,##0_);\(&quot;$&quot;#,##0\)"/>
    <numFmt numFmtId="8" formatCode="&quot;$&quot;#,##0.00_);[Red]\(&quot;$&quot;#,##0.0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quot;$&quot;#,##0"/>
    <numFmt numFmtId="165" formatCode="0.0%"/>
    <numFmt numFmtId="166" formatCode="_(* #,##0_);_(* \(#,##0\);_(* &quot;-&quot;??_);_(@_)"/>
    <numFmt numFmtId="167" formatCode="0.000"/>
    <numFmt numFmtId="168" formatCode="&quot;$&quot;#,##0.00"/>
  </numFmts>
  <fonts count="43">
    <font>
      <sz val="10"/>
      <name val="Verdana"/>
    </font>
    <font>
      <sz val="10"/>
      <name val="Verdana"/>
    </font>
    <font>
      <b/>
      <sz val="10"/>
      <name val="Verdana"/>
    </font>
    <font>
      <sz val="10"/>
      <name val="Verdana"/>
    </font>
    <font>
      <b/>
      <sz val="10"/>
      <name val="Verdana"/>
    </font>
    <font>
      <b/>
      <i/>
      <sz val="10"/>
      <name val="Verdana"/>
    </font>
    <font>
      <sz val="10"/>
      <name val="Verdana"/>
    </font>
    <font>
      <b/>
      <sz val="18"/>
      <color indexed="9"/>
      <name val="Verdana"/>
    </font>
    <font>
      <sz val="18"/>
      <color indexed="9"/>
      <name val="Verdana"/>
    </font>
    <font>
      <b/>
      <sz val="12"/>
      <color indexed="9"/>
      <name val="Verdana"/>
    </font>
    <font>
      <b/>
      <sz val="12"/>
      <color indexed="9"/>
      <name val="Arial"/>
    </font>
    <font>
      <b/>
      <sz val="14"/>
      <name val="Verdana"/>
    </font>
    <font>
      <sz val="10"/>
      <color indexed="9"/>
      <name val="Verdana"/>
    </font>
    <font>
      <sz val="9"/>
      <color indexed="81"/>
      <name val="Geneva"/>
    </font>
    <font>
      <b/>
      <sz val="9"/>
      <color indexed="81"/>
      <name val="Geneva"/>
    </font>
    <font>
      <b/>
      <sz val="12"/>
      <color indexed="8"/>
      <name val="Arial"/>
    </font>
    <font>
      <sz val="8"/>
      <name val="Verdana"/>
    </font>
    <font>
      <b/>
      <sz val="10"/>
      <color indexed="10"/>
      <name val="Verdana"/>
    </font>
    <font>
      <b/>
      <sz val="18"/>
      <color indexed="62"/>
      <name val="Cambria"/>
      <family val="2"/>
    </font>
    <font>
      <b/>
      <sz val="15"/>
      <color indexed="62"/>
      <name val="Calibri"/>
      <family val="2"/>
    </font>
    <font>
      <b/>
      <sz val="13"/>
      <color indexed="62"/>
      <name val="Calibri"/>
      <family val="2"/>
    </font>
    <font>
      <b/>
      <sz val="11"/>
      <color indexed="62"/>
      <name val="Calibri"/>
      <family val="2"/>
    </font>
    <font>
      <sz val="11"/>
      <color indexed="17"/>
      <name val="Calibri"/>
      <family val="2"/>
    </font>
    <font>
      <sz val="11"/>
      <color indexed="14"/>
      <name val="Calibri"/>
      <family val="2"/>
    </font>
    <font>
      <sz val="11"/>
      <color indexed="60"/>
      <name val="Calibri"/>
      <family val="2"/>
    </font>
    <font>
      <sz val="11"/>
      <color indexed="62"/>
      <name val="Calibri"/>
      <family val="2"/>
    </font>
    <font>
      <b/>
      <sz val="11"/>
      <color indexed="63"/>
      <name val="Calibri"/>
      <family val="2"/>
    </font>
    <font>
      <b/>
      <sz val="11"/>
      <color indexed="52"/>
      <name val="Calibri"/>
      <family val="2"/>
    </font>
    <font>
      <sz val="11"/>
      <color indexed="52"/>
      <name val="Calibri"/>
      <family val="2"/>
    </font>
    <font>
      <b/>
      <sz val="11"/>
      <color indexed="9"/>
      <name val="Calibri"/>
      <family val="2"/>
    </font>
    <font>
      <sz val="11"/>
      <color indexed="10"/>
      <name val="Calibri"/>
      <family val="2"/>
    </font>
    <font>
      <i/>
      <sz val="11"/>
      <color indexed="23"/>
      <name val="Calibri"/>
      <family val="2"/>
    </font>
    <font>
      <b/>
      <sz val="11"/>
      <color indexed="8"/>
      <name val="Calibri"/>
      <family val="2"/>
    </font>
    <font>
      <sz val="11"/>
      <color indexed="9"/>
      <name val="Calibri"/>
      <family val="2"/>
    </font>
    <font>
      <sz val="11"/>
      <color indexed="8"/>
      <name val="Calibri"/>
      <family val="2"/>
    </font>
    <font>
      <u/>
      <sz val="10"/>
      <color indexed="12"/>
      <name val="Verdana"/>
    </font>
    <font>
      <u/>
      <sz val="10"/>
      <color indexed="20"/>
      <name val="Verdana"/>
    </font>
    <font>
      <b/>
      <sz val="12"/>
      <color indexed="9"/>
      <name val="Verdana"/>
    </font>
    <font>
      <b/>
      <sz val="9"/>
      <color indexed="81"/>
      <name val="Tahoma"/>
      <charset val="1"/>
    </font>
    <font>
      <b/>
      <i/>
      <sz val="10"/>
      <name val="Verdana"/>
    </font>
    <font>
      <b/>
      <sz val="10"/>
      <name val="Verdana"/>
    </font>
    <font>
      <sz val="10"/>
      <name val="Verdana"/>
    </font>
    <font>
      <sz val="10"/>
      <color rgb="FFFF0000"/>
      <name val="Verdana"/>
      <family val="2"/>
    </font>
  </fonts>
  <fills count="19">
    <fill>
      <patternFill patternType="none"/>
    </fill>
    <fill>
      <patternFill patternType="gray125"/>
    </fill>
    <fill>
      <patternFill patternType="solid">
        <fgColor indexed="18"/>
        <bgColor indexed="64"/>
      </patternFill>
    </fill>
    <fill>
      <patternFill patternType="solid">
        <fgColor indexed="22"/>
        <bgColor indexed="64"/>
      </patternFill>
    </fill>
    <fill>
      <patternFill patternType="solid">
        <fgColor indexed="9"/>
      </patternFill>
    </fill>
    <fill>
      <patternFill patternType="solid">
        <fgColor indexed="47"/>
      </patternFill>
    </fill>
    <fill>
      <patternFill patternType="solid">
        <fgColor indexed="26"/>
      </patternFill>
    </fill>
    <fill>
      <patternFill patternType="solid">
        <fgColor indexed="27"/>
      </patternFill>
    </fill>
    <fill>
      <patternFill patternType="solid">
        <fgColor indexed="22"/>
      </patternFill>
    </fill>
    <fill>
      <patternFill patternType="solid">
        <fgColor indexed="29"/>
      </patternFill>
    </fill>
    <fill>
      <patternFill patternType="solid">
        <fgColor indexed="43"/>
      </patternFill>
    </fill>
    <fill>
      <patternFill patternType="solid">
        <fgColor indexed="44"/>
      </patternFill>
    </fill>
    <fill>
      <patternFill patternType="solid">
        <fgColor indexed="49"/>
      </patternFill>
    </fill>
    <fill>
      <patternFill patternType="solid">
        <fgColor indexed="19"/>
      </patternFill>
    </fill>
    <fill>
      <patternFill patternType="solid">
        <fgColor indexed="54"/>
      </patternFill>
    </fill>
    <fill>
      <patternFill patternType="solid">
        <fgColor indexed="53"/>
      </patternFill>
    </fill>
    <fill>
      <patternFill patternType="solid">
        <fgColor indexed="45"/>
      </patternFill>
    </fill>
    <fill>
      <patternFill patternType="solid">
        <fgColor indexed="55"/>
      </patternFill>
    </fill>
    <fill>
      <patternFill patternType="solid">
        <fgColor indexed="42"/>
      </patternFill>
    </fill>
  </fills>
  <borders count="52">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double">
        <color auto="1"/>
      </bottom>
      <diagonal/>
    </border>
    <border>
      <left style="thin">
        <color auto="1"/>
      </left>
      <right style="medium">
        <color auto="1"/>
      </right>
      <top style="thin">
        <color auto="1"/>
      </top>
      <bottom style="double">
        <color auto="1"/>
      </bottom>
      <diagonal/>
    </border>
    <border>
      <left style="medium">
        <color auto="1"/>
      </left>
      <right style="thin">
        <color auto="1"/>
      </right>
      <top style="thin">
        <color auto="1"/>
      </top>
      <bottom style="medium">
        <color auto="1"/>
      </bottom>
      <diagonal/>
    </border>
    <border>
      <left style="thin">
        <color auto="1"/>
      </left>
      <right style="thin">
        <color auto="1"/>
      </right>
      <top/>
      <bottom style="medium">
        <color auto="1"/>
      </bottom>
      <diagonal/>
    </border>
    <border>
      <left style="thin">
        <color auto="1"/>
      </left>
      <right style="medium">
        <color auto="1"/>
      </right>
      <top/>
      <bottom style="medium">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medium">
        <color auto="1"/>
      </right>
      <top style="medium">
        <color auto="1"/>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bottom/>
      <diagonal/>
    </border>
    <border>
      <left style="medium">
        <color auto="1"/>
      </left>
      <right/>
      <top/>
      <bottom/>
      <diagonal/>
    </border>
    <border>
      <left/>
      <right style="medium">
        <color auto="1"/>
      </right>
      <top/>
      <bottom/>
      <diagonal/>
    </border>
    <border>
      <left style="medium">
        <color auto="1"/>
      </left>
      <right style="medium">
        <color auto="1"/>
      </right>
      <top/>
      <bottom style="medium">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9"/>
      </bottom>
      <diagonal/>
    </border>
    <border>
      <left/>
      <right/>
      <top/>
      <bottom style="thick">
        <color indexed="22"/>
      </bottom>
      <diagonal/>
    </border>
    <border>
      <left/>
      <right/>
      <top/>
      <bottom style="medium">
        <color indexed="49"/>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49"/>
      </top>
      <bottom style="double">
        <color indexed="49"/>
      </bottom>
      <diagonal/>
    </border>
    <border>
      <left style="thin">
        <color auto="1"/>
      </left>
      <right style="medium">
        <color auto="1"/>
      </right>
      <top/>
      <bottom style="thin">
        <color auto="1"/>
      </bottom>
      <diagonal/>
    </border>
    <border>
      <left style="thin">
        <color indexed="64"/>
      </left>
      <right/>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medium">
        <color indexed="64"/>
      </right>
      <top style="thin">
        <color indexed="64"/>
      </top>
      <bottom style="double">
        <color indexed="64"/>
      </bottom>
      <diagonal/>
    </border>
    <border>
      <left style="thin">
        <color indexed="64"/>
      </left>
      <right style="medium">
        <color indexed="64"/>
      </right>
      <top/>
      <bottom style="medium">
        <color indexed="64"/>
      </bottom>
      <diagonal/>
    </border>
  </borders>
  <cellStyleXfs count="47">
    <xf numFmtId="0" fontId="0" fillId="0" borderId="0"/>
    <xf numFmtId="0" fontId="34" fillId="4" borderId="0" applyNumberFormat="0" applyBorder="0" applyAlignment="0" applyProtection="0"/>
    <xf numFmtId="0" fontId="34" fillId="5" borderId="0" applyNumberFormat="0" applyBorder="0" applyAlignment="0" applyProtection="0"/>
    <xf numFmtId="0" fontId="34" fillId="6" borderId="0" applyNumberFormat="0" applyBorder="0" applyAlignment="0" applyProtection="0"/>
    <xf numFmtId="0" fontId="34" fillId="4" borderId="0" applyNumberFormat="0" applyBorder="0" applyAlignment="0" applyProtection="0"/>
    <xf numFmtId="0" fontId="34" fillId="7" borderId="0" applyNumberFormat="0" applyBorder="0" applyAlignment="0" applyProtection="0"/>
    <xf numFmtId="0" fontId="34" fillId="5" borderId="0" applyNumberFormat="0" applyBorder="0" applyAlignment="0" applyProtection="0"/>
    <xf numFmtId="0" fontId="34" fillId="8" borderId="0" applyNumberFormat="0" applyBorder="0" applyAlignment="0" applyProtection="0"/>
    <xf numFmtId="0" fontId="34" fillId="9" borderId="0" applyNumberFormat="0" applyBorder="0" applyAlignment="0" applyProtection="0"/>
    <xf numFmtId="0" fontId="34" fillId="10" borderId="0" applyNumberFormat="0" applyBorder="0" applyAlignment="0" applyProtection="0"/>
    <xf numFmtId="0" fontId="34" fillId="8" borderId="0" applyNumberFormat="0" applyBorder="0" applyAlignment="0" applyProtection="0"/>
    <xf numFmtId="0" fontId="34" fillId="11" borderId="0" applyNumberFormat="0" applyBorder="0" applyAlignment="0" applyProtection="0"/>
    <xf numFmtId="0" fontId="34" fillId="5" borderId="0" applyNumberFormat="0" applyBorder="0" applyAlignment="0" applyProtection="0"/>
    <xf numFmtId="0" fontId="33" fillId="12" borderId="0" applyNumberFormat="0" applyBorder="0" applyAlignment="0" applyProtection="0"/>
    <xf numFmtId="0" fontId="33" fillId="9" borderId="0" applyNumberFormat="0" applyBorder="0" applyAlignment="0" applyProtection="0"/>
    <xf numFmtId="0" fontId="33" fillId="10" borderId="0" applyNumberFormat="0" applyBorder="0" applyAlignment="0" applyProtection="0"/>
    <xf numFmtId="0" fontId="33" fillId="8" borderId="0" applyNumberFormat="0" applyBorder="0" applyAlignment="0" applyProtection="0"/>
    <xf numFmtId="0" fontId="33" fillId="12" borderId="0" applyNumberFormat="0" applyBorder="0" applyAlignment="0" applyProtection="0"/>
    <xf numFmtId="0" fontId="33" fillId="5" borderId="0" applyNumberFormat="0" applyBorder="0" applyAlignment="0" applyProtection="0"/>
    <xf numFmtId="0" fontId="33" fillId="12" borderId="0" applyNumberFormat="0" applyBorder="0" applyAlignment="0" applyProtection="0"/>
    <xf numFmtId="0" fontId="33" fillId="13" borderId="0" applyNumberFormat="0" applyBorder="0" applyAlignment="0" applyProtection="0"/>
    <xf numFmtId="0" fontId="33" fillId="13" borderId="0" applyNumberFormat="0" applyBorder="0" applyAlignment="0" applyProtection="0"/>
    <xf numFmtId="0" fontId="33" fillId="14" borderId="0" applyNumberFormat="0" applyBorder="0" applyAlignment="0" applyProtection="0"/>
    <xf numFmtId="0" fontId="33" fillId="12" borderId="0" applyNumberFormat="0" applyBorder="0" applyAlignment="0" applyProtection="0"/>
    <xf numFmtId="0" fontId="33" fillId="15" borderId="0" applyNumberFormat="0" applyBorder="0" applyAlignment="0" applyProtection="0"/>
    <xf numFmtId="0" fontId="23" fillId="16" borderId="0" applyNumberFormat="0" applyBorder="0" applyAlignment="0" applyProtection="0"/>
    <xf numFmtId="0" fontId="27" fillId="4" borderId="32" applyNumberFormat="0" applyAlignment="0" applyProtection="0"/>
    <xf numFmtId="0" fontId="29" fillId="17" borderId="33" applyNumberFormat="0" applyAlignment="0" applyProtection="0"/>
    <xf numFmtId="43" fontId="6" fillId="0" borderId="0" applyFont="0" applyFill="0" applyBorder="0" applyAlignment="0" applyProtection="0"/>
    <xf numFmtId="0" fontId="31" fillId="0" borderId="0" applyNumberFormat="0" applyFill="0" applyBorder="0" applyAlignment="0" applyProtection="0"/>
    <xf numFmtId="0" fontId="22" fillId="18" borderId="0" applyNumberFormat="0" applyBorder="0" applyAlignment="0" applyProtection="0"/>
    <xf numFmtId="0" fontId="19" fillId="0" borderId="34" applyNumberFormat="0" applyFill="0" applyAlignment="0" applyProtection="0"/>
    <xf numFmtId="0" fontId="20" fillId="0" borderId="35" applyNumberFormat="0" applyFill="0" applyAlignment="0" applyProtection="0"/>
    <xf numFmtId="0" fontId="21" fillId="0" borderId="36" applyNumberFormat="0" applyFill="0" applyAlignment="0" applyProtection="0"/>
    <xf numFmtId="0" fontId="21" fillId="0" borderId="0" applyNumberFormat="0" applyFill="0" applyBorder="0" applyAlignment="0" applyProtection="0"/>
    <xf numFmtId="0" fontId="25" fillId="5" borderId="32" applyNumberFormat="0" applyAlignment="0" applyProtection="0"/>
    <xf numFmtId="0" fontId="28" fillId="0" borderId="37" applyNumberFormat="0" applyFill="0" applyAlignment="0" applyProtection="0"/>
    <xf numFmtId="0" fontId="24" fillId="10" borderId="0" applyNumberFormat="0" applyBorder="0" applyAlignment="0" applyProtection="0"/>
    <xf numFmtId="0" fontId="6" fillId="6" borderId="38" applyNumberFormat="0" applyFont="0" applyAlignment="0" applyProtection="0"/>
    <xf numFmtId="0" fontId="26" fillId="4" borderId="39" applyNumberFormat="0" applyAlignment="0" applyProtection="0"/>
    <xf numFmtId="9" fontId="6" fillId="0" borderId="0" applyFont="0" applyFill="0" applyBorder="0" applyAlignment="0" applyProtection="0"/>
    <xf numFmtId="0" fontId="18" fillId="0" borderId="0" applyNumberFormat="0" applyFill="0" applyBorder="0" applyAlignment="0" applyProtection="0"/>
    <xf numFmtId="0" fontId="32" fillId="0" borderId="40" applyNumberFormat="0" applyFill="0" applyAlignment="0" applyProtection="0"/>
    <xf numFmtId="0" fontId="30" fillId="0" borderId="0" applyNumberFormat="0" applyFill="0" applyBorder="0" applyAlignment="0" applyProtection="0"/>
    <xf numFmtId="0" fontId="35" fillId="0" borderId="0" applyNumberFormat="0" applyFill="0" applyBorder="0" applyAlignment="0" applyProtection="0"/>
    <xf numFmtId="0" fontId="36" fillId="0" borderId="0" applyNumberFormat="0" applyFill="0" applyBorder="0" applyAlignment="0" applyProtection="0"/>
    <xf numFmtId="44" fontId="1" fillId="0" borderId="0" applyFont="0" applyFill="0" applyBorder="0" applyAlignment="0" applyProtection="0"/>
  </cellStyleXfs>
  <cellXfs count="112">
    <xf numFmtId="0" fontId="0" fillId="0" borderId="0" xfId="0"/>
    <xf numFmtId="0" fontId="11" fillId="0" borderId="0" xfId="0" applyFont="1" applyAlignment="1">
      <alignment vertical="top"/>
    </xf>
    <xf numFmtId="0" fontId="11" fillId="0" borderId="0" xfId="0" applyFont="1"/>
    <xf numFmtId="37" fontId="0" fillId="0" borderId="0" xfId="0" applyNumberFormat="1"/>
    <xf numFmtId="37" fontId="15" fillId="0" borderId="0" xfId="0" applyNumberFormat="1" applyFont="1"/>
    <xf numFmtId="3" fontId="6" fillId="0" borderId="0" xfId="0" applyNumberFormat="1" applyFont="1" applyAlignment="1">
      <alignment horizontal="center"/>
    </xf>
    <xf numFmtId="166" fontId="0" fillId="0" borderId="0" xfId="0" applyNumberFormat="1"/>
    <xf numFmtId="9" fontId="6" fillId="0" borderId="4" xfId="40" applyFont="1" applyFill="1" applyBorder="1" applyAlignment="1">
      <alignment horizontal="center"/>
    </xf>
    <xf numFmtId="9" fontId="6" fillId="0" borderId="9" xfId="40" applyFont="1" applyFill="1" applyBorder="1" applyAlignment="1">
      <alignment horizontal="center"/>
    </xf>
    <xf numFmtId="0" fontId="12" fillId="2" borderId="6" xfId="0" applyFont="1" applyFill="1" applyBorder="1"/>
    <xf numFmtId="0" fontId="12" fillId="2" borderId="7" xfId="0" applyFont="1" applyFill="1" applyBorder="1"/>
    <xf numFmtId="0" fontId="11" fillId="3" borderId="12" xfId="0" applyFont="1" applyFill="1" applyBorder="1" applyAlignment="1">
      <alignment horizontal="right" vertical="top" wrapText="1"/>
    </xf>
    <xf numFmtId="0" fontId="4" fillId="3" borderId="12" xfId="0" applyFont="1" applyFill="1" applyBorder="1" applyAlignment="1">
      <alignment horizontal="right" vertical="top" wrapText="1"/>
    </xf>
    <xf numFmtId="165" fontId="0" fillId="0" borderId="19" xfId="40" applyNumberFormat="1" applyFont="1" applyFill="1" applyBorder="1" applyAlignment="1">
      <alignment horizontal="center"/>
    </xf>
    <xf numFmtId="165" fontId="0" fillId="0" borderId="20" xfId="40" applyNumberFormat="1" applyFont="1" applyFill="1" applyBorder="1" applyAlignment="1">
      <alignment horizontal="center"/>
    </xf>
    <xf numFmtId="164" fontId="4" fillId="0" borderId="13" xfId="28" applyNumberFormat="1" applyFont="1" applyFill="1" applyBorder="1" applyAlignment="1">
      <alignment horizontal="center"/>
    </xf>
    <xf numFmtId="164" fontId="17" fillId="0" borderId="13" xfId="0" applyNumberFormat="1" applyFont="1" applyFill="1" applyBorder="1" applyAlignment="1">
      <alignment horizontal="center"/>
    </xf>
    <xf numFmtId="164" fontId="17" fillId="0" borderId="14" xfId="0" applyNumberFormat="1" applyFont="1" applyFill="1" applyBorder="1" applyAlignment="1">
      <alignment horizontal="center"/>
    </xf>
    <xf numFmtId="164" fontId="4" fillId="0" borderId="18" xfId="0" applyNumberFormat="1" applyFont="1" applyFill="1" applyBorder="1" applyAlignment="1">
      <alignment horizontal="center"/>
    </xf>
    <xf numFmtId="164" fontId="17" fillId="0" borderId="0" xfId="0" applyNumberFormat="1" applyFont="1" applyFill="1" applyBorder="1" applyAlignment="1">
      <alignment horizontal="center"/>
    </xf>
    <xf numFmtId="0" fontId="11" fillId="0" borderId="0" xfId="0" applyFont="1" applyFill="1" applyBorder="1" applyAlignment="1">
      <alignment horizontal="right" vertical="top" wrapText="1"/>
    </xf>
    <xf numFmtId="0" fontId="5" fillId="3" borderId="8" xfId="0" applyFont="1" applyFill="1" applyBorder="1" applyAlignment="1">
      <alignment vertical="top" wrapText="1"/>
    </xf>
    <xf numFmtId="167" fontId="0" fillId="0" borderId="0" xfId="0" applyNumberFormat="1"/>
    <xf numFmtId="164" fontId="4" fillId="0" borderId="41" xfId="0" applyNumberFormat="1" applyFont="1" applyFill="1" applyBorder="1" applyAlignment="1">
      <alignment horizontal="center"/>
    </xf>
    <xf numFmtId="0" fontId="0" fillId="0" borderId="0" xfId="0" quotePrefix="1"/>
    <xf numFmtId="0" fontId="40" fillId="0" borderId="0" xfId="0" applyFont="1"/>
    <xf numFmtId="0" fontId="39" fillId="3" borderId="8" xfId="0" applyFont="1" applyFill="1" applyBorder="1" applyAlignment="1">
      <alignment vertical="top" wrapText="1"/>
    </xf>
    <xf numFmtId="9" fontId="0" fillId="0" borderId="0" xfId="0" applyNumberFormat="1"/>
    <xf numFmtId="0" fontId="0" fillId="0" borderId="23" xfId="0" applyBorder="1"/>
    <xf numFmtId="165" fontId="0" fillId="0" borderId="6" xfId="0" applyNumberFormat="1" applyFill="1" applyBorder="1" applyAlignment="1">
      <alignment horizontal="center"/>
    </xf>
    <xf numFmtId="165" fontId="0" fillId="0" borderId="7" xfId="0" applyNumberFormat="1" applyFill="1" applyBorder="1" applyAlignment="1">
      <alignment horizontal="center"/>
    </xf>
    <xf numFmtId="0" fontId="39" fillId="3" borderId="46" xfId="0" applyFont="1" applyFill="1" applyBorder="1" applyAlignment="1">
      <alignment wrapText="1"/>
    </xf>
    <xf numFmtId="0" fontId="10" fillId="2" borderId="6" xfId="0" applyFont="1" applyFill="1" applyBorder="1" applyAlignment="1">
      <alignment horizontal="center"/>
    </xf>
    <xf numFmtId="0" fontId="10" fillId="2" borderId="7" xfId="0" applyFont="1" applyFill="1" applyBorder="1" applyAlignment="1">
      <alignment horizontal="center"/>
    </xf>
    <xf numFmtId="165" fontId="0" fillId="0" borderId="44" xfId="40" applyNumberFormat="1" applyFont="1" applyFill="1" applyBorder="1"/>
    <xf numFmtId="165" fontId="0" fillId="0" borderId="45" xfId="40" applyNumberFormat="1" applyFont="1" applyFill="1" applyBorder="1"/>
    <xf numFmtId="164" fontId="3" fillId="0" borderId="4" xfId="0" applyNumberFormat="1" applyFont="1" applyFill="1" applyBorder="1" applyAlignment="1">
      <alignment horizontal="center"/>
    </xf>
    <xf numFmtId="164" fontId="3" fillId="0" borderId="10" xfId="0" applyNumberFormat="1" applyFont="1" applyFill="1" applyBorder="1" applyAlignment="1">
      <alignment horizontal="center"/>
    </xf>
    <xf numFmtId="164" fontId="3" fillId="0" borderId="11" xfId="0" applyNumberFormat="1" applyFont="1" applyFill="1" applyBorder="1" applyAlignment="1">
      <alignment horizontal="center"/>
    </xf>
    <xf numFmtId="164" fontId="0" fillId="0" borderId="4" xfId="0" applyNumberFormat="1" applyFill="1" applyBorder="1" applyAlignment="1">
      <alignment horizontal="center"/>
    </xf>
    <xf numFmtId="164" fontId="0" fillId="0" borderId="9" xfId="0" applyNumberFormat="1" applyFill="1" applyBorder="1" applyAlignment="1">
      <alignment horizontal="center"/>
    </xf>
    <xf numFmtId="164" fontId="0" fillId="0" borderId="4" xfId="0" applyNumberFormat="1" applyFill="1" applyBorder="1"/>
    <xf numFmtId="164" fontId="0" fillId="0" borderId="47" xfId="0" applyNumberFormat="1" applyFill="1" applyBorder="1"/>
    <xf numFmtId="164" fontId="6" fillId="0" borderId="4" xfId="40" applyNumberFormat="1" applyFont="1" applyFill="1" applyBorder="1" applyAlignment="1">
      <alignment horizontal="center"/>
    </xf>
    <xf numFmtId="164" fontId="6" fillId="0" borderId="47" xfId="40" applyNumberFormat="1" applyFont="1" applyFill="1" applyBorder="1" applyAlignment="1">
      <alignment horizontal="center"/>
    </xf>
    <xf numFmtId="164" fontId="6" fillId="0" borderId="10" xfId="0" applyNumberFormat="1" applyFont="1" applyFill="1" applyBorder="1" applyAlignment="1">
      <alignment horizontal="center"/>
    </xf>
    <xf numFmtId="164" fontId="6" fillId="0" borderId="11" xfId="0" applyNumberFormat="1" applyFont="1" applyFill="1" applyBorder="1" applyAlignment="1">
      <alignment horizontal="center"/>
    </xf>
    <xf numFmtId="164" fontId="0" fillId="0" borderId="0" xfId="0" applyNumberFormat="1"/>
    <xf numFmtId="10" fontId="0" fillId="0" borderId="0" xfId="0" applyNumberFormat="1"/>
    <xf numFmtId="164" fontId="0" fillId="0" borderId="0" xfId="0" applyNumberFormat="1"/>
    <xf numFmtId="10" fontId="0" fillId="0" borderId="0" xfId="0" applyNumberFormat="1"/>
    <xf numFmtId="164" fontId="0" fillId="0" borderId="48" xfId="0" applyNumberFormat="1" applyFill="1" applyBorder="1" applyAlignment="1">
      <alignment horizontal="center"/>
    </xf>
    <xf numFmtId="164" fontId="0" fillId="0" borderId="49" xfId="0" applyNumberFormat="1" applyFill="1" applyBorder="1" applyAlignment="1">
      <alignment horizontal="center"/>
    </xf>
    <xf numFmtId="164" fontId="0" fillId="0" borderId="50" xfId="0" applyNumberFormat="1" applyFill="1" applyBorder="1" applyAlignment="1">
      <alignment horizontal="center"/>
    </xf>
    <xf numFmtId="0" fontId="0" fillId="0" borderId="0" xfId="0" applyAlignment="1">
      <alignment wrapText="1"/>
    </xf>
    <xf numFmtId="0" fontId="4" fillId="0" borderId="0" xfId="0" applyFont="1" applyAlignment="1">
      <alignment wrapText="1"/>
    </xf>
    <xf numFmtId="0" fontId="9" fillId="2" borderId="5" xfId="0" applyFont="1" applyFill="1" applyBorder="1" applyAlignment="1">
      <alignment wrapText="1"/>
    </xf>
    <xf numFmtId="0" fontId="5" fillId="3" borderId="8" xfId="0" applyFont="1" applyFill="1" applyBorder="1" applyAlignment="1">
      <alignment wrapText="1"/>
    </xf>
    <xf numFmtId="0" fontId="0" fillId="0" borderId="22" xfId="0" applyBorder="1" applyAlignment="1">
      <alignment wrapText="1"/>
    </xf>
    <xf numFmtId="0" fontId="11" fillId="3" borderId="8" xfId="0" applyFont="1" applyFill="1" applyBorder="1" applyAlignment="1">
      <alignment horizontal="right" wrapText="1"/>
    </xf>
    <xf numFmtId="168" fontId="0" fillId="0" borderId="0" xfId="0" applyNumberFormat="1" applyAlignment="1">
      <alignment wrapText="1"/>
    </xf>
    <xf numFmtId="164" fontId="0" fillId="0" borderId="0" xfId="0" applyNumberFormat="1" applyAlignment="1">
      <alignment wrapText="1"/>
    </xf>
    <xf numFmtId="0" fontId="2" fillId="3" borderId="46" xfId="0" applyFont="1" applyFill="1" applyBorder="1" applyAlignment="1">
      <alignment wrapText="1"/>
    </xf>
    <xf numFmtId="0" fontId="2" fillId="3" borderId="43" xfId="0" applyFont="1" applyFill="1" applyBorder="1" applyAlignment="1">
      <alignment wrapText="1"/>
    </xf>
    <xf numFmtId="0" fontId="0" fillId="0" borderId="0" xfId="46" applyNumberFormat="1" applyFont="1"/>
    <xf numFmtId="164" fontId="40" fillId="0" borderId="4" xfId="0" applyNumberFormat="1" applyFont="1" applyFill="1" applyBorder="1" applyAlignment="1">
      <alignment horizontal="center"/>
    </xf>
    <xf numFmtId="0" fontId="3" fillId="0" borderId="4" xfId="0" applyNumberFormat="1" applyFont="1" applyFill="1" applyBorder="1" applyAlignment="1">
      <alignment horizontal="center"/>
    </xf>
    <xf numFmtId="10" fontId="40" fillId="0" borderId="0" xfId="0" applyNumberFormat="1" applyFont="1"/>
    <xf numFmtId="0" fontId="5" fillId="3" borderId="43" xfId="0" applyFont="1" applyFill="1" applyBorder="1" applyAlignment="1">
      <alignment wrapText="1"/>
    </xf>
    <xf numFmtId="10" fontId="0" fillId="0" borderId="44" xfId="0" applyNumberFormat="1" applyFill="1" applyBorder="1" applyAlignment="1">
      <alignment horizontal="center"/>
    </xf>
    <xf numFmtId="10" fontId="0" fillId="0" borderId="45" xfId="0" applyNumberFormat="1" applyFill="1" applyBorder="1" applyAlignment="1">
      <alignment horizontal="center"/>
    </xf>
    <xf numFmtId="0" fontId="3" fillId="0" borderId="47" xfId="0" applyNumberFormat="1" applyFont="1" applyFill="1" applyBorder="1" applyAlignment="1">
      <alignment horizontal="center"/>
    </xf>
    <xf numFmtId="164" fontId="3" fillId="0" borderId="47" xfId="0" applyNumberFormat="1" applyFont="1" applyFill="1" applyBorder="1" applyAlignment="1">
      <alignment horizontal="center"/>
    </xf>
    <xf numFmtId="164" fontId="40" fillId="0" borderId="47" xfId="0" applyNumberFormat="1" applyFont="1" applyFill="1" applyBorder="1" applyAlignment="1">
      <alignment horizontal="center"/>
    </xf>
    <xf numFmtId="164" fontId="4" fillId="0" borderId="51" xfId="28" applyNumberFormat="1" applyFont="1" applyFill="1" applyBorder="1" applyAlignment="1">
      <alignment horizontal="center"/>
    </xf>
    <xf numFmtId="0" fontId="9" fillId="2" borderId="15" xfId="0" applyFont="1" applyFill="1" applyBorder="1" applyAlignment="1">
      <alignment wrapText="1"/>
    </xf>
    <xf numFmtId="0" fontId="0" fillId="0" borderId="16" xfId="0" applyBorder="1" applyAlignment="1">
      <alignment wrapText="1"/>
    </xf>
    <xf numFmtId="0" fontId="0" fillId="0" borderId="17" xfId="0" applyBorder="1" applyAlignment="1">
      <alignment wrapText="1"/>
    </xf>
    <xf numFmtId="0" fontId="7" fillId="2" borderId="1" xfId="0" applyFont="1" applyFill="1" applyBorder="1" applyAlignment="1">
      <alignment horizontal="center" vertical="center" wrapText="1"/>
    </xf>
    <xf numFmtId="0" fontId="8" fillId="2" borderId="2" xfId="0" applyFont="1" applyFill="1" applyBorder="1" applyAlignment="1">
      <alignment horizontal="center" vertical="center" wrapText="1"/>
    </xf>
    <xf numFmtId="0" fontId="8" fillId="2" borderId="3" xfId="0" applyFont="1" applyFill="1" applyBorder="1" applyAlignment="1">
      <alignment horizontal="center" vertical="center" wrapText="1"/>
    </xf>
    <xf numFmtId="0" fontId="37" fillId="2" borderId="42" xfId="0" applyFont="1" applyFill="1" applyBorder="1" applyAlignment="1">
      <alignment horizontal="center" vertical="center"/>
    </xf>
    <xf numFmtId="0" fontId="37" fillId="2" borderId="0" xfId="0" applyFont="1" applyFill="1" applyBorder="1" applyAlignment="1">
      <alignment horizontal="center" vertical="center"/>
    </xf>
    <xf numFmtId="0" fontId="11" fillId="3" borderId="0" xfId="0" applyFont="1" applyFill="1" applyAlignment="1">
      <alignment horizontal="center"/>
    </xf>
    <xf numFmtId="0" fontId="0" fillId="0" borderId="0" xfId="0" applyAlignment="1"/>
    <xf numFmtId="0" fontId="0" fillId="0" borderId="22" xfId="0" applyBorder="1" applyAlignment="1">
      <alignment vertical="top" wrapText="1"/>
    </xf>
    <xf numFmtId="0" fontId="0" fillId="0" borderId="23" xfId="0" applyBorder="1" applyAlignment="1">
      <alignment vertical="top" wrapText="1"/>
    </xf>
    <xf numFmtId="0" fontId="0" fillId="0" borderId="23" xfId="0" applyBorder="1" applyAlignment="1"/>
    <xf numFmtId="0" fontId="0" fillId="0" borderId="24" xfId="0" applyBorder="1" applyAlignment="1"/>
    <xf numFmtId="0" fontId="0" fillId="0" borderId="26" xfId="0" applyBorder="1" applyAlignment="1">
      <alignment vertical="top" wrapText="1"/>
    </xf>
    <xf numFmtId="0" fontId="0" fillId="0" borderId="0" xfId="0" applyBorder="1" applyAlignment="1">
      <alignment vertical="top" wrapText="1"/>
    </xf>
    <xf numFmtId="0" fontId="0" fillId="0" borderId="0" xfId="0" applyBorder="1" applyAlignment="1"/>
    <xf numFmtId="0" fontId="0" fillId="0" borderId="27" xfId="0" applyBorder="1" applyAlignment="1"/>
    <xf numFmtId="0" fontId="0" fillId="0" borderId="29" xfId="0" applyBorder="1" applyAlignment="1">
      <alignment vertical="top" wrapText="1"/>
    </xf>
    <xf numFmtId="0" fontId="0" fillId="0" borderId="30" xfId="0" applyBorder="1" applyAlignment="1">
      <alignment vertical="top" wrapText="1"/>
    </xf>
    <xf numFmtId="0" fontId="0" fillId="0" borderId="30" xfId="0" applyBorder="1" applyAlignment="1"/>
    <xf numFmtId="0" fontId="0" fillId="0" borderId="31" xfId="0" applyBorder="1" applyAlignment="1"/>
    <xf numFmtId="0" fontId="41" fillId="0" borderId="22" xfId="0" applyFont="1" applyBorder="1" applyAlignment="1">
      <alignment vertical="top" wrapText="1"/>
    </xf>
    <xf numFmtId="0" fontId="0" fillId="0" borderId="22" xfId="0" applyBorder="1" applyAlignment="1">
      <alignment horizontal="left" vertical="top" wrapText="1"/>
    </xf>
    <xf numFmtId="0" fontId="0" fillId="0" borderId="23" xfId="0" applyBorder="1" applyAlignment="1">
      <alignment horizontal="left" vertical="top" wrapText="1"/>
    </xf>
    <xf numFmtId="0" fontId="0" fillId="0" borderId="26" xfId="0" applyBorder="1" applyAlignment="1">
      <alignment horizontal="left" vertical="top" wrapText="1"/>
    </xf>
    <xf numFmtId="0" fontId="0" fillId="0" borderId="0" xfId="0" applyBorder="1" applyAlignment="1">
      <alignment horizontal="left" vertical="top" wrapText="1"/>
    </xf>
    <xf numFmtId="0" fontId="0" fillId="0" borderId="29" xfId="0" applyBorder="1" applyAlignment="1"/>
    <xf numFmtId="0" fontId="4" fillId="0" borderId="21" xfId="0" applyFont="1" applyBorder="1" applyAlignment="1">
      <alignment vertical="center" wrapText="1"/>
    </xf>
    <xf numFmtId="0" fontId="4" fillId="0" borderId="25" xfId="0" applyFont="1" applyBorder="1" applyAlignment="1">
      <alignment vertical="center" wrapText="1"/>
    </xf>
    <xf numFmtId="0" fontId="4" fillId="0" borderId="28" xfId="0" applyFont="1" applyBorder="1" applyAlignment="1">
      <alignment vertical="center" wrapText="1"/>
    </xf>
    <xf numFmtId="0" fontId="4" fillId="0" borderId="22" xfId="0" applyFont="1" applyBorder="1" applyAlignment="1">
      <alignment horizontal="center" vertical="center" wrapText="1"/>
    </xf>
    <xf numFmtId="0" fontId="4" fillId="0" borderId="26" xfId="0" applyFont="1" applyBorder="1" applyAlignment="1">
      <alignment horizontal="center" vertical="center" wrapText="1"/>
    </xf>
    <xf numFmtId="0" fontId="4" fillId="0" borderId="29" xfId="0" applyFont="1" applyBorder="1" applyAlignment="1">
      <alignment horizontal="center" vertical="center" wrapText="1"/>
    </xf>
    <xf numFmtId="0" fontId="4" fillId="0" borderId="21" xfId="0" applyFont="1" applyBorder="1" applyAlignment="1">
      <alignment horizontal="center" vertical="center"/>
    </xf>
    <xf numFmtId="0" fontId="4" fillId="0" borderId="25" xfId="0" applyFont="1" applyBorder="1" applyAlignment="1">
      <alignment horizontal="center" vertical="center"/>
    </xf>
    <xf numFmtId="0" fontId="4" fillId="0" borderId="28" xfId="0" applyFont="1" applyBorder="1" applyAlignment="1">
      <alignment horizontal="center" vertical="center"/>
    </xf>
  </cellXfs>
  <cellStyles count="47">
    <cellStyle name="20% - Accent1" xfId="1"/>
    <cellStyle name="20% - Accent2" xfId="2"/>
    <cellStyle name="20% - Accent3" xfId="3"/>
    <cellStyle name="20% - Accent4" xfId="4"/>
    <cellStyle name="20% - Accent5" xfId="5"/>
    <cellStyle name="20% - Accent6" xfId="6"/>
    <cellStyle name="40% - Accent1" xfId="7"/>
    <cellStyle name="40% - Accent2" xfId="8"/>
    <cellStyle name="40% - Accent3" xfId="9"/>
    <cellStyle name="40% - Accent4" xfId="10"/>
    <cellStyle name="40% - Accent5" xfId="11"/>
    <cellStyle name="40% - Accent6" xfId="12"/>
    <cellStyle name="60% - Accent1" xfId="13"/>
    <cellStyle name="60% - Accent2" xfId="14"/>
    <cellStyle name="60% - Accent3" xfId="15"/>
    <cellStyle name="60% - Accent4" xfId="16"/>
    <cellStyle name="60% - Accent5" xfId="17"/>
    <cellStyle name="60% - Accent6" xfId="18"/>
    <cellStyle name="Accent1" xfId="19"/>
    <cellStyle name="Accent2" xfId="20"/>
    <cellStyle name="Accent3" xfId="21"/>
    <cellStyle name="Accent4" xfId="22"/>
    <cellStyle name="Accent5" xfId="23"/>
    <cellStyle name="Accent6" xfId="24"/>
    <cellStyle name="Bad" xfId="25"/>
    <cellStyle name="Calculation" xfId="26"/>
    <cellStyle name="Check Cell" xfId="27"/>
    <cellStyle name="Comma" xfId="28" builtinId="3"/>
    <cellStyle name="Currency" xfId="46" builtinId="4"/>
    <cellStyle name="Explanatory Text" xfId="29"/>
    <cellStyle name="Followed Hyperlink" xfId="45" builtinId="9" hidden="1"/>
    <cellStyle name="Good" xfId="30"/>
    <cellStyle name="Heading 1" xfId="31"/>
    <cellStyle name="Heading 2" xfId="32"/>
    <cellStyle name="Heading 3" xfId="33"/>
    <cellStyle name="Heading 4" xfId="34"/>
    <cellStyle name="Hyperlink" xfId="44" builtinId="8" hidden="1"/>
    <cellStyle name="Input" xfId="35"/>
    <cellStyle name="Linked Cell" xfId="36"/>
    <cellStyle name="Neutral" xfId="37"/>
    <cellStyle name="Normal" xfId="0" builtinId="0"/>
    <cellStyle name="Note" xfId="38"/>
    <cellStyle name="Output" xfId="39"/>
    <cellStyle name="Percent" xfId="40" builtinId="5"/>
    <cellStyle name="Title" xfId="41"/>
    <cellStyle name="Total" xfId="42"/>
    <cellStyle name="Warning Text" xfId="43"/>
  </cellStyles>
  <dxfs count="0"/>
  <tableStyles count="0" defaultTableStyle="TableStyleMedium9"/>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7</xdr:col>
      <xdr:colOff>0</xdr:colOff>
      <xdr:row>21</xdr:row>
      <xdr:rowOff>0</xdr:rowOff>
    </xdr:from>
    <xdr:to>
      <xdr:col>7</xdr:col>
      <xdr:colOff>0</xdr:colOff>
      <xdr:row>21</xdr:row>
      <xdr:rowOff>0</xdr:rowOff>
    </xdr:to>
    <xdr:sp macro="" textlink="">
      <xdr:nvSpPr>
        <xdr:cNvPr id="1083" name="Text Box 12"/>
        <xdr:cNvSpPr txBox="1">
          <a:spLocks noChangeArrowheads="1"/>
        </xdr:cNvSpPr>
      </xdr:nvSpPr>
      <xdr:spPr bwMode="auto">
        <a:xfrm>
          <a:off x="9779000" y="4546600"/>
          <a:ext cx="0" cy="0"/>
        </a:xfrm>
        <a:prstGeom prst="rect">
          <a:avLst/>
        </a:prstGeom>
        <a:solidFill>
          <a:srgbClr val="FFFFFF"/>
        </a:solidFill>
        <a:ln w="9525">
          <a:solidFill>
            <a:srgbClr val="000000"/>
          </a:solidFill>
          <a:miter lim="800000"/>
          <a:headEnd/>
          <a:tailEnd/>
        </a:ln>
      </xdr:spPr>
      <xdr:txBody>
        <a:bodyPr vertOverflow="clip" wrap="square" lIns="18288" tIns="0" rIns="0" bIns="0" rtlCol="0" anchor="ctr" upright="1"/>
        <a:lstStyle/>
        <a:p>
          <a:pPr algn="ctr"/>
          <a:endParaRPr lang="en-US"/>
        </a:p>
      </xdr:txBody>
    </xdr:sp>
    <xdr:clientData/>
  </xdr:twoCellAnchor>
  <xdr:twoCellAnchor editAs="oneCell">
    <xdr:from>
      <xdr:col>9</xdr:col>
      <xdr:colOff>577934</xdr:colOff>
      <xdr:row>0</xdr:row>
      <xdr:rowOff>0</xdr:rowOff>
    </xdr:from>
    <xdr:to>
      <xdr:col>16</xdr:col>
      <xdr:colOff>686421</xdr:colOff>
      <xdr:row>27</xdr:row>
      <xdr:rowOff>44451</xdr:rowOff>
    </xdr:to>
    <xdr:pic>
      <xdr:nvPicPr>
        <xdr:cNvPr id="3" name="Picture 2"/>
        <xdr:cNvPicPr>
          <a:picLocks noChangeAspect="1"/>
        </xdr:cNvPicPr>
      </xdr:nvPicPr>
      <xdr:blipFill>
        <a:blip xmlns:r="http://schemas.openxmlformats.org/officeDocument/2006/relationships" r:embed="rId1"/>
        <a:stretch>
          <a:fillRect/>
        </a:stretch>
      </xdr:blipFill>
      <xdr:spPr>
        <a:xfrm>
          <a:off x="11669267" y="0"/>
          <a:ext cx="6924154" cy="68580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enableFormatConditionsCalculation="0">
    <pageSetUpPr fitToPage="1"/>
  </sheetPr>
  <dimension ref="A2:J93"/>
  <sheetViews>
    <sheetView tabSelected="1" topLeftCell="A4" zoomScale="150" zoomScaleNormal="90" zoomScalePageLayoutView="90" workbookViewId="0">
      <selection activeCell="A4" sqref="A4:G41"/>
    </sheetView>
  </sheetViews>
  <sheetFormatPr baseColWidth="10" defaultColWidth="11" defaultRowHeight="13"/>
  <cols>
    <col min="1" max="1" width="3.5703125" customWidth="1"/>
    <col min="2" max="2" width="20" style="54" customWidth="1"/>
    <col min="3" max="3" width="14.7109375" customWidth="1"/>
    <col min="4" max="4" width="13.5703125" customWidth="1"/>
    <col min="5" max="5" width="13.7109375" customWidth="1"/>
    <col min="6" max="6" width="16.7109375" customWidth="1"/>
    <col min="7" max="7" width="15.5703125" customWidth="1"/>
  </cols>
  <sheetData>
    <row r="2" spans="1:9" ht="23">
      <c r="B2" s="78" t="s">
        <v>51</v>
      </c>
      <c r="C2" s="79"/>
      <c r="D2" s="79"/>
      <c r="E2" s="79"/>
      <c r="F2" s="79"/>
      <c r="G2" s="80"/>
    </row>
    <row r="4" spans="1:9" ht="16">
      <c r="B4" s="55"/>
      <c r="C4" s="81" t="s">
        <v>39</v>
      </c>
      <c r="D4" s="82"/>
      <c r="E4" s="82"/>
      <c r="F4" s="82"/>
    </row>
    <row r="5" spans="1:9" ht="16">
      <c r="C5" s="81" t="s">
        <v>12</v>
      </c>
      <c r="D5" s="82"/>
      <c r="E5" s="82"/>
      <c r="F5" s="82"/>
    </row>
    <row r="6" spans="1:9" ht="14" thickBot="1"/>
    <row r="7" spans="1:9" ht="18">
      <c r="A7" s="1">
        <v>1</v>
      </c>
      <c r="B7" s="56" t="s">
        <v>26</v>
      </c>
      <c r="C7" s="32" t="s">
        <v>11</v>
      </c>
      <c r="D7" s="32" t="s">
        <v>8</v>
      </c>
      <c r="E7" s="32">
        <v>2019</v>
      </c>
      <c r="F7" s="32">
        <v>2020</v>
      </c>
      <c r="G7" s="33">
        <v>2021</v>
      </c>
    </row>
    <row r="8" spans="1:9" ht="26">
      <c r="B8" s="21" t="s">
        <v>13</v>
      </c>
      <c r="C8" s="39">
        <v>7000000000</v>
      </c>
      <c r="D8" s="39">
        <f>C8*(1+C9)</f>
        <v>7770000000.000001</v>
      </c>
      <c r="E8" s="39">
        <f>D8*(1+D9)</f>
        <v>8624700000.0000019</v>
      </c>
      <c r="F8" s="39">
        <f>E8*(1+E9)</f>
        <v>9573417000.0000038</v>
      </c>
      <c r="G8" s="40">
        <f>F8*(1+F9)</f>
        <v>10626492870.000006</v>
      </c>
    </row>
    <row r="9" spans="1:9" ht="26">
      <c r="A9" s="1"/>
      <c r="B9" s="21" t="s">
        <v>1</v>
      </c>
      <c r="C9" s="7">
        <v>0.11</v>
      </c>
      <c r="D9" s="7">
        <v>0.11</v>
      </c>
      <c r="E9" s="7">
        <v>0.11</v>
      </c>
      <c r="F9" s="7">
        <v>0.11</v>
      </c>
      <c r="G9" s="8">
        <v>0.11</v>
      </c>
    </row>
    <row r="10" spans="1:9" ht="18">
      <c r="A10" s="2"/>
      <c r="B10" s="57" t="s">
        <v>14</v>
      </c>
      <c r="C10" s="39">
        <f>C16+C17</f>
        <v>0</v>
      </c>
      <c r="D10" s="39">
        <f t="shared" ref="D10:G10" si="0">D16+D17</f>
        <v>200000</v>
      </c>
      <c r="E10" s="39">
        <f t="shared" si="0"/>
        <v>1000000</v>
      </c>
      <c r="F10" s="39">
        <f t="shared" si="0"/>
        <v>1900000</v>
      </c>
      <c r="G10" s="40">
        <f t="shared" si="0"/>
        <v>3500000</v>
      </c>
      <c r="H10">
        <f>E10/E8</f>
        <v>1.1594606189200781E-4</v>
      </c>
      <c r="I10">
        <f>F10/F8</f>
        <v>1.9846623206740073E-4</v>
      </c>
    </row>
    <row r="11" spans="1:9" ht="19" thickBot="1">
      <c r="A11" s="2"/>
      <c r="B11" s="68" t="s">
        <v>50</v>
      </c>
      <c r="C11" s="69">
        <f t="shared" ref="C11:D11" si="1">C10/C8</f>
        <v>0</v>
      </c>
      <c r="D11" s="69">
        <f t="shared" si="1"/>
        <v>2.5740025740025736E-5</v>
      </c>
      <c r="E11" s="69">
        <f>E10/E8</f>
        <v>1.1594606189200781E-4</v>
      </c>
      <c r="F11" s="69">
        <f>F10/F8</f>
        <v>1.9846623206740073E-4</v>
      </c>
      <c r="G11" s="70">
        <f>G10/G8</f>
        <v>3.2936548707249998E-4</v>
      </c>
    </row>
    <row r="12" spans="1:9" ht="14" thickBot="1"/>
    <row r="13" spans="1:9" ht="18">
      <c r="A13" s="2">
        <v>2</v>
      </c>
      <c r="B13" s="56" t="s">
        <v>22</v>
      </c>
      <c r="C13" s="9"/>
      <c r="D13" s="9"/>
      <c r="E13" s="9"/>
      <c r="F13" s="9"/>
      <c r="G13" s="10"/>
    </row>
    <row r="14" spans="1:9" ht="18">
      <c r="A14" s="2"/>
      <c r="B14" s="31" t="s">
        <v>53</v>
      </c>
      <c r="C14" s="66">
        <v>0</v>
      </c>
      <c r="D14" s="66">
        <v>100</v>
      </c>
      <c r="E14" s="66">
        <v>700</v>
      </c>
      <c r="F14" s="66">
        <v>1400</v>
      </c>
      <c r="G14" s="71">
        <v>2800</v>
      </c>
      <c r="I14" s="50" t="e">
        <f>#REF!/(G14+#REF!)</f>
        <v>#REF!</v>
      </c>
    </row>
    <row r="15" spans="1:9" ht="18">
      <c r="A15" s="2"/>
      <c r="B15" s="31" t="s">
        <v>54</v>
      </c>
      <c r="C15" s="36">
        <v>1000</v>
      </c>
      <c r="D15" s="36">
        <v>1000</v>
      </c>
      <c r="E15" s="36">
        <v>1000</v>
      </c>
      <c r="F15" s="36">
        <v>1000</v>
      </c>
      <c r="G15" s="72">
        <v>1000</v>
      </c>
      <c r="I15" s="50"/>
    </row>
    <row r="16" spans="1:9" s="25" customFormat="1" ht="18">
      <c r="A16" s="2"/>
      <c r="B16" s="31" t="s">
        <v>56</v>
      </c>
      <c r="C16" s="65">
        <f>C14*C15</f>
        <v>0</v>
      </c>
      <c r="D16" s="65">
        <f>D14*D15</f>
        <v>100000</v>
      </c>
      <c r="E16" s="65">
        <f t="shared" ref="E16:G16" si="2">E14*E15</f>
        <v>700000</v>
      </c>
      <c r="F16" s="65">
        <f t="shared" si="2"/>
        <v>1400000</v>
      </c>
      <c r="G16" s="73">
        <f t="shared" si="2"/>
        <v>2800000</v>
      </c>
      <c r="I16" s="67"/>
    </row>
    <row r="17" spans="1:9" ht="27">
      <c r="A17" s="2"/>
      <c r="B17" s="31" t="s">
        <v>55</v>
      </c>
      <c r="C17" s="36"/>
      <c r="D17" s="36">
        <v>100000</v>
      </c>
      <c r="E17" s="36">
        <v>300000</v>
      </c>
      <c r="F17" s="36">
        <v>500000</v>
      </c>
      <c r="G17" s="72">
        <v>700000</v>
      </c>
      <c r="I17" s="50"/>
    </row>
    <row r="18" spans="1:9" ht="31" customHeight="1" thickBot="1">
      <c r="A18" s="2"/>
      <c r="B18" s="57" t="s">
        <v>24</v>
      </c>
      <c r="C18" s="37">
        <v>500000</v>
      </c>
      <c r="D18" s="37">
        <v>500000</v>
      </c>
      <c r="E18" s="37">
        <v>0</v>
      </c>
      <c r="F18" s="37">
        <v>0</v>
      </c>
      <c r="G18" s="38">
        <v>0</v>
      </c>
    </row>
    <row r="19" spans="1:9" ht="19" thickBot="1">
      <c r="A19" s="2"/>
      <c r="B19" s="11" t="s">
        <v>19</v>
      </c>
      <c r="C19" s="15">
        <f>SUM(C16:C18)</f>
        <v>500000</v>
      </c>
      <c r="D19" s="15">
        <f t="shared" ref="D19:G19" si="3">SUM(D16:D18)</f>
        <v>700000</v>
      </c>
      <c r="E19" s="15">
        <f t="shared" si="3"/>
        <v>1000000</v>
      </c>
      <c r="F19" s="15">
        <f t="shared" si="3"/>
        <v>1900000</v>
      </c>
      <c r="G19" s="74">
        <f t="shared" si="3"/>
        <v>3500000</v>
      </c>
    </row>
    <row r="20" spans="1:9" ht="19" thickBot="1">
      <c r="A20" s="2"/>
      <c r="B20" s="58"/>
      <c r="C20" s="28"/>
      <c r="D20" s="28"/>
      <c r="E20" s="29"/>
      <c r="F20" s="29"/>
      <c r="G20" s="30"/>
      <c r="H20" s="25"/>
    </row>
    <row r="21" spans="1:9" ht="18">
      <c r="A21" s="2">
        <v>3</v>
      </c>
      <c r="B21" s="75" t="s">
        <v>20</v>
      </c>
      <c r="C21" s="76"/>
      <c r="D21" s="76"/>
      <c r="E21" s="76"/>
      <c r="F21" s="76"/>
      <c r="G21" s="77"/>
    </row>
    <row r="22" spans="1:9" ht="18">
      <c r="A22" s="2"/>
      <c r="B22" s="26" t="s">
        <v>9</v>
      </c>
      <c r="C22" s="43">
        <v>0</v>
      </c>
      <c r="D22" s="43">
        <v>0</v>
      </c>
      <c r="E22" s="43">
        <v>0</v>
      </c>
      <c r="F22" s="43">
        <v>0</v>
      </c>
      <c r="G22" s="43">
        <v>0</v>
      </c>
    </row>
    <row r="23" spans="1:9" ht="18">
      <c r="A23" s="2"/>
      <c r="B23" s="26" t="s">
        <v>38</v>
      </c>
      <c r="C23" s="43">
        <v>0</v>
      </c>
      <c r="D23" s="39">
        <f>E84</f>
        <v>92400</v>
      </c>
      <c r="E23" s="39">
        <f>C84</f>
        <v>184800</v>
      </c>
      <c r="F23" s="39">
        <f>2*E23</f>
        <v>369600</v>
      </c>
      <c r="G23" s="40">
        <f>F23</f>
        <v>369600</v>
      </c>
      <c r="H23" t="s">
        <v>48</v>
      </c>
    </row>
    <row r="24" spans="1:9" ht="27">
      <c r="A24" s="2"/>
      <c r="B24" s="57" t="s">
        <v>49</v>
      </c>
      <c r="C24" s="39">
        <v>0</v>
      </c>
      <c r="D24" s="39">
        <f>E80</f>
        <v>61600</v>
      </c>
      <c r="E24" s="39">
        <f>2*D24</f>
        <v>123200</v>
      </c>
      <c r="F24" s="39">
        <f>2*E24</f>
        <v>246400</v>
      </c>
      <c r="G24" s="40">
        <f>F24</f>
        <v>246400</v>
      </c>
      <c r="H24" t="s">
        <v>47</v>
      </c>
    </row>
    <row r="25" spans="1:9" ht="26">
      <c r="A25" s="2"/>
      <c r="B25" s="26" t="s">
        <v>52</v>
      </c>
      <c r="C25" s="43">
        <v>0</v>
      </c>
      <c r="D25" s="43">
        <f>(D23+D27+D28+D29)*$C$72</f>
        <v>20636.000000000004</v>
      </c>
      <c r="E25" s="43">
        <f>(E23+E27+E28+E29)*$C$72</f>
        <v>30072.000000000004</v>
      </c>
      <c r="F25" s="43">
        <f t="shared" ref="F25:G25" si="4">(F23+F27+F28+F29)*$C$72</f>
        <v>56476.000000000007</v>
      </c>
      <c r="G25" s="44">
        <f>F24*1.25</f>
        <v>308000</v>
      </c>
    </row>
    <row r="26" spans="1:9" ht="19" thickBot="1">
      <c r="A26" s="2"/>
      <c r="B26" s="21" t="s">
        <v>23</v>
      </c>
      <c r="C26" s="45">
        <f>C18*0.93</f>
        <v>465000</v>
      </c>
      <c r="D26" s="45">
        <f>D18*0.93</f>
        <v>465000</v>
      </c>
      <c r="E26" s="45"/>
      <c r="F26" s="45"/>
      <c r="G26" s="46"/>
    </row>
    <row r="27" spans="1:9" ht="18">
      <c r="A27" s="2"/>
      <c r="B27" s="57" t="s">
        <v>27</v>
      </c>
      <c r="C27" s="39">
        <v>0</v>
      </c>
      <c r="D27" s="39">
        <f>E84</f>
        <v>92400</v>
      </c>
      <c r="E27" s="39">
        <f>C84</f>
        <v>184800</v>
      </c>
      <c r="F27" s="39">
        <f>E27*1.5</f>
        <v>277200</v>
      </c>
      <c r="G27" s="40">
        <f>F27*1.25</f>
        <v>346500</v>
      </c>
    </row>
    <row r="28" spans="1:9" ht="18">
      <c r="A28" s="2"/>
      <c r="B28" s="57" t="s">
        <v>28</v>
      </c>
      <c r="C28" s="43">
        <v>0</v>
      </c>
      <c r="D28" s="43">
        <v>100000</v>
      </c>
      <c r="E28" s="39">
        <v>50000</v>
      </c>
      <c r="F28" s="39">
        <v>150000</v>
      </c>
      <c r="G28" s="40">
        <v>300000</v>
      </c>
    </row>
    <row r="29" spans="1:9" ht="19" thickBot="1">
      <c r="A29" s="2"/>
      <c r="B29" s="21" t="s">
        <v>29</v>
      </c>
      <c r="C29" s="45">
        <v>0</v>
      </c>
      <c r="D29" s="46">
        <v>10000</v>
      </c>
      <c r="E29" s="51">
        <v>10000</v>
      </c>
      <c r="F29" s="52">
        <v>10000</v>
      </c>
      <c r="G29" s="53">
        <v>20000</v>
      </c>
    </row>
    <row r="30" spans="1:9" ht="19" thickBot="1">
      <c r="A30" s="2"/>
      <c r="B30" s="11" t="s">
        <v>7</v>
      </c>
      <c r="C30" s="16">
        <f>SUM(C22:C29)</f>
        <v>465000</v>
      </c>
      <c r="D30" s="16">
        <f>SUM(D22:D29)</f>
        <v>842036</v>
      </c>
      <c r="E30" s="16">
        <f>SUM(E22:E29)</f>
        <v>582872</v>
      </c>
      <c r="F30" s="16">
        <f>SUM(F22:F29)</f>
        <v>1109676</v>
      </c>
      <c r="G30" s="17">
        <f>SUM(G22:G29)</f>
        <v>1590500</v>
      </c>
    </row>
    <row r="31" spans="1:9" ht="19" thickBot="1">
      <c r="A31" s="2"/>
      <c r="B31" s="20"/>
      <c r="C31" s="19"/>
      <c r="D31" s="19"/>
      <c r="E31" s="19"/>
      <c r="F31" s="19"/>
      <c r="G31" s="19"/>
    </row>
    <row r="32" spans="1:9" ht="18">
      <c r="A32" s="2">
        <v>4</v>
      </c>
      <c r="B32" s="75" t="s">
        <v>35</v>
      </c>
      <c r="C32" s="76"/>
      <c r="D32" s="76"/>
      <c r="E32" s="76"/>
      <c r="F32" s="76"/>
      <c r="G32" s="77"/>
      <c r="H32" s="24" t="s">
        <v>37</v>
      </c>
    </row>
    <row r="33" spans="1:10" ht="27">
      <c r="A33" s="2"/>
      <c r="B33" s="62" t="s">
        <v>35</v>
      </c>
      <c r="C33" s="41">
        <f>C19-C30</f>
        <v>35000</v>
      </c>
      <c r="D33" s="41">
        <f>D19-D30</f>
        <v>-142036</v>
      </c>
      <c r="E33" s="41">
        <f>E19-E30</f>
        <v>417128</v>
      </c>
      <c r="F33" s="41">
        <f>F19-F30</f>
        <v>790324</v>
      </c>
      <c r="G33" s="42">
        <f>G19-G30</f>
        <v>1909500</v>
      </c>
    </row>
    <row r="34" spans="1:10" ht="14" thickBot="1">
      <c r="B34" s="63" t="s">
        <v>36</v>
      </c>
      <c r="C34" s="34">
        <f>C33/C19</f>
        <v>7.0000000000000007E-2</v>
      </c>
      <c r="D34" s="34">
        <f>D33/D19</f>
        <v>-0.20290857142857144</v>
      </c>
      <c r="E34" s="34">
        <f>E33/E19</f>
        <v>0.417128</v>
      </c>
      <c r="F34" s="34">
        <f>F33/F19</f>
        <v>0.41596</v>
      </c>
      <c r="G34" s="35">
        <f>G33/G19</f>
        <v>0.5455714285714286</v>
      </c>
    </row>
    <row r="35" spans="1:10" ht="19" thickBot="1">
      <c r="A35" s="2"/>
      <c r="H35" s="6"/>
      <c r="I35" s="6"/>
      <c r="J35" s="6"/>
    </row>
    <row r="36" spans="1:10" ht="18">
      <c r="A36" s="2">
        <v>5</v>
      </c>
      <c r="B36" s="75" t="s">
        <v>17</v>
      </c>
      <c r="C36" s="76"/>
      <c r="D36" s="76"/>
      <c r="E36" s="76"/>
      <c r="F36" s="76"/>
      <c r="G36" s="77"/>
    </row>
    <row r="37" spans="1:10" ht="18">
      <c r="A37" s="2"/>
      <c r="B37" s="21" t="s">
        <v>16</v>
      </c>
      <c r="C37" s="39">
        <f>C19-C30</f>
        <v>35000</v>
      </c>
      <c r="D37" s="39">
        <f>D19-D30</f>
        <v>-142036</v>
      </c>
      <c r="E37" s="39">
        <f>E19-E30</f>
        <v>417128</v>
      </c>
      <c r="F37" s="39">
        <f>F19-F30</f>
        <v>790324</v>
      </c>
      <c r="G37" s="40">
        <f>G19-G30</f>
        <v>1909500</v>
      </c>
    </row>
    <row r="38" spans="1:10" ht="18">
      <c r="A38" s="2"/>
      <c r="B38" s="21" t="s">
        <v>33</v>
      </c>
      <c r="C38" s="7">
        <v>0.35</v>
      </c>
      <c r="D38" s="7">
        <v>0.35</v>
      </c>
      <c r="E38" s="7">
        <v>0.35</v>
      </c>
      <c r="F38" s="7">
        <v>0.35</v>
      </c>
      <c r="G38" s="8">
        <v>0.35</v>
      </c>
    </row>
    <row r="39" spans="1:10" ht="19" thickBot="1">
      <c r="A39" s="2"/>
      <c r="B39" s="57" t="s">
        <v>30</v>
      </c>
      <c r="C39" s="45">
        <f>IF(C37&gt;0,C37*C38,0)</f>
        <v>12250</v>
      </c>
      <c r="D39" s="45">
        <f t="shared" ref="D39:G39" si="5">IF(D37&gt;0,D37*D38,0)</f>
        <v>0</v>
      </c>
      <c r="E39" s="45">
        <f t="shared" si="5"/>
        <v>145994.79999999999</v>
      </c>
      <c r="F39" s="45">
        <f t="shared" si="5"/>
        <v>276613.39999999997</v>
      </c>
      <c r="G39" s="46">
        <f t="shared" si="5"/>
        <v>668325</v>
      </c>
    </row>
    <row r="40" spans="1:10" ht="18">
      <c r="A40" s="2"/>
      <c r="B40" s="59" t="s">
        <v>18</v>
      </c>
      <c r="C40" s="18">
        <f>IF(C37&lt;0,C37,C37*(1-C38))</f>
        <v>22750</v>
      </c>
      <c r="D40" s="18">
        <f>IF(D37&lt;0,D37,D37*(1-D38))</f>
        <v>-142036</v>
      </c>
      <c r="E40" s="18">
        <f>IF(E37&lt;0,E37,E37*(1-E38))</f>
        <v>271133.2</v>
      </c>
      <c r="F40" s="18">
        <f>IF(F37&lt;0,F37,F37*(1-F38))</f>
        <v>513710.60000000003</v>
      </c>
      <c r="G40" s="23">
        <f>IF(G37&lt;0,G37,G37*(1-G38))</f>
        <v>1241175</v>
      </c>
    </row>
    <row r="41" spans="1:10" ht="19" thickBot="1">
      <c r="A41" s="2"/>
      <c r="B41" s="12" t="s">
        <v>32</v>
      </c>
      <c r="C41" s="13">
        <f>C40/C19</f>
        <v>4.5499999999999999E-2</v>
      </c>
      <c r="D41" s="13">
        <f>D40/D19</f>
        <v>-0.20290857142857144</v>
      </c>
      <c r="E41" s="13">
        <f>E40/E19</f>
        <v>0.27113320000000002</v>
      </c>
      <c r="F41" s="13">
        <f>F40/F19</f>
        <v>0.270374</v>
      </c>
      <c r="G41" s="14">
        <f>G40/G19</f>
        <v>0.35462142857142859</v>
      </c>
    </row>
    <row r="43" spans="1:10">
      <c r="E43" s="5"/>
    </row>
    <row r="44" spans="1:10">
      <c r="C44" s="22"/>
    </row>
    <row r="45" spans="1:10" ht="15">
      <c r="F45" s="4"/>
      <c r="G45" s="3"/>
    </row>
    <row r="49" spans="2:8" ht="26">
      <c r="B49" s="54" t="s">
        <v>42</v>
      </c>
      <c r="C49" s="47">
        <f t="shared" ref="C49:E51" si="6">ROUND(D49/(1+$G52),0)</f>
        <v>1200927169</v>
      </c>
      <c r="D49" s="47">
        <f t="shared" si="6"/>
        <v>1364253264</v>
      </c>
      <c r="E49" s="47">
        <f t="shared" si="6"/>
        <v>1549791708</v>
      </c>
      <c r="F49" s="47">
        <f>ROUND(G49/(1+$G52),0)</f>
        <v>1760563380</v>
      </c>
      <c r="G49" s="47">
        <v>2000000000</v>
      </c>
    </row>
    <row r="50" spans="2:8">
      <c r="C50" s="47">
        <f t="shared" si="6"/>
        <v>1992389543</v>
      </c>
      <c r="D50" s="47">
        <f t="shared" si="6"/>
        <v>2412783737</v>
      </c>
      <c r="E50" s="47">
        <f t="shared" si="6"/>
        <v>2921881105</v>
      </c>
      <c r="F50" s="47">
        <f t="shared" ref="F50:F51" si="7">ROUND(G50/(1+$G53),0)</f>
        <v>3538398018</v>
      </c>
      <c r="G50" s="47">
        <v>4285000000</v>
      </c>
    </row>
    <row r="51" spans="2:8">
      <c r="C51" s="47">
        <f t="shared" si="6"/>
        <v>3074849439</v>
      </c>
      <c r="D51" s="47">
        <f t="shared" si="6"/>
        <v>3254728131</v>
      </c>
      <c r="E51" s="47">
        <f t="shared" si="6"/>
        <v>3445129727</v>
      </c>
      <c r="F51" s="47">
        <f t="shared" si="7"/>
        <v>3646669816</v>
      </c>
      <c r="G51" s="47">
        <v>3860000000</v>
      </c>
    </row>
    <row r="52" spans="2:8">
      <c r="G52" s="48">
        <v>0.13600000000000001</v>
      </c>
    </row>
    <row r="53" spans="2:8">
      <c r="G53" s="48">
        <v>0.21099999999999999</v>
      </c>
    </row>
    <row r="54" spans="2:8">
      <c r="G54" s="48">
        <v>5.8500000000000003E-2</v>
      </c>
      <c r="H54">
        <f>AVERAGE(G52:G54)</f>
        <v>0.13516666666666666</v>
      </c>
    </row>
    <row r="58" spans="2:8">
      <c r="B58" s="60">
        <f>C58/1.13</f>
        <v>5547049691.1504431</v>
      </c>
      <c r="C58" s="47">
        <f>SUM(C49:C51)</f>
        <v>6268166151</v>
      </c>
      <c r="D58" s="47">
        <f t="shared" ref="D58:G58" si="8">SUM(D49:D51)</f>
        <v>7031765132</v>
      </c>
      <c r="E58" s="47">
        <f t="shared" si="8"/>
        <v>7916802540</v>
      </c>
      <c r="F58" s="47">
        <f t="shared" si="8"/>
        <v>8945631214</v>
      </c>
      <c r="G58" s="47">
        <f t="shared" si="8"/>
        <v>10145000000</v>
      </c>
    </row>
    <row r="59" spans="2:8">
      <c r="D59" s="48">
        <f>D58/C58-1</f>
        <v>0.1218217517859157</v>
      </c>
      <c r="E59" s="48">
        <f t="shared" ref="E59:G59" si="9">E58/D58-1</f>
        <v>0.12586276580433431</v>
      </c>
      <c r="F59" s="48">
        <f t="shared" si="9"/>
        <v>0.12995507577734777</v>
      </c>
      <c r="G59" s="48">
        <f t="shared" si="9"/>
        <v>0.13407313104110252</v>
      </c>
    </row>
    <row r="65" spans="2:10">
      <c r="B65" s="54" t="s">
        <v>2</v>
      </c>
      <c r="E65" s="49">
        <v>1000</v>
      </c>
      <c r="F65" s="49">
        <v>1000</v>
      </c>
      <c r="G65" s="49">
        <v>1000</v>
      </c>
      <c r="H65" s="49">
        <v>1000</v>
      </c>
    </row>
    <row r="66" spans="2:10">
      <c r="B66" s="54" t="s">
        <v>3</v>
      </c>
      <c r="E66">
        <v>1</v>
      </c>
      <c r="F66">
        <v>1</v>
      </c>
      <c r="G66">
        <v>1</v>
      </c>
      <c r="H66">
        <v>1</v>
      </c>
    </row>
    <row r="67" spans="2:10">
      <c r="B67" s="54" t="s">
        <v>4</v>
      </c>
      <c r="E67" s="49">
        <f t="shared" ref="E67:G67" si="10">E65*E66</f>
        <v>1000</v>
      </c>
      <c r="F67" s="49">
        <f t="shared" si="10"/>
        <v>1000</v>
      </c>
      <c r="G67" s="49">
        <f t="shared" si="10"/>
        <v>1000</v>
      </c>
      <c r="H67" s="49">
        <f t="shared" ref="H67" si="11">H65*H66</f>
        <v>1000</v>
      </c>
    </row>
    <row r="68" spans="2:10">
      <c r="B68" s="54" t="s">
        <v>5</v>
      </c>
      <c r="E68">
        <f>F68/2</f>
        <v>700</v>
      </c>
      <c r="F68">
        <f>G68/2</f>
        <v>1400</v>
      </c>
      <c r="G68">
        <f>H68/10</f>
        <v>2800</v>
      </c>
      <c r="H68">
        <v>28000</v>
      </c>
      <c r="I68" t="s">
        <v>10</v>
      </c>
    </row>
    <row r="69" spans="2:10">
      <c r="B69" s="54" t="s">
        <v>6</v>
      </c>
      <c r="E69" s="49">
        <f t="shared" ref="E69:G69" si="12">E67*E68</f>
        <v>700000</v>
      </c>
      <c r="F69" s="49">
        <f t="shared" si="12"/>
        <v>1400000</v>
      </c>
      <c r="G69" s="49">
        <f t="shared" si="12"/>
        <v>2800000</v>
      </c>
      <c r="H69" s="49">
        <f t="shared" ref="H69" si="13">H67*H68</f>
        <v>28000000</v>
      </c>
      <c r="J69" s="64">
        <f>(0.11/0.0064)/10</f>
        <v>1.71875</v>
      </c>
    </row>
    <row r="70" spans="2:10">
      <c r="E70" s="49"/>
      <c r="F70">
        <f>F68/2</f>
        <v>700</v>
      </c>
      <c r="G70">
        <f>G68/3</f>
        <v>933.33333333333337</v>
      </c>
      <c r="H70">
        <f>H68/3</f>
        <v>9333.3333333333339</v>
      </c>
    </row>
    <row r="72" spans="2:10">
      <c r="B72" s="54" t="s">
        <v>40</v>
      </c>
      <c r="C72" s="27">
        <v>7.0000000000000007E-2</v>
      </c>
    </row>
    <row r="73" spans="2:10">
      <c r="B73" s="54" t="s">
        <v>41</v>
      </c>
      <c r="C73" s="27">
        <v>0.54</v>
      </c>
    </row>
    <row r="75" spans="2:10">
      <c r="J75">
        <f>500*350</f>
        <v>175000</v>
      </c>
    </row>
    <row r="76" spans="2:10">
      <c r="B76" s="54" t="s">
        <v>43</v>
      </c>
      <c r="C76" t="s">
        <v>44</v>
      </c>
      <c r="D76" t="s">
        <v>45</v>
      </c>
      <c r="E76" t="s">
        <v>46</v>
      </c>
    </row>
    <row r="77" spans="2:10">
      <c r="B77" s="61">
        <v>50000</v>
      </c>
      <c r="C77" s="49">
        <f>B77*(1+$C$73)</f>
        <v>77000</v>
      </c>
      <c r="D77" s="49">
        <f>C77*0.25</f>
        <v>19250</v>
      </c>
      <c r="E77" s="49">
        <f>C77*0.5</f>
        <v>38500</v>
      </c>
    </row>
    <row r="78" spans="2:10">
      <c r="B78" s="61">
        <v>60000</v>
      </c>
      <c r="C78" s="49">
        <f t="shared" ref="C78:C93" si="14">B78*(1+$C$73)</f>
        <v>92400</v>
      </c>
      <c r="D78" s="49">
        <f t="shared" ref="D78:D93" si="15">C78*0.25</f>
        <v>23100</v>
      </c>
      <c r="E78" s="49">
        <f t="shared" ref="E78:E93" si="16">C78*0.5</f>
        <v>46200</v>
      </c>
    </row>
    <row r="79" spans="2:10">
      <c r="B79" s="61">
        <v>70000</v>
      </c>
      <c r="C79" s="49">
        <f t="shared" si="14"/>
        <v>107800</v>
      </c>
      <c r="D79" s="49">
        <f t="shared" si="15"/>
        <v>26950</v>
      </c>
      <c r="E79" s="49">
        <f t="shared" si="16"/>
        <v>53900</v>
      </c>
    </row>
    <row r="80" spans="2:10">
      <c r="B80" s="61">
        <v>80000</v>
      </c>
      <c r="C80" s="49">
        <f t="shared" si="14"/>
        <v>123200</v>
      </c>
      <c r="D80" s="49">
        <f t="shared" si="15"/>
        <v>30800</v>
      </c>
      <c r="E80" s="49">
        <f t="shared" si="16"/>
        <v>61600</v>
      </c>
    </row>
    <row r="81" spans="2:5">
      <c r="B81" s="61">
        <v>90000</v>
      </c>
      <c r="C81" s="49">
        <f t="shared" si="14"/>
        <v>138600</v>
      </c>
      <c r="D81" s="49">
        <f t="shared" si="15"/>
        <v>34650</v>
      </c>
      <c r="E81" s="49">
        <f t="shared" si="16"/>
        <v>69300</v>
      </c>
    </row>
    <row r="82" spans="2:5">
      <c r="B82" s="61">
        <v>100000</v>
      </c>
      <c r="C82" s="49">
        <f t="shared" si="14"/>
        <v>154000</v>
      </c>
      <c r="D82" s="49">
        <f t="shared" si="15"/>
        <v>38500</v>
      </c>
      <c r="E82" s="49">
        <f t="shared" si="16"/>
        <v>77000</v>
      </c>
    </row>
    <row r="83" spans="2:5">
      <c r="B83" s="61">
        <v>110000</v>
      </c>
      <c r="C83" s="49">
        <f t="shared" si="14"/>
        <v>169400</v>
      </c>
      <c r="D83" s="49">
        <f t="shared" si="15"/>
        <v>42350</v>
      </c>
      <c r="E83" s="49">
        <f t="shared" si="16"/>
        <v>84700</v>
      </c>
    </row>
    <row r="84" spans="2:5">
      <c r="B84" s="61">
        <v>120000</v>
      </c>
      <c r="C84" s="49">
        <f t="shared" si="14"/>
        <v>184800</v>
      </c>
      <c r="D84" s="49">
        <f t="shared" si="15"/>
        <v>46200</v>
      </c>
      <c r="E84" s="49">
        <f t="shared" si="16"/>
        <v>92400</v>
      </c>
    </row>
    <row r="85" spans="2:5">
      <c r="B85" s="61">
        <v>130000</v>
      </c>
      <c r="C85" s="49">
        <f t="shared" si="14"/>
        <v>200200</v>
      </c>
      <c r="D85" s="49">
        <f t="shared" si="15"/>
        <v>50050</v>
      </c>
      <c r="E85" s="49">
        <f t="shared" si="16"/>
        <v>100100</v>
      </c>
    </row>
    <row r="86" spans="2:5">
      <c r="B86" s="61">
        <v>140000</v>
      </c>
      <c r="C86" s="49">
        <f t="shared" si="14"/>
        <v>215600</v>
      </c>
      <c r="D86" s="49">
        <f t="shared" si="15"/>
        <v>53900</v>
      </c>
      <c r="E86" s="49">
        <f t="shared" si="16"/>
        <v>107800</v>
      </c>
    </row>
    <row r="87" spans="2:5">
      <c r="B87" s="61">
        <v>150000</v>
      </c>
      <c r="C87" s="49">
        <f t="shared" si="14"/>
        <v>231000</v>
      </c>
      <c r="D87" s="49">
        <f t="shared" si="15"/>
        <v>57750</v>
      </c>
      <c r="E87" s="49">
        <f t="shared" si="16"/>
        <v>115500</v>
      </c>
    </row>
    <row r="88" spans="2:5">
      <c r="B88" s="61">
        <v>160000</v>
      </c>
      <c r="C88" s="49">
        <f t="shared" si="14"/>
        <v>246400</v>
      </c>
      <c r="D88" s="49">
        <f t="shared" si="15"/>
        <v>61600</v>
      </c>
      <c r="E88" s="49">
        <f t="shared" si="16"/>
        <v>123200</v>
      </c>
    </row>
    <row r="89" spans="2:5">
      <c r="B89" s="61">
        <v>170000</v>
      </c>
      <c r="C89" s="49">
        <f t="shared" si="14"/>
        <v>261800</v>
      </c>
      <c r="D89" s="49">
        <f t="shared" si="15"/>
        <v>65450</v>
      </c>
      <c r="E89" s="49">
        <f t="shared" si="16"/>
        <v>130900</v>
      </c>
    </row>
    <row r="90" spans="2:5">
      <c r="B90" s="61">
        <v>180000</v>
      </c>
      <c r="C90" s="49">
        <f t="shared" si="14"/>
        <v>277200</v>
      </c>
      <c r="D90" s="49">
        <f t="shared" si="15"/>
        <v>69300</v>
      </c>
      <c r="E90" s="49">
        <f t="shared" si="16"/>
        <v>138600</v>
      </c>
    </row>
    <row r="91" spans="2:5">
      <c r="B91" s="61">
        <v>190000</v>
      </c>
      <c r="C91" s="49">
        <f t="shared" si="14"/>
        <v>292600</v>
      </c>
      <c r="D91" s="49">
        <f t="shared" si="15"/>
        <v>73150</v>
      </c>
      <c r="E91" s="49">
        <f t="shared" si="16"/>
        <v>146300</v>
      </c>
    </row>
    <row r="92" spans="2:5">
      <c r="B92" s="61">
        <v>200000</v>
      </c>
      <c r="C92" s="49">
        <f t="shared" si="14"/>
        <v>308000</v>
      </c>
      <c r="D92" s="49">
        <f t="shared" si="15"/>
        <v>77000</v>
      </c>
      <c r="E92" s="49">
        <f t="shared" si="16"/>
        <v>154000</v>
      </c>
    </row>
    <row r="93" spans="2:5">
      <c r="B93" s="61">
        <v>210000</v>
      </c>
      <c r="C93" s="49">
        <f t="shared" si="14"/>
        <v>323400</v>
      </c>
      <c r="D93" s="49">
        <f t="shared" si="15"/>
        <v>80850</v>
      </c>
      <c r="E93" s="49">
        <f t="shared" si="16"/>
        <v>161700</v>
      </c>
    </row>
  </sheetData>
  <mergeCells count="6">
    <mergeCell ref="B36:G36"/>
    <mergeCell ref="B2:G2"/>
    <mergeCell ref="B32:G32"/>
    <mergeCell ref="B21:G21"/>
    <mergeCell ref="C5:F5"/>
    <mergeCell ref="C4:F4"/>
  </mergeCells>
  <phoneticPr fontId="16" type="noConversion"/>
  <pageMargins left="0.75" right="0.75" top="1" bottom="1" header="0.5" footer="0.5"/>
  <pageSetup orientation="portrait" horizontalDpi="4294967292" verticalDpi="4294967292"/>
  <drawing r:id="rId1"/>
  <legacyDrawing r:id="rId2"/>
  <extLst>
    <ext xmlns:mx="http://schemas.microsoft.com/office/mac/excel/2008/main" uri="http://schemas.microsoft.com/office/mac/excel/2008/main">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2:H23"/>
  <sheetViews>
    <sheetView topLeftCell="A7" workbookViewId="0">
      <selection activeCell="B7" sqref="B7:H9"/>
    </sheetView>
  </sheetViews>
  <sheetFormatPr baseColWidth="10" defaultColWidth="11" defaultRowHeight="13"/>
  <cols>
    <col min="1" max="15" width="11" customWidth="1"/>
    <col min="16" max="16" width="14.5703125" customWidth="1"/>
  </cols>
  <sheetData>
    <row r="2" spans="1:8" ht="18">
      <c r="A2" s="83" t="s">
        <v>25</v>
      </c>
      <c r="B2" s="84"/>
      <c r="C2" s="84"/>
      <c r="D2" s="84"/>
      <c r="E2" s="84"/>
      <c r="F2" s="84"/>
      <c r="G2" s="84"/>
      <c r="H2" s="84"/>
    </row>
    <row r="3" spans="1:8" ht="14" thickBot="1"/>
    <row r="4" spans="1:8" ht="12.75" customHeight="1">
      <c r="A4" s="109" t="s">
        <v>26</v>
      </c>
      <c r="B4" s="85" t="s">
        <v>15</v>
      </c>
      <c r="C4" s="86"/>
      <c r="D4" s="86"/>
      <c r="E4" s="86"/>
      <c r="F4" s="86"/>
      <c r="G4" s="87"/>
      <c r="H4" s="88"/>
    </row>
    <row r="5" spans="1:8">
      <c r="A5" s="110"/>
      <c r="B5" s="89"/>
      <c r="C5" s="90"/>
      <c r="D5" s="90"/>
      <c r="E5" s="90"/>
      <c r="F5" s="90"/>
      <c r="G5" s="91"/>
      <c r="H5" s="92"/>
    </row>
    <row r="6" spans="1:8" ht="84.75" customHeight="1" thickBot="1">
      <c r="A6" s="111"/>
      <c r="B6" s="93"/>
      <c r="C6" s="94"/>
      <c r="D6" s="94"/>
      <c r="E6" s="94"/>
      <c r="F6" s="94"/>
      <c r="G6" s="95"/>
      <c r="H6" s="96"/>
    </row>
    <row r="7" spans="1:8" ht="12.75" customHeight="1">
      <c r="A7" s="103" t="s">
        <v>21</v>
      </c>
      <c r="B7" s="97" t="s">
        <v>0</v>
      </c>
      <c r="C7" s="86"/>
      <c r="D7" s="86"/>
      <c r="E7" s="86"/>
      <c r="F7" s="86"/>
      <c r="G7" s="87"/>
      <c r="H7" s="88"/>
    </row>
    <row r="8" spans="1:8">
      <c r="A8" s="104"/>
      <c r="B8" s="89"/>
      <c r="C8" s="90"/>
      <c r="D8" s="90"/>
      <c r="E8" s="90"/>
      <c r="F8" s="90"/>
      <c r="G8" s="91"/>
      <c r="H8" s="92"/>
    </row>
    <row r="9" spans="1:8" ht="123.75" customHeight="1" thickBot="1">
      <c r="A9" s="105"/>
      <c r="B9" s="93"/>
      <c r="C9" s="94"/>
      <c r="D9" s="94"/>
      <c r="E9" s="94"/>
      <c r="F9" s="94"/>
      <c r="G9" s="95"/>
      <c r="H9" s="96"/>
    </row>
    <row r="10" spans="1:8" ht="15.75" customHeight="1">
      <c r="A10" s="106" t="s">
        <v>31</v>
      </c>
      <c r="B10" s="98" t="s">
        <v>34</v>
      </c>
      <c r="C10" s="99"/>
      <c r="D10" s="99"/>
      <c r="E10" s="99"/>
      <c r="F10" s="99"/>
      <c r="G10" s="87"/>
      <c r="H10" s="88"/>
    </row>
    <row r="11" spans="1:8">
      <c r="A11" s="107"/>
      <c r="B11" s="100"/>
      <c r="C11" s="101"/>
      <c r="D11" s="101"/>
      <c r="E11" s="101"/>
      <c r="F11" s="101"/>
      <c r="G11" s="91"/>
      <c r="H11" s="92"/>
    </row>
    <row r="12" spans="1:8">
      <c r="A12" s="107"/>
      <c r="B12" s="100"/>
      <c r="C12" s="101"/>
      <c r="D12" s="101"/>
      <c r="E12" s="101"/>
      <c r="F12" s="101"/>
      <c r="G12" s="91"/>
      <c r="H12" s="92"/>
    </row>
    <row r="13" spans="1:8">
      <c r="A13" s="107"/>
      <c r="B13" s="100"/>
      <c r="C13" s="101"/>
      <c r="D13" s="101"/>
      <c r="E13" s="101"/>
      <c r="F13" s="101"/>
      <c r="G13" s="91"/>
      <c r="H13" s="92"/>
    </row>
    <row r="14" spans="1:8">
      <c r="A14" s="107"/>
      <c r="B14" s="100"/>
      <c r="C14" s="101"/>
      <c r="D14" s="101"/>
      <c r="E14" s="101"/>
      <c r="F14" s="101"/>
      <c r="G14" s="91"/>
      <c r="H14" s="92"/>
    </row>
    <row r="15" spans="1:8">
      <c r="A15" s="107"/>
      <c r="B15" s="100"/>
      <c r="C15" s="101"/>
      <c r="D15" s="101"/>
      <c r="E15" s="101"/>
      <c r="F15" s="101"/>
      <c r="G15" s="91"/>
      <c r="H15" s="92"/>
    </row>
    <row r="16" spans="1:8">
      <c r="A16" s="107"/>
      <c r="B16" s="100"/>
      <c r="C16" s="101"/>
      <c r="D16" s="101"/>
      <c r="E16" s="101"/>
      <c r="F16" s="101"/>
      <c r="G16" s="91"/>
      <c r="H16" s="92"/>
    </row>
    <row r="17" spans="1:8">
      <c r="A17" s="107"/>
      <c r="B17" s="100"/>
      <c r="C17" s="101"/>
      <c r="D17" s="101"/>
      <c r="E17" s="101"/>
      <c r="F17" s="101"/>
      <c r="G17" s="91"/>
      <c r="H17" s="92"/>
    </row>
    <row r="18" spans="1:8">
      <c r="A18" s="107"/>
      <c r="B18" s="100"/>
      <c r="C18" s="101"/>
      <c r="D18" s="101"/>
      <c r="E18" s="101"/>
      <c r="F18" s="101"/>
      <c r="G18" s="91"/>
      <c r="H18" s="92"/>
    </row>
    <row r="19" spans="1:8" ht="23" customHeight="1">
      <c r="A19" s="107"/>
      <c r="B19" s="100"/>
      <c r="C19" s="101"/>
      <c r="D19" s="101"/>
      <c r="E19" s="101"/>
      <c r="F19" s="101"/>
      <c r="G19" s="91"/>
      <c r="H19" s="92"/>
    </row>
    <row r="20" spans="1:8">
      <c r="A20" s="107"/>
      <c r="B20" s="100"/>
      <c r="C20" s="101"/>
      <c r="D20" s="101"/>
      <c r="E20" s="101"/>
      <c r="F20" s="101"/>
      <c r="G20" s="91"/>
      <c r="H20" s="92"/>
    </row>
    <row r="21" spans="1:8">
      <c r="A21" s="107"/>
      <c r="B21" s="100"/>
      <c r="C21" s="101"/>
      <c r="D21" s="101"/>
      <c r="E21" s="101"/>
      <c r="F21" s="101"/>
      <c r="G21" s="91"/>
      <c r="H21" s="92"/>
    </row>
    <row r="22" spans="1:8" ht="35" customHeight="1">
      <c r="A22" s="107"/>
      <c r="B22" s="100"/>
      <c r="C22" s="101"/>
      <c r="D22" s="101"/>
      <c r="E22" s="101"/>
      <c r="F22" s="101"/>
      <c r="G22" s="91"/>
      <c r="H22" s="92"/>
    </row>
    <row r="23" spans="1:8" ht="65" customHeight="1" thickBot="1">
      <c r="A23" s="108"/>
      <c r="B23" s="102"/>
      <c r="C23" s="95"/>
      <c r="D23" s="95"/>
      <c r="E23" s="95"/>
      <c r="F23" s="95"/>
      <c r="G23" s="95"/>
      <c r="H23" s="96"/>
    </row>
  </sheetData>
  <mergeCells count="7">
    <mergeCell ref="A2:H2"/>
    <mergeCell ref="B4:H6"/>
    <mergeCell ref="B7:H9"/>
    <mergeCell ref="B10:H23"/>
    <mergeCell ref="A7:A9"/>
    <mergeCell ref="A10:A23"/>
    <mergeCell ref="A4:A6"/>
  </mergeCells>
  <phoneticPr fontId="16" type="noConversion"/>
  <pageMargins left="0.75" right="0.75" top="1" bottom="1" header="0.5" footer="0.5"/>
  <extLst>
    <ext xmlns:mx="http://schemas.microsoft.com/office/mac/excel/2008/main" uri="http://schemas.microsoft.com/office/mac/excel/2008/main">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ProForma income</vt:lpstr>
      <vt:lpstr>Assumptions</vt:lpstr>
    </vt:vector>
  </TitlesOfParts>
  <Company>Dawnbreaker, Inc.</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Jenny Servo</dc:creator>
  <cp:lastModifiedBy>Gerald Sabin</cp:lastModifiedBy>
  <cp:lastPrinted>2008-12-10T14:08:30Z</cp:lastPrinted>
  <dcterms:created xsi:type="dcterms:W3CDTF">2005-05-22T03:07:52Z</dcterms:created>
  <dcterms:modified xsi:type="dcterms:W3CDTF">2017-04-04T01:25:17Z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0x0101007C47DBFAE3D8F24DAA6D0992514F10F7</vt:lpwstr>
  </property>
  <property fmtid="{D5CDD505-2E9C-101B-9397-08002B2CF9AE}" pid="3" name="IsMyDocuments">
    <vt:bool>true</vt:bool>
  </property>
</Properties>
</file>