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C4FC7F41-5F57-4C03-8631-7121859A7DA5}" xr6:coauthVersionLast="47" xr6:coauthVersionMax="47" xr10:uidLastSave="{00000000-0000-0000-0000-000000000000}"/>
  <bookViews>
    <workbookView xWindow="-120" yWindow="-120" windowWidth="29040" windowHeight="15840" xr2:uid="{26C1D14A-56F6-4D99-ABE0-35C7555E5EDF}"/>
  </bookViews>
  <sheets>
    <sheet name="Main Dataset" sheetId="1" r:id="rId1"/>
    <sheet name="Global fusion (GEF)" sheetId="2" r:id="rId2"/>
    <sheet name="Adaptive Fusion (AEF)" sheetId="3" r:id="rId3"/>
    <sheet name="Global Power Fusion (GPF)" sheetId="4" r:id="rId4"/>
    <sheet name="Adaptive Power Fusion (APF)" sheetId="5" r:id="rId5"/>
    <sheet name="Tot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G75" i="1"/>
  <c r="G76" i="1"/>
  <c r="G77" i="1"/>
  <c r="G78" i="1"/>
  <c r="G79" i="1"/>
  <c r="G80" i="1"/>
  <c r="G81" i="1"/>
  <c r="F74" i="1"/>
  <c r="F75" i="1"/>
  <c r="F76" i="1"/>
  <c r="F77" i="1"/>
  <c r="F78" i="1"/>
  <c r="F79" i="1"/>
  <c r="F80" i="1"/>
  <c r="F81" i="1"/>
  <c r="E74" i="1"/>
  <c r="E75" i="1"/>
  <c r="E76" i="1"/>
  <c r="E77" i="1"/>
  <c r="E78" i="1"/>
  <c r="E79" i="1"/>
  <c r="E80" i="1"/>
  <c r="E81" i="1"/>
  <c r="D74" i="1"/>
  <c r="D75" i="1"/>
  <c r="D76" i="1"/>
  <c r="D77" i="1"/>
  <c r="D78" i="1"/>
  <c r="D79" i="1"/>
  <c r="D80" i="1"/>
  <c r="D81" i="1"/>
  <c r="F59" i="1"/>
  <c r="E57" i="1"/>
  <c r="D59" i="1"/>
  <c r="H68" i="1"/>
  <c r="D68" i="1"/>
  <c r="D49" i="1"/>
  <c r="D57" i="1" s="1"/>
  <c r="D50" i="1"/>
  <c r="E49" i="1"/>
  <c r="E50" i="1"/>
  <c r="E59" i="1" s="1"/>
  <c r="F49" i="1"/>
  <c r="F57" i="1" s="1"/>
  <c r="F50" i="1"/>
  <c r="F68" i="1" s="1"/>
  <c r="G49" i="1"/>
  <c r="G57" i="1" s="1"/>
  <c r="G50" i="1"/>
  <c r="G59" i="1" s="1"/>
  <c r="H49" i="1"/>
  <c r="H57" i="1" s="1"/>
  <c r="H50" i="1"/>
  <c r="H59" i="1" s="1"/>
  <c r="I49" i="1"/>
  <c r="I57" i="1" s="1"/>
  <c r="I50" i="1"/>
  <c r="I59" i="1" s="1"/>
  <c r="I22" i="1"/>
  <c r="H22" i="1" s="1"/>
  <c r="I21" i="1"/>
  <c r="H21" i="1" s="1"/>
  <c r="I34" i="1"/>
  <c r="I56" i="1" s="1"/>
  <c r="I35" i="1"/>
  <c r="I67" i="1" s="1"/>
  <c r="I36" i="1"/>
  <c r="I37" i="1"/>
  <c r="I38" i="1"/>
  <c r="I39" i="1"/>
  <c r="I58" i="1" s="1"/>
  <c r="I40" i="1"/>
  <c r="I41" i="1"/>
  <c r="I42" i="1"/>
  <c r="I43" i="1"/>
  <c r="I44" i="1"/>
  <c r="I60" i="1" s="1"/>
  <c r="I45" i="1"/>
  <c r="I46" i="1"/>
  <c r="I47" i="1"/>
  <c r="I48" i="1"/>
  <c r="H34" i="1"/>
  <c r="H56" i="1" s="1"/>
  <c r="H35" i="1"/>
  <c r="H67" i="1" s="1"/>
  <c r="H36" i="1"/>
  <c r="H37" i="1"/>
  <c r="H38" i="1"/>
  <c r="H39" i="1"/>
  <c r="H58" i="1" s="1"/>
  <c r="H40" i="1"/>
  <c r="H66" i="1" s="1"/>
  <c r="H41" i="1"/>
  <c r="H42" i="1"/>
  <c r="H43" i="1"/>
  <c r="H44" i="1"/>
  <c r="H60" i="1" s="1"/>
  <c r="H45" i="1"/>
  <c r="H46" i="1"/>
  <c r="H47" i="1"/>
  <c r="H48" i="1"/>
  <c r="G34" i="1"/>
  <c r="G35" i="1"/>
  <c r="G67" i="1" s="1"/>
  <c r="G36" i="1"/>
  <c r="G56" i="1" s="1"/>
  <c r="G37" i="1"/>
  <c r="G38" i="1"/>
  <c r="G39" i="1"/>
  <c r="G68" i="1" s="1"/>
  <c r="G40" i="1"/>
  <c r="G58" i="1" s="1"/>
  <c r="G41" i="1"/>
  <c r="G42" i="1"/>
  <c r="G43" i="1"/>
  <c r="G44" i="1"/>
  <c r="G60" i="1" s="1"/>
  <c r="G45" i="1"/>
  <c r="G46" i="1"/>
  <c r="G47" i="1"/>
  <c r="G48" i="1"/>
  <c r="F34" i="1"/>
  <c r="F56" i="1" s="1"/>
  <c r="F35" i="1"/>
  <c r="F36" i="1"/>
  <c r="F37" i="1"/>
  <c r="F67" i="1" s="1"/>
  <c r="F38" i="1"/>
  <c r="F39" i="1"/>
  <c r="F40" i="1"/>
  <c r="F41" i="1"/>
  <c r="F42" i="1"/>
  <c r="F58" i="1" s="1"/>
  <c r="F43" i="1"/>
  <c r="F44" i="1"/>
  <c r="F45" i="1"/>
  <c r="F46" i="1"/>
  <c r="F60" i="1" s="1"/>
  <c r="F47" i="1"/>
  <c r="F48" i="1"/>
  <c r="E34" i="1"/>
  <c r="E56" i="1" s="1"/>
  <c r="E35" i="1"/>
  <c r="E67" i="1" s="1"/>
  <c r="E36" i="1"/>
  <c r="E37" i="1"/>
  <c r="E38" i="1"/>
  <c r="E39" i="1"/>
  <c r="E58" i="1" s="1"/>
  <c r="E40" i="1"/>
  <c r="E41" i="1"/>
  <c r="E42" i="1"/>
  <c r="E43" i="1"/>
  <c r="E44" i="1"/>
  <c r="E60" i="1" s="1"/>
  <c r="E45" i="1"/>
  <c r="E46" i="1"/>
  <c r="E47" i="1"/>
  <c r="E48" i="1"/>
  <c r="D34" i="1"/>
  <c r="D56" i="1" s="1"/>
  <c r="D35" i="1"/>
  <c r="D67" i="1" s="1"/>
  <c r="D36" i="1"/>
  <c r="D37" i="1"/>
  <c r="D38" i="1"/>
  <c r="D39" i="1"/>
  <c r="D40" i="1"/>
  <c r="D58" i="1" s="1"/>
  <c r="D41" i="1"/>
  <c r="D42" i="1"/>
  <c r="D43" i="1"/>
  <c r="D44" i="1"/>
  <c r="D60" i="1" s="1"/>
  <c r="D45" i="1"/>
  <c r="D46" i="1"/>
  <c r="D47" i="1"/>
  <c r="D48" i="1"/>
  <c r="I24" i="1"/>
  <c r="H24" i="1" s="1"/>
  <c r="I25" i="1"/>
  <c r="H25" i="1" s="1"/>
  <c r="I26" i="1"/>
  <c r="H26" i="1" s="1"/>
  <c r="I27" i="1"/>
  <c r="H27" i="1" s="1"/>
  <c r="I28" i="1"/>
  <c r="H28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F66" i="1" l="1"/>
  <c r="G66" i="1"/>
  <c r="E68" i="1"/>
  <c r="I66" i="1"/>
  <c r="I68" i="1"/>
  <c r="D66" i="1"/>
  <c r="E66" i="1"/>
</calcChain>
</file>

<file path=xl/sharedStrings.xml><?xml version="1.0" encoding="utf-8"?>
<sst xmlns="http://schemas.openxmlformats.org/spreadsheetml/2006/main" count="86" uniqueCount="47">
  <si>
    <t>SNR 5.8</t>
  </si>
  <si>
    <t>SNR 24</t>
  </si>
  <si>
    <t>Target R</t>
  </si>
  <si>
    <t>R5.8 range</t>
  </si>
  <si>
    <t>R24 Range</t>
  </si>
  <si>
    <t>Target v</t>
  </si>
  <si>
    <t>Case no</t>
  </si>
  <si>
    <t>All Cases Testing Data</t>
  </si>
  <si>
    <t>w1 (5.8 GHz)</t>
  </si>
  <si>
    <t>w2 (24 GHz)</t>
  </si>
  <si>
    <t>Global fusion (GEF)</t>
  </si>
  <si>
    <t>Adaptive Fusion (AEF)</t>
  </si>
  <si>
    <t>Global Power Fusion (GPF)</t>
  </si>
  <si>
    <t>Adaptive Power Fusion (APF)</t>
  </si>
  <si>
    <t>SNR (H,L)</t>
  </si>
  <si>
    <t>Absolute Range Error per Case</t>
  </si>
  <si>
    <t>Fused SNR Gain</t>
  </si>
  <si>
    <t>Error GEF</t>
  </si>
  <si>
    <t>Error AEF</t>
  </si>
  <si>
    <t>Error GPF</t>
  </si>
  <si>
    <t>Error APF</t>
  </si>
  <si>
    <t>Error R5.8</t>
  </si>
  <si>
    <t>Error R24</t>
  </si>
  <si>
    <t>Average Error per Range with Before/After Fusion</t>
  </si>
  <si>
    <t>Target Range</t>
  </si>
  <si>
    <t>Performance by SNR (High vs Low)</t>
  </si>
  <si>
    <t>SNR Level</t>
  </si>
  <si>
    <t>High - High (H-H)</t>
  </si>
  <si>
    <t>High - Low (H-L)</t>
  </si>
  <si>
    <t>Low - Low (L-L)</t>
  </si>
  <si>
    <t>H-H</t>
  </si>
  <si>
    <t>H-L</t>
  </si>
  <si>
    <t>L-L</t>
  </si>
  <si>
    <t>Condition</t>
  </si>
  <si>
    <t>Improve GEF</t>
  </si>
  <si>
    <t>Improve AEF</t>
  </si>
  <si>
    <t>Improve GPF</t>
  </si>
  <si>
    <t>Improve APF</t>
  </si>
  <si>
    <t>Range 25</t>
  </si>
  <si>
    <t>Range 32</t>
  </si>
  <si>
    <t>Range 35</t>
  </si>
  <si>
    <t>Range 45</t>
  </si>
  <si>
    <t>Range 50</t>
  </si>
  <si>
    <t>Minimum Value</t>
  </si>
  <si>
    <t>Percentage (%) Improvement Over Best Radar</t>
  </si>
  <si>
    <t>Best Radar Error</t>
  </si>
  <si>
    <t>Error Average per Each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</si>
</sst>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/>
      <right style="medium">
        <color auto="1"/>
      </right>
      <top style="thin">
        <color theme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2" fontId="1" fillId="7" borderId="24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2" fontId="7" fillId="0" borderId="0" xfId="0" applyNumberFormat="1" applyFont="1" applyAlignment="1">
      <alignment vertical="center"/>
    </xf>
    <xf numFmtId="2" fontId="0" fillId="0" borderId="0" xfId="0" applyNumberFormat="1"/>
    <xf numFmtId="0" fontId="5" fillId="0" borderId="0" xfId="0" applyFont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2" fontId="0" fillId="4" borderId="34" xfId="0" applyNumberFormat="1" applyFill="1" applyBorder="1" applyAlignment="1">
      <alignment horizontal="center" vertical="center"/>
    </xf>
    <xf numFmtId="2" fontId="0" fillId="3" borderId="34" xfId="0" applyNumberFormat="1" applyFill="1" applyBorder="1" applyAlignment="1">
      <alignment horizontal="center" vertical="center"/>
    </xf>
    <xf numFmtId="2" fontId="0" fillId="8" borderId="34" xfId="0" applyNumberFormat="1" applyFill="1" applyBorder="1" applyAlignment="1">
      <alignment horizontal="center" vertical="center"/>
    </xf>
    <xf numFmtId="2" fontId="0" fillId="8" borderId="33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8" borderId="4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/>
    </xf>
    <xf numFmtId="0" fontId="5" fillId="11" borderId="26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5" fillId="11" borderId="29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medium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C0AA4-9D29-4FDF-B4D5-CEB551640B4D}" name="Table1" displayName="Table1" ref="C5:O28" totalsRowShown="0" headerRowDxfId="31" dataDxfId="30">
  <autoFilter ref="C5:O28" xr:uid="{12EC0AA4-9D29-4FDF-B4D5-CEB551640B4D}"/>
  <tableColumns count="13">
    <tableColumn id="1" xr3:uid="{A9966A46-EB1E-4CFD-A0DC-3865F5D6B551}" name="Case no" dataDxfId="29"/>
    <tableColumn id="20" xr3:uid="{FB23B459-ED2C-49F1-85EB-4C0380DC8DCC}" name="Target R" dataDxfId="28"/>
    <tableColumn id="14" xr3:uid="{2A427E82-D6DD-4DBF-93D0-57AA27C850A7}" name="Target v" dataDxfId="27"/>
    <tableColumn id="2" xr3:uid="{E43EE03A-3269-4C30-BB4B-3098D95637DF}" name="SNR 5.8" dataDxfId="26"/>
    <tableColumn id="3" xr3:uid="{FB5802FE-9B23-4C1C-9416-DA1A07139360}" name="SNR 24" dataDxfId="25"/>
    <tableColumn id="18" xr3:uid="{934D40DD-7FAA-49B1-84B0-B4C0262C62B7}" name="w1 (5.8 GHz)" dataDxfId="24">
      <calculatedColumnFormula>1-Table1[[#This Row],[w2 (24 GHz)]]</calculatedColumnFormula>
    </tableColumn>
    <tableColumn id="19" xr3:uid="{E650E28A-25E2-4381-8BC6-A9D55CD9004F}" name="w2 (24 GHz)" dataDxfId="23">
      <calculatedColumnFormula>1/(1+10^((Table1[[#This Row],[SNR 5.8]]-Table1[[#This Row],[SNR 24]]-12.33)/10))</calculatedColumnFormula>
    </tableColumn>
    <tableColumn id="4" xr3:uid="{A8AD4107-08D8-4B79-B801-44979826C8CC}" name="R5.8 range" dataDxfId="22"/>
    <tableColumn id="6" xr3:uid="{3EB05E4B-5EEA-462C-8587-8517D422DA1C}" name="R24 Range" dataDxfId="21"/>
    <tableColumn id="8" xr3:uid="{F218BE8B-8055-4BFF-A468-02C2A3EEA4A9}" name="Global fusion (GEF)" dataDxfId="20"/>
    <tableColumn id="9" xr3:uid="{B14D5A72-B223-426E-8CCF-498B7765A3AF}" name="Adaptive Fusion (AEF)" dataDxfId="19"/>
    <tableColumn id="15" xr3:uid="{CF442270-F734-46CA-9A8E-C3BC74329B95}" name="Global Power Fusion (GPF)" dataDxfId="18"/>
    <tableColumn id="16" xr3:uid="{07501A17-AF77-4083-8558-7D4E24F1EB3E}" name="Adaptive Power Fusion (APF)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927BC-9FF0-43A9-843D-EF9593539A9A}" name="Table2" displayName="Table2" ref="C33:I50" totalsRowShown="0" headerRowDxfId="16" dataDxfId="15">
  <autoFilter ref="C33:I50" xr:uid="{B24927BC-9FF0-43A9-843D-EF9593539A9A}"/>
  <tableColumns count="7">
    <tableColumn id="1" xr3:uid="{D6C20907-B9CD-4A4E-A527-33C10CDC1645}" name="Case no" dataDxfId="14"/>
    <tableColumn id="2" xr3:uid="{0E997473-42D1-4133-AFB9-654D84774DAF}" name="Error GEF" dataDxfId="13">
      <calculatedColumnFormula>ABS(L6-D6)</calculatedColumnFormula>
    </tableColumn>
    <tableColumn id="3" xr3:uid="{5432AA35-D1F5-40B1-9963-9514C560381F}" name="Error AEF" dataDxfId="12">
      <calculatedColumnFormula>ABS(M6-D6)</calculatedColumnFormula>
    </tableColumn>
    <tableColumn id="4" xr3:uid="{8B13FA75-7DF1-4BCB-96BC-AEEE28CC345A}" name="Error GPF" dataDxfId="11">
      <calculatedColumnFormula>ABS(N6-D6)</calculatedColumnFormula>
    </tableColumn>
    <tableColumn id="5" xr3:uid="{DD17063F-04CC-4EC3-AAEE-8C4A2611CB96}" name="Error APF" dataDxfId="10">
      <calculatedColumnFormula>ABS(O6-D6)</calculatedColumnFormula>
    </tableColumn>
    <tableColumn id="6" xr3:uid="{690AAB2C-7D21-4C6B-843B-275C486A48C6}" name="Error R5.8" dataDxfId="9">
      <calculatedColumnFormula>ABS(J6-D6)</calculatedColumnFormula>
    </tableColumn>
    <tableColumn id="7" xr3:uid="{7591240F-BF0F-4318-AED0-05CD8BD88DD5}" name="Error R24" dataDxfId="8">
      <calculatedColumnFormula>ABS(K6-D6)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C4CF5C-A9A5-4D32-94B5-D4CDC2A1C6F4}" name="Table8" displayName="Table8" ref="C73:G81" totalsRowShown="0" headerRowDxfId="7" dataDxfId="6" tableBorderDxfId="5">
  <autoFilter ref="C73:G81" xr:uid="{22C4CF5C-A9A5-4D32-94B5-D4CDC2A1C6F4}"/>
  <tableColumns count="5">
    <tableColumn id="1" xr3:uid="{DB1B90D0-B2C4-448C-AE31-B11AA7FC2161}" name="Condition" dataDxfId="4"/>
    <tableColumn id="2" xr3:uid="{0B0A4FEF-A573-490D-A805-71B86EE6865A}" name="Improve GEF" dataDxfId="3">
      <calculatedColumnFormula>(H74-I74)/H74</calculatedColumnFormula>
    </tableColumn>
    <tableColumn id="3" xr3:uid="{23CE8B64-D3E9-4515-8007-F8EBCD899479}" name="Improve AEF" dataDxfId="2">
      <calculatedColumnFormula>(H74-J74)/H74</calculatedColumnFormula>
    </tableColumn>
    <tableColumn id="4" xr3:uid="{E2B7A019-C411-4AC7-AC5B-66D9E1F60436}" name="Improve GPF" dataDxfId="1">
      <calculatedColumnFormula>(H74-K74)/H74</calculatedColumnFormula>
    </tableColumn>
    <tableColumn id="5" xr3:uid="{7CC9725B-ACD1-4EDE-9AE8-58409F802F84}" name="Improve APF" dataDxfId="0">
      <calculatedColumnFormula>(H74-L74)/H74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5BBE-FD84-426B-9551-1F74B854638B}">
  <dimension ref="B2:Q81"/>
  <sheetViews>
    <sheetView tabSelected="1" topLeftCell="C3" zoomScaleNormal="100" workbookViewId="0">
      <selection activeCell="I19" sqref="I19"/>
    </sheetView>
  </sheetViews>
  <sheetFormatPr defaultRowHeight="15" x14ac:dyDescent="0.25"/>
  <cols>
    <col min="1" max="1" width="0.140625" customWidth="1"/>
    <col min="2" max="2" width="10.140625" customWidth="1"/>
    <col min="3" max="3" width="19" customWidth="1"/>
    <col min="4" max="4" width="18" customWidth="1"/>
    <col min="5" max="6" width="18.140625" customWidth="1"/>
    <col min="7" max="7" width="18.7109375" customWidth="1"/>
    <col min="8" max="9" width="17.28515625" customWidth="1"/>
    <col min="10" max="10" width="18.7109375" customWidth="1"/>
    <col min="11" max="11" width="16.140625" customWidth="1"/>
    <col min="12" max="12" width="25.5703125" customWidth="1"/>
    <col min="13" max="13" width="25.140625" customWidth="1"/>
    <col min="14" max="14" width="30.42578125" customWidth="1"/>
    <col min="15" max="15" width="32.5703125" customWidth="1"/>
    <col min="16" max="17" width="12" customWidth="1"/>
  </cols>
  <sheetData>
    <row r="2" spans="2:17" ht="15" customHeight="1" x14ac:dyDescent="0.25">
      <c r="B2" s="76"/>
      <c r="C2" s="75" t="s">
        <v>7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2:17" ht="15" customHeight="1" x14ac:dyDescent="0.25">
      <c r="B3" s="76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2:17" x14ac:dyDescent="0.25">
      <c r="B4" s="76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2:17" x14ac:dyDescent="0.25">
      <c r="B5" s="1" t="s">
        <v>14</v>
      </c>
      <c r="C5" s="1" t="s">
        <v>6</v>
      </c>
      <c r="D5" s="1" t="s">
        <v>2</v>
      </c>
      <c r="E5" s="1" t="s">
        <v>5</v>
      </c>
      <c r="F5" s="1" t="s">
        <v>0</v>
      </c>
      <c r="G5" s="1" t="s">
        <v>1</v>
      </c>
      <c r="H5" s="1" t="s">
        <v>8</v>
      </c>
      <c r="I5" s="1" t="s">
        <v>9</v>
      </c>
      <c r="J5" s="1" t="s">
        <v>3</v>
      </c>
      <c r="K5" s="1" t="s">
        <v>4</v>
      </c>
      <c r="L5" s="1" t="s">
        <v>10</v>
      </c>
      <c r="M5" s="1" t="s">
        <v>11</v>
      </c>
      <c r="N5" s="1" t="s">
        <v>12</v>
      </c>
      <c r="O5" s="1" t="s">
        <v>13</v>
      </c>
      <c r="P5" s="1"/>
      <c r="Q5" s="1"/>
    </row>
    <row r="6" spans="2:17" x14ac:dyDescent="0.25">
      <c r="B6" s="1" t="s">
        <v>30</v>
      </c>
      <c r="C6" s="5">
        <v>1</v>
      </c>
      <c r="D6" s="1">
        <v>25</v>
      </c>
      <c r="E6" s="1">
        <v>54</v>
      </c>
      <c r="F6" s="1">
        <v>12.33</v>
      </c>
      <c r="G6" s="1">
        <v>0</v>
      </c>
      <c r="H6" s="3">
        <f>1-Table1[[#This Row],[w2 (24 GHz)]]</f>
        <v>0.5</v>
      </c>
      <c r="I6" s="3">
        <f>1/(1+10^((Table1[[#This Row],[SNR 5.8]]-Table1[[#This Row],[SNR 24]]-12.33)/10))</f>
        <v>0.5</v>
      </c>
      <c r="J6" s="3">
        <v>24.67</v>
      </c>
      <c r="K6" s="3">
        <v>24.49</v>
      </c>
      <c r="L6" s="3">
        <v>25.45</v>
      </c>
      <c r="M6" s="3">
        <v>25.45</v>
      </c>
      <c r="N6" s="3">
        <v>25.01</v>
      </c>
      <c r="O6" s="3">
        <v>25</v>
      </c>
      <c r="P6" s="1"/>
      <c r="Q6" s="1"/>
    </row>
    <row r="7" spans="2:17" x14ac:dyDescent="0.25">
      <c r="B7" s="1" t="s">
        <v>31</v>
      </c>
      <c r="C7" s="5">
        <v>2</v>
      </c>
      <c r="D7" s="1">
        <v>25</v>
      </c>
      <c r="E7" s="1">
        <v>54</v>
      </c>
      <c r="F7" s="1">
        <v>7.33</v>
      </c>
      <c r="G7" s="1">
        <v>-5</v>
      </c>
      <c r="H7" s="3">
        <f>1-Table1[[#This Row],[w2 (24 GHz)]]</f>
        <v>0.5</v>
      </c>
      <c r="I7" s="3">
        <f>1/(1+10^((Table1[[#This Row],[SNR 5.8]]-Table1[[#This Row],[SNR 24]]-12.33)/10))</f>
        <v>0.5</v>
      </c>
      <c r="J7" s="3">
        <v>24.6</v>
      </c>
      <c r="K7" s="3">
        <v>24.5</v>
      </c>
      <c r="L7" s="3">
        <v>23.2</v>
      </c>
      <c r="M7" s="3">
        <v>23.25</v>
      </c>
      <c r="N7" s="3">
        <v>24.96</v>
      </c>
      <c r="O7" s="3">
        <v>24.96</v>
      </c>
      <c r="P7" s="1"/>
      <c r="Q7" s="1"/>
    </row>
    <row r="8" spans="2:17" x14ac:dyDescent="0.25">
      <c r="B8" s="1" t="s">
        <v>31</v>
      </c>
      <c r="C8" s="5">
        <v>3</v>
      </c>
      <c r="D8" s="1">
        <v>25</v>
      </c>
      <c r="E8" s="1">
        <v>54</v>
      </c>
      <c r="F8" s="1">
        <v>20</v>
      </c>
      <c r="G8" s="1">
        <v>-2</v>
      </c>
      <c r="H8" s="3">
        <f>1-Table1[[#This Row],[w2 (24 GHz)]]</f>
        <v>0.90261287924916822</v>
      </c>
      <c r="I8" s="3">
        <f>1/(1+10^((Table1[[#This Row],[SNR 5.8]]-Table1[[#This Row],[SNR 24]]-12.33)/10))</f>
        <v>9.7387120750831807E-2</v>
      </c>
      <c r="J8" s="3">
        <v>24.95</v>
      </c>
      <c r="K8" s="3">
        <v>24.5</v>
      </c>
      <c r="L8" s="3">
        <v>25.7</v>
      </c>
      <c r="M8" s="3">
        <v>25.65</v>
      </c>
      <c r="N8" s="3">
        <v>25.02</v>
      </c>
      <c r="O8" s="3">
        <v>25.03</v>
      </c>
      <c r="P8" s="1"/>
      <c r="Q8" s="1"/>
    </row>
    <row r="9" spans="2:17" x14ac:dyDescent="0.25">
      <c r="B9" s="1" t="s">
        <v>31</v>
      </c>
      <c r="C9" s="5">
        <v>4</v>
      </c>
      <c r="D9" s="1">
        <v>25</v>
      </c>
      <c r="E9" s="1">
        <v>54</v>
      </c>
      <c r="F9" s="1">
        <v>18</v>
      </c>
      <c r="G9" s="1">
        <v>-4</v>
      </c>
      <c r="H9" s="3">
        <f>1-Table1[[#This Row],[w2 (24 GHz)]]</f>
        <v>0.90261287924916822</v>
      </c>
      <c r="I9" s="3">
        <f>1/(1+10^((Table1[[#This Row],[SNR 5.8]]-Table1[[#This Row],[SNR 24]]-12.33)/10))</f>
        <v>9.7387120750831807E-2</v>
      </c>
      <c r="J9" s="3">
        <v>24.84</v>
      </c>
      <c r="K9" s="3">
        <v>24.5</v>
      </c>
      <c r="L9" s="3">
        <v>25.65</v>
      </c>
      <c r="M9" s="3">
        <v>25.6</v>
      </c>
      <c r="N9" s="3">
        <v>25.01</v>
      </c>
      <c r="O9" s="3">
        <v>25.01</v>
      </c>
      <c r="P9" s="1"/>
      <c r="Q9" s="1"/>
    </row>
    <row r="10" spans="2:17" x14ac:dyDescent="0.25">
      <c r="B10" s="1" t="s">
        <v>30</v>
      </c>
      <c r="C10" s="5">
        <v>5</v>
      </c>
      <c r="D10" s="1">
        <v>25</v>
      </c>
      <c r="E10" s="1">
        <v>54</v>
      </c>
      <c r="F10" s="1">
        <v>21</v>
      </c>
      <c r="G10" s="1">
        <v>18</v>
      </c>
      <c r="H10" s="3">
        <f>1-Table1[[#This Row],[w2 (24 GHz)]]</f>
        <v>0.10448907584833167</v>
      </c>
      <c r="I10" s="3">
        <f>1/(1+10^((Table1[[#This Row],[SNR 5.8]]-Table1[[#This Row],[SNR 24]]-12.33)/10))</f>
        <v>0.89551092415166833</v>
      </c>
      <c r="J10" s="3">
        <v>25.02</v>
      </c>
      <c r="K10" s="3">
        <v>21.86</v>
      </c>
      <c r="L10" s="3">
        <v>24.23</v>
      </c>
      <c r="M10" s="3">
        <v>24.18</v>
      </c>
      <c r="N10" s="3">
        <v>25.01</v>
      </c>
      <c r="O10" s="3">
        <v>25.01</v>
      </c>
      <c r="P10" s="1"/>
      <c r="Q10" s="1"/>
    </row>
    <row r="11" spans="2:17" x14ac:dyDescent="0.25">
      <c r="B11" s="1" t="s">
        <v>32</v>
      </c>
      <c r="C11" s="4">
        <v>6</v>
      </c>
      <c r="D11" s="1">
        <v>35</v>
      </c>
      <c r="E11" s="1">
        <v>54</v>
      </c>
      <c r="F11" s="1">
        <v>-2</v>
      </c>
      <c r="G11" s="1">
        <v>-5</v>
      </c>
      <c r="H11" s="3">
        <f>1-Table1[[#This Row],[w2 (24 GHz)]]</f>
        <v>0.10448907584833167</v>
      </c>
      <c r="I11" s="3">
        <f>1/(1+10^((Table1[[#This Row],[SNR 5.8]]-Table1[[#This Row],[SNR 24]]-12.33)/10))</f>
        <v>0.89551092415166833</v>
      </c>
      <c r="J11" s="3">
        <v>38.42</v>
      </c>
      <c r="K11" s="3">
        <v>38.43</v>
      </c>
      <c r="L11" s="3">
        <v>29.26</v>
      </c>
      <c r="M11" s="3">
        <v>33.61</v>
      </c>
      <c r="N11" s="3">
        <v>30.18</v>
      </c>
      <c r="O11" s="3">
        <v>32.29</v>
      </c>
      <c r="P11" s="1"/>
      <c r="Q11" s="1"/>
    </row>
    <row r="12" spans="2:17" x14ac:dyDescent="0.25">
      <c r="B12" s="1" t="s">
        <v>30</v>
      </c>
      <c r="C12" s="4">
        <v>7</v>
      </c>
      <c r="D12" s="1">
        <v>35</v>
      </c>
      <c r="E12" s="1">
        <v>54</v>
      </c>
      <c r="F12" s="1">
        <v>18</v>
      </c>
      <c r="G12" s="1">
        <v>2</v>
      </c>
      <c r="H12" s="3">
        <f>1-Table1[[#This Row],[w2 (24 GHz)]]</f>
        <v>0.69952747007856964</v>
      </c>
      <c r="I12" s="3">
        <f>1/(1+10^((Table1[[#This Row],[SNR 5.8]]-Table1[[#This Row],[SNR 24]]-12.33)/10))</f>
        <v>0.30047252992143036</v>
      </c>
      <c r="J12" s="3">
        <v>38.380000000000003</v>
      </c>
      <c r="K12" s="3">
        <v>38.44</v>
      </c>
      <c r="L12" s="3">
        <v>35.71</v>
      </c>
      <c r="M12" s="3">
        <v>33.61</v>
      </c>
      <c r="N12" s="3">
        <v>35.21</v>
      </c>
      <c r="O12" s="3">
        <v>35.270000000000003</v>
      </c>
      <c r="P12" s="1"/>
      <c r="Q12" s="1"/>
    </row>
    <row r="13" spans="2:17" x14ac:dyDescent="0.25">
      <c r="B13" s="1" t="s">
        <v>31</v>
      </c>
      <c r="C13" s="4">
        <v>8</v>
      </c>
      <c r="D13" s="1">
        <v>35</v>
      </c>
      <c r="E13" s="1">
        <v>54</v>
      </c>
      <c r="F13" s="1">
        <v>11</v>
      </c>
      <c r="G13" s="1">
        <v>-5</v>
      </c>
      <c r="H13" s="3">
        <f>1-Table1[[#This Row],[w2 (24 GHz)]]</f>
        <v>0.69952747007856964</v>
      </c>
      <c r="I13" s="3">
        <f>1/(1+10^((Table1[[#This Row],[SNR 5.8]]-Table1[[#This Row],[SNR 24]]-12.33)/10))</f>
        <v>0.30047252992143036</v>
      </c>
      <c r="J13" s="3">
        <v>38.4</v>
      </c>
      <c r="K13" s="3">
        <v>38.43</v>
      </c>
      <c r="L13" s="3">
        <v>29.41</v>
      </c>
      <c r="M13" s="3">
        <v>29.41</v>
      </c>
      <c r="N13" s="3">
        <v>33.21</v>
      </c>
      <c r="O13" s="3">
        <v>33.03</v>
      </c>
      <c r="P13" s="1"/>
      <c r="Q13" s="1"/>
    </row>
    <row r="14" spans="2:17" x14ac:dyDescent="0.25">
      <c r="B14" s="1" t="s">
        <v>30</v>
      </c>
      <c r="C14" s="4">
        <v>9</v>
      </c>
      <c r="D14" s="1">
        <v>35</v>
      </c>
      <c r="E14" s="1">
        <v>54</v>
      </c>
      <c r="F14" s="1">
        <v>21</v>
      </c>
      <c r="G14" s="1">
        <v>12.33</v>
      </c>
      <c r="H14" s="3">
        <f>1-Table1[[#This Row],[w2 (24 GHz)]]</f>
        <v>0.30095672973446252</v>
      </c>
      <c r="I14" s="3">
        <f>1/(1+10^((Table1[[#This Row],[SNR 5.8]]-Table1[[#This Row],[SNR 24]]-12.33)/10))</f>
        <v>0.69904327026553748</v>
      </c>
      <c r="J14" s="3">
        <v>38.369999999999997</v>
      </c>
      <c r="K14" s="3">
        <v>38.46</v>
      </c>
      <c r="L14" s="3">
        <v>31.41</v>
      </c>
      <c r="M14" s="3">
        <v>31.36</v>
      </c>
      <c r="N14" s="3">
        <v>35.08</v>
      </c>
      <c r="O14" s="3">
        <v>35.04</v>
      </c>
      <c r="P14" s="1"/>
      <c r="Q14" s="1"/>
    </row>
    <row r="15" spans="2:17" x14ac:dyDescent="0.25">
      <c r="B15" s="1" t="s">
        <v>31</v>
      </c>
      <c r="C15" s="4">
        <v>10</v>
      </c>
      <c r="D15" s="1">
        <v>35</v>
      </c>
      <c r="E15" s="1">
        <v>54</v>
      </c>
      <c r="F15" s="1">
        <v>12.33</v>
      </c>
      <c r="G15" s="1">
        <v>0</v>
      </c>
      <c r="H15" s="3">
        <f>1-Table1[[#This Row],[w2 (24 GHz)]]</f>
        <v>0.5</v>
      </c>
      <c r="I15" s="3">
        <f>1/(1+10^((Table1[[#This Row],[SNR 5.8]]-Table1[[#This Row],[SNR 24]]-12.33)/10))</f>
        <v>0.5</v>
      </c>
      <c r="J15" s="3">
        <v>38.4</v>
      </c>
      <c r="K15" s="3">
        <v>38.43</v>
      </c>
      <c r="L15" s="3">
        <v>33.659999999999997</v>
      </c>
      <c r="M15" s="3">
        <v>33.659999999999997</v>
      </c>
      <c r="N15" s="3">
        <v>35.42</v>
      </c>
      <c r="O15" s="3">
        <v>35.29</v>
      </c>
      <c r="P15" s="1"/>
      <c r="Q15" s="1"/>
    </row>
    <row r="16" spans="2:17" x14ac:dyDescent="0.25">
      <c r="B16" s="1" t="s">
        <v>31</v>
      </c>
      <c r="C16" s="5">
        <v>11</v>
      </c>
      <c r="D16" s="1">
        <v>50</v>
      </c>
      <c r="E16" s="1">
        <v>70</v>
      </c>
      <c r="F16" s="1">
        <v>12.33</v>
      </c>
      <c r="G16" s="1">
        <v>0</v>
      </c>
      <c r="H16" s="3">
        <f>1-Table1[[#This Row],[w2 (24 GHz)]]</f>
        <v>0.5</v>
      </c>
      <c r="I16" s="3">
        <f>1/(1+10^((Table1[[#This Row],[SNR 5.8]]-Table1[[#This Row],[SNR 24]]-12.33)/10))</f>
        <v>0.5</v>
      </c>
      <c r="J16" s="3">
        <v>46.95</v>
      </c>
      <c r="K16" s="3">
        <v>46.87</v>
      </c>
      <c r="L16" s="3">
        <v>45.82</v>
      </c>
      <c r="M16" s="3">
        <v>45.82</v>
      </c>
      <c r="N16" s="3">
        <v>50.32</v>
      </c>
      <c r="O16" s="3">
        <v>50.34</v>
      </c>
      <c r="P16" s="1"/>
      <c r="Q16" s="1"/>
    </row>
    <row r="17" spans="2:17" x14ac:dyDescent="0.25">
      <c r="B17" s="1" t="s">
        <v>31</v>
      </c>
      <c r="C17" s="5">
        <v>12</v>
      </c>
      <c r="D17" s="1">
        <v>50</v>
      </c>
      <c r="E17" s="1">
        <v>70</v>
      </c>
      <c r="F17" s="1">
        <v>12</v>
      </c>
      <c r="G17" s="1">
        <v>-5</v>
      </c>
      <c r="H17" s="3">
        <f>1-Table1[[#This Row],[w2 (24 GHz)]]</f>
        <v>0.74560489496673688</v>
      </c>
      <c r="I17" s="3">
        <f>1/(1+10^((Table1[[#This Row],[SNR 5.8]]-Table1[[#This Row],[SNR 24]]-12.33)/10))</f>
        <v>0.25439510503326312</v>
      </c>
      <c r="J17" s="3">
        <v>46.95</v>
      </c>
      <c r="K17" s="3">
        <v>46.87</v>
      </c>
      <c r="L17" s="3">
        <v>41.92</v>
      </c>
      <c r="M17" s="3">
        <v>42.21</v>
      </c>
      <c r="N17" s="3">
        <v>48.88</v>
      </c>
      <c r="O17" s="3">
        <v>47.37</v>
      </c>
      <c r="P17" s="1"/>
      <c r="Q17" s="1"/>
    </row>
    <row r="18" spans="2:17" x14ac:dyDescent="0.25">
      <c r="B18" s="1" t="s">
        <v>31</v>
      </c>
      <c r="C18" s="5">
        <v>13</v>
      </c>
      <c r="D18" s="1">
        <v>50</v>
      </c>
      <c r="E18" s="1">
        <v>70</v>
      </c>
      <c r="F18" s="1">
        <v>20</v>
      </c>
      <c r="G18" s="1">
        <v>-2</v>
      </c>
      <c r="H18" s="3">
        <f>1-Table1[[#This Row],[w2 (24 GHz)]]</f>
        <v>0.90261287924916822</v>
      </c>
      <c r="I18" s="3">
        <f>1/(1+10^((Table1[[#This Row],[SNR 5.8]]-Table1[[#This Row],[SNR 24]]-12.33)/10))</f>
        <v>9.7387120750831807E-2</v>
      </c>
      <c r="J18" s="3">
        <v>47.14</v>
      </c>
      <c r="K18" s="3">
        <v>46.87</v>
      </c>
      <c r="L18" s="3">
        <v>45.63</v>
      </c>
      <c r="M18" s="3">
        <v>45.87</v>
      </c>
      <c r="N18" s="3">
        <v>50.4</v>
      </c>
      <c r="O18" s="3">
        <v>50.34</v>
      </c>
      <c r="P18" s="1"/>
      <c r="Q18" s="1"/>
    </row>
    <row r="19" spans="2:17" x14ac:dyDescent="0.25">
      <c r="B19" s="1" t="s">
        <v>30</v>
      </c>
      <c r="C19" s="5">
        <v>14</v>
      </c>
      <c r="D19" s="1">
        <v>50</v>
      </c>
      <c r="E19" s="1">
        <v>70</v>
      </c>
      <c r="F19" s="1">
        <v>6</v>
      </c>
      <c r="G19" s="1">
        <v>-3</v>
      </c>
      <c r="H19" s="3">
        <f>1-Table1[[#This Row],[w2 (24 GHz)]]</f>
        <v>0.31718021865773827</v>
      </c>
      <c r="I19" s="3">
        <f>1/(1+10^((Table1[[#This Row],[SNR 5.8]]-Table1[[#This Row],[SNR 24]]-12.33)/10))</f>
        <v>0.68281978134226173</v>
      </c>
      <c r="J19" s="3">
        <v>46.9</v>
      </c>
      <c r="K19" s="3">
        <v>46.87</v>
      </c>
      <c r="L19" s="3">
        <v>45.87</v>
      </c>
      <c r="M19" s="3">
        <v>45.87</v>
      </c>
      <c r="N19" s="3">
        <v>50.31</v>
      </c>
      <c r="O19" s="3">
        <v>50.36</v>
      </c>
    </row>
    <row r="20" spans="2:17" x14ac:dyDescent="0.25">
      <c r="B20" s="1" t="s">
        <v>30</v>
      </c>
      <c r="C20" s="5">
        <v>15</v>
      </c>
      <c r="D20" s="1">
        <v>50</v>
      </c>
      <c r="E20" s="1">
        <v>70</v>
      </c>
      <c r="F20" s="1">
        <v>21</v>
      </c>
      <c r="G20" s="1">
        <v>18</v>
      </c>
      <c r="H20" s="3">
        <f>1-Table1[[#This Row],[w2 (24 GHz)]]</f>
        <v>0.10448907584833167</v>
      </c>
      <c r="I20" s="3">
        <f>1/(1+10^((Table1[[#This Row],[SNR 5.8]]-Table1[[#This Row],[SNR 24]]-12.33)/10))</f>
        <v>0.89551092415166833</v>
      </c>
      <c r="J20" s="3">
        <v>47.18</v>
      </c>
      <c r="K20" s="3">
        <v>46.85</v>
      </c>
      <c r="L20" s="3">
        <v>57.79</v>
      </c>
      <c r="M20" s="3">
        <v>48.32</v>
      </c>
      <c r="N20" s="3">
        <v>50.15</v>
      </c>
      <c r="O20" s="3">
        <v>50.29</v>
      </c>
    </row>
    <row r="21" spans="2:17" x14ac:dyDescent="0.25">
      <c r="B21" s="1" t="s">
        <v>32</v>
      </c>
      <c r="C21" s="27">
        <v>16</v>
      </c>
      <c r="D21" s="1">
        <v>32</v>
      </c>
      <c r="E21" s="1">
        <v>54</v>
      </c>
      <c r="F21" s="1">
        <v>0</v>
      </c>
      <c r="G21" s="1">
        <v>-3</v>
      </c>
      <c r="H21" s="3">
        <f>1-Table1[[#This Row],[w2 (24 GHz)]]</f>
        <v>0.10448907584833167</v>
      </c>
      <c r="I21" s="3">
        <f>1/(1+10^((Table1[[#This Row],[SNR 5.8]]-Table1[[#This Row],[SNR 24]]-12.33)/10))</f>
        <v>0.89551092415166833</v>
      </c>
      <c r="J21" s="3">
        <v>29.47</v>
      </c>
      <c r="K21" s="3">
        <v>29.49</v>
      </c>
      <c r="L21" s="3">
        <v>28.48</v>
      </c>
      <c r="M21" s="3">
        <v>28.82</v>
      </c>
      <c r="N21" s="3">
        <v>31.99</v>
      </c>
      <c r="O21" s="3">
        <v>31.76</v>
      </c>
    </row>
    <row r="22" spans="2:17" x14ac:dyDescent="0.25">
      <c r="B22" s="1" t="s">
        <v>32</v>
      </c>
      <c r="C22" s="27">
        <v>17</v>
      </c>
      <c r="D22" s="1">
        <v>45</v>
      </c>
      <c r="E22" s="1">
        <v>70</v>
      </c>
      <c r="F22" s="1">
        <v>-5</v>
      </c>
      <c r="G22" s="1">
        <v>0</v>
      </c>
      <c r="H22" s="3">
        <f>1-Table1[[#This Row],[w2 (24 GHz)]]</f>
        <v>1.8156916039291926E-2</v>
      </c>
      <c r="I22" s="3">
        <f>1/(1+10^((Table1[[#This Row],[SNR 5.8]]-Table1[[#This Row],[SNR 24]]-12.33)/10))</f>
        <v>0.98184308396070807</v>
      </c>
      <c r="J22" s="3">
        <v>46.87</v>
      </c>
      <c r="K22" s="3">
        <v>46.9</v>
      </c>
      <c r="L22" s="3">
        <v>38.64</v>
      </c>
      <c r="M22" s="3">
        <v>38.590000000000003</v>
      </c>
      <c r="N22" s="3">
        <v>43.54</v>
      </c>
      <c r="O22" s="3">
        <v>43.79</v>
      </c>
    </row>
    <row r="23" spans="2:17" x14ac:dyDescent="0.25">
      <c r="B23" s="1"/>
      <c r="C23" s="7"/>
      <c r="D23" s="8"/>
      <c r="E23" s="8"/>
      <c r="F23" s="8"/>
      <c r="G23" s="8"/>
      <c r="H23" s="9"/>
      <c r="I23" s="9"/>
      <c r="J23" s="9"/>
      <c r="K23" s="9"/>
      <c r="L23" s="9"/>
      <c r="M23" s="9"/>
      <c r="N23" s="9"/>
      <c r="O23" s="9"/>
    </row>
    <row r="24" spans="2:17" x14ac:dyDescent="0.25">
      <c r="B24" s="1"/>
      <c r="C24" s="12">
        <v>16</v>
      </c>
      <c r="D24" s="10">
        <v>70</v>
      </c>
      <c r="E24" s="10">
        <v>70</v>
      </c>
      <c r="F24" s="10">
        <v>-2</v>
      </c>
      <c r="G24" s="10">
        <v>-5</v>
      </c>
      <c r="H24" s="11">
        <f>1-Table1[[#This Row],[w2 (24 GHz)]]</f>
        <v>0.10448907584833167</v>
      </c>
      <c r="I24" s="11">
        <f>1/(1+10^((Table1[[#This Row],[SNR 5.8]]-Table1[[#This Row],[SNR 24]]-12.33)/10))</f>
        <v>0.89551092415166833</v>
      </c>
      <c r="J24" s="11">
        <v>67.98</v>
      </c>
      <c r="K24" s="11">
        <v>67.98</v>
      </c>
      <c r="L24" s="11">
        <v>56.33</v>
      </c>
      <c r="M24" s="11">
        <v>56.23</v>
      </c>
      <c r="N24" s="11">
        <v>67.95</v>
      </c>
      <c r="O24" s="11">
        <v>67.95</v>
      </c>
    </row>
    <row r="25" spans="2:17" x14ac:dyDescent="0.25">
      <c r="B25" s="1"/>
      <c r="C25" s="12">
        <v>17</v>
      </c>
      <c r="D25" s="10">
        <v>70</v>
      </c>
      <c r="E25" s="10">
        <v>70</v>
      </c>
      <c r="F25" s="10">
        <v>18</v>
      </c>
      <c r="G25" s="10">
        <v>2</v>
      </c>
      <c r="H25" s="11">
        <f>1-Table1[[#This Row],[w2 (24 GHz)]]</f>
        <v>0.69952747007856964</v>
      </c>
      <c r="I25" s="11">
        <f>1/(1+10^((Table1[[#This Row],[SNR 5.8]]-Table1[[#This Row],[SNR 24]]-12.33)/10))</f>
        <v>0.30047252992143036</v>
      </c>
      <c r="J25" s="11">
        <v>68.010000000000005</v>
      </c>
      <c r="K25" s="11">
        <v>67.989999999999995</v>
      </c>
      <c r="L25" s="11">
        <v>59.06</v>
      </c>
      <c r="M25" s="11">
        <v>59.16</v>
      </c>
      <c r="N25" s="11">
        <v>69.75</v>
      </c>
      <c r="O25" s="11">
        <v>68.97</v>
      </c>
    </row>
    <row r="26" spans="2:17" x14ac:dyDescent="0.25">
      <c r="B26" s="1"/>
      <c r="C26" s="12">
        <v>18</v>
      </c>
      <c r="D26" s="10">
        <v>70</v>
      </c>
      <c r="E26" s="10">
        <v>70</v>
      </c>
      <c r="F26" s="10">
        <v>12.33</v>
      </c>
      <c r="G26" s="10">
        <v>0</v>
      </c>
      <c r="H26" s="11">
        <f>1-Table1[[#This Row],[w2 (24 GHz)]]</f>
        <v>0.5</v>
      </c>
      <c r="I26" s="11">
        <f>1/(1+10^((Table1[[#This Row],[SNR 5.8]]-Table1[[#This Row],[SNR 24]]-12.33)/10))</f>
        <v>0.5</v>
      </c>
      <c r="J26" s="11">
        <v>67.989999999999995</v>
      </c>
      <c r="K26" s="11">
        <v>67.989999999999995</v>
      </c>
      <c r="L26" s="11">
        <v>59.16</v>
      </c>
      <c r="M26" s="11">
        <v>59.16</v>
      </c>
      <c r="N26" s="11">
        <v>69.22</v>
      </c>
      <c r="O26" s="11">
        <v>68.95</v>
      </c>
    </row>
    <row r="27" spans="2:17" x14ac:dyDescent="0.25">
      <c r="B27" s="1"/>
      <c r="C27" s="12">
        <v>19</v>
      </c>
      <c r="D27" s="10">
        <v>70</v>
      </c>
      <c r="E27" s="10">
        <v>70</v>
      </c>
      <c r="F27" s="10">
        <v>12.33</v>
      </c>
      <c r="G27" s="10">
        <v>5</v>
      </c>
      <c r="H27" s="11">
        <f>1-Table1[[#This Row],[w2 (24 GHz)]]</f>
        <v>0.24025307335204216</v>
      </c>
      <c r="I27" s="11">
        <f>1/(1+10^((Table1[[#This Row],[SNR 5.8]]-Table1[[#This Row],[SNR 24]]-12.33)/10))</f>
        <v>0.75974692664795784</v>
      </c>
      <c r="J27" s="11">
        <v>67.989999999999995</v>
      </c>
      <c r="K27" s="11">
        <v>67.989999999999995</v>
      </c>
      <c r="L27" s="11">
        <v>65.95</v>
      </c>
      <c r="M27" s="11">
        <v>59.21</v>
      </c>
      <c r="N27" s="11">
        <v>68.5</v>
      </c>
      <c r="O27" s="11">
        <v>69.17</v>
      </c>
    </row>
    <row r="28" spans="2:17" x14ac:dyDescent="0.25">
      <c r="B28" s="1"/>
      <c r="C28" s="12">
        <v>20</v>
      </c>
      <c r="D28" s="10">
        <v>70</v>
      </c>
      <c r="E28" s="10">
        <v>70</v>
      </c>
      <c r="F28" s="10">
        <v>11</v>
      </c>
      <c r="G28" s="10">
        <v>-5</v>
      </c>
      <c r="H28" s="11">
        <f>1-Table1[[#This Row],[w2 (24 GHz)]]</f>
        <v>0.69952747007856964</v>
      </c>
      <c r="I28" s="11">
        <f>1/(1+10^((Table1[[#This Row],[SNR 5.8]]-Table1[[#This Row],[SNR 24]]-12.33)/10))</f>
        <v>0.30047252992143036</v>
      </c>
      <c r="J28" s="11">
        <v>67.989999999999995</v>
      </c>
      <c r="K28" s="11">
        <v>67.98</v>
      </c>
      <c r="L28" s="11">
        <v>56.28</v>
      </c>
      <c r="M28" s="11">
        <v>56.28</v>
      </c>
      <c r="N28" s="11">
        <v>68.09</v>
      </c>
      <c r="O28" s="11">
        <v>68.03</v>
      </c>
    </row>
    <row r="29" spans="2:17" x14ac:dyDescent="0.25">
      <c r="B29" s="1"/>
      <c r="C29" s="6"/>
      <c r="D29" s="1"/>
      <c r="E29" s="1"/>
      <c r="F29" s="1"/>
      <c r="G29" s="1"/>
      <c r="H29" s="3"/>
      <c r="I29" s="3"/>
      <c r="J29" s="3"/>
      <c r="K29" s="3"/>
      <c r="L29" s="3"/>
      <c r="M29" s="3"/>
      <c r="N29" s="3"/>
      <c r="O29" s="3"/>
    </row>
    <row r="30" spans="2:17" ht="15.75" thickBot="1" x14ac:dyDescent="0.3">
      <c r="B30" s="1"/>
      <c r="C30" s="6"/>
      <c r="D30" s="1"/>
      <c r="E30" s="1"/>
      <c r="F30" s="1"/>
      <c r="G30" s="1"/>
      <c r="H30" s="3"/>
      <c r="I30" s="3"/>
      <c r="J30" s="3"/>
      <c r="K30" s="3"/>
      <c r="L30" s="3"/>
      <c r="M30" s="3"/>
      <c r="N30" s="3"/>
      <c r="O30" s="3"/>
    </row>
    <row r="31" spans="2:17" ht="15" customHeight="1" x14ac:dyDescent="0.25">
      <c r="B31" s="77" t="s">
        <v>15</v>
      </c>
      <c r="C31" s="78"/>
      <c r="D31" s="78"/>
      <c r="E31" s="78"/>
      <c r="F31" s="78"/>
      <c r="G31" s="78"/>
      <c r="H31" s="78"/>
      <c r="I31" s="79"/>
      <c r="J31" s="3"/>
      <c r="K31" s="3"/>
      <c r="L31" s="3"/>
      <c r="M31" s="3"/>
      <c r="N31" s="3"/>
      <c r="O31" s="3"/>
    </row>
    <row r="32" spans="2:17" ht="15.75" customHeight="1" thickBot="1" x14ac:dyDescent="0.3">
      <c r="B32" s="80"/>
      <c r="C32" s="81"/>
      <c r="D32" s="81"/>
      <c r="E32" s="81"/>
      <c r="F32" s="81"/>
      <c r="G32" s="81"/>
      <c r="H32" s="81"/>
      <c r="I32" s="82"/>
      <c r="J32" s="3"/>
      <c r="K32" s="3"/>
      <c r="L32" s="3"/>
      <c r="M32" s="3"/>
      <c r="N32" s="3"/>
      <c r="O32" s="3"/>
    </row>
    <row r="33" spans="2:15" ht="15.75" thickBot="1" x14ac:dyDescent="0.3">
      <c r="B33" s="74" t="s">
        <v>2</v>
      </c>
      <c r="C33" s="68" t="s">
        <v>6</v>
      </c>
      <c r="D33" s="13" t="s">
        <v>17</v>
      </c>
      <c r="E33" s="13" t="s">
        <v>18</v>
      </c>
      <c r="F33" s="13" t="s">
        <v>19</v>
      </c>
      <c r="G33" s="13" t="s">
        <v>20</v>
      </c>
      <c r="H33" s="14" t="s">
        <v>21</v>
      </c>
      <c r="I33" s="15" t="s">
        <v>22</v>
      </c>
      <c r="J33" s="3"/>
      <c r="K33" s="3"/>
      <c r="L33" s="3"/>
      <c r="M33" s="3"/>
      <c r="N33" s="3"/>
      <c r="O33" s="3"/>
    </row>
    <row r="34" spans="2:15" x14ac:dyDescent="0.25">
      <c r="B34" s="64">
        <v>25</v>
      </c>
      <c r="C34" s="5">
        <v>1</v>
      </c>
      <c r="D34" s="25">
        <f t="shared" ref="D34:D48" si="0">ABS(L6-D6)</f>
        <v>0.44999999999999929</v>
      </c>
      <c r="E34" s="25">
        <f t="shared" ref="E34:E48" si="1">ABS(M6-D6)</f>
        <v>0.44999999999999929</v>
      </c>
      <c r="F34" s="25">
        <f t="shared" ref="F34:F48" si="2">ABS(N6-D6)</f>
        <v>1.0000000000001563E-2</v>
      </c>
      <c r="G34" s="25">
        <f t="shared" ref="G34:G48" si="3">ABS(O6-D6)</f>
        <v>0</v>
      </c>
      <c r="H34" s="25">
        <f t="shared" ref="H34:H48" si="4">ABS(J6-D6)</f>
        <v>0.32999999999999829</v>
      </c>
      <c r="I34" s="69">
        <f t="shared" ref="I34:I48" si="5">ABS(K6-D6)</f>
        <v>0.51000000000000156</v>
      </c>
      <c r="J34" s="3"/>
      <c r="K34" s="3"/>
      <c r="L34" s="3"/>
      <c r="M34" s="3"/>
      <c r="N34" s="3"/>
      <c r="O34" s="3"/>
    </row>
    <row r="35" spans="2:15" x14ac:dyDescent="0.25">
      <c r="B35" s="64">
        <v>25</v>
      </c>
      <c r="C35" s="5">
        <v>2</v>
      </c>
      <c r="D35" s="25">
        <f t="shared" si="0"/>
        <v>1.8000000000000007</v>
      </c>
      <c r="E35" s="25">
        <f t="shared" si="1"/>
        <v>1.75</v>
      </c>
      <c r="F35" s="25">
        <f t="shared" si="2"/>
        <v>3.9999999999999147E-2</v>
      </c>
      <c r="G35" s="25">
        <f t="shared" si="3"/>
        <v>3.9999999999999147E-2</v>
      </c>
      <c r="H35" s="25">
        <f t="shared" si="4"/>
        <v>0.39999999999999858</v>
      </c>
      <c r="I35" s="69">
        <f t="shared" si="5"/>
        <v>0.5</v>
      </c>
      <c r="J35" s="3"/>
      <c r="K35" s="3"/>
      <c r="L35" s="3"/>
      <c r="M35" s="3"/>
      <c r="N35" s="3"/>
      <c r="O35" s="3"/>
    </row>
    <row r="36" spans="2:15" x14ac:dyDescent="0.25">
      <c r="B36" s="64">
        <v>25</v>
      </c>
      <c r="C36" s="5">
        <v>3</v>
      </c>
      <c r="D36" s="25">
        <f t="shared" si="0"/>
        <v>0.69999999999999929</v>
      </c>
      <c r="E36" s="25">
        <f t="shared" si="1"/>
        <v>0.64999999999999858</v>
      </c>
      <c r="F36" s="25">
        <f t="shared" si="2"/>
        <v>1.9999999999999574E-2</v>
      </c>
      <c r="G36" s="25">
        <f t="shared" si="3"/>
        <v>3.0000000000001137E-2</v>
      </c>
      <c r="H36" s="25">
        <f t="shared" si="4"/>
        <v>5.0000000000000711E-2</v>
      </c>
      <c r="I36" s="69">
        <f t="shared" si="5"/>
        <v>0.5</v>
      </c>
      <c r="J36" s="3"/>
      <c r="K36" s="3"/>
      <c r="L36" s="3"/>
      <c r="M36" s="3"/>
      <c r="N36" s="3"/>
      <c r="O36" s="3"/>
    </row>
    <row r="37" spans="2:15" x14ac:dyDescent="0.25">
      <c r="B37" s="64">
        <v>25</v>
      </c>
      <c r="C37" s="5">
        <v>4</v>
      </c>
      <c r="D37" s="25">
        <f t="shared" si="0"/>
        <v>0.64999999999999858</v>
      </c>
      <c r="E37" s="25">
        <f t="shared" si="1"/>
        <v>0.60000000000000142</v>
      </c>
      <c r="F37" s="25">
        <f t="shared" si="2"/>
        <v>1.0000000000001563E-2</v>
      </c>
      <c r="G37" s="25">
        <f t="shared" si="3"/>
        <v>1.0000000000001563E-2</v>
      </c>
      <c r="H37" s="25">
        <f t="shared" si="4"/>
        <v>0.16000000000000014</v>
      </c>
      <c r="I37" s="69">
        <f t="shared" si="5"/>
        <v>0.5</v>
      </c>
      <c r="J37" s="3"/>
      <c r="K37" s="3"/>
      <c r="L37" s="3"/>
      <c r="M37" s="3"/>
      <c r="N37" s="3"/>
      <c r="O37" s="3"/>
    </row>
    <row r="38" spans="2:15" x14ac:dyDescent="0.25">
      <c r="B38" s="64">
        <v>25</v>
      </c>
      <c r="C38" s="5">
        <v>5</v>
      </c>
      <c r="D38" s="25">
        <f t="shared" si="0"/>
        <v>0.76999999999999957</v>
      </c>
      <c r="E38" s="25">
        <f t="shared" si="1"/>
        <v>0.82000000000000028</v>
      </c>
      <c r="F38" s="25">
        <f t="shared" si="2"/>
        <v>1.0000000000001563E-2</v>
      </c>
      <c r="G38" s="25">
        <f t="shared" si="3"/>
        <v>1.0000000000001563E-2</v>
      </c>
      <c r="H38" s="25">
        <f t="shared" si="4"/>
        <v>1.9999999999999574E-2</v>
      </c>
      <c r="I38" s="69">
        <f t="shared" si="5"/>
        <v>3.1400000000000006</v>
      </c>
      <c r="J38" s="3"/>
      <c r="K38" s="3"/>
      <c r="L38" s="3"/>
      <c r="M38" s="3"/>
      <c r="N38" s="3"/>
      <c r="O38" s="3"/>
    </row>
    <row r="39" spans="2:15" x14ac:dyDescent="0.25">
      <c r="B39" s="65">
        <v>35</v>
      </c>
      <c r="C39" s="4">
        <v>6</v>
      </c>
      <c r="D39" s="1">
        <f t="shared" si="0"/>
        <v>5.7399999999999984</v>
      </c>
      <c r="E39" s="1">
        <f t="shared" si="1"/>
        <v>1.3900000000000006</v>
      </c>
      <c r="F39" s="1">
        <f t="shared" si="2"/>
        <v>4.82</v>
      </c>
      <c r="G39" s="1">
        <f t="shared" si="3"/>
        <v>2.7100000000000009</v>
      </c>
      <c r="H39" s="1">
        <f t="shared" si="4"/>
        <v>3.4200000000000017</v>
      </c>
      <c r="I39" s="70">
        <f t="shared" si="5"/>
        <v>3.4299999999999997</v>
      </c>
      <c r="J39" s="1"/>
      <c r="K39" s="1"/>
      <c r="L39" s="1"/>
      <c r="M39" s="1"/>
      <c r="N39" s="1"/>
      <c r="O39" s="1"/>
    </row>
    <row r="40" spans="2:15" x14ac:dyDescent="0.25">
      <c r="B40" s="65">
        <v>35</v>
      </c>
      <c r="C40" s="4">
        <v>7</v>
      </c>
      <c r="D40" s="1">
        <f t="shared" si="0"/>
        <v>0.71000000000000085</v>
      </c>
      <c r="E40" s="1">
        <f t="shared" si="1"/>
        <v>1.3900000000000006</v>
      </c>
      <c r="F40" s="1">
        <f t="shared" si="2"/>
        <v>0.21000000000000085</v>
      </c>
      <c r="G40" s="1">
        <f t="shared" si="3"/>
        <v>0.27000000000000313</v>
      </c>
      <c r="H40" s="1">
        <f t="shared" si="4"/>
        <v>3.3800000000000026</v>
      </c>
      <c r="I40" s="70">
        <f t="shared" si="5"/>
        <v>3.4399999999999977</v>
      </c>
    </row>
    <row r="41" spans="2:15" x14ac:dyDescent="0.25">
      <c r="B41" s="65">
        <v>35</v>
      </c>
      <c r="C41" s="4">
        <v>8</v>
      </c>
      <c r="D41" s="1">
        <f t="shared" si="0"/>
        <v>5.59</v>
      </c>
      <c r="E41" s="1">
        <f t="shared" si="1"/>
        <v>5.59</v>
      </c>
      <c r="F41" s="1">
        <f t="shared" si="2"/>
        <v>1.7899999999999991</v>
      </c>
      <c r="G41" s="1">
        <f t="shared" si="3"/>
        <v>1.9699999999999989</v>
      </c>
      <c r="H41" s="1">
        <f t="shared" si="4"/>
        <v>3.3999999999999986</v>
      </c>
      <c r="I41" s="70">
        <f t="shared" si="5"/>
        <v>3.4299999999999997</v>
      </c>
    </row>
    <row r="42" spans="2:15" x14ac:dyDescent="0.25">
      <c r="B42" s="65">
        <v>35</v>
      </c>
      <c r="C42" s="4">
        <v>9</v>
      </c>
      <c r="D42" s="1">
        <f t="shared" si="0"/>
        <v>3.59</v>
      </c>
      <c r="E42" s="1">
        <f t="shared" si="1"/>
        <v>3.6400000000000006</v>
      </c>
      <c r="F42" s="1">
        <f t="shared" si="2"/>
        <v>7.9999999999998295E-2</v>
      </c>
      <c r="G42" s="1">
        <f t="shared" si="3"/>
        <v>3.9999999999999147E-2</v>
      </c>
      <c r="H42" s="1">
        <f t="shared" si="4"/>
        <v>3.3699999999999974</v>
      </c>
      <c r="I42" s="70">
        <f t="shared" si="5"/>
        <v>3.4600000000000009</v>
      </c>
    </row>
    <row r="43" spans="2:15" x14ac:dyDescent="0.25">
      <c r="B43" s="65">
        <v>35</v>
      </c>
      <c r="C43" s="4">
        <v>10</v>
      </c>
      <c r="D43" s="1">
        <f t="shared" si="0"/>
        <v>1.3400000000000034</v>
      </c>
      <c r="E43" s="1">
        <f t="shared" si="1"/>
        <v>1.3400000000000034</v>
      </c>
      <c r="F43" s="1">
        <f t="shared" si="2"/>
        <v>0.42000000000000171</v>
      </c>
      <c r="G43" s="1">
        <f t="shared" si="3"/>
        <v>0.28999999999999915</v>
      </c>
      <c r="H43" s="1">
        <f t="shared" si="4"/>
        <v>3.3999999999999986</v>
      </c>
      <c r="I43" s="70">
        <f t="shared" si="5"/>
        <v>3.4299999999999997</v>
      </c>
    </row>
    <row r="44" spans="2:15" x14ac:dyDescent="0.25">
      <c r="B44" s="64">
        <v>50</v>
      </c>
      <c r="C44" s="5">
        <v>11</v>
      </c>
      <c r="D44" s="25">
        <f t="shared" si="0"/>
        <v>4.18</v>
      </c>
      <c r="E44" s="25">
        <f t="shared" si="1"/>
        <v>4.18</v>
      </c>
      <c r="F44" s="25">
        <f t="shared" si="2"/>
        <v>0.32000000000000028</v>
      </c>
      <c r="G44" s="25">
        <f t="shared" si="3"/>
        <v>0.34000000000000341</v>
      </c>
      <c r="H44" s="25">
        <f t="shared" si="4"/>
        <v>3.0499999999999972</v>
      </c>
      <c r="I44" s="69">
        <f t="shared" si="5"/>
        <v>3.1300000000000026</v>
      </c>
    </row>
    <row r="45" spans="2:15" x14ac:dyDescent="0.25">
      <c r="B45" s="64">
        <v>50</v>
      </c>
      <c r="C45" s="5">
        <v>12</v>
      </c>
      <c r="D45" s="25">
        <f t="shared" si="0"/>
        <v>8.0799999999999983</v>
      </c>
      <c r="E45" s="25">
        <f t="shared" si="1"/>
        <v>7.7899999999999991</v>
      </c>
      <c r="F45" s="25">
        <f t="shared" si="2"/>
        <v>1.1199999999999974</v>
      </c>
      <c r="G45" s="25">
        <f t="shared" si="3"/>
        <v>2.6300000000000026</v>
      </c>
      <c r="H45" s="25">
        <f t="shared" si="4"/>
        <v>3.0499999999999972</v>
      </c>
      <c r="I45" s="69">
        <f t="shared" si="5"/>
        <v>3.1300000000000026</v>
      </c>
    </row>
    <row r="46" spans="2:15" x14ac:dyDescent="0.25">
      <c r="B46" s="64">
        <v>50</v>
      </c>
      <c r="C46" s="5">
        <v>13</v>
      </c>
      <c r="D46" s="25">
        <f t="shared" si="0"/>
        <v>4.3699999999999974</v>
      </c>
      <c r="E46" s="25">
        <f t="shared" si="1"/>
        <v>4.1300000000000026</v>
      </c>
      <c r="F46" s="25">
        <f t="shared" si="2"/>
        <v>0.39999999999999858</v>
      </c>
      <c r="G46" s="25">
        <f t="shared" si="3"/>
        <v>0.34000000000000341</v>
      </c>
      <c r="H46" s="25">
        <f t="shared" si="4"/>
        <v>2.8599999999999994</v>
      </c>
      <c r="I46" s="69">
        <f t="shared" si="5"/>
        <v>3.1300000000000026</v>
      </c>
    </row>
    <row r="47" spans="2:15" x14ac:dyDescent="0.25">
      <c r="B47" s="64">
        <v>50</v>
      </c>
      <c r="C47" s="5">
        <v>14</v>
      </c>
      <c r="D47" s="25">
        <f t="shared" si="0"/>
        <v>4.1300000000000026</v>
      </c>
      <c r="E47" s="25">
        <f t="shared" si="1"/>
        <v>4.1300000000000026</v>
      </c>
      <c r="F47" s="25">
        <f t="shared" si="2"/>
        <v>0.31000000000000227</v>
      </c>
      <c r="G47" s="25">
        <f t="shared" si="3"/>
        <v>0.35999999999999943</v>
      </c>
      <c r="H47" s="25">
        <f t="shared" si="4"/>
        <v>3.1000000000000014</v>
      </c>
      <c r="I47" s="69">
        <f t="shared" si="5"/>
        <v>3.1300000000000026</v>
      </c>
    </row>
    <row r="48" spans="2:15" x14ac:dyDescent="0.25">
      <c r="B48" s="64">
        <v>50</v>
      </c>
      <c r="C48" s="5">
        <v>15</v>
      </c>
      <c r="D48" s="25">
        <f t="shared" si="0"/>
        <v>7.7899999999999991</v>
      </c>
      <c r="E48" s="25">
        <f t="shared" si="1"/>
        <v>1.6799999999999997</v>
      </c>
      <c r="F48" s="25">
        <f t="shared" si="2"/>
        <v>0.14999999999999858</v>
      </c>
      <c r="G48" s="25">
        <f t="shared" si="3"/>
        <v>0.28999999999999915</v>
      </c>
      <c r="H48" s="25">
        <f t="shared" si="4"/>
        <v>2.8200000000000003</v>
      </c>
      <c r="I48" s="69">
        <f t="shared" si="5"/>
        <v>3.1499999999999986</v>
      </c>
    </row>
    <row r="49" spans="2:9" x14ac:dyDescent="0.25">
      <c r="B49" s="66">
        <v>32</v>
      </c>
      <c r="C49" s="27">
        <v>16</v>
      </c>
      <c r="D49" s="1">
        <f t="shared" ref="D49:D50" si="6">ABS(L21-D21)</f>
        <v>3.5199999999999996</v>
      </c>
      <c r="E49" s="1">
        <f t="shared" ref="E49:E50" si="7">ABS(M21-D21)</f>
        <v>3.1799999999999997</v>
      </c>
      <c r="F49" s="1">
        <f t="shared" ref="F49:F50" si="8">ABS(N21-D21)</f>
        <v>1.0000000000001563E-2</v>
      </c>
      <c r="G49" s="1">
        <f t="shared" ref="G49:G50" si="9">ABS(O21-D21)</f>
        <v>0.23999999999999844</v>
      </c>
      <c r="H49" s="1">
        <f t="shared" ref="H49:H50" si="10">ABS(J21-D21)</f>
        <v>2.5300000000000011</v>
      </c>
      <c r="I49" s="70">
        <f t="shared" ref="I49:I50" si="11">ABS(K21-D21)</f>
        <v>2.5100000000000016</v>
      </c>
    </row>
    <row r="50" spans="2:9" ht="15.75" thickBot="1" x14ac:dyDescent="0.3">
      <c r="B50" s="67">
        <v>45</v>
      </c>
      <c r="C50" s="71">
        <v>17</v>
      </c>
      <c r="D50" s="72">
        <f t="shared" si="6"/>
        <v>6.3599999999999994</v>
      </c>
      <c r="E50" s="72">
        <f t="shared" si="7"/>
        <v>6.4099999999999966</v>
      </c>
      <c r="F50" s="72">
        <f t="shared" si="8"/>
        <v>1.4600000000000009</v>
      </c>
      <c r="G50" s="72">
        <f t="shared" si="9"/>
        <v>1.2100000000000009</v>
      </c>
      <c r="H50" s="72">
        <f t="shared" si="10"/>
        <v>1.8699999999999974</v>
      </c>
      <c r="I50" s="73">
        <f t="shared" si="11"/>
        <v>1.8999999999999986</v>
      </c>
    </row>
    <row r="51" spans="2:9" x14ac:dyDescent="0.25">
      <c r="C51" s="6"/>
      <c r="D51" s="1"/>
      <c r="E51" s="1"/>
      <c r="F51" s="1"/>
      <c r="G51" s="1"/>
      <c r="H51" s="1"/>
      <c r="I51" s="1"/>
    </row>
    <row r="52" spans="2:9" ht="15.75" thickBot="1" x14ac:dyDescent="0.3"/>
    <row r="53" spans="2:9" x14ac:dyDescent="0.25">
      <c r="C53" s="77" t="s">
        <v>23</v>
      </c>
      <c r="D53" s="78"/>
      <c r="E53" s="78"/>
      <c r="F53" s="78"/>
      <c r="G53" s="78"/>
      <c r="H53" s="78"/>
      <c r="I53" s="79"/>
    </row>
    <row r="54" spans="2:9" ht="15.75" thickBot="1" x14ac:dyDescent="0.3">
      <c r="C54" s="80"/>
      <c r="D54" s="81"/>
      <c r="E54" s="81"/>
      <c r="F54" s="81"/>
      <c r="G54" s="81"/>
      <c r="H54" s="81"/>
      <c r="I54" s="82"/>
    </row>
    <row r="55" spans="2:9" x14ac:dyDescent="0.25">
      <c r="C55" s="29" t="s">
        <v>24</v>
      </c>
      <c r="D55" s="23" t="s">
        <v>17</v>
      </c>
      <c r="E55" s="23" t="s">
        <v>18</v>
      </c>
      <c r="F55" s="23" t="s">
        <v>19</v>
      </c>
      <c r="G55" s="23" t="s">
        <v>20</v>
      </c>
      <c r="H55" s="24" t="s">
        <v>21</v>
      </c>
      <c r="I55" s="30" t="s">
        <v>22</v>
      </c>
    </row>
    <row r="56" spans="2:9" x14ac:dyDescent="0.25">
      <c r="C56" s="17">
        <v>25</v>
      </c>
      <c r="D56" s="18">
        <f>AVERAGEIF(B34:B50,25,Table2[Error GEF])</f>
        <v>0.87399999999999944</v>
      </c>
      <c r="E56" s="18">
        <f>AVERAGEIF(B34:B50,25,Table2[Error AEF])</f>
        <v>0.85399999999999987</v>
      </c>
      <c r="F56" s="18">
        <f>AVERAGEIF(B34:B50,25,Table2[Error GPF])</f>
        <v>1.8000000000000682E-2</v>
      </c>
      <c r="G56" s="18">
        <f>AVERAGEIF(B34:B50,25,Table2[Error APF])</f>
        <v>1.8000000000000682E-2</v>
      </c>
      <c r="H56" s="18">
        <f>AVERAGEIF(B34:B50,25,Table2[Error R5.8])</f>
        <v>0.19199999999999945</v>
      </c>
      <c r="I56" s="31">
        <f>AVERAGEIF(B34:B50,25,Table2[Error R24])</f>
        <v>1.0300000000000005</v>
      </c>
    </row>
    <row r="57" spans="2:9" x14ac:dyDescent="0.25">
      <c r="C57" s="17">
        <v>32</v>
      </c>
      <c r="D57" s="18">
        <f>AVERAGEIF(B34:B50,32,Table2[Error GEF])</f>
        <v>3.5199999999999996</v>
      </c>
      <c r="E57" s="18">
        <f>AVERAGEIF(B34:B50,32,Table2[Error AEF])</f>
        <v>3.1799999999999997</v>
      </c>
      <c r="F57" s="18">
        <f>AVERAGEIF(B34:B50,32,Table2[Error GPF])</f>
        <v>1.0000000000001563E-2</v>
      </c>
      <c r="G57" s="18">
        <f>AVERAGEIF(B34:B50,32,Table2[Error APF])</f>
        <v>0.23999999999999844</v>
      </c>
      <c r="H57" s="18">
        <f>AVERAGEIF(B34:B50,32,Table2[Error R5.8])</f>
        <v>2.5300000000000011</v>
      </c>
      <c r="I57" s="31">
        <f>AVERAGEIF(B34:B50,32,Table2[Error R24])</f>
        <v>2.5100000000000016</v>
      </c>
    </row>
    <row r="58" spans="2:9" x14ac:dyDescent="0.25">
      <c r="C58" s="17">
        <v>35</v>
      </c>
      <c r="D58" s="18">
        <f>AVERAGEIF(B34:B50,35,Table2[Error GEF])</f>
        <v>3.3940000000000006</v>
      </c>
      <c r="E58" s="18">
        <f>AVERAGEIF(B34:B50,35,Table2[Error AEF])</f>
        <v>2.6700000000000008</v>
      </c>
      <c r="F58" s="18">
        <f>AVERAGEIF(B34:B50,35,Table2[Error GPF])</f>
        <v>1.464</v>
      </c>
      <c r="G58" s="18">
        <f>AVERAGEIF(B34:B50,35,Table2[Error APF])</f>
        <v>1.0560000000000003</v>
      </c>
      <c r="H58" s="18">
        <f>AVERAGEIF(B34:B50,35,Table2[Error R5.8])</f>
        <v>3.3939999999999997</v>
      </c>
      <c r="I58" s="31">
        <f>AVERAGEIF(B34:B50,35,Table2[Error R24])</f>
        <v>3.4379999999999997</v>
      </c>
    </row>
    <row r="59" spans="2:9" x14ac:dyDescent="0.25">
      <c r="C59" s="17">
        <v>45</v>
      </c>
      <c r="D59" s="18">
        <f>AVERAGEIF(B34:B50,45,Table2[Error GEF])</f>
        <v>6.3599999999999994</v>
      </c>
      <c r="E59" s="18">
        <f>AVERAGEIF(B34:B50,45,Table2[Error AEF])</f>
        <v>6.4099999999999966</v>
      </c>
      <c r="F59" s="18">
        <f>AVERAGEIF(B34:B50,45,Table2[Error GPF])</f>
        <v>1.4600000000000009</v>
      </c>
      <c r="G59" s="18">
        <f>AVERAGEIF(B34:B50,45,Table2[Error APF])</f>
        <v>1.2100000000000009</v>
      </c>
      <c r="H59" s="18">
        <f>AVERAGEIF(B34:B50,45,Table2[Error R5.8])</f>
        <v>1.8699999999999974</v>
      </c>
      <c r="I59" s="31">
        <f>AVERAGEIF(B34:B50,45,Table2[Error R24])</f>
        <v>1.8999999999999986</v>
      </c>
    </row>
    <row r="60" spans="2:9" ht="15.75" thickBot="1" x14ac:dyDescent="0.3">
      <c r="C60" s="20">
        <v>50</v>
      </c>
      <c r="D60" s="21">
        <f>AVERAGEIF(B34:B50,50,Table2[Error GEF])</f>
        <v>5.7099999999999991</v>
      </c>
      <c r="E60" s="21">
        <f>AVERAGEIF(B34:B50,50,Table2[Error AEF])</f>
        <v>4.3820000000000006</v>
      </c>
      <c r="F60" s="21">
        <f>AVERAGEIF(B34:B50,50,Table2[Error GPF])</f>
        <v>0.45999999999999941</v>
      </c>
      <c r="G60" s="21">
        <f>AVERAGEIF(B34:B50,50,Table2[Error APF])</f>
        <v>0.79200000000000159</v>
      </c>
      <c r="H60" s="21">
        <f>AVERAGEIF(B34:B50,50,Table2[Error R5.8])</f>
        <v>2.9759999999999991</v>
      </c>
      <c r="I60" s="32">
        <f>AVERAGEIF(B34:B50,50,Table2[Error R24])</f>
        <v>3.1340000000000017</v>
      </c>
    </row>
    <row r="61" spans="2:9" x14ac:dyDescent="0.25">
      <c r="C61" s="1"/>
      <c r="D61" s="1"/>
      <c r="E61" s="1"/>
      <c r="F61" s="1"/>
      <c r="G61" s="1"/>
      <c r="H61" s="1"/>
      <c r="I61" s="1"/>
    </row>
    <row r="62" spans="2:9" ht="15.75" thickBot="1" x14ac:dyDescent="0.3">
      <c r="C62" s="1"/>
      <c r="D62" s="1"/>
      <c r="E62" s="1"/>
      <c r="F62" s="1"/>
      <c r="G62" s="1"/>
      <c r="H62" s="1"/>
      <c r="I62" s="1"/>
    </row>
    <row r="63" spans="2:9" x14ac:dyDescent="0.25">
      <c r="C63" s="77" t="s">
        <v>25</v>
      </c>
      <c r="D63" s="78"/>
      <c r="E63" s="78"/>
      <c r="F63" s="78"/>
      <c r="G63" s="78"/>
      <c r="H63" s="78"/>
      <c r="I63" s="79"/>
    </row>
    <row r="64" spans="2:9" ht="15.75" thickBot="1" x14ac:dyDescent="0.3">
      <c r="C64" s="80"/>
      <c r="D64" s="81"/>
      <c r="E64" s="81"/>
      <c r="F64" s="81"/>
      <c r="G64" s="81"/>
      <c r="H64" s="81"/>
      <c r="I64" s="82"/>
    </row>
    <row r="65" spans="3:14" x14ac:dyDescent="0.25">
      <c r="C65" s="29" t="s">
        <v>26</v>
      </c>
      <c r="D65" s="23" t="s">
        <v>17</v>
      </c>
      <c r="E65" s="23" t="s">
        <v>18</v>
      </c>
      <c r="F65" s="23" t="s">
        <v>19</v>
      </c>
      <c r="G65" s="23" t="s">
        <v>20</v>
      </c>
      <c r="H65" s="24" t="s">
        <v>21</v>
      </c>
      <c r="I65" s="30" t="s">
        <v>22</v>
      </c>
    </row>
    <row r="66" spans="3:14" x14ac:dyDescent="0.25">
      <c r="C66" s="17" t="s">
        <v>27</v>
      </c>
      <c r="D66" s="28">
        <f>AVERAGEIF(B6:B22,"H-H",Table2[Error GEF])</f>
        <v>2.9066666666666667</v>
      </c>
      <c r="E66" s="28">
        <f>AVERAGEIF(B6:B22,"H-H",Table2[Error AEF])</f>
        <v>2.018333333333334</v>
      </c>
      <c r="F66" s="28">
        <f>AVERAGEIF(B6:B22,"H-H",Table2[Error GPF])</f>
        <v>0.12833333333333385</v>
      </c>
      <c r="G66" s="28">
        <f>AVERAGEIF(B6:B22,"H-H",Table2[Error APF])</f>
        <v>0.16166666666666707</v>
      </c>
      <c r="H66" s="28">
        <f>AVERAGEIF(B6:B22,"H-H",Table2[Error R5.8])</f>
        <v>2.17</v>
      </c>
      <c r="I66" s="19">
        <f>AVERAGEIF(B6:B22,"H-H",Table2[Error R24])</f>
        <v>2.8050000000000002</v>
      </c>
    </row>
    <row r="67" spans="3:14" x14ac:dyDescent="0.25">
      <c r="C67" s="17" t="s">
        <v>28</v>
      </c>
      <c r="D67" s="28">
        <f>AVERAGEIF(B6:B22,"H-L",Table2[Error GEF])</f>
        <v>3.3387499999999997</v>
      </c>
      <c r="E67" s="28">
        <f>AVERAGEIF(B6:B22,"H-L",Table2[Error AEF])</f>
        <v>3.2537500000000006</v>
      </c>
      <c r="F67" s="28">
        <f>AVERAGEIF(B6:B22,"H-L",Table2[Error GPF])</f>
        <v>0.51499999999999968</v>
      </c>
      <c r="G67" s="28">
        <f>AVERAGEIF(B6:B22,"H-L",Table2[Error APF])</f>
        <v>0.70625000000000115</v>
      </c>
      <c r="H67" s="28">
        <f>AVERAGEIF(B6:B22,"H-L",Table2[Error R5.8])</f>
        <v>2.0462499999999988</v>
      </c>
      <c r="I67" s="19">
        <f>AVERAGEIF(B6:B22,"H-L",Table2[Error R24])</f>
        <v>2.2187500000000009</v>
      </c>
    </row>
    <row r="68" spans="3:14" ht="15.75" thickBot="1" x14ac:dyDescent="0.3">
      <c r="C68" s="20" t="s">
        <v>29</v>
      </c>
      <c r="D68" s="33">
        <f>AVERAGEIF(B6:B22,"L-L",Table2[Error GEF])</f>
        <v>5.2066666666666661</v>
      </c>
      <c r="E68" s="33">
        <f>AVERAGEIF(B6:B22,"L-L",Table2[Error AEF])</f>
        <v>3.6599999999999988</v>
      </c>
      <c r="F68" s="33">
        <f>AVERAGEIF(B6:B22,"L-L",Table2[Error GPF])</f>
        <v>2.0966666666666676</v>
      </c>
      <c r="G68" s="33">
        <f>AVERAGEIF(B6:B22,"L-L",Table2[Error APF])</f>
        <v>1.3866666666666667</v>
      </c>
      <c r="H68" s="33">
        <f>AVERAGEIF(B6:B22,"L-L",Table2[Error R5.8])</f>
        <v>2.6066666666666669</v>
      </c>
      <c r="I68" s="22">
        <f>AVERAGEIF(B6:B22,"L-L",Table2[Error R24])</f>
        <v>2.6133333333333333</v>
      </c>
    </row>
    <row r="70" spans="3:14" ht="15.75" thickBot="1" x14ac:dyDescent="0.3"/>
    <row r="71" spans="3:14" ht="15" customHeight="1" x14ac:dyDescent="0.25">
      <c r="C71" s="83" t="s">
        <v>44</v>
      </c>
      <c r="D71" s="84"/>
      <c r="E71" s="84"/>
      <c r="F71" s="84"/>
      <c r="G71" s="85"/>
      <c r="H71" s="89" t="s">
        <v>45</v>
      </c>
      <c r="I71" s="91" t="s">
        <v>46</v>
      </c>
      <c r="J71" s="92"/>
      <c r="K71" s="92"/>
      <c r="L71" s="93"/>
      <c r="M71" s="38"/>
      <c r="N71" s="38"/>
    </row>
    <row r="72" spans="3:14" ht="15" customHeight="1" thickBot="1" x14ac:dyDescent="0.3">
      <c r="C72" s="86"/>
      <c r="D72" s="87"/>
      <c r="E72" s="87"/>
      <c r="F72" s="87"/>
      <c r="G72" s="88"/>
      <c r="H72" s="90"/>
      <c r="I72" s="94"/>
      <c r="J72" s="95"/>
      <c r="K72" s="95"/>
      <c r="L72" s="96"/>
      <c r="M72" s="38"/>
      <c r="N72" s="38"/>
    </row>
    <row r="73" spans="3:14" ht="15.75" thickBot="1" x14ac:dyDescent="0.3">
      <c r="C73" s="39" t="s">
        <v>33</v>
      </c>
      <c r="D73" s="40" t="s">
        <v>34</v>
      </c>
      <c r="E73" s="40" t="s">
        <v>35</v>
      </c>
      <c r="F73" s="40" t="s">
        <v>36</v>
      </c>
      <c r="G73" s="41" t="s">
        <v>37</v>
      </c>
      <c r="H73" s="47" t="s">
        <v>43</v>
      </c>
      <c r="I73" s="26" t="s">
        <v>17</v>
      </c>
      <c r="J73" s="26" t="s">
        <v>18</v>
      </c>
      <c r="K73" s="26" t="s">
        <v>19</v>
      </c>
      <c r="L73" s="26" t="s">
        <v>20</v>
      </c>
      <c r="M73" s="55"/>
      <c r="N73" s="1"/>
    </row>
    <row r="74" spans="3:14" x14ac:dyDescent="0.25">
      <c r="C74" s="42" t="s">
        <v>38</v>
      </c>
      <c r="D74" s="58">
        <f t="shared" ref="D74:D81" si="12">(H74-I74)/H74</f>
        <v>-3.5520833333333433</v>
      </c>
      <c r="E74" s="58">
        <f t="shared" ref="E74:E81" si="13">(H74-J74)/H74</f>
        <v>-3.4479166666666785</v>
      </c>
      <c r="F74" s="58">
        <f t="shared" ref="F74:F81" si="14">(H74-K74)/H74</f>
        <v>0.90624999999999623</v>
      </c>
      <c r="G74" s="61">
        <f t="shared" ref="G74:G81" si="15">(H74-L74)/H74</f>
        <v>0.90624999999999623</v>
      </c>
      <c r="H74" s="44">
        <v>0.19199999999999945</v>
      </c>
      <c r="I74" s="16">
        <v>0.87399999999999944</v>
      </c>
      <c r="J74" s="43">
        <v>0.85399999999999987</v>
      </c>
      <c r="K74" s="43">
        <v>1.8000000000000682E-2</v>
      </c>
      <c r="L74" s="51">
        <v>1.8000000000000682E-2</v>
      </c>
      <c r="M74" s="56"/>
    </row>
    <row r="75" spans="3:14" x14ac:dyDescent="0.25">
      <c r="C75" s="17" t="s">
        <v>39</v>
      </c>
      <c r="D75" s="59">
        <f t="shared" si="12"/>
        <v>-0.40239043824701093</v>
      </c>
      <c r="E75" s="59">
        <f t="shared" si="13"/>
        <v>-0.26693227091633376</v>
      </c>
      <c r="F75" s="59">
        <f t="shared" si="14"/>
        <v>0.99601593625497942</v>
      </c>
      <c r="G75" s="62">
        <f t="shared" si="15"/>
        <v>0.90438247011952255</v>
      </c>
      <c r="H75" s="44">
        <v>2.5100000000000016</v>
      </c>
      <c r="I75" s="48">
        <v>3.5199999999999996</v>
      </c>
      <c r="J75" s="18">
        <v>3.1799999999999997</v>
      </c>
      <c r="K75" s="18">
        <v>1.0000000000001563E-2</v>
      </c>
      <c r="L75" s="52">
        <v>0.23999999999999844</v>
      </c>
      <c r="M75" s="56"/>
      <c r="N75" s="1"/>
    </row>
    <row r="76" spans="3:14" x14ac:dyDescent="0.25">
      <c r="C76" s="17" t="s">
        <v>40</v>
      </c>
      <c r="D76" s="59">
        <f t="shared" si="12"/>
        <v>-2.6169075418389078E-16</v>
      </c>
      <c r="E76" s="59">
        <f t="shared" si="13"/>
        <v>0.21331761932822596</v>
      </c>
      <c r="F76" s="59">
        <f t="shared" si="14"/>
        <v>0.56865055981143187</v>
      </c>
      <c r="G76" s="62">
        <f t="shared" si="15"/>
        <v>0.68886269888037699</v>
      </c>
      <c r="H76" s="44">
        <v>3.3939999999999997</v>
      </c>
      <c r="I76" s="48">
        <v>3.3940000000000006</v>
      </c>
      <c r="J76" s="18">
        <v>2.6700000000000008</v>
      </c>
      <c r="K76" s="18">
        <v>1.464</v>
      </c>
      <c r="L76" s="52">
        <v>1.0560000000000003</v>
      </c>
      <c r="M76" s="56"/>
      <c r="N76" s="1"/>
    </row>
    <row r="77" spans="3:14" x14ac:dyDescent="0.25">
      <c r="C77" s="17" t="s">
        <v>41</v>
      </c>
      <c r="D77" s="59">
        <f t="shared" si="12"/>
        <v>-2.4010695187165818</v>
      </c>
      <c r="E77" s="59">
        <f t="shared" si="13"/>
        <v>-2.4278074866310191</v>
      </c>
      <c r="F77" s="59">
        <f t="shared" si="14"/>
        <v>0.21925133689839421</v>
      </c>
      <c r="G77" s="62">
        <f t="shared" si="15"/>
        <v>0.35294117647058687</v>
      </c>
      <c r="H77" s="44">
        <v>1.8699999999999974</v>
      </c>
      <c r="I77" s="48">
        <v>6.3599999999999994</v>
      </c>
      <c r="J77" s="18">
        <v>6.4099999999999966</v>
      </c>
      <c r="K77" s="18">
        <v>1.4600000000000009</v>
      </c>
      <c r="L77" s="52">
        <v>1.2100000000000009</v>
      </c>
      <c r="M77" s="56"/>
      <c r="N77" s="1"/>
    </row>
    <row r="78" spans="3:14" x14ac:dyDescent="0.25">
      <c r="C78" s="17" t="s">
        <v>42</v>
      </c>
      <c r="D78" s="59">
        <f t="shared" si="12"/>
        <v>-0.91868279569892497</v>
      </c>
      <c r="E78" s="59">
        <f t="shared" si="13"/>
        <v>-0.47244623655914042</v>
      </c>
      <c r="F78" s="59">
        <f t="shared" si="14"/>
        <v>0.84543010752688186</v>
      </c>
      <c r="G78" s="62">
        <f t="shared" si="15"/>
        <v>0.73387096774193483</v>
      </c>
      <c r="H78" s="44">
        <v>2.9759999999999991</v>
      </c>
      <c r="I78" s="48">
        <v>5.7099999999999991</v>
      </c>
      <c r="J78" s="18">
        <v>4.3820000000000006</v>
      </c>
      <c r="K78" s="18">
        <v>0.45999999999999941</v>
      </c>
      <c r="L78" s="52">
        <v>0.79200000000000159</v>
      </c>
      <c r="M78" s="56"/>
      <c r="N78" s="1"/>
    </row>
    <row r="79" spans="3:14" x14ac:dyDescent="0.25">
      <c r="C79" s="17" t="s">
        <v>27</v>
      </c>
      <c r="D79" s="59">
        <f t="shared" si="12"/>
        <v>-0.33947772657450082</v>
      </c>
      <c r="E79" s="59">
        <f t="shared" si="13"/>
        <v>6.9892473118279244E-2</v>
      </c>
      <c r="F79" s="59">
        <f t="shared" si="14"/>
        <v>0.94086021505376316</v>
      </c>
      <c r="G79" s="62">
        <f t="shared" si="15"/>
        <v>0.92549923195084471</v>
      </c>
      <c r="H79" s="45">
        <v>2.17</v>
      </c>
      <c r="I79" s="49">
        <v>2.9066666666666667</v>
      </c>
      <c r="J79" s="28">
        <v>2.018333333333334</v>
      </c>
      <c r="K79" s="28">
        <v>0.12833333333333385</v>
      </c>
      <c r="L79" s="53">
        <v>0.16166666666666707</v>
      </c>
      <c r="M79" s="57"/>
      <c r="N79" s="3"/>
    </row>
    <row r="80" spans="3:14" x14ac:dyDescent="0.25">
      <c r="C80" s="17" t="s">
        <v>28</v>
      </c>
      <c r="D80" s="59">
        <f t="shared" si="12"/>
        <v>-0.62865853658536586</v>
      </c>
      <c r="E80" s="59">
        <f t="shared" si="13"/>
        <v>-0.58719512195121992</v>
      </c>
      <c r="F80" s="59">
        <f t="shared" si="14"/>
        <v>0.74878048780487816</v>
      </c>
      <c r="G80" s="62">
        <f t="shared" si="15"/>
        <v>0.65548780487804814</v>
      </c>
      <c r="H80" s="45">
        <v>2.0499999999999998</v>
      </c>
      <c r="I80" s="49">
        <v>3.3387499999999997</v>
      </c>
      <c r="J80" s="28">
        <v>3.2537500000000006</v>
      </c>
      <c r="K80" s="28">
        <v>0.51499999999999968</v>
      </c>
      <c r="L80" s="53">
        <v>0.70625000000000115</v>
      </c>
      <c r="M80" s="57"/>
      <c r="N80" s="3"/>
    </row>
    <row r="81" spans="3:14" ht="15.75" thickBot="1" x14ac:dyDescent="0.3">
      <c r="C81" s="20" t="s">
        <v>29</v>
      </c>
      <c r="D81" s="60">
        <f t="shared" si="12"/>
        <v>-0.99489144316730516</v>
      </c>
      <c r="E81" s="60">
        <f t="shared" si="13"/>
        <v>-0.40229885057471226</v>
      </c>
      <c r="F81" s="60">
        <f t="shared" si="14"/>
        <v>0.19667943805874802</v>
      </c>
      <c r="G81" s="63">
        <f t="shared" si="15"/>
        <v>0.46871008939974451</v>
      </c>
      <c r="H81" s="46">
        <v>2.61</v>
      </c>
      <c r="I81" s="50">
        <v>5.2066666666666661</v>
      </c>
      <c r="J81" s="33">
        <v>3.6599999999999988</v>
      </c>
      <c r="K81" s="33">
        <v>2.0966666666666676</v>
      </c>
      <c r="L81" s="54">
        <v>1.3866666666666667</v>
      </c>
      <c r="M81" s="57"/>
      <c r="N81" s="3"/>
    </row>
  </sheetData>
  <mergeCells count="8">
    <mergeCell ref="C71:G72"/>
    <mergeCell ref="H71:H72"/>
    <mergeCell ref="I71:L72"/>
    <mergeCell ref="C2:O4"/>
    <mergeCell ref="B2:B4"/>
    <mergeCell ref="B31:I32"/>
    <mergeCell ref="C53:I54"/>
    <mergeCell ref="C63:I64"/>
  </mergeCells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70D4-C8B9-4322-B401-8D0B10FCCFD4}">
  <dimension ref="E4:T7"/>
  <sheetViews>
    <sheetView workbookViewId="0">
      <selection activeCell="E9" sqref="E9"/>
    </sheetView>
  </sheetViews>
  <sheetFormatPr defaultRowHeight="15" x14ac:dyDescent="0.25"/>
  <sheetData>
    <row r="4" spans="5:20" x14ac:dyDescent="0.25">
      <c r="E4" s="97" t="s">
        <v>15</v>
      </c>
      <c r="F4" s="97"/>
      <c r="G4" s="97"/>
      <c r="H4" s="97"/>
      <c r="I4" s="97"/>
      <c r="P4" s="98" t="s">
        <v>16</v>
      </c>
      <c r="Q4" s="98"/>
      <c r="R4" s="98"/>
      <c r="S4" s="98"/>
    </row>
    <row r="5" spans="5:20" ht="15" customHeight="1" x14ac:dyDescent="0.25">
      <c r="E5" s="97"/>
      <c r="F5" s="97"/>
      <c r="G5" s="97"/>
      <c r="H5" s="97"/>
      <c r="I5" s="97"/>
      <c r="P5" s="98"/>
      <c r="Q5" s="98"/>
      <c r="R5" s="98"/>
      <c r="S5" s="98"/>
      <c r="T5" s="2"/>
    </row>
    <row r="6" spans="5:20" ht="15" customHeight="1" x14ac:dyDescent="0.25">
      <c r="E6" s="97"/>
      <c r="F6" s="97"/>
      <c r="G6" s="97"/>
      <c r="H6" s="97"/>
      <c r="I6" s="97"/>
      <c r="P6" s="2"/>
      <c r="Q6" s="2"/>
      <c r="R6" s="2"/>
      <c r="S6" s="2"/>
      <c r="T6" s="2"/>
    </row>
    <row r="7" spans="5:20" ht="15" customHeight="1" x14ac:dyDescent="0.25">
      <c r="P7" s="2"/>
      <c r="Q7" s="2"/>
      <c r="R7" s="2"/>
      <c r="S7" s="2"/>
      <c r="T7" s="2"/>
    </row>
  </sheetData>
  <mergeCells count="2">
    <mergeCell ref="E4:I6"/>
    <mergeCell ref="P4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0938-F720-409C-AD49-EB9748F2A312}">
  <dimension ref="E4:I6"/>
  <sheetViews>
    <sheetView workbookViewId="0">
      <selection activeCell="E4" sqref="E4:I6"/>
    </sheetView>
  </sheetViews>
  <sheetFormatPr defaultRowHeight="15" x14ac:dyDescent="0.25"/>
  <sheetData>
    <row r="4" spans="5:9" x14ac:dyDescent="0.25">
      <c r="E4" s="97" t="s">
        <v>15</v>
      </c>
      <c r="F4" s="97"/>
      <c r="G4" s="97"/>
      <c r="H4" s="97"/>
      <c r="I4" s="97"/>
    </row>
    <row r="5" spans="5:9" x14ac:dyDescent="0.25">
      <c r="E5" s="97"/>
      <c r="F5" s="97"/>
      <c r="G5" s="97"/>
      <c r="H5" s="97"/>
      <c r="I5" s="97"/>
    </row>
    <row r="6" spans="5:9" x14ac:dyDescent="0.25">
      <c r="E6" s="97"/>
      <c r="F6" s="97"/>
      <c r="G6" s="97"/>
      <c r="H6" s="97"/>
      <c r="I6" s="97"/>
    </row>
  </sheetData>
  <mergeCells count="1">
    <mergeCell ref="E4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3260-83A6-41D7-AAE8-D5594B75192C}">
  <dimension ref="E4:I6"/>
  <sheetViews>
    <sheetView workbookViewId="0">
      <selection activeCell="E4" sqref="E4:I6"/>
    </sheetView>
  </sheetViews>
  <sheetFormatPr defaultRowHeight="15" x14ac:dyDescent="0.25"/>
  <sheetData>
    <row r="4" spans="5:9" x14ac:dyDescent="0.25">
      <c r="E4" s="97" t="s">
        <v>15</v>
      </c>
      <c r="F4" s="97"/>
      <c r="G4" s="97"/>
      <c r="H4" s="97"/>
      <c r="I4" s="97"/>
    </row>
    <row r="5" spans="5:9" x14ac:dyDescent="0.25">
      <c r="E5" s="97"/>
      <c r="F5" s="97"/>
      <c r="G5" s="97"/>
      <c r="H5" s="97"/>
      <c r="I5" s="97"/>
    </row>
    <row r="6" spans="5:9" x14ac:dyDescent="0.25">
      <c r="E6" s="97"/>
      <c r="F6" s="97"/>
      <c r="G6" s="97"/>
      <c r="H6" s="97"/>
      <c r="I6" s="97"/>
    </row>
  </sheetData>
  <mergeCells count="1">
    <mergeCell ref="E4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8C58-BF3A-4734-953F-98469004B332}">
  <dimension ref="E4:I6"/>
  <sheetViews>
    <sheetView workbookViewId="0">
      <selection activeCell="L14" sqref="L14"/>
    </sheetView>
  </sheetViews>
  <sheetFormatPr defaultRowHeight="15" x14ac:dyDescent="0.25"/>
  <sheetData>
    <row r="4" spans="5:9" x14ac:dyDescent="0.25">
      <c r="E4" s="97" t="s">
        <v>15</v>
      </c>
      <c r="F4" s="97"/>
      <c r="G4" s="97"/>
      <c r="H4" s="97"/>
      <c r="I4" s="97"/>
    </row>
    <row r="5" spans="5:9" x14ac:dyDescent="0.25">
      <c r="E5" s="97"/>
      <c r="F5" s="97"/>
      <c r="G5" s="97"/>
      <c r="H5" s="97"/>
      <c r="I5" s="97"/>
    </row>
    <row r="6" spans="5:9" x14ac:dyDescent="0.25">
      <c r="E6" s="97"/>
      <c r="F6" s="97"/>
      <c r="G6" s="97"/>
      <c r="H6" s="97"/>
      <c r="I6" s="97"/>
    </row>
  </sheetData>
  <mergeCells count="1">
    <mergeCell ref="E4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2F3D-9529-4C4E-9537-2EE17BC199B9}">
  <dimension ref="B4:U39"/>
  <sheetViews>
    <sheetView workbookViewId="0">
      <selection sqref="A1:I39"/>
    </sheetView>
  </sheetViews>
  <sheetFormatPr defaultRowHeight="15" x14ac:dyDescent="0.25"/>
  <sheetData>
    <row r="4" spans="2:21" ht="15" customHeight="1" x14ac:dyDescent="0.25">
      <c r="D4" s="34"/>
      <c r="E4" s="34"/>
      <c r="F4" s="34"/>
      <c r="G4" s="34"/>
      <c r="H4" s="36"/>
      <c r="I4" s="37"/>
      <c r="Q4" s="35"/>
      <c r="R4" s="35"/>
      <c r="S4" s="35"/>
      <c r="T4" s="35"/>
      <c r="U4" s="35"/>
    </row>
    <row r="5" spans="2:21" ht="15" customHeight="1" x14ac:dyDescent="0.25">
      <c r="B5" s="37"/>
      <c r="D5" s="34"/>
      <c r="E5" s="34"/>
      <c r="F5" s="34"/>
      <c r="G5" s="34"/>
      <c r="H5" s="34"/>
      <c r="Q5" s="35"/>
      <c r="R5" s="35"/>
      <c r="S5" s="35"/>
      <c r="T5" s="35"/>
      <c r="U5" s="35"/>
    </row>
    <row r="6" spans="2:21" ht="15" customHeight="1" x14ac:dyDescent="0.25">
      <c r="B6" s="37"/>
      <c r="D6" s="34"/>
      <c r="E6" s="34"/>
      <c r="F6" s="34"/>
      <c r="G6" s="34"/>
      <c r="H6" s="34"/>
      <c r="Q6" s="35"/>
      <c r="R6" s="35"/>
      <c r="S6" s="35"/>
      <c r="T6" s="35"/>
      <c r="U6" s="35"/>
    </row>
    <row r="7" spans="2:21" x14ac:dyDescent="0.25">
      <c r="B7" s="37"/>
    </row>
    <row r="8" spans="2:21" x14ac:dyDescent="0.25">
      <c r="B8" s="37"/>
    </row>
    <row r="9" spans="2:21" x14ac:dyDescent="0.25">
      <c r="B9" s="37"/>
    </row>
    <row r="10" spans="2:21" x14ac:dyDescent="0.25">
      <c r="B10" s="37"/>
    </row>
    <row r="11" spans="2:21" x14ac:dyDescent="0.25">
      <c r="B11" s="37"/>
    </row>
    <row r="12" spans="2:21" x14ac:dyDescent="0.25">
      <c r="B12" s="37"/>
    </row>
    <row r="13" spans="2:21" x14ac:dyDescent="0.25">
      <c r="B13" s="37"/>
    </row>
    <row r="14" spans="2:21" x14ac:dyDescent="0.25">
      <c r="B14" s="37"/>
    </row>
    <row r="15" spans="2:21" x14ac:dyDescent="0.25">
      <c r="B15" s="37"/>
    </row>
    <row r="16" spans="2:21" x14ac:dyDescent="0.25">
      <c r="B16" s="37"/>
    </row>
    <row r="17" spans="2:9" x14ac:dyDescent="0.25">
      <c r="B17" s="37"/>
    </row>
    <row r="18" spans="2:9" x14ac:dyDescent="0.25">
      <c r="B18" s="37"/>
    </row>
    <row r="19" spans="2:9" x14ac:dyDescent="0.25">
      <c r="B19" s="37"/>
    </row>
    <row r="20" spans="2:9" x14ac:dyDescent="0.25">
      <c r="B20" s="37"/>
    </row>
    <row r="21" spans="2:9" x14ac:dyDescent="0.25">
      <c r="B21" s="37"/>
    </row>
    <row r="26" spans="2:9" x14ac:dyDescent="0.25">
      <c r="H26" s="37"/>
      <c r="I26" s="37"/>
    </row>
    <row r="36" spans="4:9" x14ac:dyDescent="0.25">
      <c r="H36" s="37"/>
      <c r="I36" s="37"/>
    </row>
    <row r="37" spans="4:9" x14ac:dyDescent="0.25">
      <c r="D37" s="37"/>
      <c r="E37" s="37"/>
      <c r="F37" s="37"/>
      <c r="G37" s="37"/>
      <c r="H37" s="37"/>
      <c r="I37" s="37"/>
    </row>
    <row r="38" spans="4:9" x14ac:dyDescent="0.25">
      <c r="D38" s="37"/>
      <c r="E38" s="37"/>
      <c r="F38" s="37"/>
      <c r="G38" s="37"/>
      <c r="H38" s="37"/>
      <c r="I38" s="37"/>
    </row>
    <row r="39" spans="4:9" x14ac:dyDescent="0.25">
      <c r="D39" s="37"/>
      <c r="E39" s="37"/>
      <c r="F39" s="37"/>
      <c r="G39" s="37"/>
      <c r="H39" s="37"/>
      <c r="I3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Dataset</vt:lpstr>
      <vt:lpstr>Global fusion (GEF)</vt:lpstr>
      <vt:lpstr>Adaptive Fusion (AEF)</vt:lpstr>
      <vt:lpstr>Global Power Fusion (GPF)</vt:lpstr>
      <vt:lpstr>Adaptive Power Fusion (APF)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20170144</dc:creator>
  <cp:lastModifiedBy>20170144</cp:lastModifiedBy>
  <dcterms:created xsi:type="dcterms:W3CDTF">2025-07-27T09:54:51Z</dcterms:created>
  <dcterms:modified xsi:type="dcterms:W3CDTF">2025-07-28T15:30:39Z</dcterms:modified>
</cp:coreProperties>
</file>