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930" windowHeight="6765" activeTab="3"/>
  </bookViews>
  <sheets>
    <sheet name="COMMANDS" sheetId="2" r:id="rId1"/>
    <sheet name="Data010" sheetId="4" r:id="rId2"/>
    <sheet name="Data007" sheetId="3" r:id="rId3"/>
    <sheet name="Analysis10" sheetId="1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/>
  <c r="P24"/>
  <c r="P22"/>
  <c r="P20"/>
  <c r="P18"/>
  <c r="P16"/>
  <c r="P14"/>
  <c r="P12"/>
  <c r="P10"/>
  <c r="P8"/>
  <c r="V27"/>
  <c r="V25"/>
  <c r="V23"/>
  <c r="V21"/>
  <c r="V19"/>
  <c r="V17"/>
  <c r="V15"/>
  <c r="V13"/>
  <c r="V11"/>
  <c r="V9"/>
  <c r="R9"/>
  <c r="T9"/>
  <c r="U9"/>
  <c r="R11"/>
  <c r="T11"/>
  <c r="U11"/>
  <c r="R13"/>
  <c r="T13"/>
  <c r="U13"/>
  <c r="R15"/>
  <c r="T15"/>
  <c r="U15"/>
  <c r="R17"/>
  <c r="T17"/>
  <c r="U17"/>
  <c r="R19"/>
  <c r="T19"/>
  <c r="U19"/>
  <c r="R21"/>
  <c r="T21"/>
  <c r="U21"/>
  <c r="R23"/>
  <c r="T23"/>
  <c r="U23"/>
  <c r="R25"/>
  <c r="T25"/>
  <c r="U25"/>
  <c r="R27"/>
  <c r="T27"/>
  <c r="U27"/>
  <c r="M30" i="4"/>
  <c r="M21"/>
  <c r="S32"/>
  <c r="E9" i="3"/>
  <c r="J29"/>
  <c r="K31"/>
  <c r="J31"/>
  <c r="E31"/>
  <c r="K29"/>
  <c r="E29"/>
  <c r="K37"/>
  <c r="J37"/>
  <c r="E37"/>
  <c r="E38"/>
  <c r="J38" s="1"/>
  <c r="K39"/>
  <c r="J39"/>
  <c r="E39"/>
  <c r="K40"/>
  <c r="J40"/>
  <c r="E40"/>
  <c r="K32"/>
  <c r="J32"/>
  <c r="E32"/>
  <c r="K30"/>
  <c r="J30"/>
  <c r="E30"/>
  <c r="E33"/>
  <c r="K33" s="1"/>
  <c r="K27"/>
  <c r="J27"/>
  <c r="E27"/>
  <c r="K23"/>
  <c r="J23"/>
  <c r="E23"/>
  <c r="K19"/>
  <c r="J19"/>
  <c r="E19"/>
  <c r="K4"/>
  <c r="J4"/>
  <c r="E4"/>
  <c r="K17"/>
  <c r="J17"/>
  <c r="E17"/>
  <c r="K22"/>
  <c r="J22"/>
  <c r="E22"/>
  <c r="F29" i="1"/>
  <c r="I29"/>
  <c r="H5"/>
  <c r="W27"/>
  <c r="W25"/>
  <c r="W23"/>
  <c r="W21"/>
  <c r="W19"/>
  <c r="W17"/>
  <c r="W15"/>
  <c r="W13"/>
  <c r="W11"/>
  <c r="W9"/>
  <c r="I4"/>
  <c r="K38" i="3" l="1"/>
  <c r="J33"/>
  <c r="J9"/>
  <c r="K9"/>
  <c r="R5" i="1"/>
  <c r="R4" s="1"/>
  <c r="W5"/>
  <c r="W4" s="1"/>
  <c r="G31" l="1"/>
  <c r="S1" l="1"/>
  <c r="O5" l="1"/>
  <c r="O4" s="1"/>
  <c r="T4"/>
  <c r="U5" l="1"/>
  <c r="U4" s="1"/>
  <c r="V5"/>
  <c r="V4" s="1"/>
</calcChain>
</file>

<file path=xl/sharedStrings.xml><?xml version="1.0" encoding="utf-8"?>
<sst xmlns="http://schemas.openxmlformats.org/spreadsheetml/2006/main" count="476" uniqueCount="108">
  <si>
    <t>BEGIN</t>
  </si>
  <si>
    <t>END</t>
  </si>
  <si>
    <t>CLIENT</t>
  </si>
  <si>
    <t>iterations</t>
  </si>
  <si>
    <t>bytes</t>
  </si>
  <si>
    <t>IP:port</t>
  </si>
  <si>
    <t>secs per nanosec</t>
  </si>
  <si>
    <t>MB (data transfer test size length)</t>
  </si>
  <si>
    <t>avg send delta time (seconds)</t>
  </si>
  <si>
    <t>|AB</t>
  </si>
  <si>
    <t>B|</t>
  </si>
  <si>
    <t>|AE</t>
  </si>
  <si>
    <t>E|</t>
  </si>
  <si>
    <t>ConnectionID</t>
  </si>
  <si>
    <t>TOTAL BYTES READ</t>
  </si>
  <si>
    <t>OFFSET TIME SINCE CLIENT STARTUP</t>
  </si>
  <si>
    <t>TOTAL READ TIME</t>
  </si>
  <si>
    <t>COPY TO APPLICATION(ns)</t>
  </si>
  <si>
    <t>ITERATION PARSING TIME(ns)</t>
  </si>
  <si>
    <t>PURE RECEIVE MBps</t>
  </si>
  <si>
    <t>PARSE ONLY</t>
  </si>
  <si>
    <t>PARSE+COPY</t>
  </si>
  <si>
    <t>CurrentIteration</t>
  </si>
  <si>
    <t>END-BEGIN</t>
  </si>
  <si>
    <t>BEGIN offset</t>
  </si>
  <si>
    <t>Accumulated Allocate+Prepare Data(ns)</t>
  </si>
  <si>
    <t>deltaToPreviousBEGIN</t>
  </si>
  <si>
    <t>as sec</t>
  </si>
  <si>
    <t>avg send MBps</t>
  </si>
  <si>
    <t>fastest result so far</t>
  </si>
  <si>
    <t>ANT_64.exe -b 1073741824 -w 65536 -r 20</t>
  </si>
  <si>
    <t>SERVER</t>
  </si>
  <si>
    <t>-v -d 8 -i 1 -w 32768</t>
  </si>
  <si>
    <t>-v -d 8 -i 1 -w 32768 -f igd10iumd64.dll</t>
  </si>
  <si>
    <t xml:space="preserve"> -b 1073741824 -o 0 -s 21 -w 65536 -r 999999</t>
  </si>
  <si>
    <t xml:space="preserve"> -v -d 4  -w 65536 -i 1 -o 0 -s 21 -l 1</t>
  </si>
  <si>
    <t>v0.0.7</t>
  </si>
  <si>
    <t>localhost</t>
  </si>
  <si>
    <t>64K</t>
  </si>
  <si>
    <t>MODE</t>
  </si>
  <si>
    <t>SEND MBps</t>
  </si>
  <si>
    <t>RECV MBps</t>
  </si>
  <si>
    <t>SEND sec</t>
  </si>
  <si>
    <t>RECV sec</t>
  </si>
  <si>
    <t>FULL READ</t>
  </si>
  <si>
    <t>RANDOM LINEAR</t>
  </si>
  <si>
    <t>RAPID STATIC</t>
  </si>
  <si>
    <t>FILE</t>
  </si>
  <si>
    <t>BLACKJACK</t>
  </si>
  <si>
    <t>server</t>
  </si>
  <si>
    <t>client</t>
  </si>
  <si>
    <t>WHITEHOUSE</t>
  </si>
  <si>
    <t>HELIOS</t>
  </si>
  <si>
    <t>125MB =</t>
  </si>
  <si>
    <t>BULK</t>
  </si>
  <si>
    <t>FANLESS</t>
  </si>
  <si>
    <t>OANH</t>
  </si>
  <si>
    <t xml:space="preserve">BLACKBIRD </t>
  </si>
  <si>
    <t>DDR3 16GB</t>
  </si>
  <si>
    <t>DDR3 8GB</t>
  </si>
  <si>
    <t>DDR2 2GB</t>
  </si>
  <si>
    <t>DDR2 4GB</t>
  </si>
  <si>
    <t>Win10 64bit</t>
  </si>
  <si>
    <t>Win7 64bit</t>
  </si>
  <si>
    <t>Win 8.1 64bit</t>
  </si>
  <si>
    <t>i5-4310U/2.6GHz</t>
  </si>
  <si>
    <t>i7-4770/3.4GHz</t>
  </si>
  <si>
    <t>Pentium G3440/3.3GHz</t>
  </si>
  <si>
    <t>i7-4702HQ/2.2GHz</t>
  </si>
  <si>
    <t>i7-3770K/3.5GHz</t>
  </si>
  <si>
    <t>Pentium E2180/2GHz</t>
  </si>
  <si>
    <t>Athlon BE-2350/2.1GHz</t>
  </si>
  <si>
    <t>i5-4440/3.10GHz</t>
  </si>
  <si>
    <t>BLACKBIRD</t>
  </si>
  <si>
    <t>Test Size (MB)</t>
  </si>
  <si>
    <t>Xmit Buffer (KB)</t>
  </si>
  <si>
    <t>Recv Buffer (KB)</t>
  </si>
  <si>
    <t>Client Memory (MBps)</t>
  </si>
  <si>
    <t>BAGEL</t>
  </si>
  <si>
    <t>256K</t>
  </si>
  <si>
    <t xml:space="preserve">      127.0.0.1:02228</t>
  </si>
  <si>
    <t xml:space="preserve"> -r 1000</t>
  </si>
  <si>
    <t>defaulted to 125MB transfers</t>
  </si>
  <si>
    <t>RAPID-STATIC</t>
  </si>
  <si>
    <t xml:space="preserve"> -v -d 8</t>
  </si>
  <si>
    <t>defaulted working buffer to 65536</t>
  </si>
  <si>
    <t>RAPID-STATUC</t>
  </si>
  <si>
    <t>JOVIAL</t>
  </si>
  <si>
    <t>8GB DDR3</t>
  </si>
  <si>
    <t>16GB DDR3</t>
  </si>
  <si>
    <t>(100Mbps LAN)</t>
  </si>
  <si>
    <t>AMD A4-3300M 1.90GHz</t>
  </si>
  <si>
    <t>1 rep sample</t>
  </si>
  <si>
    <t>sustained 20 reps (occasional bluescreen occurs)</t>
  </si>
  <si>
    <t>&gt;20 reps</t>
  </si>
  <si>
    <t>Win7Pro 64bit</t>
  </si>
  <si>
    <t>2GB DDR2</t>
  </si>
  <si>
    <t>200 reps</t>
  </si>
  <si>
    <t>100 reps</t>
  </si>
  <si>
    <t>(fresh update, Win10 fresh install hard drive still blasting with traffic)</t>
  </si>
  <si>
    <t>sustained 43 reps, then bluescreen</t>
  </si>
  <si>
    <t>NINJA</t>
  </si>
  <si>
    <t>Win7 Pro</t>
  </si>
  <si>
    <t xml:space="preserve">BLACKBIRD                               </t>
  </si>
  <si>
    <t>not used</t>
  </si>
  <si>
    <t>MEMORY</t>
  </si>
  <si>
    <t>MBps</t>
  </si>
  <si>
    <t>APP MAKE+SEND MBps</t>
  </si>
</sst>
</file>

<file path=xl/styles.xml><?xml version="1.0" encoding="utf-8"?>
<styleSheet xmlns="http://schemas.openxmlformats.org/spreadsheetml/2006/main">
  <numFmts count="6">
    <numFmt numFmtId="164" formatCode="#,##0.0000000000"/>
    <numFmt numFmtId="165" formatCode="#,##0.0000"/>
    <numFmt numFmtId="166" formatCode="#,##0.00000000"/>
    <numFmt numFmtId="167" formatCode="0.0000"/>
    <numFmt numFmtId="168" formatCode="0.000000"/>
    <numFmt numFmtId="169" formatCode="#,##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NumberFormat="1"/>
    <xf numFmtId="4" fontId="1" fillId="0" borderId="0" xfId="0" applyNumberFormat="1" applyFont="1"/>
    <xf numFmtId="165" fontId="0" fillId="0" borderId="0" xfId="0" applyNumberFormat="1"/>
    <xf numFmtId="0" fontId="1" fillId="0" borderId="0" xfId="0" applyNumberFormat="1" applyFont="1"/>
    <xf numFmtId="166" fontId="2" fillId="0" borderId="0" xfId="0" applyNumberFormat="1" applyFont="1"/>
    <xf numFmtId="0" fontId="0" fillId="0" borderId="0" xfId="0" applyFont="1"/>
    <xf numFmtId="164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8" fontId="0" fillId="0" borderId="0" xfId="0" applyNumberFormat="1" applyFont="1"/>
    <xf numFmtId="168" fontId="0" fillId="0" borderId="0" xfId="0" applyNumberFormat="1"/>
    <xf numFmtId="167" fontId="0" fillId="2" borderId="0" xfId="0" applyNumberFormat="1" applyFont="1" applyFill="1"/>
    <xf numFmtId="168" fontId="0" fillId="3" borderId="0" xfId="0" applyNumberFormat="1" applyFill="1"/>
    <xf numFmtId="168" fontId="0" fillId="3" borderId="0" xfId="0" applyNumberFormat="1" applyFont="1" applyFill="1"/>
    <xf numFmtId="167" fontId="0" fillId="3" borderId="0" xfId="0" applyNumberFormat="1" applyFill="1"/>
    <xf numFmtId="167" fontId="0" fillId="3" borderId="0" xfId="0" applyNumberFormat="1" applyFont="1" applyFill="1"/>
    <xf numFmtId="167" fontId="0" fillId="4" borderId="0" xfId="0" applyNumberFormat="1" applyFill="1"/>
    <xf numFmtId="168" fontId="0" fillId="4" borderId="0" xfId="0" applyNumberFormat="1" applyFill="1"/>
    <xf numFmtId="167" fontId="0" fillId="5" borderId="0" xfId="0" applyNumberFormat="1" applyFont="1" applyFill="1"/>
    <xf numFmtId="167" fontId="0" fillId="6" borderId="0" xfId="0" applyNumberFormat="1" applyFont="1" applyFill="1"/>
    <xf numFmtId="167" fontId="0" fillId="7" borderId="0" xfId="0" applyNumberFormat="1" applyFont="1" applyFill="1"/>
    <xf numFmtId="168" fontId="0" fillId="7" borderId="0" xfId="0" applyNumberFormat="1" applyFont="1" applyFill="1"/>
    <xf numFmtId="167" fontId="0" fillId="7" borderId="0" xfId="0" applyNumberFormat="1" applyFill="1"/>
    <xf numFmtId="167" fontId="0" fillId="0" borderId="0" xfId="0" applyNumberFormat="1" applyFont="1" applyFill="1"/>
    <xf numFmtId="168" fontId="0" fillId="0" borderId="0" xfId="0" applyNumberFormat="1" applyFont="1" applyFill="1"/>
    <xf numFmtId="167" fontId="0" fillId="0" borderId="0" xfId="0" applyNumberFormat="1" applyFill="1"/>
    <xf numFmtId="0" fontId="0" fillId="0" borderId="0" xfId="0" applyFill="1"/>
    <xf numFmtId="0" fontId="0" fillId="2" borderId="0" xfId="0" applyFill="1"/>
    <xf numFmtId="168" fontId="1" fillId="0" borderId="0" xfId="0" applyNumberFormat="1" applyFont="1"/>
    <xf numFmtId="168" fontId="1" fillId="4" borderId="0" xfId="0" applyNumberFormat="1" applyFont="1" applyFill="1"/>
    <xf numFmtId="3" fontId="2" fillId="0" borderId="0" xfId="0" applyNumberFormat="1" applyFont="1"/>
    <xf numFmtId="169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C2" sqref="C2"/>
    </sheetView>
  </sheetViews>
  <sheetFormatPr defaultRowHeight="15"/>
  <cols>
    <col min="2" max="2" width="22.85546875" customWidth="1"/>
  </cols>
  <sheetData>
    <row r="1" spans="2:3">
      <c r="B1" t="s">
        <v>29</v>
      </c>
    </row>
    <row r="2" spans="2:3">
      <c r="B2" t="s">
        <v>2</v>
      </c>
      <c r="C2" t="s">
        <v>30</v>
      </c>
    </row>
    <row r="6" spans="2:3">
      <c r="B6" t="s">
        <v>31</v>
      </c>
      <c r="C6" t="s">
        <v>32</v>
      </c>
    </row>
    <row r="7" spans="2:3">
      <c r="C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1"/>
  <sheetViews>
    <sheetView workbookViewId="0">
      <selection activeCell="D17" sqref="D17"/>
    </sheetView>
  </sheetViews>
  <sheetFormatPr defaultRowHeight="15"/>
  <cols>
    <col min="2" max="16" width="10.42578125" customWidth="1"/>
  </cols>
  <sheetData>
    <row r="1" spans="1:14">
      <c r="A1" t="s">
        <v>2</v>
      </c>
      <c r="B1" t="s">
        <v>81</v>
      </c>
      <c r="D1" t="s">
        <v>82</v>
      </c>
      <c r="E1">
        <v>131072000</v>
      </c>
    </row>
    <row r="2" spans="1:14">
      <c r="A2" t="s">
        <v>31</v>
      </c>
      <c r="B2" t="s">
        <v>84</v>
      </c>
      <c r="D2" t="s">
        <v>85</v>
      </c>
    </row>
    <row r="3" spans="1:14">
      <c r="B3" s="1" t="s">
        <v>49</v>
      </c>
      <c r="C3" s="1" t="s">
        <v>50</v>
      </c>
      <c r="D3" s="1" t="s">
        <v>39</v>
      </c>
      <c r="E3" s="1" t="s">
        <v>74</v>
      </c>
      <c r="F3" s="1" t="s">
        <v>75</v>
      </c>
      <c r="G3" s="1" t="s">
        <v>76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77</v>
      </c>
    </row>
    <row r="4" spans="1:14">
      <c r="B4" t="s">
        <v>56</v>
      </c>
      <c r="C4" t="s">
        <v>37</v>
      </c>
      <c r="D4" t="s">
        <v>86</v>
      </c>
      <c r="E4">
        <v>125</v>
      </c>
      <c r="F4">
        <v>64</v>
      </c>
      <c r="G4">
        <v>64</v>
      </c>
      <c r="H4" s="16">
        <v>863.322</v>
      </c>
      <c r="I4" s="34">
        <v>942.68299999999999</v>
      </c>
      <c r="J4" s="16">
        <v>0.14479</v>
      </c>
      <c r="K4" s="16">
        <v>0.1326</v>
      </c>
      <c r="L4">
        <v>3150.174</v>
      </c>
      <c r="M4" t="s">
        <v>62</v>
      </c>
      <c r="N4" t="s">
        <v>89</v>
      </c>
    </row>
    <row r="5" spans="1:14">
      <c r="B5" t="s">
        <v>56</v>
      </c>
      <c r="C5" t="s">
        <v>37</v>
      </c>
      <c r="D5" t="s">
        <v>86</v>
      </c>
      <c r="E5">
        <v>1024</v>
      </c>
      <c r="F5">
        <v>64</v>
      </c>
      <c r="G5">
        <v>64</v>
      </c>
      <c r="H5" s="16">
        <v>890.93499999999995</v>
      </c>
      <c r="I5" s="34">
        <v>950.19200000000001</v>
      </c>
      <c r="J5" s="16">
        <v>1.149354</v>
      </c>
      <c r="K5" s="16">
        <v>1.0776760000000001</v>
      </c>
      <c r="L5">
        <v>3228.1060000000002</v>
      </c>
    </row>
    <row r="6" spans="1:14">
      <c r="B6" t="s">
        <v>56</v>
      </c>
      <c r="C6" t="s">
        <v>37</v>
      </c>
      <c r="D6" t="s">
        <v>86</v>
      </c>
      <c r="E6">
        <v>8192</v>
      </c>
      <c r="F6">
        <v>64</v>
      </c>
      <c r="G6">
        <v>64</v>
      </c>
      <c r="H6" s="16">
        <v>148.471</v>
      </c>
      <c r="I6" s="34">
        <v>198.65799999999999</v>
      </c>
      <c r="J6" s="16">
        <v>55.175913000000001</v>
      </c>
      <c r="K6" s="16">
        <v>41.236656000000004</v>
      </c>
      <c r="L6">
        <v>354.88099999999997</v>
      </c>
      <c r="M6" t="s">
        <v>98</v>
      </c>
    </row>
    <row r="7" spans="1:14">
      <c r="H7" s="16"/>
      <c r="I7" s="16"/>
      <c r="J7" s="16"/>
      <c r="K7" s="16"/>
    </row>
    <row r="8" spans="1:14">
      <c r="B8" t="s">
        <v>54</v>
      </c>
      <c r="C8" t="s">
        <v>37</v>
      </c>
      <c r="D8" t="s">
        <v>86</v>
      </c>
      <c r="E8">
        <v>125</v>
      </c>
      <c r="F8">
        <v>64</v>
      </c>
      <c r="G8">
        <v>64</v>
      </c>
      <c r="H8" s="16">
        <v>772.42499999999995</v>
      </c>
      <c r="I8" s="34">
        <v>830.61599999999999</v>
      </c>
      <c r="J8" s="16">
        <v>0.161828</v>
      </c>
      <c r="K8" s="16">
        <v>0.15049100000000001</v>
      </c>
      <c r="L8">
        <v>2863.0729999999999</v>
      </c>
    </row>
    <row r="9" spans="1:14">
      <c r="B9" t="s">
        <v>54</v>
      </c>
      <c r="C9" t="s">
        <v>37</v>
      </c>
      <c r="D9" t="s">
        <v>86</v>
      </c>
      <c r="E9">
        <v>1024</v>
      </c>
      <c r="F9">
        <v>64</v>
      </c>
      <c r="G9">
        <v>64</v>
      </c>
      <c r="H9" s="16">
        <v>827.976</v>
      </c>
      <c r="I9" s="34">
        <v>862.06600000000003</v>
      </c>
      <c r="J9" s="16">
        <v>1.23675</v>
      </c>
      <c r="K9" s="16">
        <v>1.1878439999999999</v>
      </c>
      <c r="L9">
        <v>3087.0889999999999</v>
      </c>
    </row>
    <row r="10" spans="1:14">
      <c r="B10" t="s">
        <v>54</v>
      </c>
      <c r="C10" t="s">
        <v>37</v>
      </c>
      <c r="D10" t="s">
        <v>86</v>
      </c>
      <c r="E10">
        <v>8192</v>
      </c>
      <c r="F10">
        <v>64</v>
      </c>
      <c r="G10">
        <v>64</v>
      </c>
      <c r="H10" s="16">
        <v>677.94399999999996</v>
      </c>
      <c r="I10" s="16">
        <v>529.71</v>
      </c>
      <c r="J10" s="16">
        <v>12.083599</v>
      </c>
      <c r="K10" s="16">
        <v>15.465059999999999</v>
      </c>
      <c r="L10">
        <v>1009.904</v>
      </c>
      <c r="M10" t="s">
        <v>92</v>
      </c>
    </row>
    <row r="11" spans="1:14">
      <c r="B11" t="s">
        <v>54</v>
      </c>
      <c r="C11" t="s">
        <v>37</v>
      </c>
      <c r="D11" t="s">
        <v>86</v>
      </c>
      <c r="E11">
        <v>8192</v>
      </c>
      <c r="F11">
        <v>64</v>
      </c>
      <c r="G11">
        <v>64</v>
      </c>
      <c r="H11" s="16">
        <v>474.57799999999997</v>
      </c>
      <c r="I11" s="34">
        <v>483.43700000000001</v>
      </c>
      <c r="J11" s="16">
        <v>16.209499999999998</v>
      </c>
      <c r="K11" s="16">
        <v>16.170891999999998</v>
      </c>
      <c r="L11">
        <v>1132.3040000000001</v>
      </c>
      <c r="M11" t="s">
        <v>93</v>
      </c>
    </row>
    <row r="12" spans="1:14">
      <c r="B12" t="s">
        <v>54</v>
      </c>
      <c r="C12" t="s">
        <v>37</v>
      </c>
      <c r="D12" t="s">
        <v>86</v>
      </c>
      <c r="E12">
        <v>8192</v>
      </c>
      <c r="F12">
        <v>64</v>
      </c>
      <c r="G12">
        <v>64</v>
      </c>
      <c r="H12" s="16">
        <v>571.27967734299887</v>
      </c>
      <c r="I12" s="34">
        <v>587.00832711961925</v>
      </c>
      <c r="J12" s="16">
        <v>14.339736428400002</v>
      </c>
      <c r="K12" s="16">
        <v>13.955509013299999</v>
      </c>
      <c r="L12">
        <v>1480.4076113468529</v>
      </c>
      <c r="M12" s="33" t="s">
        <v>100</v>
      </c>
    </row>
    <row r="13" spans="1:14">
      <c r="H13" s="16"/>
      <c r="I13" s="34"/>
      <c r="J13" s="16"/>
      <c r="K13" s="16"/>
    </row>
    <row r="14" spans="1:14">
      <c r="B14" t="s">
        <v>51</v>
      </c>
      <c r="C14" t="s">
        <v>37</v>
      </c>
      <c r="D14" t="s">
        <v>86</v>
      </c>
      <c r="E14">
        <v>125</v>
      </c>
      <c r="F14">
        <v>64</v>
      </c>
      <c r="G14">
        <v>64</v>
      </c>
      <c r="H14" s="16">
        <v>760.6</v>
      </c>
      <c r="I14" s="16">
        <v>815.06</v>
      </c>
      <c r="J14" s="16">
        <v>0.16434399999999999</v>
      </c>
      <c r="K14" s="16">
        <v>0.153363</v>
      </c>
      <c r="L14">
        <v>2808.2719999999999</v>
      </c>
    </row>
    <row r="15" spans="1:14">
      <c r="B15" t="s">
        <v>51</v>
      </c>
      <c r="C15" t="s">
        <v>37</v>
      </c>
      <c r="D15" t="s">
        <v>86</v>
      </c>
      <c r="E15">
        <v>1024</v>
      </c>
      <c r="F15">
        <v>64</v>
      </c>
      <c r="G15">
        <v>64</v>
      </c>
      <c r="H15" s="16">
        <v>787.05799999999999</v>
      </c>
      <c r="I15" s="16">
        <v>825.56299999999999</v>
      </c>
      <c r="J15" s="16">
        <v>1.3010470000000001</v>
      </c>
      <c r="K15" s="16">
        <v>1.2403649999999999</v>
      </c>
      <c r="L15">
        <v>2983.8629999999998</v>
      </c>
    </row>
    <row r="16" spans="1:14">
      <c r="B16" t="s">
        <v>51</v>
      </c>
      <c r="C16" t="s">
        <v>37</v>
      </c>
      <c r="D16" t="s">
        <v>86</v>
      </c>
      <c r="E16">
        <v>8192</v>
      </c>
      <c r="F16">
        <v>64</v>
      </c>
      <c r="G16">
        <v>64</v>
      </c>
      <c r="H16" s="16">
        <v>128.523</v>
      </c>
      <c r="I16" s="16">
        <v>173.005</v>
      </c>
      <c r="J16" s="16">
        <v>63.739511</v>
      </c>
      <c r="K16" s="16">
        <v>47.351159000000003</v>
      </c>
      <c r="L16">
        <v>573.55600000000004</v>
      </c>
      <c r="M16" t="s">
        <v>98</v>
      </c>
      <c r="N16" s="1" t="s">
        <v>99</v>
      </c>
    </row>
    <row r="17" spans="2:19">
      <c r="H17" s="16"/>
      <c r="I17" s="16"/>
      <c r="J17" s="16"/>
      <c r="K17" s="16"/>
    </row>
    <row r="18" spans="2:19">
      <c r="B18" t="s">
        <v>73</v>
      </c>
      <c r="C18" t="s">
        <v>37</v>
      </c>
      <c r="D18" t="s">
        <v>83</v>
      </c>
      <c r="E18">
        <v>125</v>
      </c>
      <c r="F18">
        <v>64</v>
      </c>
      <c r="G18">
        <v>64</v>
      </c>
      <c r="H18" s="16">
        <v>649.03200000000004</v>
      </c>
      <c r="I18" s="34">
        <v>697.28099999999995</v>
      </c>
      <c r="J18" s="16">
        <v>0.19259399999999999</v>
      </c>
      <c r="K18" s="16">
        <v>0.17926800000000001</v>
      </c>
      <c r="L18">
        <v>2609.7199999999998</v>
      </c>
      <c r="M18" t="s">
        <v>62</v>
      </c>
      <c r="N18" t="s">
        <v>88</v>
      </c>
    </row>
    <row r="19" spans="2:19">
      <c r="B19" t="s">
        <v>73</v>
      </c>
      <c r="C19" t="s">
        <v>37</v>
      </c>
      <c r="D19" t="s">
        <v>83</v>
      </c>
      <c r="E19">
        <v>125</v>
      </c>
      <c r="F19">
        <v>64</v>
      </c>
      <c r="G19">
        <v>64</v>
      </c>
      <c r="H19" s="16">
        <v>636.298</v>
      </c>
      <c r="I19" s="34">
        <v>682.98099999999999</v>
      </c>
      <c r="J19" s="16">
        <v>0.19644900000000001</v>
      </c>
      <c r="K19" s="16">
        <v>0.18302099999999999</v>
      </c>
      <c r="L19">
        <v>2589.326</v>
      </c>
    </row>
    <row r="20" spans="2:19">
      <c r="B20" t="s">
        <v>73</v>
      </c>
      <c r="C20" t="s">
        <v>37</v>
      </c>
      <c r="D20" t="s">
        <v>83</v>
      </c>
      <c r="E20">
        <v>1024</v>
      </c>
      <c r="F20">
        <v>64</v>
      </c>
      <c r="G20">
        <v>64</v>
      </c>
      <c r="H20" s="16">
        <v>670.274</v>
      </c>
      <c r="I20" s="34">
        <v>702.99099999999999</v>
      </c>
      <c r="J20" s="16">
        <v>1.5277339999999999</v>
      </c>
      <c r="K20" s="16">
        <v>1.456634</v>
      </c>
      <c r="L20">
        <v>2702.2080000000001</v>
      </c>
    </row>
    <row r="21" spans="2:19">
      <c r="B21" t="s">
        <v>73</v>
      </c>
      <c r="C21" t="s">
        <v>37</v>
      </c>
      <c r="D21" t="s">
        <v>83</v>
      </c>
      <c r="E21">
        <v>8192</v>
      </c>
      <c r="F21">
        <v>64</v>
      </c>
      <c r="G21">
        <v>64</v>
      </c>
      <c r="H21" s="16">
        <v>134.03899999999999</v>
      </c>
      <c r="I21" s="34">
        <v>134.53100000000001</v>
      </c>
      <c r="J21" s="16">
        <v>61.116647999999998</v>
      </c>
      <c r="K21" s="16">
        <v>60.89282</v>
      </c>
      <c r="L21">
        <v>278.87200000000001</v>
      </c>
      <c r="M21" t="str">
        <f>"100 rep totals"</f>
        <v>100 rep totals</v>
      </c>
    </row>
    <row r="22" spans="2:19">
      <c r="H22" s="16"/>
      <c r="I22" s="16"/>
      <c r="J22" s="16"/>
      <c r="K22" s="16"/>
    </row>
    <row r="23" spans="2:19">
      <c r="B23" t="s">
        <v>78</v>
      </c>
      <c r="C23" t="s">
        <v>37</v>
      </c>
      <c r="D23" t="s">
        <v>83</v>
      </c>
      <c r="E23">
        <v>125</v>
      </c>
      <c r="F23">
        <v>64</v>
      </c>
      <c r="G23">
        <v>64</v>
      </c>
      <c r="H23" s="16">
        <v>534.55100000000004</v>
      </c>
      <c r="I23" s="16">
        <v>588.15899999999999</v>
      </c>
      <c r="J23" s="16">
        <v>0.23338410000000001</v>
      </c>
      <c r="K23" s="16">
        <v>0.20841599999999999</v>
      </c>
      <c r="L23">
        <v>2340.6419999999998</v>
      </c>
      <c r="N23" t="s">
        <v>102</v>
      </c>
      <c r="O23" t="s">
        <v>58</v>
      </c>
    </row>
    <row r="24" spans="2:19">
      <c r="B24" t="s">
        <v>78</v>
      </c>
      <c r="C24" t="s">
        <v>37</v>
      </c>
      <c r="D24" t="s">
        <v>83</v>
      </c>
      <c r="E24">
        <v>1024</v>
      </c>
      <c r="F24">
        <v>64</v>
      </c>
      <c r="G24">
        <v>64</v>
      </c>
      <c r="H24" s="16">
        <v>555.36199999999997</v>
      </c>
      <c r="I24" s="16">
        <v>590.68899999999996</v>
      </c>
      <c r="J24" s="16">
        <v>1.843842</v>
      </c>
      <c r="K24" s="16">
        <v>1.733568</v>
      </c>
      <c r="L24">
        <v>2137.826</v>
      </c>
    </row>
    <row r="25" spans="2:19">
      <c r="B25" t="s">
        <v>78</v>
      </c>
      <c r="C25" t="s">
        <v>37</v>
      </c>
      <c r="D25" t="s">
        <v>83</v>
      </c>
      <c r="E25">
        <v>8192</v>
      </c>
      <c r="F25">
        <v>64</v>
      </c>
      <c r="G25">
        <v>64</v>
      </c>
      <c r="H25" s="16"/>
      <c r="I25" s="16"/>
      <c r="J25" s="16"/>
      <c r="K25" s="16"/>
    </row>
    <row r="26" spans="2:19">
      <c r="H26" s="16"/>
      <c r="I26" s="16"/>
      <c r="J26" s="16"/>
      <c r="K26" s="16"/>
    </row>
    <row r="27" spans="2:19">
      <c r="B27" t="s">
        <v>48</v>
      </c>
      <c r="C27" t="s">
        <v>37</v>
      </c>
      <c r="D27" t="s">
        <v>86</v>
      </c>
      <c r="E27">
        <v>125</v>
      </c>
      <c r="F27">
        <v>64</v>
      </c>
      <c r="G27">
        <v>64</v>
      </c>
      <c r="H27" s="23">
        <v>334.78800000000001</v>
      </c>
      <c r="I27" s="35">
        <v>343.04</v>
      </c>
      <c r="J27" s="16">
        <v>0.37337100000000001</v>
      </c>
      <c r="K27" s="16">
        <v>0.36438900000000002</v>
      </c>
      <c r="L27">
        <v>3209.6089999999999</v>
      </c>
      <c r="M27" t="s">
        <v>62</v>
      </c>
      <c r="N27" t="s">
        <v>89</v>
      </c>
    </row>
    <row r="28" spans="2:19">
      <c r="B28" t="s">
        <v>48</v>
      </c>
      <c r="C28" t="s">
        <v>37</v>
      </c>
      <c r="D28" t="s">
        <v>86</v>
      </c>
      <c r="E28">
        <v>1024</v>
      </c>
      <c r="F28">
        <v>64</v>
      </c>
      <c r="G28">
        <v>64</v>
      </c>
      <c r="H28" s="23">
        <v>334.60500000000002</v>
      </c>
      <c r="I28" s="35">
        <v>342.048</v>
      </c>
      <c r="J28" s="16">
        <v>3.060327</v>
      </c>
      <c r="K28" s="16">
        <v>2.9937290000000001</v>
      </c>
      <c r="L28">
        <v>3231.373</v>
      </c>
    </row>
    <row r="29" spans="2:19">
      <c r="B29" t="s">
        <v>48</v>
      </c>
      <c r="C29" t="s">
        <v>37</v>
      </c>
      <c r="D29" t="s">
        <v>86</v>
      </c>
      <c r="E29">
        <v>8192</v>
      </c>
      <c r="F29">
        <v>64</v>
      </c>
      <c r="G29">
        <v>64</v>
      </c>
      <c r="H29" s="16">
        <v>209.59800000000001</v>
      </c>
      <c r="I29" s="34">
        <v>220.98599999999999</v>
      </c>
      <c r="J29" s="16">
        <v>39.08428</v>
      </c>
      <c r="K29" s="16">
        <v>37.070197999999998</v>
      </c>
      <c r="L29">
        <v>559.01800000000003</v>
      </c>
      <c r="M29" t="s">
        <v>94</v>
      </c>
    </row>
    <row r="30" spans="2:19">
      <c r="B30" t="s">
        <v>48</v>
      </c>
      <c r="C30" t="s">
        <v>37</v>
      </c>
      <c r="D30" t="s">
        <v>86</v>
      </c>
      <c r="E30">
        <v>8192</v>
      </c>
      <c r="F30">
        <v>64</v>
      </c>
      <c r="G30">
        <v>64</v>
      </c>
      <c r="H30" s="16">
        <v>232.74199999999999</v>
      </c>
      <c r="I30" s="34">
        <v>243.63200000000001</v>
      </c>
      <c r="J30" s="16">
        <v>35.197808999999999</v>
      </c>
      <c r="K30" s="16">
        <v>33.624495000000003</v>
      </c>
      <c r="L30">
        <v>756.15599999999995</v>
      </c>
      <c r="M30" t="str">
        <f>"100 reps"</f>
        <v>100 reps</v>
      </c>
    </row>
    <row r="31" spans="2:19">
      <c r="H31" s="16"/>
      <c r="I31" s="34"/>
      <c r="J31" s="16"/>
      <c r="K31" s="16"/>
    </row>
    <row r="32" spans="2:19">
      <c r="B32" t="s">
        <v>87</v>
      </c>
      <c r="C32" t="s">
        <v>37</v>
      </c>
      <c r="D32" t="s">
        <v>86</v>
      </c>
      <c r="E32">
        <v>125</v>
      </c>
      <c r="F32">
        <v>64</v>
      </c>
      <c r="G32">
        <v>64</v>
      </c>
      <c r="H32" s="16">
        <v>182.95099999999999</v>
      </c>
      <c r="I32" s="34">
        <v>188.905</v>
      </c>
      <c r="J32" s="16">
        <v>0.68324399999999996</v>
      </c>
      <c r="K32" s="16">
        <v>0.66170799999999996</v>
      </c>
      <c r="L32">
        <v>1477.7249999999999</v>
      </c>
      <c r="M32" t="s">
        <v>62</v>
      </c>
      <c r="N32" t="s">
        <v>88</v>
      </c>
      <c r="O32" t="s">
        <v>90</v>
      </c>
      <c r="P32" t="s">
        <v>91</v>
      </c>
      <c r="S32" t="str">
        <f>"-d 4 server option used"</f>
        <v>-d 4 server option used</v>
      </c>
    </row>
    <row r="33" spans="2:14">
      <c r="H33" s="16"/>
      <c r="I33" s="16"/>
      <c r="J33" s="16"/>
      <c r="K33" s="16"/>
    </row>
    <row r="34" spans="2:14">
      <c r="B34" t="s">
        <v>52</v>
      </c>
      <c r="C34" t="s">
        <v>37</v>
      </c>
      <c r="D34" t="s">
        <v>86</v>
      </c>
      <c r="E34">
        <v>125</v>
      </c>
      <c r="F34">
        <v>64</v>
      </c>
      <c r="G34">
        <v>64</v>
      </c>
      <c r="H34" s="16">
        <v>168.55500000000001</v>
      </c>
      <c r="I34" s="34">
        <v>181.702</v>
      </c>
      <c r="J34" s="16">
        <v>0.74159699999999995</v>
      </c>
      <c r="K34" s="16">
        <v>0.68794</v>
      </c>
      <c r="L34">
        <v>509.709</v>
      </c>
      <c r="M34" t="s">
        <v>95</v>
      </c>
      <c r="N34" t="s">
        <v>96</v>
      </c>
    </row>
    <row r="35" spans="2:14">
      <c r="B35" t="s">
        <v>52</v>
      </c>
      <c r="C35" t="s">
        <v>37</v>
      </c>
      <c r="D35" t="s">
        <v>86</v>
      </c>
      <c r="E35">
        <v>1024</v>
      </c>
      <c r="F35">
        <v>64</v>
      </c>
      <c r="G35">
        <v>64</v>
      </c>
      <c r="H35" s="16">
        <v>93.262</v>
      </c>
      <c r="I35" s="16">
        <v>95.629000000000005</v>
      </c>
      <c r="J35" s="16">
        <v>10.979837</v>
      </c>
      <c r="K35" s="16">
        <v>10.708031</v>
      </c>
      <c r="L35">
        <v>161.001</v>
      </c>
      <c r="M35" t="s">
        <v>97</v>
      </c>
    </row>
    <row r="36" spans="2:14">
      <c r="H36" s="16"/>
      <c r="I36" s="16"/>
      <c r="J36" s="16"/>
      <c r="K36" s="16"/>
    </row>
    <row r="37" spans="2:14">
      <c r="B37" t="s">
        <v>101</v>
      </c>
      <c r="C37" t="s">
        <v>37</v>
      </c>
      <c r="D37" t="s">
        <v>86</v>
      </c>
      <c r="E37">
        <v>125</v>
      </c>
      <c r="F37">
        <v>64</v>
      </c>
      <c r="G37">
        <v>64</v>
      </c>
      <c r="H37" s="16">
        <v>83.736000000000004</v>
      </c>
      <c r="I37" s="16">
        <v>87.164000000000001</v>
      </c>
      <c r="J37" s="16">
        <v>1.492796</v>
      </c>
      <c r="K37" s="16">
        <v>1.4340729999999999</v>
      </c>
      <c r="L37">
        <v>929.59699999999998</v>
      </c>
    </row>
    <row r="38" spans="2:14">
      <c r="B38" t="s">
        <v>101</v>
      </c>
      <c r="C38" t="s">
        <v>37</v>
      </c>
      <c r="D38" t="s">
        <v>86</v>
      </c>
      <c r="E38">
        <v>1024</v>
      </c>
      <c r="F38">
        <v>64</v>
      </c>
      <c r="G38">
        <v>64</v>
      </c>
      <c r="H38" s="16">
        <v>92.206000000000003</v>
      </c>
      <c r="I38" s="16">
        <v>94.998000000000005</v>
      </c>
      <c r="J38" s="16">
        <v>11.105582999999999</v>
      </c>
      <c r="K38" s="16">
        <v>10.779223</v>
      </c>
      <c r="L38">
        <v>864.423</v>
      </c>
    </row>
    <row r="39" spans="2:14">
      <c r="H39" s="16"/>
      <c r="I39" s="16"/>
      <c r="J39" s="16"/>
      <c r="K39" s="16"/>
    </row>
    <row r="40" spans="2:14">
      <c r="H40" s="16"/>
      <c r="I40" s="16"/>
      <c r="J40" s="16"/>
      <c r="K40" s="16"/>
    </row>
    <row r="41" spans="2:14">
      <c r="H41" s="16"/>
      <c r="I41" s="16"/>
      <c r="J41" s="16"/>
      <c r="K4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B1" sqref="B1"/>
    </sheetView>
  </sheetViews>
  <sheetFormatPr defaultRowHeight="15"/>
  <cols>
    <col min="2" max="2" width="25.28515625" customWidth="1"/>
    <col min="3" max="3" width="12.7109375" bestFit="1" customWidth="1"/>
    <col min="4" max="4" width="16.140625" bestFit="1" customWidth="1"/>
    <col min="5" max="5" width="13.5703125" bestFit="1" customWidth="1"/>
    <col min="6" max="7" width="15.42578125" bestFit="1" customWidth="1"/>
    <col min="8" max="8" width="11" bestFit="1" customWidth="1"/>
    <col min="9" max="9" width="10.85546875" bestFit="1" customWidth="1"/>
    <col min="10" max="11" width="9.5703125" bestFit="1" customWidth="1"/>
    <col min="12" max="12" width="21.140625" bestFit="1" customWidth="1"/>
    <col min="13" max="13" width="22.140625" customWidth="1"/>
    <col min="14" max="14" width="11.140625" customWidth="1"/>
  </cols>
  <sheetData>
    <row r="1" spans="1:15">
      <c r="A1" t="s">
        <v>2</v>
      </c>
      <c r="B1" t="s">
        <v>34</v>
      </c>
      <c r="D1" t="s">
        <v>53</v>
      </c>
      <c r="E1">
        <v>131072000</v>
      </c>
    </row>
    <row r="2" spans="1:15">
      <c r="A2" t="s">
        <v>31</v>
      </c>
      <c r="B2" t="s">
        <v>35</v>
      </c>
    </row>
    <row r="3" spans="1:15">
      <c r="B3" s="1" t="s">
        <v>49</v>
      </c>
      <c r="C3" s="1" t="s">
        <v>50</v>
      </c>
      <c r="D3" s="1" t="s">
        <v>39</v>
      </c>
      <c r="E3" s="1" t="s">
        <v>74</v>
      </c>
      <c r="F3" s="1" t="s">
        <v>75</v>
      </c>
      <c r="G3" s="1" t="s">
        <v>76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77</v>
      </c>
    </row>
    <row r="4" spans="1:15">
      <c r="B4" t="s">
        <v>51</v>
      </c>
      <c r="C4" t="s">
        <v>37</v>
      </c>
      <c r="D4" t="s">
        <v>46</v>
      </c>
      <c r="E4">
        <f>1024/8.192</f>
        <v>125</v>
      </c>
      <c r="F4" t="s">
        <v>38</v>
      </c>
      <c r="G4" t="s">
        <v>38</v>
      </c>
      <c r="H4" s="26">
        <v>806.62699999999995</v>
      </c>
      <c r="I4" s="26">
        <v>851.67200000000003</v>
      </c>
      <c r="J4" s="27">
        <f>1.269484/8.192</f>
        <v>0.15496630859374999</v>
      </c>
      <c r="K4" s="27">
        <f>1.20234/8.192</f>
        <v>0.14677001953124999</v>
      </c>
      <c r="L4" s="28">
        <v>3236.922</v>
      </c>
      <c r="M4" t="s">
        <v>72</v>
      </c>
      <c r="N4" t="s">
        <v>58</v>
      </c>
      <c r="O4" t="s">
        <v>62</v>
      </c>
    </row>
    <row r="5" spans="1:15">
      <c r="B5" s="11" t="s">
        <v>51</v>
      </c>
      <c r="C5" t="s">
        <v>37</v>
      </c>
      <c r="D5" t="s">
        <v>46</v>
      </c>
      <c r="E5">
        <v>125</v>
      </c>
      <c r="F5" t="s">
        <v>38</v>
      </c>
      <c r="G5" t="s">
        <v>38</v>
      </c>
      <c r="H5" s="14">
        <v>784.92499999999995</v>
      </c>
      <c r="I5" s="14">
        <v>849.21799999999996</v>
      </c>
      <c r="J5" s="15">
        <v>0.159251</v>
      </c>
      <c r="K5" s="15">
        <v>0.14719399999999999</v>
      </c>
      <c r="L5" s="13">
        <v>3233.86</v>
      </c>
    </row>
    <row r="6" spans="1:15">
      <c r="B6" s="11" t="s">
        <v>56</v>
      </c>
      <c r="C6" t="s">
        <v>37</v>
      </c>
      <c r="D6" t="s">
        <v>46</v>
      </c>
      <c r="E6">
        <v>125</v>
      </c>
      <c r="F6" t="s">
        <v>38</v>
      </c>
      <c r="G6" t="s">
        <v>38</v>
      </c>
      <c r="H6" s="14">
        <v>742.73900000000003</v>
      </c>
      <c r="I6" s="14">
        <v>816.52499999999998</v>
      </c>
      <c r="J6" s="15">
        <v>0.168296</v>
      </c>
      <c r="K6" s="15">
        <v>0.153088</v>
      </c>
      <c r="L6" s="13">
        <v>3335.7640000000001</v>
      </c>
      <c r="M6" t="s">
        <v>66</v>
      </c>
      <c r="N6" t="s">
        <v>58</v>
      </c>
      <c r="O6" t="s">
        <v>62</v>
      </c>
    </row>
    <row r="7" spans="1:15">
      <c r="B7" s="11" t="s">
        <v>54</v>
      </c>
      <c r="C7" t="s">
        <v>37</v>
      </c>
      <c r="D7" t="s">
        <v>46</v>
      </c>
      <c r="E7">
        <v>125</v>
      </c>
      <c r="F7" t="s">
        <v>38</v>
      </c>
      <c r="G7" t="s">
        <v>38</v>
      </c>
      <c r="H7" s="13">
        <v>686.18299999999999</v>
      </c>
      <c r="I7" s="13">
        <v>754.59900000000005</v>
      </c>
      <c r="J7" s="16">
        <v>0.182167</v>
      </c>
      <c r="K7" s="16">
        <v>0.16565099999999999</v>
      </c>
      <c r="L7" s="13">
        <v>2573.85</v>
      </c>
      <c r="M7" t="s">
        <v>67</v>
      </c>
      <c r="N7" t="s">
        <v>58</v>
      </c>
      <c r="O7" t="s">
        <v>63</v>
      </c>
    </row>
    <row r="8" spans="1:15">
      <c r="B8" t="s">
        <v>78</v>
      </c>
      <c r="C8" t="s">
        <v>37</v>
      </c>
      <c r="D8" t="s">
        <v>46</v>
      </c>
      <c r="E8">
        <v>125</v>
      </c>
      <c r="F8" t="s">
        <v>38</v>
      </c>
      <c r="G8" t="s">
        <v>38</v>
      </c>
      <c r="H8" s="14">
        <v>570.54700000000003</v>
      </c>
      <c r="I8" s="14">
        <v>613.38900000000001</v>
      </c>
      <c r="J8" s="15">
        <v>0.219088</v>
      </c>
      <c r="K8" s="15">
        <v>0.20378599999999999</v>
      </c>
      <c r="L8" s="13">
        <v>2803.848</v>
      </c>
      <c r="M8" t="s">
        <v>65</v>
      </c>
      <c r="N8" t="s">
        <v>58</v>
      </c>
      <c r="O8" t="s">
        <v>63</v>
      </c>
    </row>
    <row r="9" spans="1:15">
      <c r="B9" t="s">
        <v>78</v>
      </c>
      <c r="C9" t="s">
        <v>37</v>
      </c>
      <c r="D9" t="s">
        <v>46</v>
      </c>
      <c r="E9">
        <f>1024</f>
        <v>1024</v>
      </c>
      <c r="F9" t="s">
        <v>38</v>
      </c>
      <c r="G9" t="s">
        <v>38</v>
      </c>
      <c r="H9" s="26">
        <v>547.32716503878135</v>
      </c>
      <c r="I9" s="26">
        <v>584.95419517545679</v>
      </c>
      <c r="J9" s="27">
        <f>$E$9/H9</f>
        <v>1.8709102441999999</v>
      </c>
      <c r="K9" s="27">
        <f>$E$9/I9</f>
        <v>1.7505644175999995</v>
      </c>
      <c r="L9" s="28">
        <v>2432.6554735134555</v>
      </c>
    </row>
    <row r="10" spans="1:15">
      <c r="B10" t="s">
        <v>78</v>
      </c>
      <c r="C10" t="s">
        <v>37</v>
      </c>
      <c r="D10" t="s">
        <v>46</v>
      </c>
      <c r="E10">
        <v>2048</v>
      </c>
      <c r="F10" t="s">
        <v>79</v>
      </c>
      <c r="G10" t="s">
        <v>79</v>
      </c>
      <c r="H10" s="29">
        <v>552.56500000000005</v>
      </c>
      <c r="I10" s="29">
        <v>590.68299999999999</v>
      </c>
      <c r="J10" s="30">
        <v>3.7063519999999999</v>
      </c>
      <c r="K10" s="30">
        <v>3.4671720000000001</v>
      </c>
      <c r="L10" s="31">
        <v>2331.826</v>
      </c>
      <c r="M10" s="32"/>
    </row>
    <row r="11" spans="1:15">
      <c r="B11" t="s">
        <v>78</v>
      </c>
      <c r="C11" t="s">
        <v>37</v>
      </c>
      <c r="D11" t="s">
        <v>46</v>
      </c>
      <c r="E11">
        <v>3072</v>
      </c>
      <c r="F11" t="s">
        <v>79</v>
      </c>
      <c r="G11" t="s">
        <v>79</v>
      </c>
      <c r="H11" s="29">
        <v>559.29200000000003</v>
      </c>
      <c r="I11" s="29">
        <v>596.20000000000005</v>
      </c>
      <c r="J11" s="30">
        <v>5.4926620000000002</v>
      </c>
      <c r="K11" s="30">
        <v>5.1526370000000004</v>
      </c>
      <c r="L11" s="31">
        <v>2359.047</v>
      </c>
      <c r="M11" s="32"/>
    </row>
    <row r="12" spans="1:15">
      <c r="B12" t="s">
        <v>78</v>
      </c>
      <c r="C12" t="s">
        <v>37</v>
      </c>
      <c r="D12" t="s">
        <v>46</v>
      </c>
      <c r="E12">
        <v>4096</v>
      </c>
      <c r="F12" t="s">
        <v>79</v>
      </c>
      <c r="G12" t="s">
        <v>79</v>
      </c>
      <c r="H12" s="29">
        <v>422.17700000000002</v>
      </c>
      <c r="I12" s="29">
        <v>443.221</v>
      </c>
      <c r="J12" s="30">
        <v>9.7020999999999997</v>
      </c>
      <c r="K12" s="30">
        <v>9.2414290000000001</v>
      </c>
      <c r="L12" s="31">
        <v>2649.6529999999998</v>
      </c>
      <c r="M12" s="32"/>
    </row>
    <row r="13" spans="1:15">
      <c r="B13" t="s">
        <v>78</v>
      </c>
      <c r="C13" t="s">
        <v>37</v>
      </c>
      <c r="D13" t="s">
        <v>46</v>
      </c>
      <c r="E13">
        <v>5120</v>
      </c>
      <c r="F13" t="s">
        <v>79</v>
      </c>
      <c r="G13" t="s">
        <v>79</v>
      </c>
      <c r="H13" s="29">
        <v>423.59100000000001</v>
      </c>
      <c r="I13" s="29">
        <v>446.26</v>
      </c>
      <c r="J13" s="30">
        <v>12.087145</v>
      </c>
      <c r="K13" s="30">
        <v>11.473129999999999</v>
      </c>
      <c r="L13" s="31">
        <v>2635.7860000000001</v>
      </c>
      <c r="M13" s="32"/>
    </row>
    <row r="14" spans="1:15">
      <c r="B14" t="s">
        <v>78</v>
      </c>
      <c r="C14" t="s">
        <v>37</v>
      </c>
      <c r="D14" t="s">
        <v>46</v>
      </c>
      <c r="E14">
        <v>6144</v>
      </c>
      <c r="F14" t="s">
        <v>79</v>
      </c>
      <c r="G14" t="s">
        <v>79</v>
      </c>
      <c r="H14" s="29">
        <v>420.25900000000001</v>
      </c>
      <c r="I14" s="29">
        <v>443.49599999999998</v>
      </c>
      <c r="J14" s="30">
        <v>14.619954999999999</v>
      </c>
      <c r="K14" s="30">
        <v>13.853554000000001</v>
      </c>
      <c r="L14" s="31">
        <v>2539.989</v>
      </c>
      <c r="M14" s="32"/>
    </row>
    <row r="15" spans="1:15">
      <c r="H15" s="29"/>
      <c r="I15" s="29"/>
      <c r="J15" s="30"/>
      <c r="K15" s="30"/>
      <c r="L15" s="31"/>
      <c r="M15" s="32"/>
    </row>
    <row r="16" spans="1:15">
      <c r="B16" t="s">
        <v>57</v>
      </c>
      <c r="C16" t="s">
        <v>37</v>
      </c>
      <c r="D16" t="s">
        <v>46</v>
      </c>
      <c r="E16">
        <v>125</v>
      </c>
      <c r="F16" t="s">
        <v>38</v>
      </c>
      <c r="G16" t="s">
        <v>38</v>
      </c>
      <c r="H16" s="25">
        <v>344.56799999999998</v>
      </c>
      <c r="I16" s="25">
        <v>361.40300000000002</v>
      </c>
      <c r="J16" s="15">
        <v>0.36277399999999999</v>
      </c>
      <c r="K16" s="15">
        <v>0.34587400000000001</v>
      </c>
      <c r="L16" s="13">
        <v>3042.5909999999999</v>
      </c>
      <c r="M16" t="s">
        <v>68</v>
      </c>
      <c r="N16" t="s">
        <v>59</v>
      </c>
      <c r="O16" t="s">
        <v>64</v>
      </c>
    </row>
    <row r="17" spans="2:15">
      <c r="B17" t="s">
        <v>73</v>
      </c>
      <c r="C17" t="s">
        <v>37</v>
      </c>
      <c r="D17" t="s">
        <v>46</v>
      </c>
      <c r="E17">
        <f>1024/8.192</f>
        <v>125</v>
      </c>
      <c r="F17" t="s">
        <v>38</v>
      </c>
      <c r="G17" t="s">
        <v>38</v>
      </c>
      <c r="H17" s="25">
        <v>342.82900000000001</v>
      </c>
      <c r="I17" s="25">
        <v>354.27600000000001</v>
      </c>
      <c r="J17" s="27">
        <f>2.986916/8.192</f>
        <v>0.36461376953124996</v>
      </c>
      <c r="K17" s="27">
        <f>2.890399/8.192</f>
        <v>0.35283190917968749</v>
      </c>
      <c r="L17" s="28">
        <v>3171.9690000000001</v>
      </c>
    </row>
    <row r="18" spans="2:15">
      <c r="B18" t="s">
        <v>48</v>
      </c>
      <c r="C18" t="s">
        <v>37</v>
      </c>
      <c r="D18" t="s">
        <v>46</v>
      </c>
      <c r="E18">
        <v>125</v>
      </c>
      <c r="F18" t="s">
        <v>38</v>
      </c>
      <c r="G18" t="s">
        <v>38</v>
      </c>
      <c r="H18" s="25">
        <v>316.49599999999998</v>
      </c>
      <c r="I18" s="25">
        <v>325.11099999999999</v>
      </c>
      <c r="J18" s="15">
        <v>0.39495000000000002</v>
      </c>
      <c r="K18" s="15">
        <v>0.38448399999999999</v>
      </c>
      <c r="L18" s="13">
        <v>3545.1219999999998</v>
      </c>
      <c r="M18" t="s">
        <v>69</v>
      </c>
      <c r="N18" t="s">
        <v>58</v>
      </c>
      <c r="O18" t="s">
        <v>62</v>
      </c>
    </row>
    <row r="19" spans="2:15">
      <c r="B19" t="s">
        <v>48</v>
      </c>
      <c r="C19" t="s">
        <v>37</v>
      </c>
      <c r="D19" t="s">
        <v>46</v>
      </c>
      <c r="E19">
        <f>1024/8.192</f>
        <v>125</v>
      </c>
      <c r="F19" t="s">
        <v>38</v>
      </c>
      <c r="G19" t="s">
        <v>38</v>
      </c>
      <c r="H19" s="25">
        <v>316.72899999999998</v>
      </c>
      <c r="I19" s="25">
        <v>323.09100000000001</v>
      </c>
      <c r="J19" s="27">
        <f>3.233051/8.192</f>
        <v>0.39465954589843749</v>
      </c>
      <c r="K19" s="27">
        <f>3.169383/8.192</f>
        <v>0.38688757324218748</v>
      </c>
      <c r="L19" s="28">
        <v>3602.1619999999998</v>
      </c>
    </row>
    <row r="20" spans="2:15">
      <c r="B20" t="s">
        <v>52</v>
      </c>
      <c r="C20" t="s">
        <v>37</v>
      </c>
      <c r="D20" t="s">
        <v>46</v>
      </c>
      <c r="E20">
        <v>125</v>
      </c>
      <c r="F20" t="s">
        <v>38</v>
      </c>
      <c r="G20" t="s">
        <v>38</v>
      </c>
      <c r="H20" s="24">
        <v>192.084</v>
      </c>
      <c r="I20" s="24">
        <v>204.89699999999999</v>
      </c>
      <c r="J20" s="15">
        <v>0.65075700000000003</v>
      </c>
      <c r="K20" s="15">
        <v>0.61006400000000005</v>
      </c>
      <c r="L20" s="13">
        <v>628.4</v>
      </c>
      <c r="M20" t="s">
        <v>70</v>
      </c>
      <c r="N20" t="s">
        <v>60</v>
      </c>
      <c r="O20" t="s">
        <v>63</v>
      </c>
    </row>
    <row r="21" spans="2:15">
      <c r="B21" t="s">
        <v>55</v>
      </c>
      <c r="C21" t="s">
        <v>37</v>
      </c>
      <c r="D21" t="s">
        <v>46</v>
      </c>
      <c r="E21">
        <v>125</v>
      </c>
      <c r="F21" t="s">
        <v>38</v>
      </c>
      <c r="G21" t="s">
        <v>38</v>
      </c>
      <c r="H21" s="17">
        <v>81.558000000000007</v>
      </c>
      <c r="I21" s="17">
        <v>85.897999999999996</v>
      </c>
      <c r="J21" s="15">
        <v>1.5326580000000001</v>
      </c>
      <c r="K21" s="15">
        <v>1.4552160000000001</v>
      </c>
      <c r="L21" s="13">
        <v>864.87900000000002</v>
      </c>
      <c r="M21" t="s">
        <v>71</v>
      </c>
      <c r="N21" t="s">
        <v>61</v>
      </c>
      <c r="O21" t="s">
        <v>62</v>
      </c>
    </row>
    <row r="22" spans="2:15">
      <c r="B22" t="s">
        <v>51</v>
      </c>
      <c r="C22" t="s">
        <v>48</v>
      </c>
      <c r="D22" t="s">
        <v>46</v>
      </c>
      <c r="E22">
        <f>4096/32.768</f>
        <v>125</v>
      </c>
      <c r="F22" t="s">
        <v>38</v>
      </c>
      <c r="G22" t="s">
        <v>38</v>
      </c>
      <c r="H22" s="20">
        <v>108.48699999999999</v>
      </c>
      <c r="I22" s="20">
        <v>109.07899999999999</v>
      </c>
      <c r="J22" s="18">
        <f>37.755828/32.768</f>
        <v>1.1522164306640625</v>
      </c>
      <c r="K22" s="18">
        <f>37.562791/32.768</f>
        <v>1.1463254089355468</v>
      </c>
      <c r="L22" s="28">
        <v>3739.5839999999998</v>
      </c>
    </row>
    <row r="23" spans="2:15">
      <c r="B23" t="s">
        <v>51</v>
      </c>
      <c r="C23" t="s">
        <v>48</v>
      </c>
      <c r="D23" t="s">
        <v>46</v>
      </c>
      <c r="E23">
        <f>1024/8.192</f>
        <v>125</v>
      </c>
      <c r="F23" t="s">
        <v>38</v>
      </c>
      <c r="G23" t="s">
        <v>38</v>
      </c>
      <c r="H23" s="20">
        <v>108.544</v>
      </c>
      <c r="I23" s="20">
        <v>109.27800000000001</v>
      </c>
      <c r="J23" s="18">
        <f>9.433976/8.192</f>
        <v>1.1516083984374998</v>
      </c>
      <c r="K23" s="18">
        <f>9.371272/8.192</f>
        <v>1.1439541015624999</v>
      </c>
      <c r="L23" s="28">
        <v>3821.8069999999998</v>
      </c>
    </row>
    <row r="24" spans="2:15">
      <c r="B24" t="s">
        <v>51</v>
      </c>
      <c r="C24" t="s">
        <v>48</v>
      </c>
      <c r="D24" t="s">
        <v>46</v>
      </c>
      <c r="E24">
        <v>125</v>
      </c>
      <c r="F24" t="s">
        <v>38</v>
      </c>
      <c r="G24" t="s">
        <v>38</v>
      </c>
      <c r="H24" s="20">
        <v>109.09699999999999</v>
      </c>
      <c r="I24" s="20">
        <v>110.039</v>
      </c>
      <c r="J24" s="18">
        <v>1.1457660000000001</v>
      </c>
      <c r="K24" s="18">
        <v>1.135961</v>
      </c>
      <c r="L24" s="13">
        <v>3527.6970000000001</v>
      </c>
    </row>
    <row r="25" spans="2:15">
      <c r="B25" t="s">
        <v>54</v>
      </c>
      <c r="C25" t="s">
        <v>56</v>
      </c>
      <c r="D25" t="s">
        <v>46</v>
      </c>
      <c r="E25">
        <v>125</v>
      </c>
      <c r="F25" t="s">
        <v>38</v>
      </c>
      <c r="G25" t="s">
        <v>38</v>
      </c>
      <c r="H25" s="21">
        <v>109.724</v>
      </c>
      <c r="I25" s="21">
        <v>111.199</v>
      </c>
      <c r="J25" s="19">
        <v>1.1392260000000001</v>
      </c>
      <c r="K25" s="19">
        <v>1.1241140000000001</v>
      </c>
      <c r="L25" s="13">
        <v>2641.819</v>
      </c>
    </row>
    <row r="26" spans="2:15">
      <c r="B26" t="s">
        <v>54</v>
      </c>
      <c r="C26" t="s">
        <v>51</v>
      </c>
      <c r="D26" t="s">
        <v>46</v>
      </c>
      <c r="E26">
        <v>125</v>
      </c>
      <c r="F26" t="s">
        <v>38</v>
      </c>
      <c r="G26" t="s">
        <v>38</v>
      </c>
      <c r="H26" s="21">
        <v>110.074</v>
      </c>
      <c r="I26" s="21">
        <v>112.657</v>
      </c>
      <c r="J26" s="19">
        <v>1.135597</v>
      </c>
      <c r="K26" s="19">
        <v>1.109561</v>
      </c>
      <c r="L26" s="13">
        <v>2991.5140000000001</v>
      </c>
    </row>
    <row r="27" spans="2:15">
      <c r="B27" t="s">
        <v>48</v>
      </c>
      <c r="C27" t="s">
        <v>52</v>
      </c>
      <c r="D27" t="s">
        <v>46</v>
      </c>
      <c r="E27">
        <f>1024/8.192</f>
        <v>125</v>
      </c>
      <c r="F27" t="s">
        <v>38</v>
      </c>
      <c r="G27" t="s">
        <v>38</v>
      </c>
      <c r="H27" s="22">
        <v>54.396000000000001</v>
      </c>
      <c r="I27" s="22">
        <v>55.526000000000003</v>
      </c>
      <c r="J27" s="23">
        <f>18.824937/8.192</f>
        <v>2.2979659423828123</v>
      </c>
      <c r="K27" s="23">
        <f>18.441874/8.192</f>
        <v>2.251205322265625</v>
      </c>
      <c r="L27" s="28">
        <v>203.63</v>
      </c>
    </row>
    <row r="28" spans="2:15">
      <c r="H28" s="14"/>
      <c r="I28" s="14"/>
      <c r="J28" s="15"/>
      <c r="K28" s="15"/>
      <c r="L28" s="13"/>
    </row>
    <row r="29" spans="2:15">
      <c r="B29" t="s">
        <v>73</v>
      </c>
      <c r="C29" t="s">
        <v>37</v>
      </c>
      <c r="D29" t="s">
        <v>47</v>
      </c>
      <c r="E29">
        <f>1024/8.192</f>
        <v>125</v>
      </c>
      <c r="F29" t="s">
        <v>38</v>
      </c>
      <c r="G29" t="s">
        <v>38</v>
      </c>
      <c r="H29" s="26">
        <v>318.42200000000003</v>
      </c>
      <c r="I29" s="26">
        <v>328.29</v>
      </c>
      <c r="J29" s="27">
        <f>3.215863/8.192</f>
        <v>0.39256140136718753</v>
      </c>
      <c r="K29" s="27">
        <f>3.119189/8.192</f>
        <v>0.38076037597656248</v>
      </c>
      <c r="L29" s="28">
        <v>3007.134</v>
      </c>
    </row>
    <row r="30" spans="2:15">
      <c r="B30" t="s">
        <v>48</v>
      </c>
      <c r="C30" t="s">
        <v>37</v>
      </c>
      <c r="D30" t="s">
        <v>47</v>
      </c>
      <c r="E30">
        <f>1024/8.192</f>
        <v>125</v>
      </c>
      <c r="F30" t="s">
        <v>38</v>
      </c>
      <c r="G30" t="s">
        <v>38</v>
      </c>
      <c r="H30" s="26">
        <v>189.44900000000001</v>
      </c>
      <c r="I30" s="26">
        <v>191.648</v>
      </c>
      <c r="J30" s="27">
        <f>5.405151/8.192</f>
        <v>0.65980847167968748</v>
      </c>
      <c r="K30" s="27">
        <f>5.343138/8.192</f>
        <v>0.65223852539062499</v>
      </c>
      <c r="L30" s="28">
        <v>3595.36</v>
      </c>
    </row>
    <row r="31" spans="2:15">
      <c r="B31" t="s">
        <v>51</v>
      </c>
      <c r="C31" t="s">
        <v>37</v>
      </c>
      <c r="D31" t="s">
        <v>47</v>
      </c>
      <c r="E31">
        <f>1024/8.192</f>
        <v>125</v>
      </c>
      <c r="F31" t="s">
        <v>38</v>
      </c>
      <c r="G31" t="s">
        <v>38</v>
      </c>
      <c r="H31" s="26">
        <v>345.86599999999999</v>
      </c>
      <c r="I31" s="26">
        <v>354.27199999999999</v>
      </c>
      <c r="J31" s="27">
        <f>2.960686/8.192</f>
        <v>0.36141186523437496</v>
      </c>
      <c r="K31" s="27">
        <f>2.890434/8.192</f>
        <v>0.35283618164062497</v>
      </c>
      <c r="L31" s="28">
        <v>3219.22</v>
      </c>
    </row>
    <row r="32" spans="2:15">
      <c r="B32" t="s">
        <v>51</v>
      </c>
      <c r="C32" t="s">
        <v>48</v>
      </c>
      <c r="D32" t="s">
        <v>47</v>
      </c>
      <c r="E32">
        <f>1024/8.192</f>
        <v>125</v>
      </c>
      <c r="F32" t="s">
        <v>38</v>
      </c>
      <c r="G32" t="s">
        <v>38</v>
      </c>
      <c r="H32" s="20">
        <v>108.514</v>
      </c>
      <c r="I32" s="20">
        <v>109.254</v>
      </c>
      <c r="J32" s="18">
        <f>9.436582/8.192</f>
        <v>1.1519265136718748</v>
      </c>
      <c r="K32" s="18">
        <f>9.372635/8.192</f>
        <v>1.1441204833984375</v>
      </c>
      <c r="L32" s="28">
        <v>3808.5050000000001</v>
      </c>
    </row>
    <row r="33" spans="2:12">
      <c r="B33" t="s">
        <v>78</v>
      </c>
      <c r="C33" t="s">
        <v>37</v>
      </c>
      <c r="D33" t="s">
        <v>47</v>
      </c>
      <c r="E33">
        <f>1024/8.192</f>
        <v>125</v>
      </c>
      <c r="F33" t="s">
        <v>38</v>
      </c>
      <c r="G33" t="s">
        <v>38</v>
      </c>
      <c r="H33" s="17">
        <v>59.808598481237418</v>
      </c>
      <c r="I33" s="17">
        <v>60.15346253436158</v>
      </c>
      <c r="J33" s="15">
        <f>E33/H33</f>
        <v>2.0900004877929685</v>
      </c>
      <c r="K33" s="15">
        <f>E33/I33</f>
        <v>2.0780183672485353</v>
      </c>
      <c r="L33" s="13">
        <v>2458.6948875179237</v>
      </c>
    </row>
    <row r="34" spans="2:12">
      <c r="H34" s="14"/>
      <c r="I34" s="14"/>
      <c r="J34" s="15"/>
      <c r="K34" s="15"/>
      <c r="L34" s="13"/>
    </row>
    <row r="35" spans="2:12">
      <c r="B35" t="s">
        <v>54</v>
      </c>
      <c r="C35" t="s">
        <v>51</v>
      </c>
      <c r="D35" t="s">
        <v>45</v>
      </c>
      <c r="E35">
        <v>125</v>
      </c>
      <c r="F35" t="s">
        <v>38</v>
      </c>
      <c r="G35" t="s">
        <v>38</v>
      </c>
      <c r="H35" s="14">
        <v>38.875999999999998</v>
      </c>
      <c r="I35" s="14">
        <v>39.213999999999999</v>
      </c>
      <c r="J35" s="15">
        <v>3.2153489999999998</v>
      </c>
      <c r="K35" s="15">
        <v>3.1876229999999999</v>
      </c>
      <c r="L35" s="13">
        <v>2031.575</v>
      </c>
    </row>
    <row r="36" spans="2:12">
      <c r="B36" t="s">
        <v>54</v>
      </c>
      <c r="C36" t="s">
        <v>56</v>
      </c>
      <c r="D36" t="s">
        <v>45</v>
      </c>
      <c r="E36">
        <v>125</v>
      </c>
      <c r="F36" t="s">
        <v>38</v>
      </c>
      <c r="G36" t="s">
        <v>38</v>
      </c>
      <c r="H36" s="14">
        <v>38.927</v>
      </c>
      <c r="I36" s="14">
        <v>39.125</v>
      </c>
      <c r="J36" s="15">
        <v>3.2111350000000001</v>
      </c>
      <c r="K36" s="15">
        <v>3.1949149999999999</v>
      </c>
      <c r="L36" s="13">
        <v>2031.8989999999999</v>
      </c>
    </row>
    <row r="37" spans="2:12">
      <c r="B37" t="s">
        <v>51</v>
      </c>
      <c r="C37" t="s">
        <v>48</v>
      </c>
      <c r="D37" t="s">
        <v>45</v>
      </c>
      <c r="E37">
        <f>1024/8.192</f>
        <v>125</v>
      </c>
      <c r="F37" t="s">
        <v>38</v>
      </c>
      <c r="G37" t="s">
        <v>38</v>
      </c>
      <c r="H37" s="13">
        <v>37.499000000000002</v>
      </c>
      <c r="I37" s="13">
        <v>37.584000000000003</v>
      </c>
      <c r="J37" s="16">
        <f>27.307291/8.192</f>
        <v>3.3334095458984372</v>
      </c>
      <c r="K37" s="16">
        <f>27.245382/8.192</f>
        <v>3.3258522949218747</v>
      </c>
      <c r="L37" s="13">
        <v>3476.2950000000001</v>
      </c>
    </row>
    <row r="38" spans="2:12">
      <c r="B38" t="s">
        <v>78</v>
      </c>
      <c r="C38" t="s">
        <v>37</v>
      </c>
      <c r="D38" t="s">
        <v>45</v>
      </c>
      <c r="E38">
        <f>1024/8.192</f>
        <v>125</v>
      </c>
      <c r="F38" t="s">
        <v>38</v>
      </c>
      <c r="G38" t="s">
        <v>38</v>
      </c>
      <c r="H38" s="13">
        <v>31.610827564396569</v>
      </c>
      <c r="I38" s="13">
        <v>31.703843580849668</v>
      </c>
      <c r="J38" s="15">
        <f>E38/H38</f>
        <v>3.9543412694702154</v>
      </c>
      <c r="K38" s="15">
        <f>E38/I38</f>
        <v>3.9427396139282234</v>
      </c>
      <c r="L38" s="13">
        <v>2581.4609510930327</v>
      </c>
    </row>
    <row r="39" spans="2:12">
      <c r="B39" t="s">
        <v>48</v>
      </c>
      <c r="C39" t="s">
        <v>37</v>
      </c>
      <c r="D39" t="s">
        <v>45</v>
      </c>
      <c r="E39">
        <f>1024/8.192</f>
        <v>125</v>
      </c>
      <c r="F39" t="s">
        <v>38</v>
      </c>
      <c r="G39" t="s">
        <v>38</v>
      </c>
      <c r="H39" s="13">
        <v>38.683999999999997</v>
      </c>
      <c r="I39" s="13">
        <v>38.649000000000001</v>
      </c>
      <c r="J39" s="16">
        <f>26.478603/8.192</f>
        <v>3.2322513427734374</v>
      </c>
      <c r="K39" s="16">
        <f>26.495077/8.192</f>
        <v>3.2342623291015622</v>
      </c>
      <c r="L39" s="13">
        <v>3444.89</v>
      </c>
    </row>
    <row r="40" spans="2:12">
      <c r="B40" t="s">
        <v>51</v>
      </c>
      <c r="C40" t="s">
        <v>37</v>
      </c>
      <c r="D40" t="s">
        <v>45</v>
      </c>
      <c r="E40">
        <f>1024/8.192</f>
        <v>125</v>
      </c>
      <c r="F40" t="s">
        <v>38</v>
      </c>
      <c r="G40" t="s">
        <v>38</v>
      </c>
      <c r="H40" s="14">
        <v>37.624000000000002</v>
      </c>
      <c r="I40" s="14">
        <v>37.712000000000003</v>
      </c>
      <c r="J40" s="15">
        <f>27.216826/8.192</f>
        <v>3.3223664550781251</v>
      </c>
      <c r="K40" s="15">
        <f>27.15293/8.192</f>
        <v>3.314566650390625</v>
      </c>
      <c r="L40" s="13">
        <v>2997.4740000000002</v>
      </c>
    </row>
    <row r="41" spans="2:12">
      <c r="H41" s="13"/>
      <c r="I41" s="13"/>
      <c r="J41" s="16"/>
      <c r="K41" s="16"/>
      <c r="L41" s="13"/>
    </row>
    <row r="42" spans="2:12">
      <c r="H42" s="13"/>
      <c r="I42" s="13"/>
      <c r="J42" s="16"/>
      <c r="K42" s="16"/>
      <c r="L42" s="13"/>
    </row>
    <row r="43" spans="2:12">
      <c r="H43" s="13"/>
      <c r="I43" s="13"/>
      <c r="J43" s="16"/>
      <c r="K43" s="16"/>
      <c r="L43" s="13"/>
    </row>
    <row r="44" spans="2:12">
      <c r="H44" s="13"/>
      <c r="I44" s="13"/>
      <c r="J44" s="16"/>
      <c r="K44" s="16"/>
      <c r="L44" s="13"/>
    </row>
    <row r="45" spans="2:12">
      <c r="H45" s="13"/>
      <c r="I45" s="13"/>
      <c r="J45" s="16"/>
      <c r="K45" s="16"/>
      <c r="L45" s="13"/>
    </row>
    <row r="46" spans="2:12">
      <c r="H46" s="13"/>
      <c r="I46" s="13"/>
      <c r="J46" s="16"/>
      <c r="K46" s="16"/>
      <c r="L46" s="13"/>
    </row>
    <row r="47" spans="2:12">
      <c r="H47" s="13"/>
      <c r="I47" s="13"/>
      <c r="J47" s="16"/>
      <c r="K47" s="16"/>
      <c r="L47" s="13"/>
    </row>
    <row r="48" spans="2:12">
      <c r="H48" s="13"/>
      <c r="I48" s="13"/>
      <c r="J48" s="16"/>
      <c r="K48" s="16"/>
      <c r="L48" s="13"/>
    </row>
    <row r="49" spans="8:12">
      <c r="H49" s="13"/>
      <c r="I49" s="13"/>
      <c r="J49" s="16"/>
      <c r="K49" s="16"/>
      <c r="L49" s="13"/>
    </row>
    <row r="50" spans="8:12">
      <c r="H50" s="13"/>
      <c r="I50" s="13"/>
      <c r="J50" s="13"/>
      <c r="K50" s="13"/>
      <c r="L50" s="13"/>
    </row>
    <row r="51" spans="8:12">
      <c r="H51" s="13"/>
      <c r="I51" s="13"/>
      <c r="J51" s="13"/>
      <c r="K51" s="13"/>
      <c r="L51" s="13"/>
    </row>
    <row r="52" spans="8:12">
      <c r="H52" s="13"/>
      <c r="I52" s="13"/>
      <c r="J52" s="13"/>
      <c r="K52" s="13"/>
      <c r="L52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5"/>
  <sheetViews>
    <sheetView tabSelected="1" topLeftCell="I1" workbookViewId="0">
      <selection activeCell="R4" sqref="R4"/>
    </sheetView>
  </sheetViews>
  <sheetFormatPr defaultRowHeight="15"/>
  <cols>
    <col min="2" max="2" width="5.85546875" customWidth="1"/>
    <col min="5" max="5" width="6.5703125" customWidth="1"/>
    <col min="6" max="6" width="17.28515625" customWidth="1"/>
    <col min="7" max="7" width="15.85546875" customWidth="1"/>
    <col min="8" max="8" width="10" customWidth="1"/>
    <col min="9" max="9" width="17.5703125" customWidth="1"/>
    <col min="10" max="10" width="12.7109375" bestFit="1" customWidth="1"/>
    <col min="11" max="11" width="6.140625" customWidth="1"/>
    <col min="12" max="12" width="16.28515625" customWidth="1"/>
    <col min="13" max="13" width="19.5703125" customWidth="1"/>
    <col min="14" max="14" width="17.42578125" customWidth="1"/>
    <col min="15" max="15" width="19.140625" customWidth="1"/>
    <col min="16" max="16" width="12.5703125" customWidth="1"/>
    <col min="17" max="17" width="2.140625" customWidth="1"/>
    <col min="18" max="18" width="16.42578125" customWidth="1"/>
    <col min="19" max="20" width="19.140625" customWidth="1"/>
    <col min="21" max="21" width="14.85546875" bestFit="1" customWidth="1"/>
    <col min="22" max="22" width="13.7109375" style="6" bestFit="1" customWidth="1"/>
  </cols>
  <sheetData>
    <row r="1" spans="1:23">
      <c r="A1" t="s">
        <v>0</v>
      </c>
      <c r="C1" t="s">
        <v>2</v>
      </c>
      <c r="D1" t="s">
        <v>5</v>
      </c>
      <c r="E1" t="s">
        <v>3</v>
      </c>
      <c r="F1" t="s">
        <v>4</v>
      </c>
      <c r="G1" t="s">
        <v>13</v>
      </c>
      <c r="H1" t="s">
        <v>22</v>
      </c>
      <c r="I1" t="s">
        <v>24</v>
      </c>
      <c r="J1" t="s">
        <v>26</v>
      </c>
      <c r="L1" t="s">
        <v>15</v>
      </c>
      <c r="M1" t="s">
        <v>16</v>
      </c>
      <c r="N1" t="s">
        <v>14</v>
      </c>
      <c r="O1" t="s">
        <v>17</v>
      </c>
      <c r="P1" t="s">
        <v>18</v>
      </c>
      <c r="S1" s="2">
        <f>POWER(10,9)</f>
        <v>1000000000</v>
      </c>
      <c r="T1" t="s">
        <v>6</v>
      </c>
    </row>
    <row r="2" spans="1:23">
      <c r="A2" t="s">
        <v>1</v>
      </c>
      <c r="C2" t="s">
        <v>2</v>
      </c>
      <c r="D2" t="s">
        <v>5</v>
      </c>
      <c r="E2" t="s">
        <v>3</v>
      </c>
      <c r="F2" t="s">
        <v>4</v>
      </c>
      <c r="G2" t="s">
        <v>104</v>
      </c>
      <c r="H2" t="s">
        <v>22</v>
      </c>
      <c r="I2" t="s">
        <v>23</v>
      </c>
      <c r="J2" t="s">
        <v>25</v>
      </c>
    </row>
    <row r="3" spans="1:23">
      <c r="A3" t="s">
        <v>36</v>
      </c>
      <c r="O3" s="1" t="s">
        <v>105</v>
      </c>
      <c r="R3" t="s">
        <v>107</v>
      </c>
      <c r="T3" t="s">
        <v>19</v>
      </c>
      <c r="U3" t="s">
        <v>20</v>
      </c>
      <c r="V3" s="6" t="s">
        <v>21</v>
      </c>
      <c r="W3" s="6" t="s">
        <v>44</v>
      </c>
    </row>
    <row r="4" spans="1:23">
      <c r="A4" t="s">
        <v>2</v>
      </c>
      <c r="B4" t="s">
        <v>34</v>
      </c>
      <c r="I4">
        <f>F8/(1024*1024)</f>
        <v>125</v>
      </c>
      <c r="J4" t="s">
        <v>7</v>
      </c>
      <c r="O4" s="2">
        <f>$I$4/O5</f>
        <v>2441.0354557607407</v>
      </c>
      <c r="P4" t="s">
        <v>106</v>
      </c>
      <c r="R4">
        <f>I4/R5</f>
        <v>599.14220427163411</v>
      </c>
      <c r="S4" s="38"/>
      <c r="T4" s="8">
        <f>T27</f>
        <v>982.74535124725526</v>
      </c>
      <c r="U4" s="6">
        <f>I4/U5</f>
        <v>882.11877703927814</v>
      </c>
      <c r="V4" s="6">
        <f>I4/V5</f>
        <v>648.08827136876948</v>
      </c>
      <c r="W4" s="6">
        <f>I4/W5</f>
        <v>647.96366948363732</v>
      </c>
    </row>
    <row r="5" spans="1:23">
      <c r="A5" t="s">
        <v>31</v>
      </c>
      <c r="B5" t="s">
        <v>35</v>
      </c>
      <c r="F5" s="7"/>
      <c r="H5" s="9">
        <f>AVERAGE(G9,G11,G13,G15,G17,G19,G21,G23,G25,G27)/$S$1</f>
        <v>0</v>
      </c>
      <c r="I5" t="s">
        <v>8</v>
      </c>
      <c r="O5" s="12">
        <f>AVERAGE(O8:O27)/$S$1</f>
        <v>5.12077773E-2</v>
      </c>
      <c r="P5" t="s">
        <v>27</v>
      </c>
      <c r="R5" s="1">
        <f>AVERAGE(R8:R27)</f>
        <v>0.20863160550000001</v>
      </c>
      <c r="S5" s="1"/>
      <c r="T5" s="1"/>
      <c r="U5" s="1">
        <f>AVERAGE(U8:U27)</f>
        <v>0.14170427299999999</v>
      </c>
      <c r="V5" s="1">
        <f>AVERAGE(V8:V27)</f>
        <v>0.1928749609</v>
      </c>
      <c r="W5" s="1">
        <f>AVERAGE(W8:W27)</f>
        <v>0.19291205029999997</v>
      </c>
    </row>
    <row r="6" spans="1:23">
      <c r="H6" s="6"/>
    </row>
    <row r="7" spans="1:23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</row>
    <row r="8" spans="1:23">
      <c r="A8" t="s">
        <v>0</v>
      </c>
      <c r="B8" t="s">
        <v>9</v>
      </c>
      <c r="C8" t="s">
        <v>103</v>
      </c>
      <c r="D8" t="s">
        <v>80</v>
      </c>
      <c r="E8">
        <v>40</v>
      </c>
      <c r="F8" s="3">
        <v>131072000</v>
      </c>
      <c r="G8" s="3">
        <v>1</v>
      </c>
      <c r="H8" s="3">
        <v>31</v>
      </c>
      <c r="I8" s="3">
        <v>55123088917</v>
      </c>
      <c r="J8" s="3">
        <v>221613141</v>
      </c>
      <c r="K8" t="s">
        <v>10</v>
      </c>
      <c r="L8" s="3">
        <v>6415461657</v>
      </c>
      <c r="M8" s="3"/>
      <c r="N8" s="3"/>
      <c r="O8" s="3"/>
      <c r="P8" s="3">
        <f>L9-L8</f>
        <v>139138029</v>
      </c>
      <c r="Q8" s="3"/>
      <c r="R8" s="3"/>
      <c r="T8" s="3"/>
      <c r="U8" s="3"/>
    </row>
    <row r="9" spans="1:23">
      <c r="A9" t="s">
        <v>1</v>
      </c>
      <c r="B9" t="s">
        <v>11</v>
      </c>
      <c r="C9" t="s">
        <v>103</v>
      </c>
      <c r="D9" t="s">
        <v>80</v>
      </c>
      <c r="E9">
        <v>40</v>
      </c>
      <c r="F9" s="3">
        <v>131072000</v>
      </c>
      <c r="G9" s="5">
        <v>0</v>
      </c>
      <c r="H9" s="4">
        <v>31</v>
      </c>
      <c r="I9" s="3">
        <v>205111494</v>
      </c>
      <c r="J9" s="3">
        <v>39651</v>
      </c>
      <c r="K9" t="s">
        <v>12</v>
      </c>
      <c r="L9" s="3">
        <v>6554599686</v>
      </c>
      <c r="M9" s="4">
        <v>3957576050</v>
      </c>
      <c r="N9" s="3">
        <v>4063240928</v>
      </c>
      <c r="O9" s="3">
        <v>50264919</v>
      </c>
      <c r="P9" s="3">
        <v>139167420</v>
      </c>
      <c r="Q9" s="3"/>
      <c r="R9" s="10">
        <f>I9/$S$1</f>
        <v>0.20511149400000001</v>
      </c>
      <c r="S9" s="36"/>
      <c r="T9" s="10">
        <f>(N9/(1024*1024))/(M9/$S$1)</f>
        <v>979.13684170498675</v>
      </c>
      <c r="U9" s="10">
        <f>P9/$S$1</f>
        <v>0.13916741999999999</v>
      </c>
      <c r="V9" s="10">
        <f>((L9-L8)+O9)/$S$1</f>
        <v>0.18940294799999999</v>
      </c>
      <c r="W9">
        <f>(O9+P9)/$S$1</f>
        <v>0.18943233900000001</v>
      </c>
    </row>
    <row r="10" spans="1:23">
      <c r="A10" t="s">
        <v>0</v>
      </c>
      <c r="B10" t="s">
        <v>9</v>
      </c>
      <c r="C10" t="s">
        <v>103</v>
      </c>
      <c r="D10" t="s">
        <v>80</v>
      </c>
      <c r="E10">
        <v>40</v>
      </c>
      <c r="F10" s="3">
        <v>131072000</v>
      </c>
      <c r="G10" s="3">
        <v>1</v>
      </c>
      <c r="H10" s="3">
        <v>32</v>
      </c>
      <c r="I10" s="3">
        <v>55330324057</v>
      </c>
      <c r="J10" s="3">
        <v>207235140</v>
      </c>
      <c r="K10" t="s">
        <v>10</v>
      </c>
      <c r="L10" s="3">
        <v>6621396111</v>
      </c>
      <c r="M10" s="3"/>
      <c r="N10" s="3"/>
      <c r="O10" s="3"/>
      <c r="P10" s="3">
        <f>L11-L10</f>
        <v>144870754</v>
      </c>
      <c r="Q10" s="3"/>
      <c r="R10" s="10"/>
      <c r="S10" s="10"/>
      <c r="T10" s="10"/>
      <c r="U10" s="10"/>
      <c r="V10" s="10"/>
    </row>
    <row r="11" spans="1:23">
      <c r="A11" t="s">
        <v>1</v>
      </c>
      <c r="B11" t="s">
        <v>11</v>
      </c>
      <c r="C11" t="s">
        <v>103</v>
      </c>
      <c r="D11" t="s">
        <v>80</v>
      </c>
      <c r="E11">
        <v>40</v>
      </c>
      <c r="F11" s="3">
        <v>131072000</v>
      </c>
      <c r="G11" s="3">
        <v>0</v>
      </c>
      <c r="H11" s="4">
        <v>32</v>
      </c>
      <c r="I11" s="3">
        <v>209539800</v>
      </c>
      <c r="J11" s="3">
        <v>39647</v>
      </c>
      <c r="K11" t="s">
        <v>12</v>
      </c>
      <c r="L11" s="3">
        <v>6766266865</v>
      </c>
      <c r="M11" s="4">
        <v>4085530428</v>
      </c>
      <c r="N11" s="3">
        <v>4194313216</v>
      </c>
      <c r="O11" s="3">
        <v>51106540</v>
      </c>
      <c r="P11" s="3">
        <v>144911343</v>
      </c>
      <c r="Q11" s="3"/>
      <c r="R11" s="10">
        <f>I11/$S$1</f>
        <v>0.2095398</v>
      </c>
      <c r="S11" s="37"/>
      <c r="T11" s="10">
        <f>(N11/(1024*1024))/(M11/$S$1)</f>
        <v>979.06718835053061</v>
      </c>
      <c r="U11" s="10">
        <f>P11/$S$1</f>
        <v>0.144911343</v>
      </c>
      <c r="V11" s="10">
        <f>((L11-L10)+O11)/$S$1</f>
        <v>0.195977294</v>
      </c>
      <c r="W11">
        <f>(O11+P11)/$S$1</f>
        <v>0.196017883</v>
      </c>
    </row>
    <row r="12" spans="1:23">
      <c r="A12" t="s">
        <v>0</v>
      </c>
      <c r="B12" t="s">
        <v>9</v>
      </c>
      <c r="C12" t="s">
        <v>103</v>
      </c>
      <c r="D12" t="s">
        <v>80</v>
      </c>
      <c r="E12">
        <v>40</v>
      </c>
      <c r="F12" s="3">
        <v>131072000</v>
      </c>
      <c r="G12" s="3">
        <v>1</v>
      </c>
      <c r="H12" s="3">
        <v>33</v>
      </c>
      <c r="I12" s="3">
        <v>55541928255</v>
      </c>
      <c r="J12" s="3">
        <v>211604198</v>
      </c>
      <c r="K12" t="s">
        <v>10</v>
      </c>
      <c r="L12" s="3">
        <v>6834652759</v>
      </c>
      <c r="M12" s="3"/>
      <c r="N12" s="3"/>
      <c r="O12" s="3"/>
      <c r="P12" s="3">
        <f>L13-L12</f>
        <v>139651679</v>
      </c>
      <c r="Q12" s="3"/>
      <c r="R12" s="10"/>
      <c r="S12" s="10"/>
      <c r="T12" s="10"/>
      <c r="U12" s="10"/>
      <c r="V12" s="10"/>
    </row>
    <row r="13" spans="1:23">
      <c r="A13" t="s">
        <v>1</v>
      </c>
      <c r="B13" t="s">
        <v>11</v>
      </c>
      <c r="C13" t="s">
        <v>103</v>
      </c>
      <c r="D13" t="s">
        <v>80</v>
      </c>
      <c r="E13">
        <v>40</v>
      </c>
      <c r="F13" s="3">
        <v>131072000</v>
      </c>
      <c r="G13" s="3">
        <v>0</v>
      </c>
      <c r="H13" s="4">
        <v>33</v>
      </c>
      <c r="I13" s="3">
        <v>205976441</v>
      </c>
      <c r="J13" s="3">
        <v>32198</v>
      </c>
      <c r="K13" t="s">
        <v>12</v>
      </c>
      <c r="L13" s="3">
        <v>6974304438</v>
      </c>
      <c r="M13" s="4">
        <v>4209632660</v>
      </c>
      <c r="N13" s="3">
        <v>4325385504</v>
      </c>
      <c r="O13" s="3">
        <v>50686663</v>
      </c>
      <c r="P13" s="3">
        <v>139682471</v>
      </c>
      <c r="Q13" s="3"/>
      <c r="R13" s="10">
        <f>I13/$S$1</f>
        <v>0.20597644100000001</v>
      </c>
      <c r="S13" s="37"/>
      <c r="T13" s="10">
        <f>(N13/(1024*1024))/(M13/$S$1)</f>
        <v>979.89762929117512</v>
      </c>
      <c r="U13" s="10">
        <f>P13/$S$1</f>
        <v>0.139682471</v>
      </c>
      <c r="V13" s="10">
        <f>((L13-L12)+O13)/$S$1</f>
        <v>0.19033834199999999</v>
      </c>
      <c r="W13">
        <f>(O13+P13)/$S$1</f>
        <v>0.190369134</v>
      </c>
    </row>
    <row r="14" spans="1:23">
      <c r="A14" t="s">
        <v>0</v>
      </c>
      <c r="B14" t="s">
        <v>9</v>
      </c>
      <c r="C14" t="s">
        <v>103</v>
      </c>
      <c r="D14" t="s">
        <v>80</v>
      </c>
      <c r="E14">
        <v>40</v>
      </c>
      <c r="F14" s="3">
        <v>131072000</v>
      </c>
      <c r="G14" s="3">
        <v>1</v>
      </c>
      <c r="H14" s="3">
        <v>34</v>
      </c>
      <c r="I14" s="3">
        <v>55750038139</v>
      </c>
      <c r="J14" s="3">
        <v>208109884</v>
      </c>
      <c r="K14" t="s">
        <v>10</v>
      </c>
      <c r="L14" s="3">
        <v>7041519340</v>
      </c>
      <c r="M14" s="3"/>
      <c r="N14" s="3"/>
      <c r="O14" s="3"/>
      <c r="P14" s="3">
        <f>L15-L14</f>
        <v>143954956</v>
      </c>
      <c r="Q14" s="3"/>
      <c r="R14" s="10"/>
      <c r="S14" s="10"/>
      <c r="T14" s="10"/>
      <c r="U14" s="10"/>
      <c r="V14" s="10"/>
    </row>
    <row r="15" spans="1:23">
      <c r="A15" t="s">
        <v>1</v>
      </c>
      <c r="B15" t="s">
        <v>11</v>
      </c>
      <c r="C15" t="s">
        <v>103</v>
      </c>
      <c r="D15" t="s">
        <v>80</v>
      </c>
      <c r="E15">
        <v>40</v>
      </c>
      <c r="F15" s="3">
        <v>131072000</v>
      </c>
      <c r="G15" s="3">
        <v>0</v>
      </c>
      <c r="H15" s="4">
        <v>34</v>
      </c>
      <c r="I15" s="3">
        <v>209036414</v>
      </c>
      <c r="J15" s="3">
        <v>40586</v>
      </c>
      <c r="K15" t="s">
        <v>12</v>
      </c>
      <c r="L15" s="3">
        <v>7185474296</v>
      </c>
      <c r="M15" s="4">
        <v>4337363547</v>
      </c>
      <c r="N15" s="3">
        <v>4456457792</v>
      </c>
      <c r="O15" s="3">
        <v>50159017</v>
      </c>
      <c r="P15" s="3">
        <v>143991345</v>
      </c>
      <c r="Q15" s="3"/>
      <c r="R15" s="10">
        <f>I15/$S$1</f>
        <v>0.209036414</v>
      </c>
      <c r="S15" s="37"/>
      <c r="T15" s="10">
        <f>(N15/(1024*1024))/(M15/$S$1)</f>
        <v>979.86006760223881</v>
      </c>
      <c r="U15" s="10">
        <f>P15/$S$1</f>
        <v>0.14399134499999999</v>
      </c>
      <c r="V15" s="10">
        <f>((L15-L14)+O15)/$S$1</f>
        <v>0.194113973</v>
      </c>
      <c r="W15">
        <f>(O15+P15)/$S$1</f>
        <v>0.19415036199999999</v>
      </c>
    </row>
    <row r="16" spans="1:23">
      <c r="A16" t="s">
        <v>0</v>
      </c>
      <c r="B16" t="s">
        <v>9</v>
      </c>
      <c r="C16" t="s">
        <v>103</v>
      </c>
      <c r="D16" t="s">
        <v>80</v>
      </c>
      <c r="E16">
        <v>40</v>
      </c>
      <c r="F16" s="3">
        <v>131072000</v>
      </c>
      <c r="G16" s="3">
        <v>1</v>
      </c>
      <c r="H16" s="3">
        <v>35</v>
      </c>
      <c r="I16" s="3">
        <v>55961207530</v>
      </c>
      <c r="J16" s="3">
        <v>211169391</v>
      </c>
      <c r="K16" t="s">
        <v>10</v>
      </c>
      <c r="L16" s="3">
        <v>7252454533</v>
      </c>
      <c r="M16" s="3"/>
      <c r="N16" s="3"/>
      <c r="O16" s="3"/>
      <c r="P16" s="3">
        <f>L17-L16</f>
        <v>141436158</v>
      </c>
      <c r="Q16" s="3"/>
      <c r="R16" s="10"/>
      <c r="S16" s="10"/>
      <c r="T16" s="10"/>
      <c r="U16" s="10"/>
      <c r="V16" s="10"/>
    </row>
    <row r="17" spans="1:23">
      <c r="A17" t="s">
        <v>1</v>
      </c>
      <c r="B17" t="s">
        <v>11</v>
      </c>
      <c r="C17" t="s">
        <v>103</v>
      </c>
      <c r="D17" t="s">
        <v>80</v>
      </c>
      <c r="E17">
        <v>40</v>
      </c>
      <c r="F17" s="3">
        <v>131072000</v>
      </c>
      <c r="G17" s="3">
        <v>0</v>
      </c>
      <c r="H17" s="4">
        <v>35</v>
      </c>
      <c r="I17" s="3">
        <v>206281552</v>
      </c>
      <c r="J17" s="3">
        <v>41057</v>
      </c>
      <c r="K17" t="s">
        <v>12</v>
      </c>
      <c r="L17" s="3">
        <v>7393890691</v>
      </c>
      <c r="M17" s="4">
        <v>4462338653</v>
      </c>
      <c r="N17" s="3">
        <v>4587530080</v>
      </c>
      <c r="O17" s="3">
        <v>51407919</v>
      </c>
      <c r="P17" s="3">
        <v>141474880</v>
      </c>
      <c r="Q17" s="3"/>
      <c r="R17" s="10">
        <f>I17/$S$1</f>
        <v>0.20628155200000001</v>
      </c>
      <c r="S17" s="37"/>
      <c r="T17" s="10">
        <f>(N17/(1024*1024))/(M17/$S$1)</f>
        <v>980.42975964986886</v>
      </c>
      <c r="U17" s="10">
        <f>P17/$S$1</f>
        <v>0.14147488</v>
      </c>
      <c r="V17" s="10">
        <f>((L17-L16)+O17)/$S$1</f>
        <v>0.192844077</v>
      </c>
      <c r="W17">
        <f>(O17+P17)/$S$1</f>
        <v>0.19288279899999999</v>
      </c>
    </row>
    <row r="18" spans="1:23">
      <c r="A18" t="s">
        <v>0</v>
      </c>
      <c r="B18" t="s">
        <v>9</v>
      </c>
      <c r="C18" t="s">
        <v>103</v>
      </c>
      <c r="D18" t="s">
        <v>80</v>
      </c>
      <c r="E18">
        <v>40</v>
      </c>
      <c r="F18" s="3">
        <v>131072000</v>
      </c>
      <c r="G18" s="3">
        <v>1</v>
      </c>
      <c r="H18" s="3">
        <v>36</v>
      </c>
      <c r="I18" s="3">
        <v>56169466705</v>
      </c>
      <c r="J18" s="3">
        <v>208259175</v>
      </c>
      <c r="K18" t="s">
        <v>10</v>
      </c>
      <c r="L18" s="3">
        <v>7462988510</v>
      </c>
      <c r="M18" s="3"/>
      <c r="N18" s="3"/>
      <c r="O18" s="3"/>
      <c r="P18" s="3">
        <f>L19-L18</f>
        <v>144023535</v>
      </c>
      <c r="Q18" s="3"/>
      <c r="R18" s="10"/>
      <c r="S18" s="10"/>
      <c r="T18" s="10"/>
      <c r="U18" s="10"/>
      <c r="V18" s="10"/>
    </row>
    <row r="19" spans="1:23">
      <c r="A19" t="s">
        <v>1</v>
      </c>
      <c r="B19" t="s">
        <v>11</v>
      </c>
      <c r="C19" t="s">
        <v>103</v>
      </c>
      <c r="D19" t="s">
        <v>80</v>
      </c>
      <c r="E19">
        <v>40</v>
      </c>
      <c r="F19" s="3">
        <v>131072000</v>
      </c>
      <c r="G19" s="3">
        <v>0</v>
      </c>
      <c r="H19" s="4">
        <v>36</v>
      </c>
      <c r="I19" s="3">
        <v>211112474</v>
      </c>
      <c r="J19" s="3">
        <v>41523</v>
      </c>
      <c r="K19" t="s">
        <v>12</v>
      </c>
      <c r="L19" s="3">
        <v>7607012045</v>
      </c>
      <c r="M19" s="4">
        <v>4589867978</v>
      </c>
      <c r="N19" s="3">
        <v>4718602368</v>
      </c>
      <c r="O19" s="3">
        <v>58438532</v>
      </c>
      <c r="P19" s="3">
        <v>144062258</v>
      </c>
      <c r="Q19" s="3"/>
      <c r="R19" s="10">
        <f>I19/$S$1</f>
        <v>0.21111247399999999</v>
      </c>
      <c r="S19" s="37"/>
      <c r="T19" s="10">
        <f>(N19/(1024*1024))/(M19/$S$1)</f>
        <v>980.42251090109949</v>
      </c>
      <c r="U19" s="10">
        <f>P19/$S$1</f>
        <v>0.144062258</v>
      </c>
      <c r="V19" s="10">
        <f>((L19-L18)+O19)/$S$1</f>
        <v>0.202462067</v>
      </c>
      <c r="W19">
        <f>(O19+P19)/$S$1</f>
        <v>0.20250079000000001</v>
      </c>
    </row>
    <row r="20" spans="1:23">
      <c r="A20" t="s">
        <v>0</v>
      </c>
      <c r="B20" t="s">
        <v>9</v>
      </c>
      <c r="C20" t="s">
        <v>103</v>
      </c>
      <c r="D20" t="s">
        <v>80</v>
      </c>
      <c r="E20">
        <v>40</v>
      </c>
      <c r="F20" s="3">
        <v>131072000</v>
      </c>
      <c r="G20" s="3">
        <v>1</v>
      </c>
      <c r="H20" s="3">
        <v>37</v>
      </c>
      <c r="I20" s="3">
        <v>56383678807</v>
      </c>
      <c r="J20" s="3">
        <v>214212102</v>
      </c>
      <c r="K20" t="s">
        <v>10</v>
      </c>
      <c r="L20" s="3">
        <v>7684125323</v>
      </c>
      <c r="M20" s="3"/>
      <c r="N20" s="3"/>
      <c r="O20" s="3"/>
      <c r="P20" s="3">
        <f>L21-L20</f>
        <v>146598317</v>
      </c>
      <c r="Q20" s="3"/>
      <c r="R20" s="10"/>
      <c r="S20" s="10"/>
      <c r="T20" s="10"/>
      <c r="U20" s="10"/>
      <c r="V20" s="10"/>
    </row>
    <row r="21" spans="1:23">
      <c r="A21" t="s">
        <v>1</v>
      </c>
      <c r="B21" t="s">
        <v>11</v>
      </c>
      <c r="C21" t="s">
        <v>103</v>
      </c>
      <c r="D21" t="s">
        <v>80</v>
      </c>
      <c r="E21">
        <v>40</v>
      </c>
      <c r="F21" s="3">
        <v>131072000</v>
      </c>
      <c r="G21" s="3">
        <v>0</v>
      </c>
      <c r="H21" s="4">
        <v>37</v>
      </c>
      <c r="I21" s="3">
        <v>220645557</v>
      </c>
      <c r="J21" s="3">
        <v>55516</v>
      </c>
      <c r="K21" t="s">
        <v>12</v>
      </c>
      <c r="L21" s="3">
        <v>7830723640</v>
      </c>
      <c r="M21" s="4">
        <v>4719486475</v>
      </c>
      <c r="N21" s="3">
        <v>4849674656</v>
      </c>
      <c r="O21" s="3">
        <v>52562582</v>
      </c>
      <c r="P21" s="3">
        <v>146634706</v>
      </c>
      <c r="Q21" s="3"/>
      <c r="R21" s="10">
        <f>I21/$S$1</f>
        <v>0.22064555699999999</v>
      </c>
      <c r="S21" s="37"/>
      <c r="T21" s="10">
        <f>(N21/(1024*1024))/(M21/$S$1)</f>
        <v>979.9816541170436</v>
      </c>
      <c r="U21" s="10">
        <f>P21/$S$1</f>
        <v>0.146634706</v>
      </c>
      <c r="V21" s="10">
        <f>((L21-L20)+O21)/$S$1</f>
        <v>0.199160899</v>
      </c>
      <c r="W21">
        <f>(O21+P21)/$S$1</f>
        <v>0.199197288</v>
      </c>
    </row>
    <row r="22" spans="1:23">
      <c r="A22" t="s">
        <v>0</v>
      </c>
      <c r="B22" t="s">
        <v>9</v>
      </c>
      <c r="C22" t="s">
        <v>103</v>
      </c>
      <c r="D22" t="s">
        <v>80</v>
      </c>
      <c r="E22">
        <v>40</v>
      </c>
      <c r="F22" s="3">
        <v>131072000</v>
      </c>
      <c r="G22" s="3">
        <v>1</v>
      </c>
      <c r="H22" s="3">
        <v>38</v>
      </c>
      <c r="I22" s="3">
        <v>56606288924</v>
      </c>
      <c r="J22" s="3">
        <v>222610117</v>
      </c>
      <c r="K22" t="s">
        <v>10</v>
      </c>
      <c r="L22" s="3">
        <v>7902235287</v>
      </c>
      <c r="M22" s="3"/>
      <c r="N22" s="3"/>
      <c r="O22" s="3"/>
      <c r="P22" s="3">
        <f>L23-L22</f>
        <v>138769003</v>
      </c>
      <c r="Q22" s="3"/>
      <c r="R22" s="10"/>
      <c r="S22" s="10"/>
      <c r="T22" s="10"/>
      <c r="U22" s="10"/>
      <c r="V22" s="10"/>
    </row>
    <row r="23" spans="1:23">
      <c r="A23" t="s">
        <v>1</v>
      </c>
      <c r="B23" t="s">
        <v>11</v>
      </c>
      <c r="C23" t="s">
        <v>103</v>
      </c>
      <c r="D23" t="s">
        <v>80</v>
      </c>
      <c r="E23">
        <v>40</v>
      </c>
      <c r="F23" s="3">
        <v>131072000</v>
      </c>
      <c r="G23" s="3">
        <v>0</v>
      </c>
      <c r="H23" s="4">
        <v>38</v>
      </c>
      <c r="I23" s="3">
        <v>208315158</v>
      </c>
      <c r="J23" s="3">
        <v>49450</v>
      </c>
      <c r="K23" t="s">
        <v>12</v>
      </c>
      <c r="L23" s="3">
        <v>8041004290</v>
      </c>
      <c r="M23" s="4">
        <v>4842148543</v>
      </c>
      <c r="N23" s="3">
        <v>4980746944</v>
      </c>
      <c r="O23" s="3">
        <v>49930884</v>
      </c>
      <c r="P23" s="3">
        <v>138802594</v>
      </c>
      <c r="Q23" s="3"/>
      <c r="R23" s="10">
        <f>I23/$S$1</f>
        <v>0.208315158</v>
      </c>
      <c r="S23" s="37"/>
      <c r="T23" s="10">
        <f>(N23/(1024*1024))/(M23/$S$1)</f>
        <v>980.97164819086765</v>
      </c>
      <c r="U23" s="10">
        <f>P23/$S$1</f>
        <v>0.138802594</v>
      </c>
      <c r="V23" s="10">
        <f>((L23-L22)+O23)/$S$1</f>
        <v>0.18869988700000001</v>
      </c>
      <c r="W23">
        <f>(O23+P23)/$S$1</f>
        <v>0.18873347800000001</v>
      </c>
    </row>
    <row r="24" spans="1:23">
      <c r="A24" t="s">
        <v>0</v>
      </c>
      <c r="B24" t="s">
        <v>9</v>
      </c>
      <c r="C24" t="s">
        <v>103</v>
      </c>
      <c r="D24" t="s">
        <v>80</v>
      </c>
      <c r="E24">
        <v>40</v>
      </c>
      <c r="F24" s="3">
        <v>131072000</v>
      </c>
      <c r="G24" s="3">
        <v>1</v>
      </c>
      <c r="H24" s="3">
        <v>39</v>
      </c>
      <c r="I24" s="3">
        <v>56816822434</v>
      </c>
      <c r="J24" s="3">
        <v>210533510</v>
      </c>
      <c r="K24" t="s">
        <v>10</v>
      </c>
      <c r="L24" s="3">
        <v>8110277058</v>
      </c>
      <c r="M24" s="3"/>
      <c r="N24" s="3"/>
      <c r="O24" s="3"/>
      <c r="P24" s="3">
        <f>L25-L24</f>
        <v>139138962</v>
      </c>
      <c r="Q24" s="3"/>
      <c r="R24" s="10"/>
      <c r="S24" s="10"/>
      <c r="T24" s="10"/>
      <c r="U24" s="10"/>
      <c r="V24" s="10"/>
    </row>
    <row r="25" spans="1:23">
      <c r="A25" t="s">
        <v>1</v>
      </c>
      <c r="B25" t="s">
        <v>11</v>
      </c>
      <c r="C25" t="s">
        <v>103</v>
      </c>
      <c r="D25" t="s">
        <v>80</v>
      </c>
      <c r="E25">
        <v>40</v>
      </c>
      <c r="F25" s="3">
        <v>131072000</v>
      </c>
      <c r="G25" s="3">
        <v>0</v>
      </c>
      <c r="H25" s="4">
        <v>39</v>
      </c>
      <c r="I25" s="3">
        <v>206188712</v>
      </c>
      <c r="J25" s="3">
        <v>52252</v>
      </c>
      <c r="K25" t="s">
        <v>12</v>
      </c>
      <c r="L25" s="3">
        <v>8249416020</v>
      </c>
      <c r="M25" s="4">
        <v>4964928605</v>
      </c>
      <c r="N25" s="3">
        <v>5111819232</v>
      </c>
      <c r="O25" s="3">
        <v>50072242</v>
      </c>
      <c r="P25" s="3">
        <v>139193546</v>
      </c>
      <c r="Q25" s="3"/>
      <c r="R25" s="10">
        <f>I25/$S$1</f>
        <v>0.206188712</v>
      </c>
      <c r="S25" s="37"/>
      <c r="T25" s="10">
        <f>(N25/(1024*1024))/(M25/$S$1)</f>
        <v>981.88938845172413</v>
      </c>
      <c r="U25" s="10">
        <f>P25/$S$1</f>
        <v>0.139193546</v>
      </c>
      <c r="V25" s="10">
        <f>((L25-L24)+O25)/$S$1</f>
        <v>0.18921120399999999</v>
      </c>
      <c r="W25">
        <f>(O25+P25)/$S$1</f>
        <v>0.18926578799999999</v>
      </c>
    </row>
    <row r="26" spans="1:23">
      <c r="A26" t="s">
        <v>0</v>
      </c>
      <c r="B26" t="s">
        <v>9</v>
      </c>
      <c r="C26" t="s">
        <v>103</v>
      </c>
      <c r="D26" t="s">
        <v>80</v>
      </c>
      <c r="E26">
        <v>40</v>
      </c>
      <c r="F26" s="3">
        <v>131072000</v>
      </c>
      <c r="G26" s="3">
        <v>1</v>
      </c>
      <c r="H26" s="3">
        <v>40</v>
      </c>
      <c r="I26" s="3">
        <v>57024888465</v>
      </c>
      <c r="J26" s="3">
        <v>208066031</v>
      </c>
      <c r="K26" t="s">
        <v>10</v>
      </c>
      <c r="L26" s="3">
        <v>8316306217</v>
      </c>
      <c r="M26" s="3"/>
      <c r="N26" s="3"/>
      <c r="O26" s="3"/>
      <c r="P26" s="3">
        <f>L27-L26</f>
        <v>139090443</v>
      </c>
      <c r="Q26" s="3"/>
      <c r="R26" s="10"/>
      <c r="S26" s="10"/>
      <c r="T26" s="10"/>
      <c r="U26" s="10"/>
      <c r="V26" s="10"/>
    </row>
    <row r="27" spans="1:23">
      <c r="A27" t="s">
        <v>1</v>
      </c>
      <c r="B27" t="s">
        <v>11</v>
      </c>
      <c r="C27" t="s">
        <v>103</v>
      </c>
      <c r="D27" t="s">
        <v>80</v>
      </c>
      <c r="E27">
        <v>40</v>
      </c>
      <c r="F27" s="3">
        <v>131072000</v>
      </c>
      <c r="G27" s="3">
        <v>0</v>
      </c>
      <c r="H27" s="4">
        <v>40</v>
      </c>
      <c r="I27" s="3">
        <v>204108453</v>
      </c>
      <c r="J27" s="3">
        <v>49448</v>
      </c>
      <c r="K27" t="s">
        <v>12</v>
      </c>
      <c r="L27" s="3">
        <v>8455396660</v>
      </c>
      <c r="M27" s="4">
        <v>5087799174</v>
      </c>
      <c r="N27" s="3">
        <v>5242891520</v>
      </c>
      <c r="O27" s="3">
        <v>47448475</v>
      </c>
      <c r="P27" s="3">
        <v>139122167</v>
      </c>
      <c r="Q27" s="3"/>
      <c r="R27" s="10">
        <f>I27/$S$1</f>
        <v>0.204108453</v>
      </c>
      <c r="S27" s="37"/>
      <c r="T27" s="10">
        <f>(N27/(1024*1024))/(M27/$S$1)</f>
        <v>982.74535124725526</v>
      </c>
      <c r="U27" s="10">
        <f>P27/$S$1</f>
        <v>0.13912216699999999</v>
      </c>
      <c r="V27" s="10">
        <f>((L27-L26)+O27)/$S$1</f>
        <v>0.186538918</v>
      </c>
      <c r="W27">
        <f>(O27+P27)/$S$1</f>
        <v>0.18657064200000001</v>
      </c>
    </row>
    <row r="29" spans="1:23">
      <c r="F29" s="3">
        <f>AVERAGE(F27,F25,F23,F21,F19,F17,F15,F13,F11,F9)</f>
        <v>131072000</v>
      </c>
      <c r="G29" s="3"/>
      <c r="H29" s="4"/>
      <c r="I29" s="3">
        <f>AVERAGE(I27,I25,I23,I21,I19,I17,I15,I13,I11,I9)</f>
        <v>208631605.5</v>
      </c>
      <c r="M29" s="4"/>
      <c r="T29" s="6"/>
    </row>
    <row r="31" spans="1:23">
      <c r="G31" s="7">
        <f>(F29/(1024*1024))/(I29/$S$1)</f>
        <v>599.14220427163411</v>
      </c>
      <c r="H31" s="1" t="s">
        <v>28</v>
      </c>
      <c r="M31" s="3"/>
      <c r="T31" s="6"/>
    </row>
    <row r="33" spans="20:20">
      <c r="T33" s="6"/>
    </row>
    <row r="35" spans="20:20">
      <c r="T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COMMANDS</vt:lpstr>
      <vt:lpstr>Data010</vt:lpstr>
      <vt:lpstr>Data007</vt:lpstr>
      <vt:lpstr>Analysis10</vt:lpstr>
    </vt:vector>
  </TitlesOfParts>
  <Company>Lockheed Martin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Lewis</dc:creator>
  <cp:lastModifiedBy>Tom Howdy</cp:lastModifiedBy>
  <dcterms:created xsi:type="dcterms:W3CDTF">2015-11-14T01:58:34Z</dcterms:created>
  <dcterms:modified xsi:type="dcterms:W3CDTF">2016-01-08T22:14:17Z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LFWC\lewissa1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  <property fmtid="{D5CDD505-2E9C-101B-9397-08002B2CF9AE}" pid="12" name="ExpCountry">
    <vt:lpwstr/>
  </property>
</Properties>
</file>