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s_src\Personal\gambo2\runProcessing\TheRun\res2019\"/>
    </mc:Choice>
  </mc:AlternateContent>
  <bookViews>
    <workbookView xWindow="0" yWindow="0" windowWidth="21600" windowHeight="10428" activeTab="3"/>
  </bookViews>
  <sheets>
    <sheet name="DXC DREAM TEAM" sheetId="4" r:id="rId1"/>
    <sheet name="trasa podľa bežcov" sheetId="3" r:id="rId2"/>
    <sheet name="Cela trasa" sheetId="1" r:id="rId3"/>
    <sheet name="Useky" sheetId="5" r:id="rId4"/>
  </sheets>
  <definedNames>
    <definedName name="_xlnm._FilterDatabase" localSheetId="2" hidden="1">'Cela trasa'!$A$1:$Q$49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5" l="1"/>
  <c r="C7" i="5"/>
  <c r="C11" i="5"/>
  <c r="C15" i="5"/>
  <c r="C19" i="5"/>
  <c r="C23" i="5"/>
  <c r="C27" i="5"/>
  <c r="C31" i="5"/>
  <c r="C35" i="5"/>
  <c r="C39" i="5"/>
  <c r="C43" i="5"/>
  <c r="C47" i="5"/>
  <c r="C4" i="5"/>
  <c r="C8" i="5"/>
  <c r="C12" i="5"/>
  <c r="C16" i="5"/>
  <c r="C20" i="5"/>
  <c r="C24" i="5"/>
  <c r="C28" i="5"/>
  <c r="C32" i="5"/>
  <c r="C36" i="5"/>
  <c r="C40" i="5"/>
  <c r="C44" i="5"/>
  <c r="C48" i="5"/>
  <c r="C5" i="5"/>
  <c r="C9" i="5"/>
  <c r="C13" i="5"/>
  <c r="C17" i="5"/>
  <c r="C21" i="5"/>
  <c r="C25" i="5"/>
  <c r="C29" i="5"/>
  <c r="C33" i="5"/>
  <c r="C37" i="5"/>
  <c r="C41" i="5"/>
  <c r="C45" i="5"/>
  <c r="C49" i="5"/>
  <c r="C6" i="5"/>
  <c r="C10" i="5"/>
  <c r="C14" i="5"/>
  <c r="C18" i="5"/>
  <c r="C22" i="5"/>
  <c r="C26" i="5"/>
  <c r="C30" i="5"/>
  <c r="C34" i="5"/>
  <c r="C38" i="5"/>
  <c r="C42" i="5"/>
  <c r="C46" i="5"/>
  <c r="C2" i="5"/>
  <c r="B3" i="5"/>
  <c r="B7" i="5"/>
  <c r="B11" i="5"/>
  <c r="B15" i="5"/>
  <c r="B19" i="5"/>
  <c r="B23" i="5"/>
  <c r="B27" i="5"/>
  <c r="B31" i="5"/>
  <c r="B35" i="5"/>
  <c r="B39" i="5"/>
  <c r="B43" i="5"/>
  <c r="B47" i="5"/>
  <c r="B8" i="5"/>
  <c r="B12" i="5"/>
  <c r="B16" i="5"/>
  <c r="B20" i="5"/>
  <c r="B24" i="5"/>
  <c r="B28" i="5"/>
  <c r="B32" i="5"/>
  <c r="B36" i="5"/>
  <c r="B44" i="5"/>
  <c r="B48" i="5"/>
  <c r="B4" i="5"/>
  <c r="B40" i="5"/>
  <c r="B46" i="5"/>
  <c r="B5" i="5"/>
  <c r="B9" i="5"/>
  <c r="B13" i="5"/>
  <c r="B17" i="5"/>
  <c r="B21" i="5"/>
  <c r="B25" i="5"/>
  <c r="B29" i="5"/>
  <c r="B33" i="5"/>
  <c r="B37" i="5"/>
  <c r="B41" i="5"/>
  <c r="B45" i="5"/>
  <c r="B49" i="5"/>
  <c r="B6" i="5"/>
  <c r="B10" i="5"/>
  <c r="B14" i="5"/>
  <c r="B18" i="5"/>
  <c r="B22" i="5"/>
  <c r="B26" i="5"/>
  <c r="B30" i="5"/>
  <c r="B34" i="5"/>
  <c r="B38" i="5"/>
  <c r="B42" i="5"/>
  <c r="B2" i="5"/>
  <c r="G51" i="4" l="1"/>
  <c r="F51" i="4"/>
  <c r="E51" i="4"/>
  <c r="G50" i="4"/>
  <c r="F50" i="4"/>
  <c r="E50" i="4"/>
  <c r="G49" i="4"/>
  <c r="F49" i="4"/>
  <c r="E49" i="4"/>
  <c r="G48" i="4"/>
  <c r="F48" i="4"/>
  <c r="E48" i="4"/>
  <c r="H15" i="4" l="1"/>
  <c r="P70" i="3" l="1"/>
  <c r="O70" i="3"/>
  <c r="N70" i="3"/>
  <c r="M70" i="3"/>
  <c r="L70" i="3"/>
  <c r="K70" i="3"/>
  <c r="J70" i="3"/>
  <c r="I70" i="3"/>
  <c r="H70" i="3"/>
  <c r="G70" i="3"/>
  <c r="F70" i="3"/>
  <c r="E70" i="3"/>
  <c r="J46" i="3"/>
  <c r="J6" i="3"/>
  <c r="L9" i="3" l="1"/>
  <c r="M9" i="3" s="1"/>
  <c r="L10" i="3"/>
  <c r="L12" i="3"/>
  <c r="L13" i="3"/>
  <c r="M13" i="3" s="1"/>
  <c r="L14" i="3"/>
  <c r="M14" i="3" s="1"/>
  <c r="L17" i="3"/>
  <c r="L18" i="3"/>
  <c r="M18" i="3" s="1"/>
  <c r="L19" i="3"/>
  <c r="M19" i="3" s="1"/>
  <c r="L22" i="3"/>
  <c r="L23" i="3"/>
  <c r="L24" i="3"/>
  <c r="L25" i="3"/>
  <c r="M25" i="3" s="1"/>
  <c r="L27" i="3"/>
  <c r="L28" i="3"/>
  <c r="M28" i="3" s="1"/>
  <c r="L29" i="3"/>
  <c r="M29" i="3" s="1"/>
  <c r="L30" i="3"/>
  <c r="M30" i="3" s="1"/>
  <c r="L37" i="3"/>
  <c r="M37" i="3" s="1"/>
  <c r="L38" i="3"/>
  <c r="L39" i="3"/>
  <c r="M39" i="3" s="1"/>
  <c r="L40" i="3"/>
  <c r="M40" i="3" s="1"/>
  <c r="L42" i="3"/>
  <c r="L43" i="3"/>
  <c r="L46" i="3" s="1"/>
  <c r="L44" i="3"/>
  <c r="L45" i="3"/>
  <c r="L50" i="3"/>
  <c r="L52" i="3"/>
  <c r="M52" i="3" s="1"/>
  <c r="L53" i="3"/>
  <c r="M53" i="3" s="1"/>
  <c r="L54" i="3"/>
  <c r="M54" i="3" s="1"/>
  <c r="L55" i="3"/>
  <c r="L58" i="3"/>
  <c r="M58" i="3" s="1"/>
  <c r="L59" i="3"/>
  <c r="L2" i="3"/>
  <c r="M2" i="3" s="1"/>
  <c r="N7" i="3" s="1"/>
  <c r="L3" i="3"/>
  <c r="L7" i="3"/>
  <c r="L8" i="3"/>
  <c r="M8" i="3" s="1"/>
  <c r="M42" i="3"/>
  <c r="M43" i="3"/>
  <c r="M44" i="3"/>
  <c r="M45" i="3"/>
  <c r="M50" i="3"/>
  <c r="M55" i="3"/>
  <c r="M59" i="3"/>
  <c r="M22" i="3"/>
  <c r="M23" i="3"/>
  <c r="M24" i="3"/>
  <c r="N29" i="3" s="1"/>
  <c r="M27" i="3"/>
  <c r="M38" i="3"/>
  <c r="M3" i="3"/>
  <c r="M7" i="3"/>
  <c r="M10" i="3"/>
  <c r="J61" i="3"/>
  <c r="H61" i="3"/>
  <c r="G61" i="3"/>
  <c r="F61" i="3"/>
  <c r="J56" i="3"/>
  <c r="H56" i="3"/>
  <c r="G56" i="3"/>
  <c r="F56" i="3"/>
  <c r="J51" i="3"/>
  <c r="H51" i="3"/>
  <c r="G51" i="3"/>
  <c r="F51" i="3"/>
  <c r="H46" i="3"/>
  <c r="G46" i="3"/>
  <c r="F46" i="3"/>
  <c r="J41" i="3"/>
  <c r="H41" i="3"/>
  <c r="G41" i="3"/>
  <c r="F41" i="3"/>
  <c r="J36" i="3"/>
  <c r="H36" i="3"/>
  <c r="G36" i="3"/>
  <c r="F36" i="3"/>
  <c r="J31" i="3"/>
  <c r="H31" i="3"/>
  <c r="G31" i="3"/>
  <c r="F31" i="3"/>
  <c r="J26" i="3"/>
  <c r="H26" i="3"/>
  <c r="G26" i="3"/>
  <c r="F26" i="3"/>
  <c r="F67" i="3" s="1"/>
  <c r="J21" i="3"/>
  <c r="H21" i="3"/>
  <c r="G21" i="3"/>
  <c r="F21" i="3"/>
  <c r="J16" i="3"/>
  <c r="H16" i="3"/>
  <c r="G16" i="3"/>
  <c r="F16" i="3"/>
  <c r="J11" i="3"/>
  <c r="H11" i="3"/>
  <c r="G11" i="3"/>
  <c r="F11" i="3"/>
  <c r="J66" i="3"/>
  <c r="H6" i="3"/>
  <c r="H66" i="3" s="1"/>
  <c r="G6" i="3"/>
  <c r="F6" i="3"/>
  <c r="L2" i="1"/>
  <c r="L14" i="1"/>
  <c r="L3" i="1"/>
  <c r="L15" i="1"/>
  <c r="M15" i="1" s="1"/>
  <c r="L27" i="1"/>
  <c r="L39" i="1"/>
  <c r="M39" i="1" s="1"/>
  <c r="L4" i="1"/>
  <c r="M4" i="1" s="1"/>
  <c r="L16" i="1"/>
  <c r="M16" i="1" s="1"/>
  <c r="L28" i="1"/>
  <c r="L5" i="1"/>
  <c r="M5" i="1" s="1"/>
  <c r="L17" i="1"/>
  <c r="M17" i="1" s="1"/>
  <c r="L29" i="1"/>
  <c r="M29" i="1" s="1"/>
  <c r="L6" i="1"/>
  <c r="M6" i="1" s="1"/>
  <c r="L18" i="1"/>
  <c r="M18" i="1" s="1"/>
  <c r="L30" i="1"/>
  <c r="M30" i="1" s="1"/>
  <c r="N31" i="1" s="1"/>
  <c r="L42" i="1"/>
  <c r="M42" i="1" s="1"/>
  <c r="L7" i="1"/>
  <c r="M7" i="1" s="1"/>
  <c r="L19" i="1"/>
  <c r="M19" i="1" s="1"/>
  <c r="L31" i="1"/>
  <c r="M31" i="1" s="1"/>
  <c r="L43" i="1"/>
  <c r="L9" i="1"/>
  <c r="M9" i="1" s="1"/>
  <c r="L21" i="1"/>
  <c r="L33" i="1"/>
  <c r="M33" i="1" s="1"/>
  <c r="L45" i="1"/>
  <c r="L10" i="1"/>
  <c r="L22" i="1"/>
  <c r="L34" i="1"/>
  <c r="M34" i="1" s="1"/>
  <c r="L46" i="1"/>
  <c r="M46" i="1" s="1"/>
  <c r="L47" i="1"/>
  <c r="L12" i="1"/>
  <c r="M12" i="1" s="1"/>
  <c r="L24" i="1"/>
  <c r="M24" i="1" s="1"/>
  <c r="L25" i="1"/>
  <c r="M25" i="1" s="1"/>
  <c r="L36" i="1"/>
  <c r="L37" i="1"/>
  <c r="M37" i="1" s="1"/>
  <c r="L48" i="1"/>
  <c r="M48" i="1" s="1"/>
  <c r="L4" i="3"/>
  <c r="M4" i="3" s="1"/>
  <c r="L5" i="3"/>
  <c r="L15" i="3"/>
  <c r="L32" i="3"/>
  <c r="M32" i="3" s="1"/>
  <c r="L33" i="3"/>
  <c r="L34" i="3"/>
  <c r="M34" i="3" s="1"/>
  <c r="L47" i="3"/>
  <c r="M47" i="3" s="1"/>
  <c r="L48" i="3"/>
  <c r="M48" i="3" s="1"/>
  <c r="L49" i="3"/>
  <c r="L57" i="3"/>
  <c r="L20" i="3"/>
  <c r="M20" i="3" s="1"/>
  <c r="L35" i="3"/>
  <c r="L60" i="3"/>
  <c r="I2" i="3"/>
  <c r="I7" i="3"/>
  <c r="I12" i="3"/>
  <c r="I17" i="3"/>
  <c r="I22" i="3"/>
  <c r="I27" i="3"/>
  <c r="I32" i="3"/>
  <c r="I37" i="3"/>
  <c r="I42" i="3"/>
  <c r="I47" i="3"/>
  <c r="I52" i="3"/>
  <c r="I57" i="3"/>
  <c r="I3" i="3"/>
  <c r="I8" i="3"/>
  <c r="I13" i="3"/>
  <c r="I18" i="3"/>
  <c r="I23" i="3"/>
  <c r="I28" i="3"/>
  <c r="I33" i="3"/>
  <c r="I38" i="3"/>
  <c r="I43" i="3"/>
  <c r="I48" i="3"/>
  <c r="I53" i="3"/>
  <c r="I58" i="3"/>
  <c r="I4" i="3"/>
  <c r="I9" i="3"/>
  <c r="I14" i="3"/>
  <c r="I19" i="3"/>
  <c r="I24" i="3"/>
  <c r="I29" i="3"/>
  <c r="I34" i="3"/>
  <c r="I39" i="3"/>
  <c r="I44" i="3"/>
  <c r="I49" i="3"/>
  <c r="I54" i="3"/>
  <c r="I59" i="3"/>
  <c r="I5" i="3"/>
  <c r="I10" i="3"/>
  <c r="I15" i="3"/>
  <c r="I20" i="3"/>
  <c r="I25" i="3"/>
  <c r="I30" i="3"/>
  <c r="I35" i="3"/>
  <c r="I40" i="3"/>
  <c r="I45" i="3"/>
  <c r="I50" i="3"/>
  <c r="I55" i="3"/>
  <c r="I60" i="3"/>
  <c r="P2" i="3"/>
  <c r="P7" i="3"/>
  <c r="P12" i="3"/>
  <c r="P17" i="3" s="1"/>
  <c r="P22" i="3" s="1"/>
  <c r="P27" i="3" s="1"/>
  <c r="P32" i="3" s="1"/>
  <c r="P37" i="3" s="1"/>
  <c r="P42" i="3" s="1"/>
  <c r="P47" i="3" s="1"/>
  <c r="P52" i="3" s="1"/>
  <c r="P57" i="3" s="1"/>
  <c r="P3" i="3" s="1"/>
  <c r="P8" i="3" s="1"/>
  <c r="P13" i="3" s="1"/>
  <c r="P18" i="3" s="1"/>
  <c r="P23" i="3" s="1"/>
  <c r="P28" i="3" s="1"/>
  <c r="P33" i="3" s="1"/>
  <c r="P38" i="3" s="1"/>
  <c r="P43" i="3" s="1"/>
  <c r="P48" i="3" s="1"/>
  <c r="P53" i="3" s="1"/>
  <c r="P58" i="3" s="1"/>
  <c r="P4" i="3" s="1"/>
  <c r="P9" i="3" s="1"/>
  <c r="P14" i="3" s="1"/>
  <c r="P19" i="3" s="1"/>
  <c r="P24" i="3" s="1"/>
  <c r="P29" i="3" s="1"/>
  <c r="P34" i="3" s="1"/>
  <c r="P39" i="3" s="1"/>
  <c r="P44" i="3" s="1"/>
  <c r="P49" i="3" s="1"/>
  <c r="P54" i="3" s="1"/>
  <c r="P59" i="3" s="1"/>
  <c r="P5" i="3" s="1"/>
  <c r="P10" i="3" s="1"/>
  <c r="P15" i="3" s="1"/>
  <c r="P20" i="3" s="1"/>
  <c r="P25" i="3" s="1"/>
  <c r="P30" i="3" s="1"/>
  <c r="P35" i="3" s="1"/>
  <c r="P40" i="3" s="1"/>
  <c r="P45" i="3" s="1"/>
  <c r="P50" i="3" s="1"/>
  <c r="P55" i="3" s="1"/>
  <c r="P60" i="3" s="1"/>
  <c r="M49" i="3"/>
  <c r="M5" i="3"/>
  <c r="M15" i="3"/>
  <c r="M35" i="3"/>
  <c r="M60" i="3"/>
  <c r="B7" i="3"/>
  <c r="B12" i="3"/>
  <c r="B17" i="3"/>
  <c r="B22" i="3"/>
  <c r="B27" i="3"/>
  <c r="B32" i="3"/>
  <c r="B37" i="3"/>
  <c r="B42" i="3"/>
  <c r="B47" i="3"/>
  <c r="B52" i="3"/>
  <c r="B57" i="3"/>
  <c r="B3" i="3"/>
  <c r="B8" i="3"/>
  <c r="B13" i="3"/>
  <c r="B18" i="3"/>
  <c r="B23" i="3"/>
  <c r="B28" i="3"/>
  <c r="B33" i="3"/>
  <c r="B38" i="3"/>
  <c r="B43" i="3"/>
  <c r="B48" i="3"/>
  <c r="B53" i="3"/>
  <c r="B58" i="3"/>
  <c r="B4" i="3"/>
  <c r="B9" i="3"/>
  <c r="B14" i="3"/>
  <c r="B19" i="3"/>
  <c r="B24" i="3"/>
  <c r="B29" i="3"/>
  <c r="B34" i="3"/>
  <c r="B39" i="3"/>
  <c r="B44" i="3"/>
  <c r="B49" i="3"/>
  <c r="B54" i="3"/>
  <c r="B59" i="3"/>
  <c r="B5" i="3"/>
  <c r="B10" i="3"/>
  <c r="B15" i="3"/>
  <c r="B20" i="3"/>
  <c r="B25" i="3"/>
  <c r="B30" i="3"/>
  <c r="B35" i="3"/>
  <c r="B40" i="3"/>
  <c r="B45" i="3"/>
  <c r="B50" i="3"/>
  <c r="B55" i="3"/>
  <c r="B60" i="3"/>
  <c r="M33" i="3"/>
  <c r="I51" i="1"/>
  <c r="G51" i="1"/>
  <c r="F51" i="1"/>
  <c r="L8" i="1"/>
  <c r="L11" i="1"/>
  <c r="M11" i="1" s="1"/>
  <c r="L13" i="1"/>
  <c r="M13" i="1" s="1"/>
  <c r="L20" i="1"/>
  <c r="M20" i="1" s="1"/>
  <c r="L23" i="1"/>
  <c r="L26" i="1"/>
  <c r="L32" i="1"/>
  <c r="L35" i="1"/>
  <c r="L38" i="1"/>
  <c r="L40" i="1"/>
  <c r="M40" i="1" s="1"/>
  <c r="L41" i="1"/>
  <c r="L44" i="1"/>
  <c r="L49" i="1"/>
  <c r="M49" i="1" s="1"/>
  <c r="E51" i="1"/>
  <c r="E52" i="1" s="1"/>
  <c r="P2" i="1"/>
  <c r="P3" i="1"/>
  <c r="P4" i="1"/>
  <c r="P5" i="1"/>
  <c r="P6" i="1" s="1"/>
  <c r="P7" i="1" s="1"/>
  <c r="P8" i="1" s="1"/>
  <c r="P9" i="1" s="1"/>
  <c r="P10" i="1" s="1"/>
  <c r="P11" i="1" s="1"/>
  <c r="P12" i="1" s="1"/>
  <c r="P13" i="1" s="1"/>
  <c r="P14" i="1" s="1"/>
  <c r="P15" i="1" s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M32" i="1"/>
  <c r="M35" i="1"/>
  <c r="M36" i="1"/>
  <c r="M38" i="1"/>
  <c r="M41" i="1"/>
  <c r="M43" i="1"/>
  <c r="M44" i="1"/>
  <c r="M45" i="1"/>
  <c r="M47" i="1"/>
  <c r="H49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M2" i="1"/>
  <c r="N3" i="1" s="1"/>
  <c r="M3" i="1"/>
  <c r="M10" i="1"/>
  <c r="M14" i="1"/>
  <c r="M21" i="1"/>
  <c r="M22" i="1"/>
  <c r="M23" i="1"/>
  <c r="M26" i="1"/>
  <c r="M27" i="1"/>
  <c r="M28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M46" i="3" l="1"/>
  <c r="H51" i="1"/>
  <c r="N4" i="1"/>
  <c r="N5" i="1"/>
  <c r="N6" i="1" s="1"/>
  <c r="N12" i="3"/>
  <c r="N17" i="3" s="1"/>
  <c r="N22" i="3" s="1"/>
  <c r="N27" i="3" s="1"/>
  <c r="N32" i="3" s="1"/>
  <c r="N37" i="3" s="1"/>
  <c r="N42" i="3" s="1"/>
  <c r="N47" i="3" s="1"/>
  <c r="N52" i="3" s="1"/>
  <c r="N57" i="3" s="1"/>
  <c r="M26" i="3"/>
  <c r="L26" i="3"/>
  <c r="I21" i="3"/>
  <c r="M11" i="3"/>
  <c r="L11" i="3"/>
  <c r="L6" i="3"/>
  <c r="M6" i="3"/>
  <c r="H68" i="3"/>
  <c r="I61" i="3"/>
  <c r="L61" i="3"/>
  <c r="I56" i="3"/>
  <c r="I51" i="3"/>
  <c r="I46" i="3"/>
  <c r="G68" i="3"/>
  <c r="F68" i="3"/>
  <c r="H67" i="3"/>
  <c r="I41" i="3"/>
  <c r="M41" i="3"/>
  <c r="I36" i="3"/>
  <c r="I31" i="3"/>
  <c r="I26" i="3"/>
  <c r="L21" i="3"/>
  <c r="I16" i="3"/>
  <c r="G66" i="3"/>
  <c r="L16" i="3"/>
  <c r="I11" i="3"/>
  <c r="I6" i="3"/>
  <c r="M57" i="3"/>
  <c r="M61" i="3" s="1"/>
  <c r="M56" i="3"/>
  <c r="L56" i="3"/>
  <c r="L41" i="3"/>
  <c r="F62" i="3"/>
  <c r="F63" i="3" s="1"/>
  <c r="I71" i="3" s="1"/>
  <c r="G67" i="3"/>
  <c r="H62" i="3"/>
  <c r="M17" i="3"/>
  <c r="M21" i="3" s="1"/>
  <c r="J68" i="3"/>
  <c r="J67" i="3"/>
  <c r="J62" i="3"/>
  <c r="M12" i="3"/>
  <c r="F66" i="3"/>
  <c r="G62" i="3"/>
  <c r="N32" i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N49" i="1" s="1"/>
  <c r="N50" i="1" s="1"/>
  <c r="N7" i="1"/>
  <c r="N8" i="1" s="1"/>
  <c r="L51" i="1"/>
  <c r="L52" i="1" s="1"/>
  <c r="L53" i="1" s="1"/>
  <c r="M31" i="3"/>
  <c r="L31" i="3"/>
  <c r="N34" i="3"/>
  <c r="N39" i="3" s="1"/>
  <c r="N44" i="3" s="1"/>
  <c r="N49" i="3" s="1"/>
  <c r="N54" i="3" s="1"/>
  <c r="N59" i="3" s="1"/>
  <c r="N5" i="3" s="1"/>
  <c r="N10" i="3" s="1"/>
  <c r="N15" i="3" s="1"/>
  <c r="N20" i="3" s="1"/>
  <c r="N25" i="3" s="1"/>
  <c r="N30" i="3" s="1"/>
  <c r="N35" i="3" s="1"/>
  <c r="N40" i="3" s="1"/>
  <c r="N45" i="3" s="1"/>
  <c r="N50" i="3" s="1"/>
  <c r="N55" i="3" s="1"/>
  <c r="N60" i="3" s="1"/>
  <c r="N61" i="3" s="1"/>
  <c r="M16" i="3"/>
  <c r="L51" i="3"/>
  <c r="M51" i="3"/>
  <c r="L36" i="3"/>
  <c r="M36" i="3"/>
  <c r="M8" i="1"/>
  <c r="M62" i="3" l="1"/>
  <c r="P62" i="3" s="1"/>
  <c r="L68" i="3"/>
  <c r="I66" i="3"/>
  <c r="M68" i="3"/>
  <c r="I68" i="3"/>
  <c r="M67" i="3"/>
  <c r="I67" i="3"/>
  <c r="L66" i="3"/>
  <c r="M66" i="3"/>
  <c r="I62" i="3"/>
  <c r="N3" i="3"/>
  <c r="N8" i="3" s="1"/>
  <c r="N13" i="3" s="1"/>
  <c r="N18" i="3" s="1"/>
  <c r="N23" i="3" s="1"/>
  <c r="N28" i="3" s="1"/>
  <c r="N33" i="3" s="1"/>
  <c r="N38" i="3" s="1"/>
  <c r="N43" i="3" s="1"/>
  <c r="N48" i="3" s="1"/>
  <c r="N53" i="3" s="1"/>
  <c r="N58" i="3" s="1"/>
  <c r="N4" i="3" s="1"/>
  <c r="N9" i="3" s="1"/>
  <c r="N14" i="3" s="1"/>
  <c r="N19" i="3" s="1"/>
  <c r="N62" i="3" s="1"/>
  <c r="K71" i="3"/>
  <c r="L62" i="3"/>
  <c r="L63" i="3" s="1"/>
  <c r="L64" i="3" s="1"/>
  <c r="J71" i="3"/>
  <c r="M71" i="3"/>
  <c r="L71" i="3"/>
  <c r="H71" i="3"/>
  <c r="O71" i="3"/>
  <c r="P71" i="3"/>
  <c r="N71" i="3"/>
  <c r="E71" i="3"/>
  <c r="F71" i="3"/>
  <c r="G71" i="3"/>
  <c r="N9" i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P50" i="1" s="1"/>
  <c r="N51" i="1"/>
  <c r="L67" i="3"/>
</calcChain>
</file>

<file path=xl/sharedStrings.xml><?xml version="1.0" encoding="utf-8"?>
<sst xmlns="http://schemas.openxmlformats.org/spreadsheetml/2006/main" count="748" uniqueCount="266">
  <si>
    <t>číslo etapy</t>
  </si>
  <si>
    <t>názov etapy</t>
  </si>
  <si>
    <t>štart etapy</t>
  </si>
  <si>
    <t>cieľ etapy</t>
  </si>
  <si>
    <t>prevýšenie v metroch</t>
  </si>
  <si>
    <t>klesanie v metroch</t>
  </si>
  <si>
    <t>bilancia výšky</t>
  </si>
  <si>
    <t xml:space="preserve">trvanie etapy </t>
  </si>
  <si>
    <t>poznámka</t>
  </si>
  <si>
    <t>Košická</t>
  </si>
  <si>
    <t>Košice - ul. Hlavná</t>
  </si>
  <si>
    <t>Družstevná pri Hornáde</t>
  </si>
  <si>
    <t>piatok</t>
  </si>
  <si>
    <t>Hornád</t>
  </si>
  <si>
    <t>Kysak</t>
  </si>
  <si>
    <t>Ružínska</t>
  </si>
  <si>
    <t>stredne náročné stúpanie</t>
  </si>
  <si>
    <t>Margecanská</t>
  </si>
  <si>
    <t>Kluknava</t>
  </si>
  <si>
    <t>Spišská</t>
  </si>
  <si>
    <t>Spišské Vlachy</t>
  </si>
  <si>
    <t>Spišský hrad</t>
  </si>
  <si>
    <t>Levočská</t>
  </si>
  <si>
    <t>Levoča</t>
  </si>
  <si>
    <t>odovzdávka na pumpe</t>
  </si>
  <si>
    <t xml:space="preserve">Majstra Pavla </t>
  </si>
  <si>
    <t>cez Nám. Majstra Pavla z Levoče</t>
  </si>
  <si>
    <t>Dravecká</t>
  </si>
  <si>
    <t>Vlková</t>
  </si>
  <si>
    <t>Huncovská</t>
  </si>
  <si>
    <t>Tatranská Lomnica</t>
  </si>
  <si>
    <t>Lomnická</t>
  </si>
  <si>
    <t>Tatranská Polianka</t>
  </si>
  <si>
    <t>Tatranská Magistrála</t>
  </si>
  <si>
    <t>Štrbské Pleso</t>
  </si>
  <si>
    <t xml:space="preserve">Podbanská </t>
  </si>
  <si>
    <t xml:space="preserve">Podbanské </t>
  </si>
  <si>
    <t>sobota</t>
  </si>
  <si>
    <t>Pribylinská</t>
  </si>
  <si>
    <t>Podbanské</t>
  </si>
  <si>
    <t>Pribylina</t>
  </si>
  <si>
    <t>odovzdavka pri skanzene Pribylina</t>
  </si>
  <si>
    <t>Poľná</t>
  </si>
  <si>
    <t>Jamník</t>
  </si>
  <si>
    <t>off road</t>
  </si>
  <si>
    <t>Liptovská</t>
  </si>
  <si>
    <t>Liptovská Mara</t>
  </si>
  <si>
    <t xml:space="preserve">Kvačianská </t>
  </si>
  <si>
    <t>Kvačianska dolina</t>
  </si>
  <si>
    <t>Horská</t>
  </si>
  <si>
    <t>Chlebnice</t>
  </si>
  <si>
    <t>Chlebnická</t>
  </si>
  <si>
    <t>odovzdávka pod mostom</t>
  </si>
  <si>
    <t>Oravský hrad</t>
  </si>
  <si>
    <t>problematický úsek - využiť cestu na druhej strane rieky Orava</t>
  </si>
  <si>
    <t>Kubínska</t>
  </si>
  <si>
    <t>Párnica</t>
  </si>
  <si>
    <t>odovzdávka pred penziónom ADAK</t>
  </si>
  <si>
    <t>Párnická</t>
  </si>
  <si>
    <t>Zázrivá</t>
  </si>
  <si>
    <t>Zázrivská</t>
  </si>
  <si>
    <t>Terchová</t>
  </si>
  <si>
    <t>kemp Belá - majú obsadené v našom termíne</t>
  </si>
  <si>
    <t>Terchovská</t>
  </si>
  <si>
    <t>Krasňany</t>
  </si>
  <si>
    <t>ciel je v kempe Varín</t>
  </si>
  <si>
    <t>Krasňanská</t>
  </si>
  <si>
    <t>Teplička nad Váhom</t>
  </si>
  <si>
    <t>MEDZIZASTÁVKA - FUTBALOVÉ IHRISKO</t>
  </si>
  <si>
    <t>Žilinská</t>
  </si>
  <si>
    <t>Turie</t>
  </si>
  <si>
    <t>vybaviť povolenie na prechod cez družstvo - píla Reman, družstvo Turín</t>
  </si>
  <si>
    <t>Rajecko Teplická</t>
  </si>
  <si>
    <t>Kľače</t>
  </si>
  <si>
    <t>prebeh cez park a centrum Rajeckých Teplíc</t>
  </si>
  <si>
    <t>Rajecká</t>
  </si>
  <si>
    <t>Fačkov</t>
  </si>
  <si>
    <t>Fačkovská</t>
  </si>
  <si>
    <t>Čičmany - centrum</t>
  </si>
  <si>
    <t>odovzdávka v centre Čičman</t>
  </si>
  <si>
    <t>Čičmanská</t>
  </si>
  <si>
    <t>nedeľa</t>
  </si>
  <si>
    <t>Košecká</t>
  </si>
  <si>
    <t>Košeca</t>
  </si>
  <si>
    <t>Podvažská</t>
  </si>
  <si>
    <t>Trenčianska</t>
  </si>
  <si>
    <t>Váh</t>
  </si>
  <si>
    <t>Novo Mestská</t>
  </si>
  <si>
    <t>Nové Mesto nad Váhom</t>
  </si>
  <si>
    <t>Čachtická</t>
  </si>
  <si>
    <t>Častkovce</t>
  </si>
  <si>
    <t>Krakovanská</t>
  </si>
  <si>
    <t>Vrbové</t>
  </si>
  <si>
    <t>rovinata, po ceste</t>
  </si>
  <si>
    <t>Šteruská</t>
  </si>
  <si>
    <t>Modranská</t>
  </si>
  <si>
    <t>Slovenský Grob</t>
  </si>
  <si>
    <t>Spolu:</t>
  </si>
  <si>
    <t>metrov</t>
  </si>
  <si>
    <t>kilometrov</t>
  </si>
  <si>
    <t>koefic.
náročn.</t>
  </si>
  <si>
    <t>Košecké Rovné</t>
  </si>
  <si>
    <t>minuty</t>
  </si>
  <si>
    <t>hodiny</t>
  </si>
  <si>
    <t>pace min/km</t>
  </si>
  <si>
    <t>dni</t>
  </si>
  <si>
    <t>hore 
metre</t>
  </si>
  <si>
    <t>dole 
metre</t>
  </si>
  <si>
    <t>etapa 
v min</t>
  </si>
  <si>
    <t>deň</t>
  </si>
  <si>
    <t>km od štartu</t>
  </si>
  <si>
    <t>etapa v
metroch</t>
  </si>
  <si>
    <t>čas štartu</t>
  </si>
  <si>
    <t>cez mesto Košice - prve 3 km sa beží po trati MMM Košice</t>
  </si>
  <si>
    <t xml:space="preserve"> </t>
  </si>
  <si>
    <t>bežec</t>
  </si>
  <si>
    <t>bežec 1 spolu</t>
  </si>
  <si>
    <t>bežec 12 spolu</t>
  </si>
  <si>
    <t>bežec 11 spolu</t>
  </si>
  <si>
    <t>bežec 10 spolu</t>
  </si>
  <si>
    <t>bežec 9 spolu</t>
  </si>
  <si>
    <t>bežec 8 spolu</t>
  </si>
  <si>
    <t>bežec 7 spolu</t>
  </si>
  <si>
    <t>bežec 6 spolu</t>
  </si>
  <si>
    <t>bežec 5 spolu</t>
  </si>
  <si>
    <t>bežec  4 spolu</t>
  </si>
  <si>
    <t>bežec 3 spolu</t>
  </si>
  <si>
    <t>bežec 2 spolu</t>
  </si>
  <si>
    <t>koef.
nároč.</t>
  </si>
  <si>
    <t>auto 1 = bežci 1, 2, 3, 4</t>
  </si>
  <si>
    <t>auto 2 = bežci 5, 6, 7, 8</t>
  </si>
  <si>
    <t>auto 3 = bežci 9, 10, 11, 12</t>
  </si>
  <si>
    <t>metre</t>
  </si>
  <si>
    <t>hore</t>
  </si>
  <si>
    <t>dolu</t>
  </si>
  <si>
    <t>rozdiel</t>
  </si>
  <si>
    <t>koef.</t>
  </si>
  <si>
    <t>trvanie</t>
  </si>
  <si>
    <t>trasa podľa áut</t>
  </si>
  <si>
    <t>auto zabezpečí</t>
  </si>
  <si>
    <t>.= cieľ</t>
  </si>
  <si>
    <t xml:space="preserve"> . = dobeh do Tepličky v sobotu</t>
  </si>
  <si>
    <t>. = pace</t>
  </si>
  <si>
    <t>. = CIEĽ</t>
  </si>
  <si>
    <t xml:space="preserve">deň </t>
  </si>
  <si>
    <t>dĺžka v metroch</t>
  </si>
  <si>
    <t>trvanie v minútach</t>
  </si>
  <si>
    <t>Teplička</t>
  </si>
  <si>
    <t>Veľká Lodina</t>
  </si>
  <si>
    <t>Ružín priehrada</t>
  </si>
  <si>
    <t>Margecany</t>
  </si>
  <si>
    <t>Spišské Podhradie</t>
  </si>
  <si>
    <t>Vlkovce</t>
  </si>
  <si>
    <t>Levkovce</t>
  </si>
  <si>
    <t>Veľká Lomnica</t>
  </si>
  <si>
    <t>Liptovský Mikuláš</t>
  </si>
  <si>
    <t>Liptovská Sielnica</t>
  </si>
  <si>
    <t>Huty</t>
  </si>
  <si>
    <t>Oravský Podzámok</t>
  </si>
  <si>
    <t>Dolný Kubín - Záskalie</t>
  </si>
  <si>
    <t>Príles - hrádza</t>
  </si>
  <si>
    <t>Trenčín - hrádza</t>
  </si>
  <si>
    <t xml:space="preserve">Biskupický kanál </t>
  </si>
  <si>
    <t xml:space="preserve">Dechtice  </t>
  </si>
  <si>
    <t>Boleráz - priehrada</t>
  </si>
  <si>
    <t>Doľany</t>
  </si>
  <si>
    <t>Modra - Tri kríže</t>
  </si>
  <si>
    <t>Ivanka pri Dunaji - Mohyla MRŠ</t>
  </si>
  <si>
    <t>Bratislava - hrádza (bufet Šimani)</t>
  </si>
  <si>
    <t>Hviezdoslavovo námestie</t>
  </si>
  <si>
    <t>Bratislavská</t>
  </si>
  <si>
    <t>Dunajská</t>
  </si>
  <si>
    <t>Ivanská</t>
  </si>
  <si>
    <t>Grobská</t>
  </si>
  <si>
    <t>Bolerázska</t>
  </si>
  <si>
    <t>Doľanská</t>
  </si>
  <si>
    <t>THE RUN 2019 - DXC Dream Team  - štafeta Košice-Bratislava</t>
  </si>
  <si>
    <t>č.</t>
  </si>
  <si>
    <t>meno</t>
  </si>
  <si>
    <t>pozn.</t>
  </si>
  <si>
    <t>AUTO</t>
  </si>
  <si>
    <t>tel. č.</t>
  </si>
  <si>
    <t>email</t>
  </si>
  <si>
    <t>čas 10km</t>
  </si>
  <si>
    <t>ročník</t>
  </si>
  <si>
    <t>tričko</t>
  </si>
  <si>
    <t>platba</t>
  </si>
  <si>
    <t>DXC</t>
  </si>
  <si>
    <t>zostava z pôvodného tímu</t>
  </si>
  <si>
    <t>áno</t>
  </si>
  <si>
    <t>michal.sevcik@dxc.com</t>
  </si>
  <si>
    <t>XL</t>
  </si>
  <si>
    <t>Matúš Ševčík</t>
  </si>
  <si>
    <t>ext</t>
  </si>
  <si>
    <t>prcacon@gmail.com</t>
  </si>
  <si>
    <t>Danka Redechová</t>
  </si>
  <si>
    <t>danka.redechova@gmail.com</t>
  </si>
  <si>
    <t>S</t>
  </si>
  <si>
    <t>Peter Škorík</t>
  </si>
  <si>
    <t>exHP</t>
  </si>
  <si>
    <t>pskorik@gmail.com</t>
  </si>
  <si>
    <t>L</t>
  </si>
  <si>
    <t>Jožo Pujdo Pury</t>
  </si>
  <si>
    <t>HPE</t>
  </si>
  <si>
    <t>pôvodný člen HPE Dream tímu</t>
  </si>
  <si>
    <t>jozef.pury@hpe.com</t>
  </si>
  <si>
    <t>M</t>
  </si>
  <si>
    <t>Peter Šišolák</t>
  </si>
  <si>
    <t>nový člen tímu</t>
  </si>
  <si>
    <t>peter.sisolak@dxc.com</t>
  </si>
  <si>
    <t>Andrej Kacian</t>
  </si>
  <si>
    <t>andrej.kacian@dxc.com</t>
  </si>
  <si>
    <t>Slavomír Hodúl</t>
  </si>
  <si>
    <t>slavomir.hodul@dxc.com</t>
  </si>
  <si>
    <t>Matej Fabšík</t>
  </si>
  <si>
    <t>matej.fabsik@gmail.com</t>
  </si>
  <si>
    <t>Renata Hochschornerová</t>
  </si>
  <si>
    <t>renata.hochschornerova@dxc.com</t>
  </si>
  <si>
    <t>Vladimír Dudlák (*)</t>
  </si>
  <si>
    <t>vladimir.dudlak@dxc.com</t>
  </si>
  <si>
    <t>strkolec.michal@gmail.com</t>
  </si>
  <si>
    <t>náhradníci</t>
  </si>
  <si>
    <t>Andrej Pácal</t>
  </si>
  <si>
    <t>zoradenie podľa výkonnosti</t>
  </si>
  <si>
    <t>bežec č. 1</t>
  </si>
  <si>
    <t>bežec č. 12</t>
  </si>
  <si>
    <t>číslo bežca v štafete</t>
  </si>
  <si>
    <t>dĺžka v m.</t>
  </si>
  <si>
    <t>prevýšenie dohora v metroch</t>
  </si>
  <si>
    <t>bežec č. 11</t>
  </si>
  <si>
    <t>bežec č. 3</t>
  </si>
  <si>
    <t>bežec č. 8</t>
  </si>
  <si>
    <t>bežec č. 2</t>
  </si>
  <si>
    <t>bežec č. 9</t>
  </si>
  <si>
    <t>bežec č. 6</t>
  </si>
  <si>
    <t>bežec č. 4</t>
  </si>
  <si>
    <t>bežec č. 10</t>
  </si>
  <si>
    <t>bežec č. 5</t>
  </si>
  <si>
    <t>bežec č. 7</t>
  </si>
  <si>
    <t xml:space="preserve">? náhrada za M.Štrkolec </t>
  </si>
  <si>
    <t>?</t>
  </si>
  <si>
    <t>Michal Ševčík</t>
  </si>
  <si>
    <t xml:space="preserve"> Danka Redechová</t>
  </si>
  <si>
    <t xml:space="preserve"> ? náhrada za M.Štrkolec </t>
  </si>
  <si>
    <t>Vladimír Dudlák</t>
  </si>
  <si>
    <t xml:space="preserve">Vladimír Dudlák </t>
  </si>
  <si>
    <t xml:space="preserve"> Peter Škorík - prvý šofér auto 1</t>
  </si>
  <si>
    <t xml:space="preserve"> Jožo Pujdo Pury</t>
  </si>
  <si>
    <t xml:space="preserve"> Matúš Ševčík</t>
  </si>
  <si>
    <t xml:space="preserve"> Michal Ševčík - prvý šofér auto 2</t>
  </si>
  <si>
    <t xml:space="preserve"> Matej Fabšík</t>
  </si>
  <si>
    <t>Peter Škorík Oktavia</t>
  </si>
  <si>
    <t>Mišo Ševčík AUDI</t>
  </si>
  <si>
    <t xml:space="preserve">Slavo Hodúl  Toyota RAV4 SUV </t>
  </si>
  <si>
    <t xml:space="preserve"> Andrej Kacian</t>
  </si>
  <si>
    <t xml:space="preserve"> Renata Hochschornerová</t>
  </si>
  <si>
    <t xml:space="preserve">trvanie 
etapy </t>
  </si>
  <si>
    <t>Slavomír Hodúl - prvý šofér auto 3</t>
  </si>
  <si>
    <t xml:space="preserve">  Peter Šišolák</t>
  </si>
  <si>
    <t>auto č. 1</t>
  </si>
  <si>
    <t>auto č. 2</t>
  </si>
  <si>
    <t>auto č. 3</t>
  </si>
  <si>
    <t>parametre podľa auta</t>
  </si>
  <si>
    <t>spolu</t>
  </si>
  <si>
    <t>nr.</t>
  </si>
  <si>
    <t>pace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</si>
</sst>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[$-F400]h:mm:ss\ AM/PM"/>
    <numFmt numFmtId="165" formatCode="h:mm;@"/>
    <numFmt numFmtId="166" formatCode="[h]:mm:ss;@"/>
    <numFmt numFmtId="167" formatCode="#,##0.0"/>
    <numFmt numFmtId="168" formatCode="mm:ss.0;@"/>
  </numFmts>
  <fonts count="13" x14ac:knownFonts="1"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u/>
      <sz val="11"/>
      <color theme="10"/>
      <name val="Calibri"/>
      <family val="2"/>
      <charset val="238"/>
    </font>
    <font>
      <b/>
      <sz val="11"/>
      <color rgb="FF00B050"/>
      <name val="Calibri"/>
      <family val="2"/>
      <charset val="238"/>
      <scheme val="minor"/>
    </font>
    <font>
      <sz val="11"/>
      <color rgb="FF0070C0"/>
      <name val="Calibri"/>
      <family val="2"/>
      <charset val="238"/>
      <scheme val="minor"/>
    </font>
    <font>
      <sz val="28"/>
      <color theme="1"/>
      <name val="Arial Black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6100"/>
      <name val="Calibri"/>
      <family val="2"/>
      <charset val="238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3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10" fillId="11" borderId="0" applyNumberFormat="0" applyBorder="0" applyAlignment="0" applyProtection="0"/>
  </cellStyleXfs>
  <cellXfs count="195">
    <xf numFmtId="0" fontId="0" fillId="0" borderId="0" xfId="0"/>
    <xf numFmtId="0" fontId="2" fillId="0" borderId="4" xfId="0" applyFont="1" applyFill="1" applyBorder="1" applyAlignment="1">
      <alignment wrapText="1"/>
    </xf>
    <xf numFmtId="0" fontId="2" fillId="0" borderId="0" xfId="0" applyFont="1" applyFill="1" applyBorder="1" applyAlignment="1">
      <alignment wrapText="1"/>
    </xf>
    <xf numFmtId="0" fontId="3" fillId="2" borderId="5" xfId="0" applyFont="1" applyFill="1" applyBorder="1"/>
    <xf numFmtId="0" fontId="3" fillId="2" borderId="6" xfId="0" applyFont="1" applyFill="1" applyBorder="1"/>
    <xf numFmtId="2" fontId="3" fillId="2" borderId="6" xfId="0" applyNumberFormat="1" applyFont="1" applyFill="1" applyBorder="1"/>
    <xf numFmtId="164" fontId="3" fillId="2" borderId="6" xfId="0" applyNumberFormat="1" applyFont="1" applyFill="1" applyBorder="1"/>
    <xf numFmtId="165" fontId="3" fillId="2" borderId="6" xfId="0" applyNumberFormat="1" applyFont="1" applyFill="1" applyBorder="1"/>
    <xf numFmtId="3" fontId="3" fillId="2" borderId="6" xfId="0" applyNumberFormat="1" applyFont="1" applyFill="1" applyBorder="1"/>
    <xf numFmtId="0" fontId="3" fillId="2" borderId="7" xfId="0" applyFont="1" applyFill="1" applyBorder="1"/>
    <xf numFmtId="0" fontId="4" fillId="0" borderId="0" xfId="1" applyAlignment="1" applyProtection="1"/>
    <xf numFmtId="0" fontId="3" fillId="2" borderId="8" xfId="0" applyFont="1" applyFill="1" applyBorder="1"/>
    <xf numFmtId="0" fontId="3" fillId="2" borderId="9" xfId="0" applyFont="1" applyFill="1" applyBorder="1"/>
    <xf numFmtId="2" fontId="3" fillId="2" borderId="9" xfId="0" applyNumberFormat="1" applyFont="1" applyFill="1" applyBorder="1"/>
    <xf numFmtId="164" fontId="3" fillId="2" borderId="9" xfId="0" applyNumberFormat="1" applyFont="1" applyFill="1" applyBorder="1"/>
    <xf numFmtId="165" fontId="3" fillId="2" borderId="9" xfId="0" applyNumberFormat="1" applyFont="1" applyFill="1" applyBorder="1"/>
    <xf numFmtId="3" fontId="3" fillId="2" borderId="9" xfId="0" applyNumberFormat="1" applyFont="1" applyFill="1" applyBorder="1"/>
    <xf numFmtId="0" fontId="3" fillId="2" borderId="10" xfId="0" applyFont="1" applyFill="1" applyBorder="1"/>
    <xf numFmtId="2" fontId="0" fillId="0" borderId="0" xfId="0" applyNumberFormat="1"/>
    <xf numFmtId="0" fontId="3" fillId="3" borderId="8" xfId="0" applyFont="1" applyFill="1" applyBorder="1"/>
    <xf numFmtId="0" fontId="3" fillId="3" borderId="9" xfId="0" applyFont="1" applyFill="1" applyBorder="1"/>
    <xf numFmtId="2" fontId="3" fillId="3" borderId="9" xfId="0" applyNumberFormat="1" applyFont="1" applyFill="1" applyBorder="1"/>
    <xf numFmtId="164" fontId="3" fillId="3" borderId="9" xfId="0" applyNumberFormat="1" applyFont="1" applyFill="1" applyBorder="1"/>
    <xf numFmtId="165" fontId="3" fillId="3" borderId="9" xfId="0" applyNumberFormat="1" applyFont="1" applyFill="1" applyBorder="1"/>
    <xf numFmtId="3" fontId="3" fillId="3" borderId="9" xfId="0" applyNumberFormat="1" applyFont="1" applyFill="1" applyBorder="1"/>
    <xf numFmtId="0" fontId="3" fillId="3" borderId="10" xfId="0" applyFont="1" applyFill="1" applyBorder="1"/>
    <xf numFmtId="2" fontId="3" fillId="2" borderId="10" xfId="0" applyNumberFormat="1" applyFont="1" applyFill="1" applyBorder="1"/>
    <xf numFmtId="0" fontId="3" fillId="0" borderId="0" xfId="0" applyFont="1"/>
    <xf numFmtId="0" fontId="5" fillId="2" borderId="8" xfId="0" applyFont="1" applyFill="1" applyBorder="1"/>
    <xf numFmtId="0" fontId="5" fillId="2" borderId="9" xfId="0" applyFont="1" applyFill="1" applyBorder="1"/>
    <xf numFmtId="2" fontId="5" fillId="2" borderId="9" xfId="0" applyNumberFormat="1" applyFont="1" applyFill="1" applyBorder="1"/>
    <xf numFmtId="164" fontId="5" fillId="2" borderId="9" xfId="0" applyNumberFormat="1" applyFont="1" applyFill="1" applyBorder="1"/>
    <xf numFmtId="165" fontId="5" fillId="2" borderId="9" xfId="0" applyNumberFormat="1" applyFont="1" applyFill="1" applyBorder="1"/>
    <xf numFmtId="3" fontId="5" fillId="2" borderId="9" xfId="0" applyNumberFormat="1" applyFont="1" applyFill="1" applyBorder="1"/>
    <xf numFmtId="2" fontId="5" fillId="2" borderId="10" xfId="0" applyNumberFormat="1" applyFont="1" applyFill="1" applyBorder="1"/>
    <xf numFmtId="0" fontId="5" fillId="0" borderId="0" xfId="0" applyFont="1"/>
    <xf numFmtId="0" fontId="1" fillId="0" borderId="0" xfId="0" applyFont="1"/>
    <xf numFmtId="0" fontId="6" fillId="0" borderId="0" xfId="0" applyFont="1"/>
    <xf numFmtId="0" fontId="3" fillId="3" borderId="11" xfId="0" applyFont="1" applyFill="1" applyBorder="1"/>
    <xf numFmtId="0" fontId="3" fillId="3" borderId="12" xfId="0" applyFont="1" applyFill="1" applyBorder="1"/>
    <xf numFmtId="2" fontId="3" fillId="3" borderId="12" xfId="0" applyNumberFormat="1" applyFont="1" applyFill="1" applyBorder="1"/>
    <xf numFmtId="164" fontId="3" fillId="3" borderId="12" xfId="0" applyNumberFormat="1" applyFont="1" applyFill="1" applyBorder="1"/>
    <xf numFmtId="165" fontId="3" fillId="3" borderId="12" xfId="0" applyNumberFormat="1" applyFont="1" applyFill="1" applyBorder="1"/>
    <xf numFmtId="3" fontId="3" fillId="3" borderId="12" xfId="0" applyNumberFormat="1" applyFont="1" applyFill="1" applyBorder="1"/>
    <xf numFmtId="0" fontId="3" fillId="3" borderId="13" xfId="0" applyFont="1" applyFill="1" applyBorder="1"/>
    <xf numFmtId="0" fontId="3" fillId="0" borderId="0" xfId="0" applyFont="1" applyBorder="1"/>
    <xf numFmtId="2" fontId="3" fillId="0" borderId="0" xfId="0" applyNumberFormat="1" applyFont="1" applyBorder="1"/>
    <xf numFmtId="166" fontId="0" fillId="0" borderId="0" xfId="0" applyNumberFormat="1"/>
    <xf numFmtId="0" fontId="3" fillId="4" borderId="6" xfId="0" applyFont="1" applyFill="1" applyBorder="1"/>
    <xf numFmtId="3" fontId="3" fillId="0" borderId="0" xfId="0" applyNumberFormat="1" applyFont="1" applyBorder="1"/>
    <xf numFmtId="0" fontId="3" fillId="0" borderId="0" xfId="0" applyFont="1" applyBorder="1" applyAlignment="1">
      <alignment horizontal="right"/>
    </xf>
    <xf numFmtId="167" fontId="3" fillId="0" borderId="0" xfId="0" applyNumberFormat="1" applyFont="1" applyBorder="1"/>
    <xf numFmtId="0" fontId="0" fillId="0" borderId="0" xfId="0" applyAlignment="1">
      <alignment horizontal="right"/>
    </xf>
    <xf numFmtId="0" fontId="3" fillId="2" borderId="18" xfId="0" applyFont="1" applyFill="1" applyBorder="1"/>
    <xf numFmtId="0" fontId="3" fillId="2" borderId="19" xfId="0" applyFont="1" applyFill="1" applyBorder="1"/>
    <xf numFmtId="0" fontId="3" fillId="4" borderId="19" xfId="0" applyFont="1" applyFill="1" applyBorder="1"/>
    <xf numFmtId="2" fontId="3" fillId="2" borderId="19" xfId="0" applyNumberFormat="1" applyFont="1" applyFill="1" applyBorder="1"/>
    <xf numFmtId="164" fontId="3" fillId="2" borderId="19" xfId="0" applyNumberFormat="1" applyFont="1" applyFill="1" applyBorder="1"/>
    <xf numFmtId="3" fontId="3" fillId="2" borderId="19" xfId="0" applyNumberFormat="1" applyFont="1" applyFill="1" applyBorder="1"/>
    <xf numFmtId="0" fontId="3" fillId="2" borderId="20" xfId="0" applyFont="1" applyFill="1" applyBorder="1"/>
    <xf numFmtId="0" fontId="3" fillId="3" borderId="23" xfId="0" applyFont="1" applyFill="1" applyBorder="1"/>
    <xf numFmtId="3" fontId="3" fillId="3" borderId="23" xfId="0" applyNumberFormat="1" applyFont="1" applyFill="1" applyBorder="1"/>
    <xf numFmtId="2" fontId="3" fillId="3" borderId="23" xfId="0" applyNumberFormat="1" applyFont="1" applyFill="1" applyBorder="1"/>
    <xf numFmtId="164" fontId="3" fillId="3" borderId="23" xfId="0" applyNumberFormat="1" applyFont="1" applyFill="1" applyBorder="1"/>
    <xf numFmtId="3" fontId="8" fillId="6" borderId="12" xfId="0" applyNumberFormat="1" applyFont="1" applyFill="1" applyBorder="1"/>
    <xf numFmtId="0" fontId="8" fillId="6" borderId="12" xfId="0" applyFont="1" applyFill="1" applyBorder="1"/>
    <xf numFmtId="164" fontId="8" fillId="6" borderId="12" xfId="0" applyNumberFormat="1" applyFont="1" applyFill="1" applyBorder="1"/>
    <xf numFmtId="0" fontId="0" fillId="6" borderId="21" xfId="0" applyFill="1" applyBorder="1"/>
    <xf numFmtId="0" fontId="0" fillId="6" borderId="22" xfId="0" applyFill="1" applyBorder="1"/>
    <xf numFmtId="0" fontId="3" fillId="6" borderId="21" xfId="0" applyFont="1" applyFill="1" applyBorder="1"/>
    <xf numFmtId="0" fontId="3" fillId="6" borderId="22" xfId="0" applyFont="1" applyFill="1" applyBorder="1"/>
    <xf numFmtId="0" fontId="2" fillId="8" borderId="2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8" borderId="2" xfId="0" applyFont="1" applyFill="1" applyBorder="1" applyAlignment="1">
      <alignment vertical="center" wrapText="1"/>
    </xf>
    <xf numFmtId="0" fontId="2" fillId="8" borderId="3" xfId="0" applyFont="1" applyFill="1" applyBorder="1" applyAlignment="1">
      <alignment vertical="center" wrapText="1"/>
    </xf>
    <xf numFmtId="0" fontId="8" fillId="6" borderId="12" xfId="0" applyFont="1" applyFill="1" applyBorder="1" applyAlignment="1">
      <alignment horizontal="center"/>
    </xf>
    <xf numFmtId="0" fontId="8" fillId="9" borderId="9" xfId="0" applyFont="1" applyFill="1" applyBorder="1" applyAlignment="1">
      <alignment horizontal="center"/>
    </xf>
    <xf numFmtId="3" fontId="8" fillId="7" borderId="9" xfId="0" applyNumberFormat="1" applyFont="1" applyFill="1" applyBorder="1"/>
    <xf numFmtId="4" fontId="8" fillId="7" borderId="9" xfId="0" applyNumberFormat="1" applyFont="1" applyFill="1" applyBorder="1"/>
    <xf numFmtId="0" fontId="8" fillId="7" borderId="9" xfId="0" applyFont="1" applyFill="1" applyBorder="1"/>
    <xf numFmtId="164" fontId="8" fillId="7" borderId="9" xfId="0" applyNumberFormat="1" applyFont="1" applyFill="1" applyBorder="1"/>
    <xf numFmtId="2" fontId="8" fillId="9" borderId="9" xfId="0" applyNumberFormat="1" applyFont="1" applyFill="1" applyBorder="1" applyAlignment="1">
      <alignment horizontal="center"/>
    </xf>
    <xf numFmtId="0" fontId="8" fillId="10" borderId="9" xfId="0" applyFont="1" applyFill="1" applyBorder="1" applyAlignment="1">
      <alignment horizontal="center"/>
    </xf>
    <xf numFmtId="20" fontId="0" fillId="0" borderId="0" xfId="0" applyNumberFormat="1"/>
    <xf numFmtId="1" fontId="0" fillId="0" borderId="0" xfId="0" applyNumberFormat="1"/>
    <xf numFmtId="165" fontId="9" fillId="4" borderId="12" xfId="0" applyNumberFormat="1" applyFont="1" applyFill="1" applyBorder="1" applyAlignment="1">
      <alignment horizontal="center"/>
    </xf>
    <xf numFmtId="2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3" fillId="6" borderId="9" xfId="0" applyFont="1" applyFill="1" applyBorder="1"/>
    <xf numFmtId="0" fontId="8" fillId="10" borderId="8" xfId="0" applyFont="1" applyFill="1" applyBorder="1" applyAlignment="1">
      <alignment horizontal="center"/>
    </xf>
    <xf numFmtId="0" fontId="0" fillId="13" borderId="9" xfId="0" applyFill="1" applyBorder="1"/>
    <xf numFmtId="0" fontId="0" fillId="0" borderId="9" xfId="0" applyBorder="1" applyAlignment="1">
      <alignment horizontal="center"/>
    </xf>
    <xf numFmtId="0" fontId="8" fillId="12" borderId="9" xfId="0" applyFont="1" applyFill="1" applyBorder="1" applyAlignment="1">
      <alignment horizontal="center"/>
    </xf>
    <xf numFmtId="3" fontId="0" fillId="0" borderId="9" xfId="0" applyNumberFormat="1" applyBorder="1"/>
    <xf numFmtId="0" fontId="4" fillId="0" borderId="9" xfId="1" applyBorder="1" applyAlignment="1" applyProtection="1"/>
    <xf numFmtId="0" fontId="0" fillId="14" borderId="9" xfId="0" applyFill="1" applyBorder="1"/>
    <xf numFmtId="0" fontId="0" fillId="15" borderId="9" xfId="0" applyFill="1" applyBorder="1"/>
    <xf numFmtId="0" fontId="3" fillId="11" borderId="9" xfId="2" applyFont="1" applyBorder="1" applyAlignment="1">
      <alignment horizontal="left"/>
    </xf>
    <xf numFmtId="0" fontId="4" fillId="0" borderId="9" xfId="1" applyFill="1" applyBorder="1" applyAlignment="1" applyProtection="1">
      <alignment horizontal="left"/>
    </xf>
    <xf numFmtId="0" fontId="3" fillId="15" borderId="9" xfId="2" applyFont="1" applyFill="1" applyBorder="1" applyAlignment="1">
      <alignment horizontal="left"/>
    </xf>
    <xf numFmtId="0" fontId="3" fillId="13" borderId="9" xfId="2" applyFont="1" applyFill="1" applyBorder="1"/>
    <xf numFmtId="0" fontId="8" fillId="10" borderId="11" xfId="0" applyFont="1" applyFill="1" applyBorder="1" applyAlignment="1">
      <alignment horizontal="center"/>
    </xf>
    <xf numFmtId="0" fontId="0" fillId="0" borderId="12" xfId="0" applyBorder="1" applyAlignment="1">
      <alignment horizontal="center"/>
    </xf>
    <xf numFmtId="3" fontId="0" fillId="0" borderId="21" xfId="0" applyNumberFormat="1" applyBorder="1" applyAlignment="1">
      <alignment horizontal="center"/>
    </xf>
    <xf numFmtId="0" fontId="4" fillId="0" borderId="12" xfId="1" applyBorder="1" applyAlignment="1" applyProtection="1"/>
    <xf numFmtId="0" fontId="0" fillId="0" borderId="0" xfId="0" applyFill="1" applyBorder="1" applyAlignment="1">
      <alignment horizontal="center"/>
    </xf>
    <xf numFmtId="0" fontId="10" fillId="0" borderId="0" xfId="2" applyFill="1" applyBorder="1"/>
    <xf numFmtId="0" fontId="0" fillId="0" borderId="0" xfId="0" applyBorder="1" applyAlignment="1">
      <alignment horizontal="center"/>
    </xf>
    <xf numFmtId="0" fontId="0" fillId="0" borderId="0" xfId="0" applyBorder="1"/>
    <xf numFmtId="0" fontId="4" fillId="0" borderId="0" xfId="1" applyBorder="1" applyAlignment="1" applyProtection="1"/>
    <xf numFmtId="0" fontId="0" fillId="5" borderId="9" xfId="0" applyFill="1" applyBorder="1" applyAlignment="1">
      <alignment horizontal="center"/>
    </xf>
    <xf numFmtId="0" fontId="8" fillId="5" borderId="9" xfId="0" applyFont="1" applyFill="1" applyBorder="1" applyAlignment="1">
      <alignment horizontal="center"/>
    </xf>
    <xf numFmtId="0" fontId="0" fillId="5" borderId="9" xfId="0" applyFill="1" applyBorder="1"/>
    <xf numFmtId="3" fontId="0" fillId="5" borderId="9" xfId="0" applyNumberFormat="1" applyFill="1" applyBorder="1"/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9" xfId="0" applyBorder="1" applyAlignment="1">
      <alignment horizontal="center" vertical="center"/>
    </xf>
    <xf numFmtId="3" fontId="0" fillId="0" borderId="9" xfId="0" applyNumberFormat="1" applyBorder="1" applyAlignment="1">
      <alignment horizontal="center" vertic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 vertical="center"/>
    </xf>
    <xf numFmtId="3" fontId="0" fillId="0" borderId="19" xfId="0" applyNumberFormat="1" applyBorder="1" applyAlignment="1">
      <alignment horizontal="center" vertical="center"/>
    </xf>
    <xf numFmtId="3" fontId="0" fillId="0" borderId="20" xfId="0" applyNumberFormat="1" applyBorder="1" applyAlignment="1">
      <alignment horizontal="center" vertical="center"/>
    </xf>
    <xf numFmtId="0" fontId="0" fillId="0" borderId="8" xfId="0" applyBorder="1" applyAlignment="1">
      <alignment horizontal="center"/>
    </xf>
    <xf numFmtId="3" fontId="0" fillId="0" borderId="10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 vertical="center"/>
    </xf>
    <xf numFmtId="3" fontId="0" fillId="0" borderId="12" xfId="0" applyNumberFormat="1" applyBorder="1" applyAlignment="1">
      <alignment horizontal="center" vertical="center"/>
    </xf>
    <xf numFmtId="3" fontId="0" fillId="0" borderId="13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28" xfId="0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3" xfId="0" applyFont="1" applyFill="1" applyBorder="1" applyAlignment="1">
      <alignment horizontal="center"/>
    </xf>
    <xf numFmtId="0" fontId="8" fillId="10" borderId="26" xfId="0" applyFont="1" applyFill="1" applyBorder="1" applyAlignment="1">
      <alignment horizontal="center"/>
    </xf>
    <xf numFmtId="0" fontId="10" fillId="11" borderId="9" xfId="2" applyBorder="1" applyAlignment="1">
      <alignment horizontal="center"/>
    </xf>
    <xf numFmtId="0" fontId="3" fillId="11" borderId="8" xfId="2" applyFont="1" applyBorder="1" applyAlignment="1">
      <alignment horizontal="left"/>
    </xf>
    <xf numFmtId="0" fontId="3" fillId="11" borderId="11" xfId="2" applyFont="1" applyBorder="1"/>
    <xf numFmtId="0" fontId="0" fillId="13" borderId="8" xfId="0" applyFill="1" applyBorder="1"/>
    <xf numFmtId="0" fontId="0" fillId="15" borderId="8" xfId="0" applyFill="1" applyBorder="1"/>
    <xf numFmtId="0" fontId="0" fillId="14" borderId="8" xfId="0" applyFill="1" applyBorder="1"/>
    <xf numFmtId="0" fontId="3" fillId="15" borderId="8" xfId="2" applyFont="1" applyFill="1" applyBorder="1" applyAlignment="1">
      <alignment horizontal="left"/>
    </xf>
    <xf numFmtId="0" fontId="3" fillId="13" borderId="11" xfId="2" applyFont="1" applyFill="1" applyBorder="1"/>
    <xf numFmtId="164" fontId="8" fillId="6" borderId="23" xfId="0" applyNumberFormat="1" applyFont="1" applyFill="1" applyBorder="1"/>
    <xf numFmtId="166" fontId="9" fillId="9" borderId="9" xfId="0" applyNumberFormat="1" applyFont="1" applyFill="1" applyBorder="1"/>
    <xf numFmtId="1" fontId="0" fillId="0" borderId="6" xfId="0" applyNumberFormat="1" applyBorder="1" applyAlignment="1">
      <alignment horizontal="center"/>
    </xf>
    <xf numFmtId="0" fontId="3" fillId="6" borderId="26" xfId="0" applyFont="1" applyFill="1" applyBorder="1"/>
    <xf numFmtId="168" fontId="9" fillId="9" borderId="29" xfId="0" applyNumberFormat="1" applyFont="1" applyFill="1" applyBorder="1" applyAlignment="1">
      <alignment horizontal="center"/>
    </xf>
    <xf numFmtId="165" fontId="3" fillId="2" borderId="19" xfId="0" applyNumberFormat="1" applyFont="1" applyFill="1" applyBorder="1" applyAlignment="1">
      <alignment horizontal="center"/>
    </xf>
    <xf numFmtId="165" fontId="3" fillId="3" borderId="9" xfId="0" applyNumberFormat="1" applyFont="1" applyFill="1" applyBorder="1" applyAlignment="1">
      <alignment horizontal="center"/>
    </xf>
    <xf numFmtId="165" fontId="3" fillId="2" borderId="9" xfId="0" applyNumberFormat="1" applyFont="1" applyFill="1" applyBorder="1" applyAlignment="1">
      <alignment horizontal="center"/>
    </xf>
    <xf numFmtId="0" fontId="0" fillId="6" borderId="21" xfId="0" applyFill="1" applyBorder="1" applyAlignment="1">
      <alignment horizontal="center"/>
    </xf>
    <xf numFmtId="165" fontId="5" fillId="2" borderId="9" xfId="0" applyNumberFormat="1" applyFont="1" applyFill="1" applyBorder="1" applyAlignment="1">
      <alignment horizontal="center"/>
    </xf>
    <xf numFmtId="165" fontId="3" fillId="3" borderId="12" xfId="0" applyNumberFormat="1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8" fillId="0" borderId="31" xfId="0" applyFont="1" applyBorder="1" applyAlignment="1">
      <alignment horizontal="center"/>
    </xf>
    <xf numFmtId="0" fontId="8" fillId="0" borderId="32" xfId="0" applyFont="1" applyFill="1" applyBorder="1" applyAlignment="1">
      <alignment horizontal="center"/>
    </xf>
    <xf numFmtId="0" fontId="8" fillId="0" borderId="33" xfId="0" applyFont="1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23" xfId="0" applyBorder="1" applyAlignment="1">
      <alignment horizontal="center" vertical="center"/>
    </xf>
    <xf numFmtId="3" fontId="0" fillId="0" borderId="23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3" fontId="0" fillId="0" borderId="2" xfId="0" applyNumberFormat="1" applyBorder="1" applyAlignment="1">
      <alignment horizontal="center"/>
    </xf>
    <xf numFmtId="3" fontId="0" fillId="0" borderId="3" xfId="0" applyNumberFormat="1" applyBorder="1" applyAlignment="1">
      <alignment horizontal="center"/>
    </xf>
    <xf numFmtId="2" fontId="11" fillId="12" borderId="18" xfId="0" applyNumberFormat="1" applyFont="1" applyFill="1" applyBorder="1" applyAlignment="1">
      <alignment horizontal="center"/>
    </xf>
    <xf numFmtId="2" fontId="11" fillId="12" borderId="19" xfId="0" applyNumberFormat="1" applyFont="1" applyFill="1" applyBorder="1" applyAlignment="1">
      <alignment horizontal="center"/>
    </xf>
    <xf numFmtId="2" fontId="12" fillId="0" borderId="19" xfId="0" applyNumberFormat="1" applyFont="1" applyBorder="1" applyAlignment="1">
      <alignment horizontal="center"/>
    </xf>
    <xf numFmtId="2" fontId="12" fillId="0" borderId="19" xfId="0" applyNumberFormat="1" applyFont="1" applyBorder="1" applyAlignment="1"/>
    <xf numFmtId="2" fontId="0" fillId="0" borderId="19" xfId="0" applyNumberFormat="1" applyBorder="1" applyAlignment="1"/>
    <xf numFmtId="2" fontId="0" fillId="0" borderId="20" xfId="0" applyNumberFormat="1" applyBorder="1" applyAlignment="1"/>
    <xf numFmtId="0" fontId="8" fillId="0" borderId="18" xfId="0" applyFont="1" applyBorder="1" applyAlignment="1">
      <alignment horizontal="center"/>
    </xf>
    <xf numFmtId="0" fontId="8" fillId="0" borderId="20" xfId="0" applyFont="1" applyBorder="1" applyAlignment="1">
      <alignment horizontal="center"/>
    </xf>
    <xf numFmtId="0" fontId="8" fillId="6" borderId="24" xfId="0" applyFont="1" applyFill="1" applyBorder="1" applyAlignment="1">
      <alignment horizontal="center"/>
    </xf>
    <xf numFmtId="0" fontId="8" fillId="0" borderId="25" xfId="0" applyFont="1" applyBorder="1" applyAlignment="1">
      <alignment horizontal="center"/>
    </xf>
    <xf numFmtId="0" fontId="8" fillId="0" borderId="14" xfId="0" applyFont="1" applyBorder="1" applyAlignment="1">
      <alignment horizontal="center"/>
    </xf>
    <xf numFmtId="0" fontId="8" fillId="4" borderId="24" xfId="0" applyFont="1" applyFill="1" applyBorder="1" applyAlignment="1">
      <alignment horizontal="center"/>
    </xf>
    <xf numFmtId="0" fontId="8" fillId="4" borderId="25" xfId="0" applyFont="1" applyFill="1" applyBorder="1" applyAlignment="1">
      <alignment horizontal="center"/>
    </xf>
    <xf numFmtId="0" fontId="8" fillId="4" borderId="14" xfId="0" applyFont="1" applyFill="1" applyBorder="1" applyAlignment="1">
      <alignment horizontal="center"/>
    </xf>
    <xf numFmtId="0" fontId="7" fillId="5" borderId="15" xfId="0" applyFont="1" applyFill="1" applyBorder="1" applyAlignment="1">
      <alignment horizontal="center" vertical="center"/>
    </xf>
    <xf numFmtId="0" fontId="7" fillId="5" borderId="16" xfId="0" applyFont="1" applyFill="1" applyBorder="1" applyAlignment="1">
      <alignment horizontal="center" vertical="center"/>
    </xf>
    <xf numFmtId="0" fontId="7" fillId="5" borderId="17" xfId="0" applyFont="1" applyFill="1" applyBorder="1" applyAlignment="1">
      <alignment horizontal="center" vertical="center"/>
    </xf>
  </cellXfs>
  <cellStyles count="3">
    <cellStyle name="Good" xfId="2" builtinId="26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andrej.kacian@dxc.com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mailto:michal.sevcik@dxc.com" TargetMode="External"/><Relationship Id="rId7" Type="http://schemas.openxmlformats.org/officeDocument/2006/relationships/hyperlink" Target="mailto:jozef.pury@hpe.com" TargetMode="External"/><Relationship Id="rId12" Type="http://schemas.openxmlformats.org/officeDocument/2006/relationships/hyperlink" Target="mailto:strkolec.michal@gmail.com" TargetMode="External"/><Relationship Id="rId2" Type="http://schemas.openxmlformats.org/officeDocument/2006/relationships/hyperlink" Target="mailto:prcacon@gmail.com" TargetMode="External"/><Relationship Id="rId1" Type="http://schemas.openxmlformats.org/officeDocument/2006/relationships/hyperlink" Target="mailto:matej.fabsik@gmail.com" TargetMode="External"/><Relationship Id="rId6" Type="http://schemas.openxmlformats.org/officeDocument/2006/relationships/hyperlink" Target="mailto:peter.sisolak@dxc.com" TargetMode="External"/><Relationship Id="rId11" Type="http://schemas.openxmlformats.org/officeDocument/2006/relationships/hyperlink" Target="mailto:vladimir.dudlak@dxc.com" TargetMode="External"/><Relationship Id="rId5" Type="http://schemas.openxmlformats.org/officeDocument/2006/relationships/hyperlink" Target="mailto:pskorik@gmail.com" TargetMode="External"/><Relationship Id="rId10" Type="http://schemas.openxmlformats.org/officeDocument/2006/relationships/hyperlink" Target="mailto:renata.hochschornerova@dxc.com" TargetMode="External"/><Relationship Id="rId4" Type="http://schemas.openxmlformats.org/officeDocument/2006/relationships/hyperlink" Target="mailto:danka.redechova@gmail.com" TargetMode="External"/><Relationship Id="rId9" Type="http://schemas.openxmlformats.org/officeDocument/2006/relationships/hyperlink" Target="mailto:slavomir.hodul@dxc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1"/>
  <sheetViews>
    <sheetView zoomScale="140" zoomScaleNormal="140" workbookViewId="0">
      <selection activeCell="B36" sqref="B36"/>
    </sheetView>
  </sheetViews>
  <sheetFormatPr defaultRowHeight="14.4" x14ac:dyDescent="0.3"/>
  <cols>
    <col min="1" max="1" width="5.5546875" style="87" bestFit="1" customWidth="1"/>
    <col min="2" max="2" width="23.33203125" bestFit="1" customWidth="1"/>
    <col min="3" max="3" width="5.5546875" style="87" bestFit="1" customWidth="1"/>
    <col min="4" max="4" width="28" style="87" bestFit="1" customWidth="1"/>
    <col min="5" max="5" width="6.109375" style="87" bestFit="1" customWidth="1"/>
    <col min="6" max="6" width="12.109375" bestFit="1" customWidth="1"/>
    <col min="7" max="7" width="32.33203125" bestFit="1" customWidth="1"/>
    <col min="8" max="8" width="9.33203125" style="87" bestFit="1" customWidth="1"/>
    <col min="9" max="9" width="6.44140625" style="87" bestFit="1" customWidth="1"/>
    <col min="10" max="10" width="6" style="87" bestFit="1" customWidth="1"/>
    <col min="11" max="11" width="6.5546875" style="87" bestFit="1" customWidth="1"/>
  </cols>
  <sheetData>
    <row r="1" spans="1:11" ht="15.6" x14ac:dyDescent="0.3">
      <c r="A1" s="178" t="s">
        <v>176</v>
      </c>
      <c r="B1" s="179"/>
      <c r="C1" s="179"/>
      <c r="D1" s="179"/>
      <c r="E1" s="180"/>
      <c r="F1" s="181"/>
      <c r="G1" s="181"/>
      <c r="H1" s="181"/>
      <c r="I1" s="182"/>
      <c r="J1" s="183"/>
    </row>
    <row r="2" spans="1:11" x14ac:dyDescent="0.3">
      <c r="A2" s="100" t="s">
        <v>177</v>
      </c>
      <c r="B2" s="82" t="s">
        <v>178</v>
      </c>
      <c r="C2" s="82"/>
      <c r="D2" s="82" t="s">
        <v>179</v>
      </c>
      <c r="E2" s="82" t="s">
        <v>180</v>
      </c>
      <c r="F2" s="82" t="s">
        <v>181</v>
      </c>
      <c r="G2" s="82" t="s">
        <v>182</v>
      </c>
      <c r="H2" s="82" t="s">
        <v>183</v>
      </c>
      <c r="I2" s="82" t="s">
        <v>184</v>
      </c>
      <c r="J2" s="145" t="s">
        <v>185</v>
      </c>
      <c r="K2" s="82" t="s">
        <v>186</v>
      </c>
    </row>
    <row r="3" spans="1:11" x14ac:dyDescent="0.3">
      <c r="A3" s="100">
        <v>1</v>
      </c>
      <c r="B3" s="101" t="s">
        <v>195</v>
      </c>
      <c r="C3" s="102" t="s">
        <v>193</v>
      </c>
      <c r="D3" s="102" t="s">
        <v>188</v>
      </c>
      <c r="E3" s="102"/>
      <c r="F3" s="104">
        <v>904317689</v>
      </c>
      <c r="G3" s="105" t="s">
        <v>196</v>
      </c>
      <c r="H3" s="102">
        <v>47</v>
      </c>
      <c r="I3" s="102">
        <v>1988</v>
      </c>
      <c r="J3" s="125" t="s">
        <v>197</v>
      </c>
      <c r="K3" s="146" t="s">
        <v>189</v>
      </c>
    </row>
    <row r="4" spans="1:11" ht="15" thickBot="1" x14ac:dyDescent="0.35">
      <c r="A4" s="112">
        <v>2</v>
      </c>
      <c r="B4" s="148" t="s">
        <v>239</v>
      </c>
      <c r="C4" s="113" t="s">
        <v>114</v>
      </c>
      <c r="D4" s="113" t="s">
        <v>114</v>
      </c>
      <c r="E4" s="113"/>
      <c r="F4" s="114">
        <v>950535790</v>
      </c>
      <c r="G4" s="115" t="s">
        <v>220</v>
      </c>
      <c r="H4" s="102">
        <v>50</v>
      </c>
      <c r="I4" s="113" t="s">
        <v>114</v>
      </c>
      <c r="J4" s="126" t="s">
        <v>206</v>
      </c>
      <c r="K4" s="146" t="s">
        <v>189</v>
      </c>
    </row>
    <row r="5" spans="1:11" x14ac:dyDescent="0.3">
      <c r="A5" s="100">
        <v>3</v>
      </c>
      <c r="B5" s="111" t="s">
        <v>244</v>
      </c>
      <c r="C5" s="102" t="s">
        <v>187</v>
      </c>
      <c r="D5" s="102" t="s">
        <v>188</v>
      </c>
      <c r="E5" s="102"/>
      <c r="F5" s="104">
        <v>903400244</v>
      </c>
      <c r="G5" s="105" t="s">
        <v>219</v>
      </c>
      <c r="H5" s="102">
        <v>53</v>
      </c>
      <c r="I5" s="102">
        <v>1964</v>
      </c>
      <c r="J5" s="125" t="s">
        <v>206</v>
      </c>
      <c r="K5" s="146" t="s">
        <v>189</v>
      </c>
    </row>
    <row r="6" spans="1:11" x14ac:dyDescent="0.3">
      <c r="A6" s="100">
        <v>4</v>
      </c>
      <c r="B6" s="101" t="s">
        <v>198</v>
      </c>
      <c r="C6" s="102" t="s">
        <v>199</v>
      </c>
      <c r="D6" s="102" t="s">
        <v>188</v>
      </c>
      <c r="E6" s="103" t="s">
        <v>189</v>
      </c>
      <c r="F6" s="104">
        <v>915576628</v>
      </c>
      <c r="G6" s="105" t="s">
        <v>200</v>
      </c>
      <c r="H6" s="102">
        <v>50</v>
      </c>
      <c r="I6" s="102">
        <v>1982</v>
      </c>
      <c r="J6" s="125" t="s">
        <v>201</v>
      </c>
      <c r="K6" s="146" t="s">
        <v>189</v>
      </c>
    </row>
    <row r="7" spans="1:11" x14ac:dyDescent="0.3">
      <c r="A7" s="100">
        <v>5</v>
      </c>
      <c r="B7" s="106" t="s">
        <v>202</v>
      </c>
      <c r="C7" s="102" t="s">
        <v>203</v>
      </c>
      <c r="D7" s="102" t="s">
        <v>204</v>
      </c>
      <c r="E7" s="102"/>
      <c r="F7" s="104">
        <v>907706566</v>
      </c>
      <c r="G7" s="105" t="s">
        <v>205</v>
      </c>
      <c r="H7" s="102">
        <v>52</v>
      </c>
      <c r="I7" s="102">
        <v>1968</v>
      </c>
      <c r="J7" s="125" t="s">
        <v>206</v>
      </c>
      <c r="K7" s="146" t="s">
        <v>189</v>
      </c>
    </row>
    <row r="8" spans="1:11" x14ac:dyDescent="0.3">
      <c r="A8" s="100">
        <v>6</v>
      </c>
      <c r="B8" s="101" t="s">
        <v>241</v>
      </c>
      <c r="C8" s="102" t="s">
        <v>187</v>
      </c>
      <c r="D8" s="102" t="s">
        <v>188</v>
      </c>
      <c r="E8" s="103" t="s">
        <v>189</v>
      </c>
      <c r="F8" s="104">
        <v>907812137</v>
      </c>
      <c r="G8" s="105" t="s">
        <v>190</v>
      </c>
      <c r="H8" s="102">
        <v>52</v>
      </c>
      <c r="I8" s="102">
        <v>1972</v>
      </c>
      <c r="J8" s="125" t="s">
        <v>191</v>
      </c>
      <c r="K8" s="146" t="s">
        <v>189</v>
      </c>
    </row>
    <row r="9" spans="1:11" x14ac:dyDescent="0.3">
      <c r="A9" s="100">
        <v>7</v>
      </c>
      <c r="B9" s="101" t="s">
        <v>192</v>
      </c>
      <c r="C9" s="102" t="s">
        <v>193</v>
      </c>
      <c r="D9" s="102" t="s">
        <v>188</v>
      </c>
      <c r="E9" s="102"/>
      <c r="F9" s="104">
        <v>907812137</v>
      </c>
      <c r="G9" s="105" t="s">
        <v>194</v>
      </c>
      <c r="H9" s="102">
        <v>46</v>
      </c>
      <c r="I9" s="102">
        <v>2002</v>
      </c>
      <c r="J9" s="125" t="s">
        <v>191</v>
      </c>
      <c r="K9" s="146" t="s">
        <v>189</v>
      </c>
    </row>
    <row r="10" spans="1:11" x14ac:dyDescent="0.3">
      <c r="A10" s="100">
        <v>8</v>
      </c>
      <c r="B10" s="108" t="s">
        <v>214</v>
      </c>
      <c r="C10" s="102" t="s">
        <v>193</v>
      </c>
      <c r="D10" s="102" t="s">
        <v>208</v>
      </c>
      <c r="E10" s="102"/>
      <c r="F10" s="104">
        <v>904303760</v>
      </c>
      <c r="G10" s="109" t="s">
        <v>215</v>
      </c>
      <c r="H10" s="102">
        <v>40</v>
      </c>
      <c r="I10" s="102">
        <v>1985</v>
      </c>
      <c r="J10" s="125" t="s">
        <v>201</v>
      </c>
      <c r="K10" s="146" t="s">
        <v>189</v>
      </c>
    </row>
    <row r="11" spans="1:11" x14ac:dyDescent="0.3">
      <c r="A11" s="100">
        <v>9</v>
      </c>
      <c r="B11" s="107" t="s">
        <v>210</v>
      </c>
      <c r="C11" s="102" t="s">
        <v>187</v>
      </c>
      <c r="D11" s="102" t="s">
        <v>208</v>
      </c>
      <c r="E11" s="102"/>
      <c r="F11" s="104">
        <v>908286249</v>
      </c>
      <c r="G11" s="105" t="s">
        <v>211</v>
      </c>
      <c r="H11" s="102">
        <v>49</v>
      </c>
      <c r="I11" s="102">
        <v>1981</v>
      </c>
      <c r="J11" s="125" t="s">
        <v>206</v>
      </c>
      <c r="K11" s="146" t="s">
        <v>189</v>
      </c>
    </row>
    <row r="12" spans="1:11" x14ac:dyDescent="0.3">
      <c r="A12" s="100">
        <v>10</v>
      </c>
      <c r="B12" s="107" t="s">
        <v>212</v>
      </c>
      <c r="C12" s="102" t="s">
        <v>187</v>
      </c>
      <c r="D12" s="102" t="s">
        <v>208</v>
      </c>
      <c r="E12" s="103" t="s">
        <v>189</v>
      </c>
      <c r="F12" s="104">
        <v>911758922</v>
      </c>
      <c r="G12" s="105" t="s">
        <v>213</v>
      </c>
      <c r="H12" s="102">
        <v>53</v>
      </c>
      <c r="I12" s="102">
        <v>1971</v>
      </c>
      <c r="J12" s="125" t="s">
        <v>191</v>
      </c>
      <c r="K12" s="146" t="s">
        <v>189</v>
      </c>
    </row>
    <row r="13" spans="1:11" x14ac:dyDescent="0.3">
      <c r="A13" s="100">
        <v>11</v>
      </c>
      <c r="B13" s="107" t="s">
        <v>207</v>
      </c>
      <c r="C13" s="102" t="s">
        <v>187</v>
      </c>
      <c r="D13" s="102" t="s">
        <v>208</v>
      </c>
      <c r="E13" s="102"/>
      <c r="F13" s="104">
        <v>917817661</v>
      </c>
      <c r="G13" s="105" t="s">
        <v>209</v>
      </c>
      <c r="H13" s="102">
        <v>52</v>
      </c>
      <c r="I13" s="102">
        <v>1986</v>
      </c>
      <c r="J13" s="125" t="s">
        <v>201</v>
      </c>
      <c r="K13" s="146" t="s">
        <v>189</v>
      </c>
    </row>
    <row r="14" spans="1:11" x14ac:dyDescent="0.3">
      <c r="A14" s="100">
        <v>12</v>
      </c>
      <c r="B14" s="110" t="s">
        <v>216</v>
      </c>
      <c r="C14" s="102" t="s">
        <v>187</v>
      </c>
      <c r="D14" s="102" t="s">
        <v>208</v>
      </c>
      <c r="E14" s="102"/>
      <c r="F14" s="104">
        <v>904290466</v>
      </c>
      <c r="G14" s="105" t="s">
        <v>217</v>
      </c>
      <c r="H14" s="102">
        <v>52</v>
      </c>
      <c r="I14" s="102">
        <v>1989</v>
      </c>
      <c r="J14" s="125" t="s">
        <v>197</v>
      </c>
      <c r="K14" s="146" t="s">
        <v>189</v>
      </c>
    </row>
    <row r="15" spans="1:11" x14ac:dyDescent="0.3">
      <c r="A15" s="116"/>
      <c r="B15" s="117"/>
      <c r="C15" s="118"/>
      <c r="D15" s="118"/>
      <c r="E15" s="118"/>
      <c r="F15" s="119"/>
      <c r="G15" s="120"/>
      <c r="H15" s="156">
        <f>SUM(H3:H14)/12</f>
        <v>49.666666666666664</v>
      </c>
    </row>
    <row r="16" spans="1:11" x14ac:dyDescent="0.3">
      <c r="A16" s="121"/>
      <c r="B16" s="122" t="s">
        <v>221</v>
      </c>
    </row>
    <row r="17" spans="1:11" x14ac:dyDescent="0.3">
      <c r="A17" s="122">
        <v>1</v>
      </c>
      <c r="B17" s="123" t="s">
        <v>222</v>
      </c>
      <c r="C17" s="121" t="s">
        <v>193</v>
      </c>
      <c r="D17" s="121"/>
      <c r="E17" s="121"/>
      <c r="F17" s="124">
        <v>905202545</v>
      </c>
      <c r="G17" s="123"/>
      <c r="H17" s="121">
        <v>40</v>
      </c>
    </row>
    <row r="18" spans="1:11" ht="15" thickBot="1" x14ac:dyDescent="0.35">
      <c r="F18" s="87"/>
      <c r="G18" s="87"/>
      <c r="H18"/>
      <c r="I18"/>
      <c r="J18"/>
      <c r="K18"/>
    </row>
    <row r="19" spans="1:11" x14ac:dyDescent="0.3">
      <c r="A19" s="141"/>
      <c r="B19" s="184" t="s">
        <v>223</v>
      </c>
      <c r="C19" s="185"/>
      <c r="D19" s="168" t="s">
        <v>226</v>
      </c>
      <c r="E19" s="166" t="s">
        <v>136</v>
      </c>
      <c r="F19" s="166" t="s">
        <v>227</v>
      </c>
      <c r="G19" s="167" t="s">
        <v>228</v>
      </c>
      <c r="I19"/>
      <c r="J19"/>
      <c r="K19"/>
    </row>
    <row r="20" spans="1:11" x14ac:dyDescent="0.3">
      <c r="A20" s="169">
        <v>1</v>
      </c>
      <c r="B20" s="147" t="s">
        <v>214</v>
      </c>
      <c r="C20" s="125">
        <v>40</v>
      </c>
      <c r="D20" s="102" t="s">
        <v>231</v>
      </c>
      <c r="E20" s="127">
        <v>5.2</v>
      </c>
      <c r="F20" s="128">
        <v>46090</v>
      </c>
      <c r="G20" s="134">
        <v>1257</v>
      </c>
      <c r="I20"/>
      <c r="J20"/>
      <c r="K20"/>
    </row>
    <row r="21" spans="1:11" ht="15" thickBot="1" x14ac:dyDescent="0.35">
      <c r="A21" s="169">
        <v>2</v>
      </c>
      <c r="B21" s="148" t="s">
        <v>239</v>
      </c>
      <c r="C21" s="126" t="s">
        <v>240</v>
      </c>
      <c r="D21" s="102" t="s">
        <v>232</v>
      </c>
      <c r="E21" s="127">
        <v>4.95</v>
      </c>
      <c r="F21" s="128">
        <v>46220</v>
      </c>
      <c r="G21" s="134">
        <v>910</v>
      </c>
      <c r="I21"/>
      <c r="J21"/>
      <c r="K21"/>
    </row>
    <row r="22" spans="1:11" x14ac:dyDescent="0.3">
      <c r="A22" s="169">
        <v>3</v>
      </c>
      <c r="B22" s="149" t="s">
        <v>192</v>
      </c>
      <c r="C22" s="125">
        <v>46</v>
      </c>
      <c r="D22" s="102" t="s">
        <v>238</v>
      </c>
      <c r="E22" s="127">
        <v>4.3</v>
      </c>
      <c r="F22" s="128">
        <v>42920</v>
      </c>
      <c r="G22" s="134">
        <v>612</v>
      </c>
      <c r="I22"/>
      <c r="J22"/>
      <c r="K22"/>
    </row>
    <row r="23" spans="1:11" x14ac:dyDescent="0.3">
      <c r="A23" s="169">
        <v>4</v>
      </c>
      <c r="B23" s="149" t="s">
        <v>195</v>
      </c>
      <c r="C23" s="125">
        <v>47</v>
      </c>
      <c r="D23" s="102" t="s">
        <v>224</v>
      </c>
      <c r="E23" s="127">
        <v>4.7</v>
      </c>
      <c r="F23" s="128">
        <v>43110</v>
      </c>
      <c r="G23" s="134">
        <v>907</v>
      </c>
      <c r="I23"/>
      <c r="J23"/>
      <c r="K23"/>
    </row>
    <row r="24" spans="1:11" x14ac:dyDescent="0.3">
      <c r="A24" s="169">
        <v>5</v>
      </c>
      <c r="B24" s="150" t="s">
        <v>210</v>
      </c>
      <c r="C24" s="125">
        <v>49</v>
      </c>
      <c r="D24" s="102" t="s">
        <v>233</v>
      </c>
      <c r="E24" s="127">
        <v>4.7</v>
      </c>
      <c r="F24" s="128">
        <v>42690</v>
      </c>
      <c r="G24" s="134">
        <v>1067</v>
      </c>
      <c r="I24"/>
      <c r="J24"/>
      <c r="K24"/>
    </row>
    <row r="25" spans="1:11" x14ac:dyDescent="0.3">
      <c r="A25" s="169">
        <v>6</v>
      </c>
      <c r="B25" s="149" t="s">
        <v>198</v>
      </c>
      <c r="C25" s="125">
        <v>50</v>
      </c>
      <c r="D25" s="102" t="s">
        <v>235</v>
      </c>
      <c r="E25" s="127">
        <v>4.5999999999999996</v>
      </c>
      <c r="F25" s="128">
        <v>43910</v>
      </c>
      <c r="G25" s="134">
        <v>757</v>
      </c>
      <c r="I25"/>
      <c r="J25"/>
      <c r="K25"/>
    </row>
    <row r="26" spans="1:11" x14ac:dyDescent="0.3">
      <c r="A26" s="169">
        <v>7</v>
      </c>
      <c r="B26" s="149" t="s">
        <v>241</v>
      </c>
      <c r="C26" s="125">
        <v>52</v>
      </c>
      <c r="D26" s="102" t="s">
        <v>234</v>
      </c>
      <c r="E26" s="127">
        <v>4.6500000000000004</v>
      </c>
      <c r="F26" s="128">
        <v>45110</v>
      </c>
      <c r="G26" s="134">
        <v>715</v>
      </c>
      <c r="I26"/>
      <c r="J26"/>
      <c r="K26"/>
    </row>
    <row r="27" spans="1:11" x14ac:dyDescent="0.3">
      <c r="A27" s="169">
        <v>8</v>
      </c>
      <c r="B27" s="151" t="s">
        <v>202</v>
      </c>
      <c r="C27" s="125">
        <v>52</v>
      </c>
      <c r="D27" s="102" t="s">
        <v>237</v>
      </c>
      <c r="E27" s="127">
        <v>4.45</v>
      </c>
      <c r="F27" s="128">
        <v>44490</v>
      </c>
      <c r="G27" s="134">
        <v>611</v>
      </c>
      <c r="I27"/>
      <c r="J27"/>
      <c r="K27"/>
    </row>
    <row r="28" spans="1:11" x14ac:dyDescent="0.3">
      <c r="A28" s="169">
        <v>9</v>
      </c>
      <c r="B28" s="150" t="s">
        <v>207</v>
      </c>
      <c r="C28" s="125">
        <v>52</v>
      </c>
      <c r="D28" s="102" t="s">
        <v>229</v>
      </c>
      <c r="E28" s="127">
        <v>4.05</v>
      </c>
      <c r="F28" s="128">
        <v>41550</v>
      </c>
      <c r="G28" s="134">
        <v>491</v>
      </c>
      <c r="I28"/>
      <c r="J28"/>
      <c r="K28"/>
    </row>
    <row r="29" spans="1:11" x14ac:dyDescent="0.3">
      <c r="A29" s="169">
        <v>10</v>
      </c>
      <c r="B29" s="152" t="s">
        <v>216</v>
      </c>
      <c r="C29" s="125">
        <v>52</v>
      </c>
      <c r="D29" s="102" t="s">
        <v>225</v>
      </c>
      <c r="E29" s="127">
        <v>3.85</v>
      </c>
      <c r="F29" s="128">
        <v>38960</v>
      </c>
      <c r="G29" s="135">
        <v>345</v>
      </c>
      <c r="I29"/>
      <c r="J29"/>
      <c r="K29"/>
    </row>
    <row r="30" spans="1:11" x14ac:dyDescent="0.3">
      <c r="A30" s="169">
        <v>11</v>
      </c>
      <c r="B30" s="150" t="s">
        <v>212</v>
      </c>
      <c r="C30" s="125">
        <v>53</v>
      </c>
      <c r="D30" s="102" t="s">
        <v>236</v>
      </c>
      <c r="E30" s="127">
        <v>4.5</v>
      </c>
      <c r="F30" s="128">
        <v>46030</v>
      </c>
      <c r="G30" s="134">
        <v>441</v>
      </c>
      <c r="I30"/>
      <c r="J30"/>
      <c r="K30"/>
    </row>
    <row r="31" spans="1:11" ht="15" thickBot="1" x14ac:dyDescent="0.35">
      <c r="A31" s="170">
        <v>12</v>
      </c>
      <c r="B31" s="153" t="s">
        <v>218</v>
      </c>
      <c r="C31" s="126">
        <v>53</v>
      </c>
      <c r="D31" s="113" t="s">
        <v>230</v>
      </c>
      <c r="E31" s="137">
        <v>4.05</v>
      </c>
      <c r="F31" s="138">
        <v>41240</v>
      </c>
      <c r="G31" s="140">
        <v>579</v>
      </c>
      <c r="I31"/>
      <c r="J31"/>
      <c r="K31"/>
    </row>
    <row r="32" spans="1:11" ht="15" thickBot="1" x14ac:dyDescent="0.35"/>
    <row r="33" spans="4:8" ht="15" thickBot="1" x14ac:dyDescent="0.35">
      <c r="D33" s="142" t="s">
        <v>226</v>
      </c>
      <c r="E33" s="143" t="s">
        <v>136</v>
      </c>
      <c r="F33" s="143" t="s">
        <v>227</v>
      </c>
      <c r="G33" s="144" t="s">
        <v>228</v>
      </c>
      <c r="H33" s="87" t="s">
        <v>114</v>
      </c>
    </row>
    <row r="34" spans="4:8" x14ac:dyDescent="0.3">
      <c r="D34" s="129" t="s">
        <v>224</v>
      </c>
      <c r="E34" s="130">
        <v>4.7</v>
      </c>
      <c r="F34" s="131">
        <v>43110</v>
      </c>
      <c r="G34" s="132">
        <v>907</v>
      </c>
    </row>
    <row r="35" spans="4:8" x14ac:dyDescent="0.3">
      <c r="D35" s="133" t="s">
        <v>232</v>
      </c>
      <c r="E35" s="127">
        <v>4.95</v>
      </c>
      <c r="F35" s="128">
        <v>46220</v>
      </c>
      <c r="G35" s="134">
        <v>910</v>
      </c>
    </row>
    <row r="36" spans="4:8" x14ac:dyDescent="0.3">
      <c r="D36" s="133" t="s">
        <v>230</v>
      </c>
      <c r="E36" s="127">
        <v>4.05</v>
      </c>
      <c r="F36" s="128">
        <v>41240</v>
      </c>
      <c r="G36" s="135">
        <v>579</v>
      </c>
    </row>
    <row r="37" spans="4:8" ht="15" thickBot="1" x14ac:dyDescent="0.35">
      <c r="D37" s="136" t="s">
        <v>235</v>
      </c>
      <c r="E37" s="137">
        <v>4.5999999999999996</v>
      </c>
      <c r="F37" s="138">
        <v>43910</v>
      </c>
      <c r="G37" s="139">
        <v>757</v>
      </c>
    </row>
    <row r="38" spans="4:8" x14ac:dyDescent="0.3">
      <c r="D38" s="129" t="s">
        <v>237</v>
      </c>
      <c r="E38" s="130">
        <v>4.45</v>
      </c>
      <c r="F38" s="131">
        <v>44490</v>
      </c>
      <c r="G38" s="132">
        <v>611</v>
      </c>
    </row>
    <row r="39" spans="4:8" x14ac:dyDescent="0.3">
      <c r="D39" s="133" t="s">
        <v>234</v>
      </c>
      <c r="E39" s="127">
        <v>4.6500000000000004</v>
      </c>
      <c r="F39" s="128">
        <v>45110</v>
      </c>
      <c r="G39" s="134">
        <v>715</v>
      </c>
    </row>
    <row r="40" spans="4:8" x14ac:dyDescent="0.3">
      <c r="D40" s="133" t="s">
        <v>238</v>
      </c>
      <c r="E40" s="127">
        <v>4.3</v>
      </c>
      <c r="F40" s="128">
        <v>42920</v>
      </c>
      <c r="G40" s="134">
        <v>612</v>
      </c>
    </row>
    <row r="41" spans="4:8" ht="15" thickBot="1" x14ac:dyDescent="0.35">
      <c r="D41" s="136" t="s">
        <v>231</v>
      </c>
      <c r="E41" s="137">
        <v>5.2</v>
      </c>
      <c r="F41" s="138">
        <v>46090</v>
      </c>
      <c r="G41" s="139">
        <v>1257</v>
      </c>
    </row>
    <row r="42" spans="4:8" x14ac:dyDescent="0.3">
      <c r="D42" s="129" t="s">
        <v>233</v>
      </c>
      <c r="E42" s="130">
        <v>4.7</v>
      </c>
      <c r="F42" s="131">
        <v>42690</v>
      </c>
      <c r="G42" s="132">
        <v>1067</v>
      </c>
    </row>
    <row r="43" spans="4:8" x14ac:dyDescent="0.3">
      <c r="D43" s="133" t="s">
        <v>236</v>
      </c>
      <c r="E43" s="127">
        <v>4.5</v>
      </c>
      <c r="F43" s="128">
        <v>46030</v>
      </c>
      <c r="G43" s="134">
        <v>441</v>
      </c>
    </row>
    <row r="44" spans="4:8" x14ac:dyDescent="0.3">
      <c r="D44" s="133" t="s">
        <v>229</v>
      </c>
      <c r="E44" s="127">
        <v>4.05</v>
      </c>
      <c r="F44" s="128">
        <v>41550</v>
      </c>
      <c r="G44" s="134">
        <v>491</v>
      </c>
    </row>
    <row r="45" spans="4:8" ht="15" thickBot="1" x14ac:dyDescent="0.35">
      <c r="D45" s="136" t="s">
        <v>225</v>
      </c>
      <c r="E45" s="137">
        <v>3.85</v>
      </c>
      <c r="F45" s="138">
        <v>38960</v>
      </c>
      <c r="G45" s="140">
        <v>345</v>
      </c>
    </row>
    <row r="46" spans="4:8" ht="15" thickBot="1" x14ac:dyDescent="0.35"/>
    <row r="47" spans="4:8" ht="15" thickBot="1" x14ac:dyDescent="0.35">
      <c r="D47" s="142" t="s">
        <v>262</v>
      </c>
      <c r="E47" s="143" t="s">
        <v>136</v>
      </c>
      <c r="F47" s="143" t="s">
        <v>227</v>
      </c>
      <c r="G47" s="144" t="s">
        <v>228</v>
      </c>
    </row>
    <row r="48" spans="4:8" x14ac:dyDescent="0.3">
      <c r="D48" s="129" t="s">
        <v>259</v>
      </c>
      <c r="E48" s="130">
        <f>SUM(E34:E37)</f>
        <v>18.299999999999997</v>
      </c>
      <c r="F48" s="131">
        <f>SUM(F34:F37)</f>
        <v>174480</v>
      </c>
      <c r="G48" s="131">
        <f>SUM(G34:G37)</f>
        <v>3153</v>
      </c>
    </row>
    <row r="49" spans="4:7" x14ac:dyDescent="0.3">
      <c r="D49" s="133" t="s">
        <v>260</v>
      </c>
      <c r="E49" s="127">
        <f>SUM(E38:E41)</f>
        <v>18.600000000000001</v>
      </c>
      <c r="F49" s="128">
        <f t="shared" ref="F49:G49" si="0">SUM(F38:F41)</f>
        <v>178610</v>
      </c>
      <c r="G49" s="128">
        <f t="shared" si="0"/>
        <v>3195</v>
      </c>
    </row>
    <row r="50" spans="4:7" ht="15" thickBot="1" x14ac:dyDescent="0.35">
      <c r="D50" s="171" t="s">
        <v>261</v>
      </c>
      <c r="E50" s="172">
        <f>SUM(E42:E45)</f>
        <v>17.100000000000001</v>
      </c>
      <c r="F50" s="173">
        <f t="shared" ref="F50:G50" si="1">SUM(F42:F45)</f>
        <v>169230</v>
      </c>
      <c r="G50" s="173">
        <f t="shared" si="1"/>
        <v>2344</v>
      </c>
    </row>
    <row r="51" spans="4:7" ht="15" thickBot="1" x14ac:dyDescent="0.35">
      <c r="D51" s="174" t="s">
        <v>263</v>
      </c>
      <c r="E51" s="175">
        <f>SUM(E48:E50)</f>
        <v>54</v>
      </c>
      <c r="F51" s="176">
        <f t="shared" ref="F51:G51" si="2">SUM(F48:F50)</f>
        <v>522320</v>
      </c>
      <c r="G51" s="177">
        <f t="shared" si="2"/>
        <v>8692</v>
      </c>
    </row>
  </sheetData>
  <mergeCells count="2">
    <mergeCell ref="A1:J1"/>
    <mergeCell ref="B19:C19"/>
  </mergeCells>
  <hyperlinks>
    <hyperlink ref="G10" r:id="rId1"/>
    <hyperlink ref="G9" r:id="rId2"/>
    <hyperlink ref="G8" r:id="rId3"/>
    <hyperlink ref="G3" r:id="rId4"/>
    <hyperlink ref="G6" r:id="rId5"/>
    <hyperlink ref="G13" r:id="rId6"/>
    <hyperlink ref="G7" r:id="rId7"/>
    <hyperlink ref="G11" r:id="rId8"/>
    <hyperlink ref="G12" r:id="rId9"/>
    <hyperlink ref="G14" r:id="rId10"/>
    <hyperlink ref="G5" r:id="rId11"/>
    <hyperlink ref="G4" r:id="rId12"/>
  </hyperlinks>
  <pageMargins left="0.23622047244094491" right="0.19685039370078741" top="0.55118110236220474" bottom="0.35433070866141736" header="0.31496062992125984" footer="0.31496062992125984"/>
  <pageSetup paperSize="9" orientation="landscape" r:id="rId1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6"/>
  <sheetViews>
    <sheetView zoomScale="90" zoomScaleNormal="90" workbookViewId="0">
      <pane ySplit="1" topLeftCell="A2" activePane="bottomLeft" state="frozen"/>
      <selection pane="bottomLeft" activeCell="K13" sqref="K13"/>
    </sheetView>
  </sheetViews>
  <sheetFormatPr defaultColWidth="8.88671875" defaultRowHeight="14.4" x14ac:dyDescent="0.3"/>
  <cols>
    <col min="1" max="1" width="9.5546875" bestFit="1" customWidth="1"/>
    <col min="2" max="2" width="6.44140625" bestFit="1" customWidth="1"/>
    <col min="3" max="3" width="19.33203125" bestFit="1" customWidth="1"/>
    <col min="4" max="5" width="30.88671875" bestFit="1" customWidth="1"/>
    <col min="6" max="6" width="8.44140625" bestFit="1" customWidth="1"/>
    <col min="7" max="8" width="7.5546875" bestFit="1" customWidth="1"/>
    <col min="9" max="9" width="7.88671875" bestFit="1" customWidth="1"/>
    <col min="10" max="10" width="7.5546875" bestFit="1" customWidth="1"/>
    <col min="11" max="11" width="8" bestFit="1" customWidth="1"/>
    <col min="12" max="12" width="7.5546875" bestFit="1" customWidth="1"/>
    <col min="13" max="13" width="9" bestFit="1" customWidth="1"/>
    <col min="14" max="14" width="8.109375" style="87" bestFit="1" customWidth="1"/>
    <col min="15" max="16" width="8.109375" bestFit="1" customWidth="1"/>
    <col min="17" max="17" width="57.109375" bestFit="1" customWidth="1"/>
    <col min="18" max="18" width="52.44140625" bestFit="1" customWidth="1"/>
  </cols>
  <sheetData>
    <row r="1" spans="1:19" ht="29.4" thickBot="1" x14ac:dyDescent="0.35">
      <c r="A1" s="71" t="s">
        <v>115</v>
      </c>
      <c r="B1" s="72" t="s">
        <v>0</v>
      </c>
      <c r="C1" s="73" t="s">
        <v>1</v>
      </c>
      <c r="D1" s="73" t="s">
        <v>2</v>
      </c>
      <c r="E1" s="73" t="s">
        <v>3</v>
      </c>
      <c r="F1" s="71" t="s">
        <v>111</v>
      </c>
      <c r="G1" s="71" t="s">
        <v>106</v>
      </c>
      <c r="H1" s="71" t="s">
        <v>107</v>
      </c>
      <c r="I1" s="71" t="s">
        <v>6</v>
      </c>
      <c r="J1" s="71" t="s">
        <v>128</v>
      </c>
      <c r="K1" s="71" t="s">
        <v>104</v>
      </c>
      <c r="L1" s="71" t="s">
        <v>108</v>
      </c>
      <c r="M1" s="71" t="s">
        <v>256</v>
      </c>
      <c r="N1" s="71" t="s">
        <v>112</v>
      </c>
      <c r="O1" s="71" t="s">
        <v>109</v>
      </c>
      <c r="P1" s="71" t="s">
        <v>110</v>
      </c>
      <c r="Q1" s="74" t="s">
        <v>8</v>
      </c>
      <c r="R1" s="1"/>
      <c r="S1" s="2"/>
    </row>
    <row r="2" spans="1:19" ht="15" thickBot="1" x14ac:dyDescent="0.35">
      <c r="A2" s="192">
        <v>1</v>
      </c>
      <c r="B2" s="53">
        <v>1</v>
      </c>
      <c r="C2" s="54" t="s">
        <v>9</v>
      </c>
      <c r="D2" s="54" t="s">
        <v>10</v>
      </c>
      <c r="E2" s="54" t="s">
        <v>11</v>
      </c>
      <c r="F2" s="58">
        <v>10740</v>
      </c>
      <c r="G2" s="54">
        <v>163</v>
      </c>
      <c r="H2" s="54">
        <v>150</v>
      </c>
      <c r="I2" s="54">
        <f>G2-H2</f>
        <v>13</v>
      </c>
      <c r="J2" s="55">
        <v>1.1000000000000001</v>
      </c>
      <c r="K2" s="4">
        <v>5.2</v>
      </c>
      <c r="L2" s="56">
        <f>(F2*K2)/1000</f>
        <v>55.847999999999999</v>
      </c>
      <c r="M2" s="57">
        <f>L2/1440</f>
        <v>3.8783333333333329E-2</v>
      </c>
      <c r="N2" s="159">
        <v>0.375</v>
      </c>
      <c r="O2" s="54" t="s">
        <v>12</v>
      </c>
      <c r="P2" s="58">
        <f>0/1000</f>
        <v>0</v>
      </c>
      <c r="Q2" s="59" t="s">
        <v>113</v>
      </c>
      <c r="R2" s="10"/>
    </row>
    <row r="3" spans="1:19" ht="15" thickBot="1" x14ac:dyDescent="0.35">
      <c r="A3" s="193"/>
      <c r="B3" s="19">
        <f>B57+1</f>
        <v>13</v>
      </c>
      <c r="C3" s="20" t="s">
        <v>31</v>
      </c>
      <c r="D3" s="20" t="s">
        <v>30</v>
      </c>
      <c r="E3" s="20" t="s">
        <v>32</v>
      </c>
      <c r="F3" s="24">
        <v>10180</v>
      </c>
      <c r="G3" s="20">
        <v>278</v>
      </c>
      <c r="H3" s="20">
        <v>136</v>
      </c>
      <c r="I3" s="20">
        <f>G3-H3</f>
        <v>142</v>
      </c>
      <c r="J3" s="55">
        <v>1.2</v>
      </c>
      <c r="K3" s="4">
        <v>5.2</v>
      </c>
      <c r="L3" s="21">
        <f>(F3*K3)/1000</f>
        <v>52.936</v>
      </c>
      <c r="M3" s="22">
        <f>L3/1440</f>
        <v>3.6761111111111112E-2</v>
      </c>
      <c r="N3" s="160">
        <f>N57+M57</f>
        <v>0.81024791666666662</v>
      </c>
      <c r="O3" s="20" t="s">
        <v>12</v>
      </c>
      <c r="P3" s="24">
        <f>P57+F57/1000</f>
        <v>124.23</v>
      </c>
      <c r="Q3" s="25"/>
    </row>
    <row r="4" spans="1:19" ht="15" thickBot="1" x14ac:dyDescent="0.35">
      <c r="A4" s="193"/>
      <c r="B4" s="11">
        <f>B58+1</f>
        <v>25</v>
      </c>
      <c r="C4" s="12" t="s">
        <v>58</v>
      </c>
      <c r="D4" s="12" t="s">
        <v>56</v>
      </c>
      <c r="E4" s="12" t="s">
        <v>59</v>
      </c>
      <c r="F4" s="16">
        <v>10760</v>
      </c>
      <c r="G4" s="12">
        <v>404</v>
      </c>
      <c r="H4" s="12">
        <v>283</v>
      </c>
      <c r="I4" s="12">
        <f>G4-H4</f>
        <v>121</v>
      </c>
      <c r="J4" s="55">
        <v>1.3</v>
      </c>
      <c r="K4" s="4">
        <v>5.3</v>
      </c>
      <c r="L4" s="13">
        <f>(F4*K4)/1000</f>
        <v>57.027999999999999</v>
      </c>
      <c r="M4" s="14">
        <f>L4/1440</f>
        <v>3.9602777777777778E-2</v>
      </c>
      <c r="N4" s="161">
        <f>N58+M58</f>
        <v>1.2616652777777781</v>
      </c>
      <c r="O4" s="12" t="s">
        <v>37</v>
      </c>
      <c r="P4" s="16">
        <f>P58+F58/1000</f>
        <v>251.79000000000002</v>
      </c>
      <c r="Q4" s="17"/>
    </row>
    <row r="5" spans="1:19" s="27" customFormat="1" x14ac:dyDescent="0.3">
      <c r="A5" s="193"/>
      <c r="B5" s="19">
        <f>B59+1</f>
        <v>37</v>
      </c>
      <c r="C5" s="20" t="s">
        <v>86</v>
      </c>
      <c r="D5" s="20" t="s">
        <v>161</v>
      </c>
      <c r="E5" s="20" t="s">
        <v>162</v>
      </c>
      <c r="F5" s="24">
        <v>11430</v>
      </c>
      <c r="G5" s="20">
        <v>62</v>
      </c>
      <c r="H5" s="20">
        <v>74</v>
      </c>
      <c r="I5" s="20">
        <f>G5-H5</f>
        <v>-12</v>
      </c>
      <c r="J5" s="55">
        <v>1.1000000000000001</v>
      </c>
      <c r="K5" s="4">
        <v>5.2</v>
      </c>
      <c r="L5" s="21">
        <f>(F5*K5)/1000</f>
        <v>59.436</v>
      </c>
      <c r="M5" s="22">
        <f>L5/1440</f>
        <v>4.1274999999999999E-2</v>
      </c>
      <c r="N5" s="160">
        <f>N59+M59</f>
        <v>1.0950319444444445</v>
      </c>
      <c r="O5" s="20" t="s">
        <v>81</v>
      </c>
      <c r="P5" s="24">
        <f>P59+F59/1000</f>
        <v>387.63000000000005</v>
      </c>
      <c r="Q5" s="25" t="s">
        <v>114</v>
      </c>
    </row>
    <row r="6" spans="1:19" ht="15" thickBot="1" x14ac:dyDescent="0.35">
      <c r="A6" s="194"/>
      <c r="B6" s="186" t="s">
        <v>242</v>
      </c>
      <c r="C6" s="187"/>
      <c r="D6" s="188"/>
      <c r="E6" s="75" t="s">
        <v>116</v>
      </c>
      <c r="F6" s="64">
        <f>SUM(F2:F5)</f>
        <v>43110</v>
      </c>
      <c r="G6" s="65">
        <f t="shared" ref="G6:M6" si="0">SUM(G2:G5)</f>
        <v>907</v>
      </c>
      <c r="H6" s="65">
        <f t="shared" si="0"/>
        <v>643</v>
      </c>
      <c r="I6" s="65">
        <f t="shared" si="0"/>
        <v>264</v>
      </c>
      <c r="J6" s="65">
        <f>SUM(J2:J5)</f>
        <v>4.6999999999999993</v>
      </c>
      <c r="K6" s="65" t="s">
        <v>114</v>
      </c>
      <c r="L6" s="65">
        <f t="shared" si="0"/>
        <v>225.24799999999999</v>
      </c>
      <c r="M6" s="66">
        <f t="shared" si="0"/>
        <v>0.15642222222222221</v>
      </c>
      <c r="N6" s="162"/>
      <c r="O6" s="67"/>
      <c r="P6" s="67"/>
      <c r="Q6" s="68"/>
    </row>
    <row r="7" spans="1:19" ht="15" thickBot="1" x14ac:dyDescent="0.35">
      <c r="A7" s="192">
        <v>2</v>
      </c>
      <c r="B7" s="53">
        <f>B2+1</f>
        <v>2</v>
      </c>
      <c r="C7" s="54" t="s">
        <v>13</v>
      </c>
      <c r="D7" s="54" t="s">
        <v>11</v>
      </c>
      <c r="E7" s="54" t="s">
        <v>148</v>
      </c>
      <c r="F7" s="58">
        <v>14600</v>
      </c>
      <c r="G7" s="54">
        <v>278</v>
      </c>
      <c r="H7" s="54">
        <v>245</v>
      </c>
      <c r="I7" s="54">
        <f t="shared" ref="I7:I59" si="1">G7-H7</f>
        <v>33</v>
      </c>
      <c r="J7" s="55">
        <v>1.55</v>
      </c>
      <c r="K7" s="4">
        <v>5</v>
      </c>
      <c r="L7" s="56">
        <f t="shared" ref="L7:L59" si="2">(F7*K7)/1000</f>
        <v>73</v>
      </c>
      <c r="M7" s="57">
        <f t="shared" ref="M7:M59" si="3">L7/1440</f>
        <v>5.0694444444444445E-2</v>
      </c>
      <c r="N7" s="159">
        <f>N2+M2</f>
        <v>0.41378333333333334</v>
      </c>
      <c r="O7" s="54" t="s">
        <v>12</v>
      </c>
      <c r="P7" s="58">
        <f>(P2+F2)/1000</f>
        <v>10.74</v>
      </c>
      <c r="Q7" s="59"/>
    </row>
    <row r="8" spans="1:19" ht="15" thickBot="1" x14ac:dyDescent="0.35">
      <c r="A8" s="193"/>
      <c r="B8" s="19">
        <f>B3+1</f>
        <v>14</v>
      </c>
      <c r="C8" s="20" t="s">
        <v>33</v>
      </c>
      <c r="D8" s="20" t="s">
        <v>32</v>
      </c>
      <c r="E8" s="20" t="s">
        <v>34</v>
      </c>
      <c r="F8" s="24">
        <v>10270</v>
      </c>
      <c r="G8" s="20">
        <v>400</v>
      </c>
      <c r="H8" s="20">
        <v>129</v>
      </c>
      <c r="I8" s="20">
        <f>G8-H8</f>
        <v>271</v>
      </c>
      <c r="J8" s="55">
        <v>1.3</v>
      </c>
      <c r="K8" s="4">
        <v>5</v>
      </c>
      <c r="L8" s="21">
        <f>(F8*K8)/1000</f>
        <v>51.35</v>
      </c>
      <c r="M8" s="22">
        <f>L8/1440</f>
        <v>3.5659722222222225E-2</v>
      </c>
      <c r="N8" s="160">
        <f>N3+M3</f>
        <v>0.84700902777777776</v>
      </c>
      <c r="O8" s="20" t="s">
        <v>12</v>
      </c>
      <c r="P8" s="24">
        <f>P3+F3/1000</f>
        <v>134.41</v>
      </c>
      <c r="Q8" s="25"/>
    </row>
    <row r="9" spans="1:19" ht="15" thickBot="1" x14ac:dyDescent="0.35">
      <c r="A9" s="193"/>
      <c r="B9" s="11">
        <f>B4+1</f>
        <v>26</v>
      </c>
      <c r="C9" s="12" t="s">
        <v>60</v>
      </c>
      <c r="D9" s="12" t="s">
        <v>59</v>
      </c>
      <c r="E9" s="12" t="s">
        <v>61</v>
      </c>
      <c r="F9" s="16">
        <v>10470</v>
      </c>
      <c r="G9" s="12">
        <v>195</v>
      </c>
      <c r="H9" s="12">
        <v>298</v>
      </c>
      <c r="I9" s="12">
        <f>G9-H9</f>
        <v>-103</v>
      </c>
      <c r="J9" s="55">
        <v>1.1000000000000001</v>
      </c>
      <c r="K9" s="4">
        <v>5</v>
      </c>
      <c r="L9" s="13">
        <f>(F9*K9)/1000</f>
        <v>52.35</v>
      </c>
      <c r="M9" s="14">
        <f>L9/1440</f>
        <v>3.6354166666666667E-2</v>
      </c>
      <c r="N9" s="161">
        <f>N4+M4</f>
        <v>1.301268055555556</v>
      </c>
      <c r="O9" s="12" t="s">
        <v>37</v>
      </c>
      <c r="P9" s="16">
        <f>P4+F4/1000</f>
        <v>262.55</v>
      </c>
      <c r="Q9" s="17" t="s">
        <v>114</v>
      </c>
    </row>
    <row r="10" spans="1:19" s="27" customFormat="1" x14ac:dyDescent="0.3">
      <c r="A10" s="193"/>
      <c r="B10" s="19">
        <f>B5+1</f>
        <v>38</v>
      </c>
      <c r="C10" s="20" t="s">
        <v>87</v>
      </c>
      <c r="D10" s="20" t="s">
        <v>162</v>
      </c>
      <c r="E10" s="20" t="s">
        <v>88</v>
      </c>
      <c r="F10" s="24">
        <v>10880</v>
      </c>
      <c r="G10" s="20">
        <v>37</v>
      </c>
      <c r="H10" s="20">
        <v>46</v>
      </c>
      <c r="I10" s="20">
        <f>G10-H10</f>
        <v>-9</v>
      </c>
      <c r="J10" s="55">
        <v>1</v>
      </c>
      <c r="K10" s="4">
        <v>5</v>
      </c>
      <c r="L10" s="21">
        <f>(F10*K10)/1000</f>
        <v>54.4</v>
      </c>
      <c r="M10" s="22">
        <f>L10/1440</f>
        <v>3.7777777777777778E-2</v>
      </c>
      <c r="N10" s="160">
        <f>N5+M5</f>
        <v>1.1363069444444445</v>
      </c>
      <c r="O10" s="20" t="s">
        <v>81</v>
      </c>
      <c r="P10" s="24">
        <f>P5+F5/1000</f>
        <v>399.06000000000006</v>
      </c>
      <c r="Q10" s="25" t="s">
        <v>114</v>
      </c>
    </row>
    <row r="11" spans="1:19" ht="15" thickBot="1" x14ac:dyDescent="0.35">
      <c r="A11" s="194"/>
      <c r="B11" s="189" t="s">
        <v>243</v>
      </c>
      <c r="C11" s="190"/>
      <c r="D11" s="191"/>
      <c r="E11" s="75" t="s">
        <v>127</v>
      </c>
      <c r="F11" s="64">
        <f>SUM(F7:F10)</f>
        <v>46220</v>
      </c>
      <c r="G11" s="65">
        <f t="shared" ref="G11" si="4">SUM(G7:G10)</f>
        <v>910</v>
      </c>
      <c r="H11" s="65">
        <f t="shared" ref="H11" si="5">SUM(H7:H10)</f>
        <v>718</v>
      </c>
      <c r="I11" s="65">
        <f t="shared" ref="I11" si="6">SUM(I7:I10)</f>
        <v>192</v>
      </c>
      <c r="J11" s="65">
        <f t="shared" ref="J11" si="7">SUM(J7:J10)</f>
        <v>4.95</v>
      </c>
      <c r="K11" s="65" t="s">
        <v>114</v>
      </c>
      <c r="L11" s="65">
        <f t="shared" ref="L11" si="8">SUM(L7:L10)</f>
        <v>231.1</v>
      </c>
      <c r="M11" s="66">
        <f t="shared" ref="M11" si="9">SUM(M7:M10)</f>
        <v>0.16048611111111111</v>
      </c>
      <c r="N11" s="162"/>
      <c r="O11" s="67"/>
      <c r="P11" s="67"/>
      <c r="Q11" s="68"/>
    </row>
    <row r="12" spans="1:19" ht="15" thickBot="1" x14ac:dyDescent="0.35">
      <c r="A12" s="192">
        <v>3</v>
      </c>
      <c r="B12" s="53">
        <f>B7+1</f>
        <v>3</v>
      </c>
      <c r="C12" s="54" t="s">
        <v>14</v>
      </c>
      <c r="D12" s="54" t="s">
        <v>148</v>
      </c>
      <c r="E12" s="54" t="s">
        <v>149</v>
      </c>
      <c r="F12" s="58">
        <v>8660</v>
      </c>
      <c r="G12" s="54">
        <v>213</v>
      </c>
      <c r="H12" s="54">
        <v>145</v>
      </c>
      <c r="I12" s="54">
        <f t="shared" si="1"/>
        <v>68</v>
      </c>
      <c r="J12" s="55">
        <v>0.9</v>
      </c>
      <c r="K12" s="4">
        <v>5.2</v>
      </c>
      <c r="L12" s="56">
        <f t="shared" si="2"/>
        <v>45.031999999999996</v>
      </c>
      <c r="M12" s="57">
        <f t="shared" si="3"/>
        <v>3.1272222222222222E-2</v>
      </c>
      <c r="N12" s="159">
        <f>N7+M7</f>
        <v>0.46447777777777777</v>
      </c>
      <c r="O12" s="54" t="s">
        <v>12</v>
      </c>
      <c r="P12" s="58">
        <f>P7+F7/1000</f>
        <v>25.34</v>
      </c>
      <c r="Q12" s="59"/>
    </row>
    <row r="13" spans="1:19" ht="15" thickBot="1" x14ac:dyDescent="0.35">
      <c r="A13" s="193"/>
      <c r="B13" s="19">
        <f>B8+1</f>
        <v>15</v>
      </c>
      <c r="C13" s="20" t="s">
        <v>35</v>
      </c>
      <c r="D13" s="20" t="s">
        <v>34</v>
      </c>
      <c r="E13" s="20" t="s">
        <v>36</v>
      </c>
      <c r="F13" s="24">
        <v>11280</v>
      </c>
      <c r="G13" s="20">
        <v>151</v>
      </c>
      <c r="H13" s="20">
        <v>315</v>
      </c>
      <c r="I13" s="20">
        <f>G13-H13</f>
        <v>-164</v>
      </c>
      <c r="J13" s="55">
        <v>1.1499999999999999</v>
      </c>
      <c r="K13" s="4">
        <v>5.0999999999999996</v>
      </c>
      <c r="L13" s="21">
        <f>(F13*K13)/1000</f>
        <v>57.527999999999992</v>
      </c>
      <c r="M13" s="22">
        <f>L13/1440</f>
        <v>3.9949999999999992E-2</v>
      </c>
      <c r="N13" s="160">
        <f>N8+M8</f>
        <v>0.88266875</v>
      </c>
      <c r="O13" s="20" t="s">
        <v>37</v>
      </c>
      <c r="P13" s="24">
        <f>P8+F8/1000</f>
        <v>144.68</v>
      </c>
      <c r="Q13" s="25"/>
    </row>
    <row r="14" spans="1:19" s="27" customFormat="1" ht="15" thickBot="1" x14ac:dyDescent="0.35">
      <c r="A14" s="193"/>
      <c r="B14" s="11">
        <f>B9+1</f>
        <v>27</v>
      </c>
      <c r="C14" s="12" t="s">
        <v>63</v>
      </c>
      <c r="D14" s="12" t="s">
        <v>61</v>
      </c>
      <c r="E14" s="12" t="s">
        <v>64</v>
      </c>
      <c r="F14" s="16">
        <v>11610</v>
      </c>
      <c r="G14" s="12">
        <v>106</v>
      </c>
      <c r="H14" s="12">
        <v>229</v>
      </c>
      <c r="I14" s="12">
        <f>G14-H14</f>
        <v>-123</v>
      </c>
      <c r="J14" s="55">
        <v>1.1000000000000001</v>
      </c>
      <c r="K14" s="4">
        <v>5.3</v>
      </c>
      <c r="L14" s="13">
        <f>(F14*K14)/1000</f>
        <v>61.533000000000001</v>
      </c>
      <c r="M14" s="14">
        <f>L14/1440</f>
        <v>4.2731249999999998E-2</v>
      </c>
      <c r="N14" s="161">
        <f>N9+M9</f>
        <v>1.3376222222222227</v>
      </c>
      <c r="O14" s="12" t="s">
        <v>37</v>
      </c>
      <c r="P14" s="16">
        <f>P9+F9/1000</f>
        <v>273.02000000000004</v>
      </c>
      <c r="Q14" s="26" t="s">
        <v>114</v>
      </c>
    </row>
    <row r="15" spans="1:19" s="27" customFormat="1" x14ac:dyDescent="0.3">
      <c r="A15" s="193"/>
      <c r="B15" s="19">
        <f>B10+1</f>
        <v>39</v>
      </c>
      <c r="C15" s="20" t="s">
        <v>89</v>
      </c>
      <c r="D15" s="20" t="s">
        <v>88</v>
      </c>
      <c r="E15" s="20" t="s">
        <v>90</v>
      </c>
      <c r="F15" s="24">
        <v>9690</v>
      </c>
      <c r="G15" s="20">
        <v>109</v>
      </c>
      <c r="H15" s="20">
        <v>111</v>
      </c>
      <c r="I15" s="20">
        <f>G15-H15</f>
        <v>-2</v>
      </c>
      <c r="J15" s="55">
        <v>0.9</v>
      </c>
      <c r="K15" s="4">
        <v>5.0999999999999996</v>
      </c>
      <c r="L15" s="21">
        <f>(F15*K15)/1000</f>
        <v>49.418999999999997</v>
      </c>
      <c r="M15" s="22">
        <f>L15/1440</f>
        <v>3.4318749999999995E-2</v>
      </c>
      <c r="N15" s="160">
        <f>N10+M10</f>
        <v>1.1740847222222222</v>
      </c>
      <c r="O15" s="20" t="s">
        <v>81</v>
      </c>
      <c r="P15" s="24">
        <f>P10+F10/1000</f>
        <v>409.94000000000005</v>
      </c>
      <c r="Q15" s="25"/>
    </row>
    <row r="16" spans="1:19" ht="15" thickBot="1" x14ac:dyDescent="0.35">
      <c r="A16" s="194"/>
      <c r="B16" s="186" t="s">
        <v>245</v>
      </c>
      <c r="C16" s="187"/>
      <c r="D16" s="188"/>
      <c r="E16" s="75" t="s">
        <v>126</v>
      </c>
      <c r="F16" s="64">
        <f>SUM(F12:F15)</f>
        <v>41240</v>
      </c>
      <c r="G16" s="65">
        <f t="shared" ref="G16" si="10">SUM(G12:G15)</f>
        <v>579</v>
      </c>
      <c r="H16" s="65">
        <f t="shared" ref="H16" si="11">SUM(H12:H15)</f>
        <v>800</v>
      </c>
      <c r="I16" s="65">
        <f t="shared" ref="I16" si="12">SUM(I12:I15)</f>
        <v>-221</v>
      </c>
      <c r="J16" s="65">
        <f t="shared" ref="J16" si="13">SUM(J12:J15)</f>
        <v>4.05</v>
      </c>
      <c r="K16" s="65" t="s">
        <v>114</v>
      </c>
      <c r="L16" s="65">
        <f t="shared" ref="L16" si="14">SUM(L12:L15)</f>
        <v>213.512</v>
      </c>
      <c r="M16" s="66">
        <f t="shared" ref="M16" si="15">SUM(M12:M15)</f>
        <v>0.14827222222222219</v>
      </c>
      <c r="N16" s="162"/>
      <c r="O16" s="67"/>
      <c r="P16" s="67"/>
      <c r="Q16" s="68"/>
    </row>
    <row r="17" spans="1:17" ht="15" thickBot="1" x14ac:dyDescent="0.35">
      <c r="A17" s="192">
        <v>4</v>
      </c>
      <c r="B17" s="53">
        <f>B12+1</f>
        <v>4</v>
      </c>
      <c r="C17" s="54" t="s">
        <v>15</v>
      </c>
      <c r="D17" s="54" t="s">
        <v>149</v>
      </c>
      <c r="E17" s="54" t="s">
        <v>150</v>
      </c>
      <c r="F17" s="58">
        <v>11470</v>
      </c>
      <c r="G17" s="54">
        <v>536</v>
      </c>
      <c r="H17" s="54">
        <v>524</v>
      </c>
      <c r="I17" s="54">
        <f t="shared" si="1"/>
        <v>12</v>
      </c>
      <c r="J17" s="55">
        <v>1.5</v>
      </c>
      <c r="K17" s="4">
        <v>5</v>
      </c>
      <c r="L17" s="56">
        <f t="shared" si="2"/>
        <v>57.35</v>
      </c>
      <c r="M17" s="57">
        <f t="shared" si="3"/>
        <v>3.982638888888889E-2</v>
      </c>
      <c r="N17" s="159">
        <f>N12+M12</f>
        <v>0.49574999999999997</v>
      </c>
      <c r="O17" s="54" t="s">
        <v>12</v>
      </c>
      <c r="P17" s="58">
        <f>P12+F12/1000</f>
        <v>34</v>
      </c>
      <c r="Q17" s="59" t="s">
        <v>16</v>
      </c>
    </row>
    <row r="18" spans="1:17" ht="15" thickBot="1" x14ac:dyDescent="0.35">
      <c r="A18" s="193"/>
      <c r="B18" s="19">
        <f>B13+1</f>
        <v>16</v>
      </c>
      <c r="C18" s="20" t="s">
        <v>38</v>
      </c>
      <c r="D18" s="20" t="s">
        <v>39</v>
      </c>
      <c r="E18" s="20" t="s">
        <v>40</v>
      </c>
      <c r="F18" s="24">
        <v>13870</v>
      </c>
      <c r="G18" s="20">
        <v>53</v>
      </c>
      <c r="H18" s="20">
        <v>373</v>
      </c>
      <c r="I18" s="20">
        <f>G18-H18</f>
        <v>-320</v>
      </c>
      <c r="J18" s="55">
        <v>1.3</v>
      </c>
      <c r="K18" s="4">
        <v>5</v>
      </c>
      <c r="L18" s="21">
        <f>(F18*K18)/1000</f>
        <v>69.349999999999994</v>
      </c>
      <c r="M18" s="22">
        <f>L18/1440</f>
        <v>4.8159722222222215E-2</v>
      </c>
      <c r="N18" s="160">
        <f>N13+M13</f>
        <v>0.92261875000000004</v>
      </c>
      <c r="O18" s="20" t="s">
        <v>37</v>
      </c>
      <c r="P18" s="24">
        <f>P13+F13/1000</f>
        <v>155.96</v>
      </c>
      <c r="Q18" s="25" t="s">
        <v>41</v>
      </c>
    </row>
    <row r="19" spans="1:17" s="35" customFormat="1" ht="15" thickBot="1" x14ac:dyDescent="0.35">
      <c r="A19" s="193"/>
      <c r="B19" s="28">
        <f>B14+1</f>
        <v>28</v>
      </c>
      <c r="C19" s="29" t="s">
        <v>66</v>
      </c>
      <c r="D19" s="29" t="s">
        <v>64</v>
      </c>
      <c r="E19" s="29" t="s">
        <v>67</v>
      </c>
      <c r="F19" s="33">
        <v>6950</v>
      </c>
      <c r="G19" s="29">
        <v>76</v>
      </c>
      <c r="H19" s="29">
        <v>102</v>
      </c>
      <c r="I19" s="29">
        <f>G19-H19</f>
        <v>-26</v>
      </c>
      <c r="J19" s="55">
        <v>0.7</v>
      </c>
      <c r="K19" s="4">
        <v>5</v>
      </c>
      <c r="L19" s="30">
        <f>(F19*K19)/1000</f>
        <v>34.75</v>
      </c>
      <c r="M19" s="31">
        <f>L19/1440</f>
        <v>2.4131944444444445E-2</v>
      </c>
      <c r="N19" s="163">
        <f>N14+M14</f>
        <v>1.3803534722222226</v>
      </c>
      <c r="O19" s="29" t="s">
        <v>37</v>
      </c>
      <c r="P19" s="33">
        <f>P14+F14/1000</f>
        <v>284.63000000000005</v>
      </c>
      <c r="Q19" s="34" t="s">
        <v>68</v>
      </c>
    </row>
    <row r="20" spans="1:17" s="27" customFormat="1" x14ac:dyDescent="0.3">
      <c r="A20" s="193"/>
      <c r="B20" s="19">
        <f>B15+1</f>
        <v>40</v>
      </c>
      <c r="C20" s="20" t="s">
        <v>91</v>
      </c>
      <c r="D20" s="20" t="s">
        <v>90</v>
      </c>
      <c r="E20" s="20" t="s">
        <v>92</v>
      </c>
      <c r="F20" s="24">
        <v>11620</v>
      </c>
      <c r="G20" s="20">
        <v>92</v>
      </c>
      <c r="H20" s="20">
        <v>94</v>
      </c>
      <c r="I20" s="20">
        <f>G20-H20</f>
        <v>-2</v>
      </c>
      <c r="J20" s="55">
        <v>1.1000000000000001</v>
      </c>
      <c r="K20" s="4">
        <v>5</v>
      </c>
      <c r="L20" s="21">
        <f>(F20*K20)/1000</f>
        <v>58.1</v>
      </c>
      <c r="M20" s="22">
        <f>L20/1440</f>
        <v>4.0347222222222222E-2</v>
      </c>
      <c r="N20" s="160">
        <f>N15+M15</f>
        <v>1.2084034722222221</v>
      </c>
      <c r="O20" s="20" t="s">
        <v>81</v>
      </c>
      <c r="P20" s="24">
        <f>P15+F15/1000</f>
        <v>419.63000000000005</v>
      </c>
      <c r="Q20" s="25" t="s">
        <v>93</v>
      </c>
    </row>
    <row r="21" spans="1:17" ht="15" thickBot="1" x14ac:dyDescent="0.35">
      <c r="A21" s="194"/>
      <c r="B21" s="186" t="s">
        <v>246</v>
      </c>
      <c r="C21" s="187"/>
      <c r="D21" s="188"/>
      <c r="E21" s="75" t="s">
        <v>125</v>
      </c>
      <c r="F21" s="64">
        <f>SUM(F17:F20)</f>
        <v>43910</v>
      </c>
      <c r="G21" s="65">
        <f t="shared" ref="G21" si="16">SUM(G17:G20)</f>
        <v>757</v>
      </c>
      <c r="H21" s="65">
        <f t="shared" ref="H21" si="17">SUM(H17:H20)</f>
        <v>1093</v>
      </c>
      <c r="I21" s="65">
        <f t="shared" ref="I21" si="18">SUM(I17:I20)</f>
        <v>-336</v>
      </c>
      <c r="J21" s="65">
        <f t="shared" ref="J21" si="19">SUM(J17:J20)</f>
        <v>4.5999999999999996</v>
      </c>
      <c r="K21" s="65" t="s">
        <v>114</v>
      </c>
      <c r="L21" s="65">
        <f t="shared" ref="L21" si="20">SUM(L17:L20)</f>
        <v>219.54999999999998</v>
      </c>
      <c r="M21" s="66">
        <f t="shared" ref="M21" si="21">SUM(M17:M20)</f>
        <v>0.15246527777777777</v>
      </c>
      <c r="N21" s="162"/>
      <c r="O21" s="67"/>
      <c r="P21" s="67"/>
      <c r="Q21" s="68"/>
    </row>
    <row r="22" spans="1:17" ht="15" thickBot="1" x14ac:dyDescent="0.35">
      <c r="A22" s="192">
        <v>5</v>
      </c>
      <c r="B22" s="53">
        <f>B17+1</f>
        <v>5</v>
      </c>
      <c r="C22" s="54" t="s">
        <v>17</v>
      </c>
      <c r="D22" s="54" t="s">
        <v>150</v>
      </c>
      <c r="E22" s="54" t="s">
        <v>18</v>
      </c>
      <c r="F22" s="58">
        <v>9470</v>
      </c>
      <c r="G22" s="54">
        <v>211</v>
      </c>
      <c r="H22" s="54">
        <v>187</v>
      </c>
      <c r="I22" s="54">
        <f t="shared" si="1"/>
        <v>24</v>
      </c>
      <c r="J22" s="55">
        <v>1</v>
      </c>
      <c r="K22" s="4">
        <v>5.3</v>
      </c>
      <c r="L22" s="56">
        <f t="shared" si="2"/>
        <v>50.191000000000003</v>
      </c>
      <c r="M22" s="57">
        <f t="shared" si="3"/>
        <v>3.4854861111111114E-2</v>
      </c>
      <c r="N22" s="159">
        <f>N17+M17</f>
        <v>0.53557638888888881</v>
      </c>
      <c r="O22" s="54" t="s">
        <v>12</v>
      </c>
      <c r="P22" s="58">
        <f>P17+F17/1000</f>
        <v>45.47</v>
      </c>
      <c r="Q22" s="59"/>
    </row>
    <row r="23" spans="1:17" ht="15" thickBot="1" x14ac:dyDescent="0.35">
      <c r="A23" s="193"/>
      <c r="B23" s="19">
        <f>B18+1</f>
        <v>17</v>
      </c>
      <c r="C23" s="20" t="s">
        <v>42</v>
      </c>
      <c r="D23" s="20" t="s">
        <v>40</v>
      </c>
      <c r="E23" s="20" t="s">
        <v>43</v>
      </c>
      <c r="F23" s="24">
        <v>9730</v>
      </c>
      <c r="G23" s="20">
        <v>67</v>
      </c>
      <c r="H23" s="20">
        <v>154</v>
      </c>
      <c r="I23" s="20">
        <f>G23-H23</f>
        <v>-87</v>
      </c>
      <c r="J23" s="55">
        <v>0.9</v>
      </c>
      <c r="K23" s="4">
        <v>5.0999999999999996</v>
      </c>
      <c r="L23" s="21">
        <f>(F23*K23)/1000</f>
        <v>49.622999999999998</v>
      </c>
      <c r="M23" s="22">
        <f>L23/1440</f>
        <v>3.4460416666666667E-2</v>
      </c>
      <c r="N23" s="160">
        <f>N18+M18</f>
        <v>0.97077847222222224</v>
      </c>
      <c r="O23" s="20" t="s">
        <v>37</v>
      </c>
      <c r="P23" s="24">
        <f>P18+F18/1000</f>
        <v>169.83</v>
      </c>
      <c r="Q23" s="25" t="s">
        <v>44</v>
      </c>
    </row>
    <row r="24" spans="1:17" s="35" customFormat="1" ht="15" thickBot="1" x14ac:dyDescent="0.35">
      <c r="A24" s="193"/>
      <c r="B24" s="11">
        <f>B19+1</f>
        <v>29</v>
      </c>
      <c r="C24" s="12" t="s">
        <v>69</v>
      </c>
      <c r="D24" s="12" t="s">
        <v>67</v>
      </c>
      <c r="E24" s="12" t="s">
        <v>70</v>
      </c>
      <c r="F24" s="16">
        <v>12140</v>
      </c>
      <c r="G24" s="12">
        <v>114</v>
      </c>
      <c r="H24" s="12">
        <v>59</v>
      </c>
      <c r="I24" s="12">
        <f>G24-H24</f>
        <v>55</v>
      </c>
      <c r="J24" s="55">
        <v>1.2</v>
      </c>
      <c r="K24" s="4">
        <v>5.2</v>
      </c>
      <c r="L24" s="13">
        <f>(F24*K24)/1000</f>
        <v>63.128</v>
      </c>
      <c r="M24" s="14">
        <f>L24/1440</f>
        <v>4.3838888888888886E-2</v>
      </c>
      <c r="N24" s="161">
        <v>0.75</v>
      </c>
      <c r="O24" s="12" t="s">
        <v>37</v>
      </c>
      <c r="P24" s="16">
        <f>P19+F19/1000</f>
        <v>291.58000000000004</v>
      </c>
      <c r="Q24" s="26" t="s">
        <v>114</v>
      </c>
    </row>
    <row r="25" spans="1:17" s="36" customFormat="1" x14ac:dyDescent="0.3">
      <c r="A25" s="193"/>
      <c r="B25" s="19">
        <f>B20+1</f>
        <v>41</v>
      </c>
      <c r="C25" s="20" t="s">
        <v>94</v>
      </c>
      <c r="D25" s="20" t="s">
        <v>92</v>
      </c>
      <c r="E25" s="20" t="s">
        <v>163</v>
      </c>
      <c r="F25" s="24">
        <v>13150</v>
      </c>
      <c r="G25" s="20">
        <v>219</v>
      </c>
      <c r="H25" s="20">
        <v>217</v>
      </c>
      <c r="I25" s="20">
        <f>G25-H25</f>
        <v>2</v>
      </c>
      <c r="J25" s="55">
        <v>1.35</v>
      </c>
      <c r="K25" s="4">
        <v>5.3</v>
      </c>
      <c r="L25" s="21">
        <f>(F25*K25)/1000</f>
        <v>69.694999999999993</v>
      </c>
      <c r="M25" s="22">
        <f>L25/1440</f>
        <v>4.839930555555555E-2</v>
      </c>
      <c r="N25" s="160">
        <f>N20+M20</f>
        <v>1.2487506944444444</v>
      </c>
      <c r="O25" s="20" t="s">
        <v>81</v>
      </c>
      <c r="P25" s="24">
        <f>P20+F20/1000</f>
        <v>431.25000000000006</v>
      </c>
      <c r="Q25" s="25" t="s">
        <v>114</v>
      </c>
    </row>
    <row r="26" spans="1:17" ht="15" thickBot="1" x14ac:dyDescent="0.35">
      <c r="A26" s="194"/>
      <c r="B26" s="186" t="s">
        <v>247</v>
      </c>
      <c r="C26" s="187"/>
      <c r="D26" s="188"/>
      <c r="E26" s="75" t="s">
        <v>124</v>
      </c>
      <c r="F26" s="64">
        <f>SUM(F22:F25)</f>
        <v>44490</v>
      </c>
      <c r="G26" s="65">
        <f t="shared" ref="G26" si="22">SUM(G22:G25)</f>
        <v>611</v>
      </c>
      <c r="H26" s="65">
        <f t="shared" ref="H26" si="23">SUM(H22:H25)</f>
        <v>617</v>
      </c>
      <c r="I26" s="65">
        <f t="shared" ref="I26" si="24">SUM(I22:I25)</f>
        <v>-6</v>
      </c>
      <c r="J26" s="65">
        <f t="shared" ref="J26" si="25">SUM(J22:J25)</f>
        <v>4.4499999999999993</v>
      </c>
      <c r="K26" s="65" t="s">
        <v>114</v>
      </c>
      <c r="L26" s="65">
        <f t="shared" ref="L26" si="26">SUM(L22:L25)</f>
        <v>232.637</v>
      </c>
      <c r="M26" s="66">
        <f t="shared" ref="M26" si="27">SUM(M22:M25)</f>
        <v>0.16155347222222222</v>
      </c>
      <c r="N26" s="162"/>
      <c r="O26" s="67"/>
      <c r="P26" s="67"/>
      <c r="Q26" s="68"/>
    </row>
    <row r="27" spans="1:17" ht="15" thickBot="1" x14ac:dyDescent="0.35">
      <c r="A27" s="192">
        <v>6</v>
      </c>
      <c r="B27" s="53">
        <f>B22+1</f>
        <v>6</v>
      </c>
      <c r="C27" s="54" t="s">
        <v>19</v>
      </c>
      <c r="D27" s="54" t="s">
        <v>18</v>
      </c>
      <c r="E27" s="54" t="s">
        <v>20</v>
      </c>
      <c r="F27" s="58">
        <v>12800</v>
      </c>
      <c r="G27" s="54">
        <v>216</v>
      </c>
      <c r="H27" s="54">
        <v>186</v>
      </c>
      <c r="I27" s="54">
        <f t="shared" si="1"/>
        <v>30</v>
      </c>
      <c r="J27" s="55">
        <v>1.35</v>
      </c>
      <c r="K27" s="4">
        <v>5.2</v>
      </c>
      <c r="L27" s="56">
        <f t="shared" si="2"/>
        <v>66.56</v>
      </c>
      <c r="M27" s="57">
        <f t="shared" si="3"/>
        <v>4.6222222222222227E-2</v>
      </c>
      <c r="N27" s="159">
        <f>N22+M22</f>
        <v>0.57043124999999995</v>
      </c>
      <c r="O27" s="54" t="s">
        <v>12</v>
      </c>
      <c r="P27" s="58">
        <f>P22+F22/1000</f>
        <v>54.94</v>
      </c>
      <c r="Q27" s="59"/>
    </row>
    <row r="28" spans="1:17" ht="15" thickBot="1" x14ac:dyDescent="0.35">
      <c r="A28" s="193"/>
      <c r="B28" s="19">
        <f>B23+1</f>
        <v>18</v>
      </c>
      <c r="C28" s="20" t="s">
        <v>45</v>
      </c>
      <c r="D28" s="20" t="s">
        <v>43</v>
      </c>
      <c r="E28" s="20" t="s">
        <v>155</v>
      </c>
      <c r="F28" s="24">
        <v>8930</v>
      </c>
      <c r="G28" s="20">
        <v>45</v>
      </c>
      <c r="H28" s="20">
        <v>167</v>
      </c>
      <c r="I28" s="20">
        <f>G28-H28</f>
        <v>-122</v>
      </c>
      <c r="J28" s="55">
        <v>0.85</v>
      </c>
      <c r="K28" s="4">
        <v>5</v>
      </c>
      <c r="L28" s="21">
        <f>(F28*K28)/1000</f>
        <v>44.65</v>
      </c>
      <c r="M28" s="22">
        <f>L28/1440</f>
        <v>3.1006944444444445E-2</v>
      </c>
      <c r="N28" s="160">
        <f>N23+M23</f>
        <v>1.005238888888889</v>
      </c>
      <c r="O28" s="20" t="s">
        <v>37</v>
      </c>
      <c r="P28" s="24">
        <f>P23+F23/1000</f>
        <v>179.56</v>
      </c>
      <c r="Q28" s="25" t="s">
        <v>44</v>
      </c>
    </row>
    <row r="29" spans="1:17" ht="15" thickBot="1" x14ac:dyDescent="0.35">
      <c r="A29" s="193"/>
      <c r="B29" s="11">
        <f>B24+1</f>
        <v>30</v>
      </c>
      <c r="C29" s="12" t="s">
        <v>72</v>
      </c>
      <c r="D29" s="12" t="s">
        <v>70</v>
      </c>
      <c r="E29" s="12" t="s">
        <v>73</v>
      </c>
      <c r="F29" s="16">
        <v>10690</v>
      </c>
      <c r="G29" s="12">
        <v>254</v>
      </c>
      <c r="H29" s="12">
        <v>218</v>
      </c>
      <c r="I29" s="12">
        <f>G29-H29</f>
        <v>36</v>
      </c>
      <c r="J29" s="55">
        <v>1.1499999999999999</v>
      </c>
      <c r="K29" s="4">
        <v>5.2</v>
      </c>
      <c r="L29" s="13">
        <f>(F29*K29)/1000</f>
        <v>55.588000000000001</v>
      </c>
      <c r="M29" s="14">
        <f>L29/1440</f>
        <v>3.8602777777777778E-2</v>
      </c>
      <c r="N29" s="161">
        <f>N24+M24</f>
        <v>0.79383888888888887</v>
      </c>
      <c r="O29" s="12" t="s">
        <v>37</v>
      </c>
      <c r="P29" s="16">
        <f>P24+F24/1000</f>
        <v>303.72000000000003</v>
      </c>
      <c r="Q29" s="17" t="s">
        <v>74</v>
      </c>
    </row>
    <row r="30" spans="1:17" s="37" customFormat="1" x14ac:dyDescent="0.3">
      <c r="A30" s="193"/>
      <c r="B30" s="19">
        <f>B25+1</f>
        <v>42</v>
      </c>
      <c r="C30" s="20" t="s">
        <v>174</v>
      </c>
      <c r="D30" s="20" t="s">
        <v>163</v>
      </c>
      <c r="E30" s="20" t="s">
        <v>164</v>
      </c>
      <c r="F30" s="24">
        <v>12690</v>
      </c>
      <c r="G30" s="20">
        <v>200</v>
      </c>
      <c r="H30" s="20">
        <v>195</v>
      </c>
      <c r="I30" s="20">
        <f>G30-H30</f>
        <v>5</v>
      </c>
      <c r="J30" s="55">
        <v>1.3</v>
      </c>
      <c r="K30" s="4">
        <v>5.2</v>
      </c>
      <c r="L30" s="21">
        <f>(F30*K30)/1000</f>
        <v>65.988</v>
      </c>
      <c r="M30" s="22">
        <f>L30/1440</f>
        <v>4.5824999999999998E-2</v>
      </c>
      <c r="N30" s="160">
        <f>N25+M25</f>
        <v>1.29715</v>
      </c>
      <c r="O30" s="20" t="s">
        <v>81</v>
      </c>
      <c r="P30" s="24">
        <f>P25+F25/1000</f>
        <v>444.40000000000003</v>
      </c>
      <c r="Q30" s="25"/>
    </row>
    <row r="31" spans="1:17" ht="15" thickBot="1" x14ac:dyDescent="0.35">
      <c r="A31" s="194"/>
      <c r="B31" s="186" t="s">
        <v>249</v>
      </c>
      <c r="C31" s="187"/>
      <c r="D31" s="188"/>
      <c r="E31" s="75" t="s">
        <v>123</v>
      </c>
      <c r="F31" s="64">
        <f>SUM(F27:F30)</f>
        <v>45110</v>
      </c>
      <c r="G31" s="65">
        <f t="shared" ref="G31" si="28">SUM(G27:G30)</f>
        <v>715</v>
      </c>
      <c r="H31" s="65">
        <f t="shared" ref="H31" si="29">SUM(H27:H30)</f>
        <v>766</v>
      </c>
      <c r="I31" s="65">
        <f t="shared" ref="I31" si="30">SUM(I27:I30)</f>
        <v>-51</v>
      </c>
      <c r="J31" s="65">
        <f t="shared" ref="J31" si="31">SUM(J27:J30)</f>
        <v>4.6500000000000004</v>
      </c>
      <c r="K31" s="65" t="s">
        <v>114</v>
      </c>
      <c r="L31" s="65">
        <f t="shared" ref="L31" si="32">SUM(L27:L30)</f>
        <v>232.786</v>
      </c>
      <c r="M31" s="66">
        <f t="shared" ref="M31" si="33">SUM(M27:M30)</f>
        <v>0.16165694444444445</v>
      </c>
      <c r="N31" s="162"/>
      <c r="O31" s="67"/>
      <c r="P31" s="67"/>
      <c r="Q31" s="68"/>
    </row>
    <row r="32" spans="1:17" ht="15" thickBot="1" x14ac:dyDescent="0.35">
      <c r="A32" s="192">
        <v>7</v>
      </c>
      <c r="B32" s="53">
        <f>B27+1</f>
        <v>7</v>
      </c>
      <c r="C32" s="54" t="s">
        <v>21</v>
      </c>
      <c r="D32" s="54" t="s">
        <v>20</v>
      </c>
      <c r="E32" s="54" t="s">
        <v>151</v>
      </c>
      <c r="F32" s="58">
        <v>7170</v>
      </c>
      <c r="G32" s="54">
        <v>87</v>
      </c>
      <c r="H32" s="54">
        <v>44</v>
      </c>
      <c r="I32" s="54">
        <f t="shared" si="1"/>
        <v>43</v>
      </c>
      <c r="J32" s="55">
        <v>0.7</v>
      </c>
      <c r="K32" s="4">
        <v>5</v>
      </c>
      <c r="L32" s="56">
        <f t="shared" si="2"/>
        <v>35.85</v>
      </c>
      <c r="M32" s="57">
        <f t="shared" si="3"/>
        <v>2.4895833333333336E-2</v>
      </c>
      <c r="N32" s="159">
        <f>N27+M27</f>
        <v>0.61665347222222222</v>
      </c>
      <c r="O32" s="54" t="s">
        <v>12</v>
      </c>
      <c r="P32" s="58">
        <f>P27+F27/1000</f>
        <v>67.739999999999995</v>
      </c>
      <c r="Q32" s="59"/>
    </row>
    <row r="33" spans="1:17" ht="15" thickBot="1" x14ac:dyDescent="0.35">
      <c r="A33" s="193"/>
      <c r="B33" s="19">
        <f>B28+1</f>
        <v>19</v>
      </c>
      <c r="C33" s="20" t="s">
        <v>46</v>
      </c>
      <c r="D33" s="20" t="s">
        <v>155</v>
      </c>
      <c r="E33" s="20" t="s">
        <v>156</v>
      </c>
      <c r="F33" s="24">
        <v>10550</v>
      </c>
      <c r="G33" s="20">
        <v>135</v>
      </c>
      <c r="H33" s="20">
        <v>123</v>
      </c>
      <c r="I33" s="20">
        <f>G33-H33</f>
        <v>12</v>
      </c>
      <c r="J33" s="55">
        <v>1</v>
      </c>
      <c r="K33" s="4">
        <v>5.0999999999999996</v>
      </c>
      <c r="L33" s="21">
        <f>(F33*K33)/1000</f>
        <v>53.804999999999993</v>
      </c>
      <c r="M33" s="22">
        <f>L33/1440</f>
        <v>3.7364583333333326E-2</v>
      </c>
      <c r="N33" s="160">
        <f>N28+M28</f>
        <v>1.0362458333333335</v>
      </c>
      <c r="O33" s="20" t="s">
        <v>37</v>
      </c>
      <c r="P33" s="24">
        <f>P28+F28/1000</f>
        <v>188.49</v>
      </c>
      <c r="Q33" s="25"/>
    </row>
    <row r="34" spans="1:17" ht="15" thickBot="1" x14ac:dyDescent="0.35">
      <c r="A34" s="193"/>
      <c r="B34" s="11">
        <f>B29+1</f>
        <v>31</v>
      </c>
      <c r="C34" s="12" t="s">
        <v>75</v>
      </c>
      <c r="D34" s="12" t="s">
        <v>73</v>
      </c>
      <c r="E34" s="12" t="s">
        <v>76</v>
      </c>
      <c r="F34" s="16">
        <v>12300</v>
      </c>
      <c r="G34" s="12">
        <v>161</v>
      </c>
      <c r="H34" s="12">
        <v>62</v>
      </c>
      <c r="I34" s="12">
        <f>G34-H34</f>
        <v>99</v>
      </c>
      <c r="J34" s="55">
        <v>1.25</v>
      </c>
      <c r="K34" s="4">
        <v>5.3</v>
      </c>
      <c r="L34" s="13">
        <f>(F34*K34)/1000</f>
        <v>65.19</v>
      </c>
      <c r="M34" s="14">
        <f>L34/1440</f>
        <v>4.527083333333333E-2</v>
      </c>
      <c r="N34" s="161">
        <f>N29+M29</f>
        <v>0.83244166666666664</v>
      </c>
      <c r="O34" s="12" t="s">
        <v>37</v>
      </c>
      <c r="P34" s="16">
        <f>P29+F29/1000</f>
        <v>314.41000000000003</v>
      </c>
      <c r="Q34" s="17"/>
    </row>
    <row r="35" spans="1:17" s="36" customFormat="1" x14ac:dyDescent="0.3">
      <c r="A35" s="193"/>
      <c r="B35" s="19">
        <f>B30+1</f>
        <v>43</v>
      </c>
      <c r="C35" s="20" t="s">
        <v>175</v>
      </c>
      <c r="D35" s="20" t="s">
        <v>164</v>
      </c>
      <c r="E35" s="20" t="s">
        <v>165</v>
      </c>
      <c r="F35" s="24">
        <v>12900</v>
      </c>
      <c r="G35" s="20">
        <v>229</v>
      </c>
      <c r="H35" s="20">
        <v>169</v>
      </c>
      <c r="I35" s="20">
        <f>G35-H35</f>
        <v>60</v>
      </c>
      <c r="J35" s="55">
        <v>1.35</v>
      </c>
      <c r="K35" s="4">
        <v>5.3</v>
      </c>
      <c r="L35" s="21">
        <f>(F35*K35)/1000</f>
        <v>68.37</v>
      </c>
      <c r="M35" s="22">
        <f>L35/1440</f>
        <v>4.747916666666667E-2</v>
      </c>
      <c r="N35" s="160">
        <f>N30+M30</f>
        <v>1.342975</v>
      </c>
      <c r="O35" s="20" t="s">
        <v>81</v>
      </c>
      <c r="P35" s="24">
        <f>P30+F30/1000</f>
        <v>457.09000000000003</v>
      </c>
      <c r="Q35" s="25"/>
    </row>
    <row r="36" spans="1:17" ht="15" thickBot="1" x14ac:dyDescent="0.35">
      <c r="A36" s="194"/>
      <c r="B36" s="186" t="s">
        <v>248</v>
      </c>
      <c r="C36" s="187"/>
      <c r="D36" s="188"/>
      <c r="E36" s="75" t="s">
        <v>122</v>
      </c>
      <c r="F36" s="64">
        <f>SUM(F32:F35)</f>
        <v>42920</v>
      </c>
      <c r="G36" s="65">
        <f t="shared" ref="G36" si="34">SUM(G32:G35)</f>
        <v>612</v>
      </c>
      <c r="H36" s="65">
        <f t="shared" ref="H36" si="35">SUM(H32:H35)</f>
        <v>398</v>
      </c>
      <c r="I36" s="65">
        <f t="shared" ref="I36" si="36">SUM(I32:I35)</f>
        <v>214</v>
      </c>
      <c r="J36" s="65">
        <f t="shared" ref="J36" si="37">SUM(J32:J35)</f>
        <v>4.3000000000000007</v>
      </c>
      <c r="K36" s="65" t="s">
        <v>114</v>
      </c>
      <c r="L36" s="65">
        <f t="shared" ref="L36" si="38">SUM(L32:L35)</f>
        <v>223.215</v>
      </c>
      <c r="M36" s="66">
        <f t="shared" ref="M36" si="39">SUM(M32:M35)</f>
        <v>0.15501041666666665</v>
      </c>
      <c r="N36" s="162"/>
      <c r="O36" s="67"/>
      <c r="P36" s="67"/>
      <c r="Q36" s="68"/>
    </row>
    <row r="37" spans="1:17" ht="15" thickBot="1" x14ac:dyDescent="0.35">
      <c r="A37" s="192">
        <v>8</v>
      </c>
      <c r="B37" s="53">
        <f>B32+1</f>
        <v>8</v>
      </c>
      <c r="C37" s="54" t="s">
        <v>22</v>
      </c>
      <c r="D37" s="54" t="s">
        <v>151</v>
      </c>
      <c r="E37" s="54" t="s">
        <v>23</v>
      </c>
      <c r="F37" s="58">
        <v>14860</v>
      </c>
      <c r="G37" s="54">
        <v>361</v>
      </c>
      <c r="H37" s="54">
        <v>214</v>
      </c>
      <c r="I37" s="54">
        <f t="shared" si="1"/>
        <v>147</v>
      </c>
      <c r="J37" s="55">
        <v>1.65</v>
      </c>
      <c r="K37" s="4">
        <v>4.5</v>
      </c>
      <c r="L37" s="56">
        <f t="shared" si="2"/>
        <v>66.87</v>
      </c>
      <c r="M37" s="57">
        <f t="shared" si="3"/>
        <v>4.6437500000000007E-2</v>
      </c>
      <c r="N37" s="159">
        <f>N32+M32</f>
        <v>0.64154930555555556</v>
      </c>
      <c r="O37" s="54" t="s">
        <v>12</v>
      </c>
      <c r="P37" s="58">
        <f>P32+F32/1000</f>
        <v>74.91</v>
      </c>
      <c r="Q37" s="59" t="s">
        <v>114</v>
      </c>
    </row>
    <row r="38" spans="1:17" ht="15" thickBot="1" x14ac:dyDescent="0.35">
      <c r="A38" s="193"/>
      <c r="B38" s="19">
        <f>B33+1</f>
        <v>20</v>
      </c>
      <c r="C38" s="20" t="s">
        <v>47</v>
      </c>
      <c r="D38" s="20" t="s">
        <v>156</v>
      </c>
      <c r="E38" s="20" t="s">
        <v>157</v>
      </c>
      <c r="F38" s="24">
        <v>8670</v>
      </c>
      <c r="G38" s="20">
        <v>381</v>
      </c>
      <c r="H38" s="20">
        <v>195</v>
      </c>
      <c r="I38" s="20">
        <f>G38-H38</f>
        <v>186</v>
      </c>
      <c r="J38" s="55">
        <v>1.1000000000000001</v>
      </c>
      <c r="K38" s="4">
        <v>4.9000000000000004</v>
      </c>
      <c r="L38" s="21">
        <f>(F38*K38)/1000</f>
        <v>42.482999999999997</v>
      </c>
      <c r="M38" s="22">
        <f>L38/1440</f>
        <v>2.9502083333333332E-2</v>
      </c>
      <c r="N38" s="160">
        <f>N33+M33</f>
        <v>1.0736104166666669</v>
      </c>
      <c r="O38" s="20" t="s">
        <v>37</v>
      </c>
      <c r="P38" s="24">
        <f>P33+F33/1000</f>
        <v>199.04000000000002</v>
      </c>
      <c r="Q38" s="25" t="s">
        <v>48</v>
      </c>
    </row>
    <row r="39" spans="1:17" ht="15" thickBot="1" x14ac:dyDescent="0.35">
      <c r="A39" s="193"/>
      <c r="B39" s="11">
        <f>B34+1</f>
        <v>32</v>
      </c>
      <c r="C39" s="12" t="s">
        <v>77</v>
      </c>
      <c r="D39" s="12" t="s">
        <v>76</v>
      </c>
      <c r="E39" s="12" t="s">
        <v>78</v>
      </c>
      <c r="F39" s="16">
        <v>9960</v>
      </c>
      <c r="G39" s="12">
        <v>359</v>
      </c>
      <c r="H39" s="12">
        <v>248</v>
      </c>
      <c r="I39" s="12">
        <f>G39-H39</f>
        <v>111</v>
      </c>
      <c r="J39" s="55">
        <v>1.2</v>
      </c>
      <c r="K39" s="4">
        <v>4.7</v>
      </c>
      <c r="L39" s="13">
        <f>(F39*K39)/1000</f>
        <v>46.811999999999998</v>
      </c>
      <c r="M39" s="14">
        <f>L39/1440</f>
        <v>3.2508333333333334E-2</v>
      </c>
      <c r="N39" s="161">
        <f>N34+M34</f>
        <v>0.87771250000000001</v>
      </c>
      <c r="O39" s="12" t="s">
        <v>37</v>
      </c>
      <c r="P39" s="16">
        <f>P34+F34/1000</f>
        <v>326.71000000000004</v>
      </c>
      <c r="Q39" s="17" t="s">
        <v>79</v>
      </c>
    </row>
    <row r="40" spans="1:17" s="36" customFormat="1" x14ac:dyDescent="0.3">
      <c r="A40" s="193"/>
      <c r="B40" s="19">
        <f>B35+1</f>
        <v>44</v>
      </c>
      <c r="C40" s="20" t="s">
        <v>95</v>
      </c>
      <c r="D40" s="20" t="s">
        <v>165</v>
      </c>
      <c r="E40" s="20" t="s">
        <v>166</v>
      </c>
      <c r="F40" s="24">
        <v>12600</v>
      </c>
      <c r="G40" s="20">
        <v>156</v>
      </c>
      <c r="H40" s="20">
        <v>196</v>
      </c>
      <c r="I40" s="20">
        <f>G40-H40</f>
        <v>-40</v>
      </c>
      <c r="J40" s="55">
        <v>1.25</v>
      </c>
      <c r="K40" s="4">
        <v>4.4000000000000004</v>
      </c>
      <c r="L40" s="21">
        <f>(F40*K40)/1000</f>
        <v>55.440000000000005</v>
      </c>
      <c r="M40" s="22">
        <f>L40/1440</f>
        <v>3.8500000000000006E-2</v>
      </c>
      <c r="N40" s="160">
        <f>N35+M35</f>
        <v>1.3904541666666668</v>
      </c>
      <c r="O40" s="20" t="s">
        <v>81</v>
      </c>
      <c r="P40" s="24">
        <f>P35+F35/1000</f>
        <v>469.99</v>
      </c>
      <c r="Q40" s="25" t="s">
        <v>114</v>
      </c>
    </row>
    <row r="41" spans="1:17" ht="15" thickBot="1" x14ac:dyDescent="0.35">
      <c r="A41" s="194"/>
      <c r="B41" s="186" t="s">
        <v>250</v>
      </c>
      <c r="C41" s="187"/>
      <c r="D41" s="188"/>
      <c r="E41" s="75" t="s">
        <v>121</v>
      </c>
      <c r="F41" s="64">
        <f>SUM(F37:F40)</f>
        <v>46090</v>
      </c>
      <c r="G41" s="65">
        <f t="shared" ref="G41" si="40">SUM(G37:G40)</f>
        <v>1257</v>
      </c>
      <c r="H41" s="65">
        <f t="shared" ref="H41" si="41">SUM(H37:H40)</f>
        <v>853</v>
      </c>
      <c r="I41" s="65">
        <f t="shared" ref="I41" si="42">SUM(I37:I40)</f>
        <v>404</v>
      </c>
      <c r="J41" s="65">
        <f t="shared" ref="J41" si="43">SUM(J37:J40)</f>
        <v>5.2</v>
      </c>
      <c r="K41" s="65" t="s">
        <v>114</v>
      </c>
      <c r="L41" s="65">
        <f t="shared" ref="L41" si="44">SUM(L37:L40)</f>
        <v>211.60500000000002</v>
      </c>
      <c r="M41" s="66">
        <f t="shared" ref="M41" si="45">SUM(M37:M40)</f>
        <v>0.14694791666666668</v>
      </c>
      <c r="N41" s="162"/>
      <c r="O41" s="67"/>
      <c r="P41" s="67"/>
      <c r="Q41" s="68"/>
    </row>
    <row r="42" spans="1:17" ht="15" thickBot="1" x14ac:dyDescent="0.35">
      <c r="A42" s="192">
        <v>9</v>
      </c>
      <c r="B42" s="53">
        <f>B37+1</f>
        <v>9</v>
      </c>
      <c r="C42" s="54" t="s">
        <v>25</v>
      </c>
      <c r="D42" s="54" t="s">
        <v>23</v>
      </c>
      <c r="E42" s="54" t="s">
        <v>152</v>
      </c>
      <c r="F42" s="58">
        <v>10020</v>
      </c>
      <c r="G42" s="54">
        <v>415</v>
      </c>
      <c r="H42" s="54">
        <v>160</v>
      </c>
      <c r="I42" s="54">
        <f t="shared" si="1"/>
        <v>255</v>
      </c>
      <c r="J42" s="55">
        <v>1.25</v>
      </c>
      <c r="K42" s="4">
        <v>5.2</v>
      </c>
      <c r="L42" s="56">
        <f t="shared" si="2"/>
        <v>52.103999999999999</v>
      </c>
      <c r="M42" s="57">
        <f t="shared" si="3"/>
        <v>3.6183333333333331E-2</v>
      </c>
      <c r="N42" s="159">
        <f>N37+M37</f>
        <v>0.68798680555555558</v>
      </c>
      <c r="O42" s="54" t="s">
        <v>12</v>
      </c>
      <c r="P42" s="58">
        <f>P37+F37/1000</f>
        <v>89.77</v>
      </c>
      <c r="Q42" s="59" t="s">
        <v>26</v>
      </c>
    </row>
    <row r="43" spans="1:17" ht="15" thickBot="1" x14ac:dyDescent="0.35">
      <c r="A43" s="193"/>
      <c r="B43" s="19">
        <f>B38+1</f>
        <v>21</v>
      </c>
      <c r="C43" s="20" t="s">
        <v>49</v>
      </c>
      <c r="D43" s="20" t="s">
        <v>157</v>
      </c>
      <c r="E43" s="20" t="s">
        <v>50</v>
      </c>
      <c r="F43" s="24">
        <v>9000</v>
      </c>
      <c r="G43" s="20">
        <v>251</v>
      </c>
      <c r="H43" s="20">
        <v>437</v>
      </c>
      <c r="I43" s="20">
        <f>G43-H43</f>
        <v>-186</v>
      </c>
      <c r="J43" s="55">
        <v>1</v>
      </c>
      <c r="K43" s="4">
        <v>5.0999999999999996</v>
      </c>
      <c r="L43" s="21">
        <f>(F43*K43)/1000</f>
        <v>45.9</v>
      </c>
      <c r="M43" s="22">
        <f>L43/1440</f>
        <v>3.1875000000000001E-2</v>
      </c>
      <c r="N43" s="160">
        <f>N38+M38</f>
        <v>1.1031125000000002</v>
      </c>
      <c r="O43" s="20" t="s">
        <v>37</v>
      </c>
      <c r="P43" s="24">
        <f>P38+F38/1000</f>
        <v>207.71</v>
      </c>
      <c r="Q43" s="25" t="s">
        <v>114</v>
      </c>
    </row>
    <row r="44" spans="1:17" ht="15" thickBot="1" x14ac:dyDescent="0.35">
      <c r="A44" s="193"/>
      <c r="B44" s="11">
        <f>B39+1</f>
        <v>33</v>
      </c>
      <c r="C44" s="12" t="s">
        <v>80</v>
      </c>
      <c r="D44" s="12" t="s">
        <v>78</v>
      </c>
      <c r="E44" s="12" t="s">
        <v>101</v>
      </c>
      <c r="F44" s="16">
        <v>11360</v>
      </c>
      <c r="G44" s="12">
        <v>310</v>
      </c>
      <c r="H44" s="12">
        <v>434</v>
      </c>
      <c r="I44" s="12">
        <f>G44-H44</f>
        <v>-124</v>
      </c>
      <c r="J44" s="55">
        <v>1.3</v>
      </c>
      <c r="K44" s="4">
        <v>5.3</v>
      </c>
      <c r="L44" s="13">
        <f>(F44*K44)/1000</f>
        <v>60.207999999999998</v>
      </c>
      <c r="M44" s="14">
        <f>L44/1440</f>
        <v>4.1811111111111111E-2</v>
      </c>
      <c r="N44" s="161">
        <f>N39+M39</f>
        <v>0.91022083333333337</v>
      </c>
      <c r="O44" s="12" t="s">
        <v>81</v>
      </c>
      <c r="P44" s="16">
        <f>P39+F39/1000</f>
        <v>336.67</v>
      </c>
      <c r="Q44" s="17" t="s">
        <v>114</v>
      </c>
    </row>
    <row r="45" spans="1:17" s="27" customFormat="1" x14ac:dyDescent="0.3">
      <c r="A45" s="193"/>
      <c r="B45" s="19">
        <f>B40+1</f>
        <v>45</v>
      </c>
      <c r="C45" s="20" t="s">
        <v>173</v>
      </c>
      <c r="D45" s="20" t="s">
        <v>166</v>
      </c>
      <c r="E45" s="20" t="s">
        <v>96</v>
      </c>
      <c r="F45" s="24">
        <v>12310</v>
      </c>
      <c r="G45" s="20">
        <v>91</v>
      </c>
      <c r="H45" s="20">
        <v>163</v>
      </c>
      <c r="I45" s="20">
        <f>G45-H45</f>
        <v>-72</v>
      </c>
      <c r="J45" s="55">
        <v>1.1499999999999999</v>
      </c>
      <c r="K45" s="4">
        <v>5</v>
      </c>
      <c r="L45" s="21">
        <f>(F45*K45)/1000</f>
        <v>61.55</v>
      </c>
      <c r="M45" s="22">
        <f>L45/1440</f>
        <v>4.2743055555555555E-2</v>
      </c>
      <c r="N45" s="160">
        <f>N40+M40</f>
        <v>1.4289541666666667</v>
      </c>
      <c r="O45" s="20" t="s">
        <v>81</v>
      </c>
      <c r="P45" s="24">
        <f>P40+F40/1000</f>
        <v>482.59000000000003</v>
      </c>
      <c r="Q45" s="25" t="s">
        <v>114</v>
      </c>
    </row>
    <row r="46" spans="1:17" ht="15" thickBot="1" x14ac:dyDescent="0.35">
      <c r="A46" s="194"/>
      <c r="B46" s="186" t="s">
        <v>254</v>
      </c>
      <c r="C46" s="187"/>
      <c r="D46" s="188"/>
      <c r="E46" s="75" t="s">
        <v>120</v>
      </c>
      <c r="F46" s="64">
        <f>SUM(F42:F45)</f>
        <v>42690</v>
      </c>
      <c r="G46" s="65">
        <f t="shared" ref="G46" si="46">SUM(G42:G45)</f>
        <v>1067</v>
      </c>
      <c r="H46" s="65">
        <f t="shared" ref="H46" si="47">SUM(H42:H45)</f>
        <v>1194</v>
      </c>
      <c r="I46" s="65">
        <f t="shared" ref="I46" si="48">SUM(I42:I45)</f>
        <v>-127</v>
      </c>
      <c r="J46" s="65">
        <f>SUM(J42:J45)</f>
        <v>4.6999999999999993</v>
      </c>
      <c r="K46" s="65" t="s">
        <v>114</v>
      </c>
      <c r="L46" s="65">
        <f t="shared" ref="L46" si="49">SUM(L42:L45)</f>
        <v>219.762</v>
      </c>
      <c r="M46" s="66">
        <f t="shared" ref="M46" si="50">SUM(M42:M45)</f>
        <v>0.15261249999999998</v>
      </c>
      <c r="N46" s="162"/>
      <c r="O46" s="67"/>
      <c r="P46" s="67"/>
      <c r="Q46" s="68"/>
    </row>
    <row r="47" spans="1:17" ht="15" thickBot="1" x14ac:dyDescent="0.35">
      <c r="A47" s="192">
        <v>10</v>
      </c>
      <c r="B47" s="53">
        <f>B42+1</f>
        <v>10</v>
      </c>
      <c r="C47" s="54" t="s">
        <v>27</v>
      </c>
      <c r="D47" s="54" t="s">
        <v>152</v>
      </c>
      <c r="E47" s="54" t="s">
        <v>153</v>
      </c>
      <c r="F47" s="58">
        <v>6750</v>
      </c>
      <c r="G47" s="54">
        <v>125</v>
      </c>
      <c r="H47" s="54">
        <v>182</v>
      </c>
      <c r="I47" s="54">
        <f t="shared" si="1"/>
        <v>-57</v>
      </c>
      <c r="J47" s="55">
        <v>0.7</v>
      </c>
      <c r="K47" s="4">
        <v>5</v>
      </c>
      <c r="L47" s="56">
        <f t="shared" si="2"/>
        <v>33.75</v>
      </c>
      <c r="M47" s="57">
        <f t="shared" si="3"/>
        <v>2.34375E-2</v>
      </c>
      <c r="N47" s="159">
        <f>N42+M42</f>
        <v>0.72417013888888893</v>
      </c>
      <c r="O47" s="54" t="s">
        <v>12</v>
      </c>
      <c r="P47" s="58">
        <f>P42+F42/1000</f>
        <v>99.789999999999992</v>
      </c>
      <c r="Q47" s="59"/>
    </row>
    <row r="48" spans="1:17" ht="15" thickBot="1" x14ac:dyDescent="0.35">
      <c r="A48" s="193"/>
      <c r="B48" s="19">
        <f>B43+1</f>
        <v>22</v>
      </c>
      <c r="C48" s="20" t="s">
        <v>51</v>
      </c>
      <c r="D48" s="20" t="s">
        <v>50</v>
      </c>
      <c r="E48" s="20" t="s">
        <v>158</v>
      </c>
      <c r="F48" s="24">
        <v>13300</v>
      </c>
      <c r="G48" s="20">
        <v>115</v>
      </c>
      <c r="H48" s="20">
        <v>193</v>
      </c>
      <c r="I48" s="20">
        <f>G48-H48</f>
        <v>-78</v>
      </c>
      <c r="J48" s="55">
        <v>1.3</v>
      </c>
      <c r="K48" s="4">
        <v>5.2</v>
      </c>
      <c r="L48" s="21">
        <f>(F48*K48)/1000</f>
        <v>69.16</v>
      </c>
      <c r="M48" s="22">
        <f>L48/1440</f>
        <v>4.8027777777777773E-2</v>
      </c>
      <c r="N48" s="160">
        <f>N43+M43</f>
        <v>1.1349875000000003</v>
      </c>
      <c r="O48" s="20" t="s">
        <v>37</v>
      </c>
      <c r="P48" s="24">
        <f>P43+F43/1000</f>
        <v>216.71</v>
      </c>
      <c r="Q48" s="25" t="s">
        <v>114</v>
      </c>
    </row>
    <row r="49" spans="1:19" ht="15" thickBot="1" x14ac:dyDescent="0.35">
      <c r="A49" s="193"/>
      <c r="B49" s="11">
        <f>B44+1</f>
        <v>34</v>
      </c>
      <c r="C49" s="12" t="s">
        <v>82</v>
      </c>
      <c r="D49" s="12" t="s">
        <v>101</v>
      </c>
      <c r="E49" s="12" t="s">
        <v>83</v>
      </c>
      <c r="F49" s="16">
        <v>14360</v>
      </c>
      <c r="G49" s="12">
        <v>185</v>
      </c>
      <c r="H49" s="12">
        <v>458</v>
      </c>
      <c r="I49" s="12">
        <f>G49-H49</f>
        <v>-273</v>
      </c>
      <c r="J49" s="55">
        <v>1.4</v>
      </c>
      <c r="K49" s="4">
        <v>5.2</v>
      </c>
      <c r="L49" s="13">
        <f>(F49*K49)/1000</f>
        <v>74.671999999999997</v>
      </c>
      <c r="M49" s="14">
        <f>L49/1440</f>
        <v>5.1855555555555551E-2</v>
      </c>
      <c r="N49" s="161">
        <f>N44+M44</f>
        <v>0.9520319444444445</v>
      </c>
      <c r="O49" s="12" t="s">
        <v>81</v>
      </c>
      <c r="P49" s="16">
        <f>P44+F44/1000</f>
        <v>348.03000000000003</v>
      </c>
      <c r="Q49" s="17"/>
    </row>
    <row r="50" spans="1:19" s="27" customFormat="1" x14ac:dyDescent="0.3">
      <c r="A50" s="193"/>
      <c r="B50" s="19">
        <f>B45+1</f>
        <v>46</v>
      </c>
      <c r="C50" s="20" t="s">
        <v>172</v>
      </c>
      <c r="D50" s="20" t="s">
        <v>96</v>
      </c>
      <c r="E50" s="20" t="s">
        <v>167</v>
      </c>
      <c r="F50" s="24">
        <v>11620</v>
      </c>
      <c r="G50" s="20">
        <v>16</v>
      </c>
      <c r="H50" s="20">
        <v>19</v>
      </c>
      <c r="I50" s="20">
        <f>G50-H50</f>
        <v>-3</v>
      </c>
      <c r="J50" s="55">
        <v>1.1000000000000001</v>
      </c>
      <c r="K50" s="4">
        <v>5.2</v>
      </c>
      <c r="L50" s="21">
        <f>(F50*K50)/1000</f>
        <v>60.423999999999999</v>
      </c>
      <c r="M50" s="22">
        <f>L50/1440</f>
        <v>4.1961111111111109E-2</v>
      </c>
      <c r="N50" s="160">
        <f>N45+M45</f>
        <v>1.4716972222222222</v>
      </c>
      <c r="O50" s="20" t="s">
        <v>81</v>
      </c>
      <c r="P50" s="24">
        <f>P45+F45/1000</f>
        <v>494.90000000000003</v>
      </c>
      <c r="Q50" s="25" t="s">
        <v>114</v>
      </c>
    </row>
    <row r="51" spans="1:19" ht="15" thickBot="1" x14ac:dyDescent="0.35">
      <c r="A51" s="194"/>
      <c r="B51" s="186" t="s">
        <v>257</v>
      </c>
      <c r="C51" s="187"/>
      <c r="D51" s="188"/>
      <c r="E51" s="75" t="s">
        <v>119</v>
      </c>
      <c r="F51" s="64">
        <f>SUM(F47:F50)</f>
        <v>46030</v>
      </c>
      <c r="G51" s="65">
        <f t="shared" ref="G51" si="51">SUM(G47:G50)</f>
        <v>441</v>
      </c>
      <c r="H51" s="65">
        <f t="shared" ref="H51" si="52">SUM(H47:H50)</f>
        <v>852</v>
      </c>
      <c r="I51" s="65">
        <f t="shared" ref="I51" si="53">SUM(I47:I50)</f>
        <v>-411</v>
      </c>
      <c r="J51" s="65">
        <f t="shared" ref="J51" si="54">SUM(J47:J50)</f>
        <v>4.5</v>
      </c>
      <c r="K51" s="65" t="s">
        <v>114</v>
      </c>
      <c r="L51" s="65">
        <f t="shared" ref="L51" si="55">SUM(L47:L50)</f>
        <v>238.006</v>
      </c>
      <c r="M51" s="66">
        <f t="shared" ref="M51" si="56">SUM(M47:M50)</f>
        <v>0.16528194444444444</v>
      </c>
      <c r="N51" s="162"/>
      <c r="O51" s="67"/>
      <c r="P51" s="67"/>
      <c r="Q51" s="68"/>
    </row>
    <row r="52" spans="1:19" ht="15" thickBot="1" x14ac:dyDescent="0.35">
      <c r="A52" s="192">
        <v>11</v>
      </c>
      <c r="B52" s="53">
        <f>B47+1</f>
        <v>11</v>
      </c>
      <c r="C52" s="54" t="s">
        <v>28</v>
      </c>
      <c r="D52" s="54" t="s">
        <v>153</v>
      </c>
      <c r="E52" s="54" t="s">
        <v>154</v>
      </c>
      <c r="F52" s="58">
        <v>8930</v>
      </c>
      <c r="G52" s="54">
        <v>123</v>
      </c>
      <c r="H52" s="54">
        <v>248</v>
      </c>
      <c r="I52" s="54">
        <f t="shared" si="1"/>
        <v>-125</v>
      </c>
      <c r="J52" s="55">
        <v>0.85</v>
      </c>
      <c r="K52" s="4">
        <v>5</v>
      </c>
      <c r="L52" s="56">
        <f t="shared" si="2"/>
        <v>44.65</v>
      </c>
      <c r="M52" s="57">
        <f t="shared" si="3"/>
        <v>3.1006944444444445E-2</v>
      </c>
      <c r="N52" s="159">
        <f>N47+M47</f>
        <v>0.74760763888888893</v>
      </c>
      <c r="O52" s="54" t="s">
        <v>12</v>
      </c>
      <c r="P52" s="58">
        <f>P47+F47/1000</f>
        <v>106.53999999999999</v>
      </c>
      <c r="Q52" s="59"/>
      <c r="S52" s="18"/>
    </row>
    <row r="53" spans="1:19" ht="15" thickBot="1" x14ac:dyDescent="0.35">
      <c r="A53" s="193"/>
      <c r="B53" s="19">
        <f>B48+1</f>
        <v>23</v>
      </c>
      <c r="C53" s="20" t="s">
        <v>53</v>
      </c>
      <c r="D53" s="20" t="s">
        <v>158</v>
      </c>
      <c r="E53" s="20" t="s">
        <v>159</v>
      </c>
      <c r="F53" s="24">
        <v>10440</v>
      </c>
      <c r="G53" s="20">
        <v>217</v>
      </c>
      <c r="H53" s="20">
        <v>245</v>
      </c>
      <c r="I53" s="20">
        <f>G53-H53</f>
        <v>-28</v>
      </c>
      <c r="J53" s="55">
        <v>1.1000000000000001</v>
      </c>
      <c r="K53" s="4">
        <v>5.2</v>
      </c>
      <c r="L53" s="21">
        <f>(F53*K53)/1000</f>
        <v>54.287999999999997</v>
      </c>
      <c r="M53" s="22">
        <f>L53/1440</f>
        <v>3.7699999999999997E-2</v>
      </c>
      <c r="N53" s="160">
        <f>N48+M48</f>
        <v>1.183015277777778</v>
      </c>
      <c r="O53" s="20" t="s">
        <v>37</v>
      </c>
      <c r="P53" s="24">
        <f>P48+F48/1000</f>
        <v>230.01000000000002</v>
      </c>
      <c r="Q53" s="25" t="s">
        <v>114</v>
      </c>
    </row>
    <row r="54" spans="1:19" ht="15" thickBot="1" x14ac:dyDescent="0.35">
      <c r="A54" s="193"/>
      <c r="B54" s="11">
        <f>B49+1</f>
        <v>35</v>
      </c>
      <c r="C54" s="12" t="s">
        <v>84</v>
      </c>
      <c r="D54" s="12" t="s">
        <v>83</v>
      </c>
      <c r="E54" s="12" t="s">
        <v>160</v>
      </c>
      <c r="F54" s="16">
        <v>12640</v>
      </c>
      <c r="G54" s="12">
        <v>81</v>
      </c>
      <c r="H54" s="12">
        <v>107</v>
      </c>
      <c r="I54" s="12">
        <f>G54-H54</f>
        <v>-26</v>
      </c>
      <c r="J54" s="55">
        <v>1.2</v>
      </c>
      <c r="K54" s="4">
        <v>5.2</v>
      </c>
      <c r="L54" s="13">
        <f>(F54*K54)/1000</f>
        <v>65.727999999999994</v>
      </c>
      <c r="M54" s="14">
        <f>L54/1440</f>
        <v>4.5644444444444439E-2</v>
      </c>
      <c r="N54" s="161">
        <f>N49+M49</f>
        <v>1.0038875</v>
      </c>
      <c r="O54" s="12" t="s">
        <v>81</v>
      </c>
      <c r="P54" s="16">
        <f>P49+F49/1000</f>
        <v>362.39000000000004</v>
      </c>
      <c r="Q54" s="17"/>
    </row>
    <row r="55" spans="1:19" s="27" customFormat="1" x14ac:dyDescent="0.3">
      <c r="A55" s="193"/>
      <c r="B55" s="19">
        <f>B50+1</f>
        <v>47</v>
      </c>
      <c r="C55" s="20" t="s">
        <v>171</v>
      </c>
      <c r="D55" s="20" t="s">
        <v>167</v>
      </c>
      <c r="E55" s="20" t="s">
        <v>168</v>
      </c>
      <c r="F55" s="24">
        <v>9540</v>
      </c>
      <c r="G55" s="20">
        <v>70</v>
      </c>
      <c r="H55" s="20">
        <v>68</v>
      </c>
      <c r="I55" s="20">
        <f>G55-H55</f>
        <v>2</v>
      </c>
      <c r="J55" s="55">
        <v>0.9</v>
      </c>
      <c r="K55" s="4">
        <v>5.0999999999999996</v>
      </c>
      <c r="L55" s="21">
        <f>(F55*K55)/1000</f>
        <v>48.654000000000003</v>
      </c>
      <c r="M55" s="22">
        <f>L55/1440</f>
        <v>3.3787500000000005E-2</v>
      </c>
      <c r="N55" s="160">
        <f>N50+M50</f>
        <v>1.5136583333333333</v>
      </c>
      <c r="O55" s="20" t="s">
        <v>81</v>
      </c>
      <c r="P55" s="24">
        <f>P50+F50/1000</f>
        <v>506.52000000000004</v>
      </c>
      <c r="Q55" s="25" t="s">
        <v>114</v>
      </c>
    </row>
    <row r="56" spans="1:19" ht="15" thickBot="1" x14ac:dyDescent="0.35">
      <c r="A56" s="194"/>
      <c r="B56" s="186" t="s">
        <v>258</v>
      </c>
      <c r="C56" s="187"/>
      <c r="D56" s="188"/>
      <c r="E56" s="75" t="s">
        <v>118</v>
      </c>
      <c r="F56" s="64">
        <f>SUM(F52:F55)</f>
        <v>41550</v>
      </c>
      <c r="G56" s="65">
        <f t="shared" ref="G56" si="57">SUM(G52:G55)</f>
        <v>491</v>
      </c>
      <c r="H56" s="65">
        <f t="shared" ref="H56" si="58">SUM(H52:H55)</f>
        <v>668</v>
      </c>
      <c r="I56" s="65">
        <f t="shared" ref="I56" si="59">SUM(I52:I55)</f>
        <v>-177</v>
      </c>
      <c r="J56" s="65">
        <f t="shared" ref="J56" si="60">SUM(J52:J55)</f>
        <v>4.0500000000000007</v>
      </c>
      <c r="K56" s="65" t="s">
        <v>114</v>
      </c>
      <c r="L56" s="65">
        <f t="shared" ref="L56" si="61">SUM(L52:L55)</f>
        <v>213.32</v>
      </c>
      <c r="M56" s="66">
        <f t="shared" ref="M56" si="62">SUM(M52:M55)</f>
        <v>0.14813888888888888</v>
      </c>
      <c r="N56" s="162"/>
      <c r="O56" s="67"/>
      <c r="P56" s="67"/>
      <c r="Q56" s="68"/>
    </row>
    <row r="57" spans="1:19" ht="15" thickBot="1" x14ac:dyDescent="0.35">
      <c r="A57" s="192">
        <v>12</v>
      </c>
      <c r="B57" s="53">
        <f>B52+1</f>
        <v>12</v>
      </c>
      <c r="C57" s="54" t="s">
        <v>29</v>
      </c>
      <c r="D57" s="54" t="s">
        <v>154</v>
      </c>
      <c r="E57" s="54" t="s">
        <v>30</v>
      </c>
      <c r="F57" s="58">
        <v>8760</v>
      </c>
      <c r="G57" s="54">
        <v>207</v>
      </c>
      <c r="H57" s="54">
        <v>11</v>
      </c>
      <c r="I57" s="54">
        <f t="shared" si="1"/>
        <v>196</v>
      </c>
      <c r="J57" s="55">
        <v>0.95</v>
      </c>
      <c r="K57" s="4">
        <v>5.2</v>
      </c>
      <c r="L57" s="56">
        <f t="shared" si="2"/>
        <v>45.552</v>
      </c>
      <c r="M57" s="57">
        <f t="shared" si="3"/>
        <v>3.1633333333333333E-2</v>
      </c>
      <c r="N57" s="159">
        <f>N52+M52</f>
        <v>0.77861458333333333</v>
      </c>
      <c r="O57" s="54" t="s">
        <v>12</v>
      </c>
      <c r="P57" s="58">
        <f>P52+F52/1000</f>
        <v>115.47</v>
      </c>
      <c r="Q57" s="59"/>
    </row>
    <row r="58" spans="1:19" ht="15" thickBot="1" x14ac:dyDescent="0.35">
      <c r="A58" s="193"/>
      <c r="B58" s="19">
        <f>B53+1</f>
        <v>24</v>
      </c>
      <c r="C58" s="20" t="s">
        <v>55</v>
      </c>
      <c r="D58" s="20" t="s">
        <v>159</v>
      </c>
      <c r="E58" s="20" t="s">
        <v>56</v>
      </c>
      <c r="F58" s="24">
        <v>11340</v>
      </c>
      <c r="G58" s="20">
        <v>31</v>
      </c>
      <c r="H58" s="20">
        <v>30</v>
      </c>
      <c r="I58" s="20">
        <f t="shared" si="1"/>
        <v>1</v>
      </c>
      <c r="J58" s="55">
        <v>1.1000000000000001</v>
      </c>
      <c r="K58" s="4">
        <v>5.2</v>
      </c>
      <c r="L58" s="21">
        <f t="shared" si="2"/>
        <v>58.968000000000004</v>
      </c>
      <c r="M58" s="22">
        <f t="shared" si="3"/>
        <v>4.095E-2</v>
      </c>
      <c r="N58" s="160">
        <f>N53+M53</f>
        <v>1.2207152777777781</v>
      </c>
      <c r="O58" s="20" t="s">
        <v>37</v>
      </c>
      <c r="P58" s="24">
        <f>P53+F53/1000</f>
        <v>240.45000000000002</v>
      </c>
      <c r="Q58" s="25" t="s">
        <v>114</v>
      </c>
    </row>
    <row r="59" spans="1:19" ht="15" thickBot="1" x14ac:dyDescent="0.35">
      <c r="A59" s="193"/>
      <c r="B59" s="11">
        <f>B54+1</f>
        <v>36</v>
      </c>
      <c r="C59" s="12" t="s">
        <v>85</v>
      </c>
      <c r="D59" s="12" t="s">
        <v>160</v>
      </c>
      <c r="E59" s="12" t="s">
        <v>161</v>
      </c>
      <c r="F59" s="16">
        <v>12600</v>
      </c>
      <c r="G59" s="12">
        <v>107</v>
      </c>
      <c r="H59" s="12">
        <v>125</v>
      </c>
      <c r="I59" s="12">
        <f t="shared" si="1"/>
        <v>-18</v>
      </c>
      <c r="J59" s="55">
        <v>1.2</v>
      </c>
      <c r="K59" s="4">
        <v>5.2</v>
      </c>
      <c r="L59" s="13">
        <f t="shared" si="2"/>
        <v>65.52</v>
      </c>
      <c r="M59" s="14">
        <f t="shared" si="3"/>
        <v>4.5499999999999999E-2</v>
      </c>
      <c r="N59" s="161">
        <f>N54+M54</f>
        <v>1.0495319444444444</v>
      </c>
      <c r="O59" s="12" t="s">
        <v>81</v>
      </c>
      <c r="P59" s="16">
        <f>P54+F54/1000</f>
        <v>375.03000000000003</v>
      </c>
      <c r="Q59" s="17"/>
    </row>
    <row r="60" spans="1:19" s="27" customFormat="1" ht="15" thickBot="1" x14ac:dyDescent="0.35">
      <c r="A60" s="193"/>
      <c r="B60" s="38">
        <f>B55+1</f>
        <v>48</v>
      </c>
      <c r="C60" s="39" t="s">
        <v>170</v>
      </c>
      <c r="D60" s="20" t="s">
        <v>168</v>
      </c>
      <c r="E60" s="60" t="s">
        <v>169</v>
      </c>
      <c r="F60" s="61">
        <v>6260</v>
      </c>
      <c r="G60" s="60">
        <v>0</v>
      </c>
      <c r="H60" s="60">
        <v>0</v>
      </c>
      <c r="I60" s="60">
        <f t="shared" ref="I60" si="63">G60-H60</f>
        <v>0</v>
      </c>
      <c r="J60" s="55">
        <v>0.6</v>
      </c>
      <c r="K60" s="4">
        <v>5.2</v>
      </c>
      <c r="L60" s="62">
        <f t="shared" ref="L60" si="64">(F60*K60)/1000</f>
        <v>32.552</v>
      </c>
      <c r="M60" s="63">
        <f t="shared" ref="M60" si="65">L60/1440</f>
        <v>2.2605555555555556E-2</v>
      </c>
      <c r="N60" s="164">
        <f>N55+M55</f>
        <v>1.5474458333333334</v>
      </c>
      <c r="O60" s="60" t="s">
        <v>81</v>
      </c>
      <c r="P60" s="43">
        <f>P55+F55/1000</f>
        <v>516.06000000000006</v>
      </c>
      <c r="Q60" s="44" t="s">
        <v>114</v>
      </c>
    </row>
    <row r="61" spans="1:19" ht="15" thickBot="1" x14ac:dyDescent="0.35">
      <c r="A61" s="194"/>
      <c r="B61" s="186" t="s">
        <v>255</v>
      </c>
      <c r="C61" s="187"/>
      <c r="D61" s="188"/>
      <c r="E61" s="75" t="s">
        <v>117</v>
      </c>
      <c r="F61" s="64">
        <f>SUM(F57:F60)</f>
        <v>38960</v>
      </c>
      <c r="G61" s="65">
        <f t="shared" ref="G61" si="66">SUM(G57:G60)</f>
        <v>345</v>
      </c>
      <c r="H61" s="65">
        <f t="shared" ref="H61" si="67">SUM(H57:H60)</f>
        <v>166</v>
      </c>
      <c r="I61" s="65">
        <f t="shared" ref="I61" si="68">SUM(I57:I60)</f>
        <v>179</v>
      </c>
      <c r="J61" s="65">
        <f t="shared" ref="J61" si="69">SUM(J57:J60)</f>
        <v>3.85</v>
      </c>
      <c r="K61" s="65" t="s">
        <v>114</v>
      </c>
      <c r="L61" s="65">
        <f t="shared" ref="L61" si="70">SUM(L57:L60)</f>
        <v>202.59200000000001</v>
      </c>
      <c r="M61" s="154">
        <f t="shared" ref="M61" si="71">SUM(M57:M60)</f>
        <v>0.14068888888888889</v>
      </c>
      <c r="N61" s="85">
        <f>N60+M60</f>
        <v>1.570051388888889</v>
      </c>
      <c r="O61" s="99" t="s">
        <v>143</v>
      </c>
      <c r="P61" s="69"/>
      <c r="Q61" s="70"/>
    </row>
    <row r="62" spans="1:19" ht="15" thickBot="1" x14ac:dyDescent="0.35">
      <c r="B62" s="45" t="s">
        <v>97</v>
      </c>
      <c r="C62" s="45" t="s">
        <v>98</v>
      </c>
      <c r="D62" s="45"/>
      <c r="E62" s="45"/>
      <c r="F62" s="49">
        <f>SUM(F61,F56,F51,F46,F41,F36,F31,F26,F21,F16,F11,F6)</f>
        <v>522320</v>
      </c>
      <c r="G62" s="49">
        <f>SUM(G61,G56,G51,G46,G41,G36,G31,G26,G21,G16,G11,G6)</f>
        <v>8692</v>
      </c>
      <c r="H62" s="49">
        <f>SUM(H61,H56,H51,H46,H41,H36,H31,H26,H21,H16,H11,H6)</f>
        <v>8768</v>
      </c>
      <c r="I62" s="49">
        <f>SUM(I61,I56,I51,I46,I41,I36,I31,I26,I21,I16,I11,I6)</f>
        <v>-76</v>
      </c>
      <c r="J62" s="51">
        <f>SUM(J61,J56,J51,J46,J41,J36,J31,J26,J21,J16,J11,J6)</f>
        <v>54</v>
      </c>
      <c r="K62" s="50" t="s">
        <v>102</v>
      </c>
      <c r="L62" s="49">
        <f>SUM(L61,L56,L51,L46,L41,L36,L31,L26,L21,L16,L11,L6)</f>
        <v>2663.3330000000001</v>
      </c>
      <c r="M62" s="155">
        <f>SUM(M61,M56,M51,M46,M41,M36,M31,M26,M21,M16,M11,M6)</f>
        <v>1.8495368055555554</v>
      </c>
      <c r="N62" s="85">
        <f>N19+M19</f>
        <v>1.4044854166666672</v>
      </c>
      <c r="O62" s="157" t="s">
        <v>147</v>
      </c>
      <c r="P62" s="158">
        <f>M62/F62*1000</f>
        <v>3.5410032270553594E-3</v>
      </c>
      <c r="Q62" s="45"/>
    </row>
    <row r="63" spans="1:19" x14ac:dyDescent="0.3">
      <c r="B63" s="45"/>
      <c r="C63" s="45" t="s">
        <v>99</v>
      </c>
      <c r="D63" s="45"/>
      <c r="E63" s="45"/>
      <c r="F63" s="45">
        <f>F62/1000</f>
        <v>522.32000000000005</v>
      </c>
      <c r="G63" s="45"/>
      <c r="H63" s="45"/>
      <c r="I63" s="45"/>
      <c r="J63" s="45"/>
      <c r="K63" s="50" t="s">
        <v>103</v>
      </c>
      <c r="L63" s="46">
        <f>L62/60</f>
        <v>44.388883333333332</v>
      </c>
      <c r="M63" s="46"/>
      <c r="N63" s="165"/>
      <c r="O63" s="45"/>
      <c r="P63" s="45"/>
      <c r="Q63" s="45"/>
    </row>
    <row r="64" spans="1:19" x14ac:dyDescent="0.3">
      <c r="F64" t="s">
        <v>114</v>
      </c>
      <c r="G64" t="s">
        <v>114</v>
      </c>
      <c r="H64" t="s">
        <v>114</v>
      </c>
      <c r="I64" t="s">
        <v>114</v>
      </c>
      <c r="J64" t="s">
        <v>114</v>
      </c>
      <c r="K64" s="52" t="s">
        <v>105</v>
      </c>
      <c r="L64" s="18">
        <f>L63/24</f>
        <v>1.8495368055555554</v>
      </c>
    </row>
    <row r="65" spans="4:16" x14ac:dyDescent="0.3">
      <c r="D65" s="82" t="s">
        <v>139</v>
      </c>
      <c r="E65" s="76" t="s">
        <v>138</v>
      </c>
      <c r="F65" s="76" t="s">
        <v>132</v>
      </c>
      <c r="G65" s="76" t="s">
        <v>133</v>
      </c>
      <c r="H65" s="76" t="s">
        <v>134</v>
      </c>
      <c r="I65" s="76" t="s">
        <v>135</v>
      </c>
      <c r="J65" s="76" t="s">
        <v>136</v>
      </c>
      <c r="K65" s="76" t="s">
        <v>114</v>
      </c>
      <c r="L65" s="81" t="s">
        <v>102</v>
      </c>
      <c r="M65" s="76" t="s">
        <v>137</v>
      </c>
    </row>
    <row r="66" spans="4:16" x14ac:dyDescent="0.3">
      <c r="D66" s="82" t="s">
        <v>251</v>
      </c>
      <c r="E66" s="76" t="s">
        <v>129</v>
      </c>
      <c r="F66" s="77">
        <f>SUM(F6,F11,F16,F21)</f>
        <v>174480</v>
      </c>
      <c r="G66" s="77">
        <f t="shared" ref="G66:J66" si="72">SUM(G6,G11,G16,G21)</f>
        <v>3153</v>
      </c>
      <c r="H66" s="77">
        <f t="shared" si="72"/>
        <v>3254</v>
      </c>
      <c r="I66" s="77">
        <f t="shared" si="72"/>
        <v>-101</v>
      </c>
      <c r="J66" s="78">
        <f t="shared" si="72"/>
        <v>18.299999999999997</v>
      </c>
      <c r="K66" s="79"/>
      <c r="L66" s="78">
        <f t="shared" ref="L66:M66" si="73">SUM(L6,L11,L16,L21)</f>
        <v>889.40999999999985</v>
      </c>
      <c r="M66" s="80">
        <f t="shared" si="73"/>
        <v>0.61764583333333334</v>
      </c>
    </row>
    <row r="67" spans="4:16" x14ac:dyDescent="0.3">
      <c r="D67" s="82" t="s">
        <v>252</v>
      </c>
      <c r="E67" s="76" t="s">
        <v>130</v>
      </c>
      <c r="F67" s="77">
        <f>SUM(F26,F31,F36,F41)</f>
        <v>178610</v>
      </c>
      <c r="G67" s="77">
        <f t="shared" ref="G67:J67" si="74">SUM(G26,G31,G36,G41)</f>
        <v>3195</v>
      </c>
      <c r="H67" s="77">
        <f t="shared" si="74"/>
        <v>2634</v>
      </c>
      <c r="I67" s="77">
        <f t="shared" si="74"/>
        <v>561</v>
      </c>
      <c r="J67" s="78">
        <f t="shared" si="74"/>
        <v>18.600000000000001</v>
      </c>
      <c r="K67" s="79"/>
      <c r="L67" s="78">
        <f>SUM(L26,L31,L36,L41)</f>
        <v>900.24300000000005</v>
      </c>
      <c r="M67" s="80">
        <f>SUM(M26,M31,M36,M41)</f>
        <v>0.62516875000000005</v>
      </c>
    </row>
    <row r="68" spans="4:16" x14ac:dyDescent="0.3">
      <c r="D68" s="82" t="s">
        <v>253</v>
      </c>
      <c r="E68" s="76" t="s">
        <v>131</v>
      </c>
      <c r="F68" s="77">
        <f>SUM(F46,F51,F56,F61)</f>
        <v>169230</v>
      </c>
      <c r="G68" s="77">
        <f t="shared" ref="G68:J68" si="75">SUM(G46,G51,G56,G61)</f>
        <v>2344</v>
      </c>
      <c r="H68" s="77">
        <f t="shared" si="75"/>
        <v>2880</v>
      </c>
      <c r="I68" s="77">
        <f t="shared" si="75"/>
        <v>-536</v>
      </c>
      <c r="J68" s="78">
        <f t="shared" si="75"/>
        <v>17.100000000000001</v>
      </c>
      <c r="K68" s="79"/>
      <c r="L68" s="78">
        <f t="shared" ref="L68:M68" si="76">SUM(L46,L51,L56,L61)</f>
        <v>873.68</v>
      </c>
      <c r="M68" s="80">
        <f t="shared" si="76"/>
        <v>0.60672222222222216</v>
      </c>
    </row>
    <row r="69" spans="4:16" x14ac:dyDescent="0.3">
      <c r="E69" s="83">
        <v>0.21180555555555555</v>
      </c>
      <c r="F69" s="83">
        <v>0.21111111111111111</v>
      </c>
      <c r="G69" s="83">
        <v>0.21041666666666667</v>
      </c>
      <c r="H69" s="83">
        <v>0.20972222222222223</v>
      </c>
      <c r="I69" s="83">
        <v>0.20902777777777778</v>
      </c>
      <c r="J69" s="83">
        <v>0.20833333333333334</v>
      </c>
      <c r="K69" s="86">
        <v>0.2076388888888889</v>
      </c>
      <c r="L69" s="86">
        <v>0.20694444444444446</v>
      </c>
      <c r="M69" s="86">
        <v>0.20625000000000002</v>
      </c>
      <c r="N69" s="86">
        <v>0.20555555555555557</v>
      </c>
      <c r="O69" s="86">
        <v>0.20486111111111113</v>
      </c>
      <c r="P69" s="86">
        <v>0.20416666666666669</v>
      </c>
    </row>
    <row r="70" spans="4:16" x14ac:dyDescent="0.3">
      <c r="E70" s="84">
        <f>$F$63*305</f>
        <v>159307.6</v>
      </c>
      <c r="F70" s="87">
        <f>$F$63*304</f>
        <v>158785.28000000003</v>
      </c>
      <c r="G70" s="88">
        <f>$F$63*303</f>
        <v>158262.96000000002</v>
      </c>
      <c r="H70" s="88">
        <f>$F$63*302</f>
        <v>157740.64000000001</v>
      </c>
      <c r="I70" s="88">
        <f>$F$63*301</f>
        <v>157218.32</v>
      </c>
      <c r="J70" s="88">
        <f>$F$63*300</f>
        <v>156696.00000000003</v>
      </c>
      <c r="K70" s="88">
        <f>$F$63*299</f>
        <v>156173.68000000002</v>
      </c>
      <c r="L70" s="88">
        <f>$F$63*298</f>
        <v>155651.36000000002</v>
      </c>
      <c r="M70" s="88">
        <f>$F$63*297</f>
        <v>155129.04</v>
      </c>
      <c r="N70" s="88">
        <f>$F$63*296</f>
        <v>154606.72</v>
      </c>
      <c r="O70" s="88">
        <f>$F$63*295</f>
        <v>154084.40000000002</v>
      </c>
      <c r="P70" s="88">
        <f>$F$63*294</f>
        <v>153562.08000000002</v>
      </c>
    </row>
    <row r="71" spans="4:16" x14ac:dyDescent="0.3">
      <c r="E71" s="18">
        <f t="shared" ref="E71" si="77">E70/3600</f>
        <v>44.252111111111113</v>
      </c>
      <c r="F71" s="89">
        <f t="shared" ref="F71:P71" si="78">F70/3600</f>
        <v>44.107022222222227</v>
      </c>
      <c r="G71" s="89">
        <f t="shared" si="78"/>
        <v>43.961933333333342</v>
      </c>
      <c r="H71" s="89">
        <f t="shared" si="78"/>
        <v>43.816844444444449</v>
      </c>
      <c r="I71" s="89">
        <f t="shared" si="78"/>
        <v>43.671755555555556</v>
      </c>
      <c r="J71" s="89">
        <f t="shared" si="78"/>
        <v>43.526666666666678</v>
      </c>
      <c r="K71" s="89">
        <f t="shared" si="78"/>
        <v>43.381577777777785</v>
      </c>
      <c r="L71" s="89">
        <f t="shared" si="78"/>
        <v>43.236488888888893</v>
      </c>
      <c r="M71" s="89">
        <f t="shared" si="78"/>
        <v>43.0914</v>
      </c>
      <c r="N71" s="89">
        <f t="shared" si="78"/>
        <v>42.946311111111115</v>
      </c>
      <c r="O71" s="89">
        <f t="shared" si="78"/>
        <v>42.801222222222229</v>
      </c>
      <c r="P71" s="89">
        <f t="shared" si="78"/>
        <v>42.656133333333337</v>
      </c>
    </row>
    <row r="73" spans="4:16" x14ac:dyDescent="0.3">
      <c r="L73" s="47"/>
      <c r="M73" s="47"/>
    </row>
    <row r="74" spans="4:16" x14ac:dyDescent="0.3">
      <c r="L74" s="47"/>
      <c r="M74" s="47"/>
    </row>
    <row r="75" spans="4:16" x14ac:dyDescent="0.3">
      <c r="L75" s="47"/>
      <c r="M75" s="47"/>
    </row>
    <row r="76" spans="4:16" x14ac:dyDescent="0.3">
      <c r="L76" s="47"/>
      <c r="M76" s="47"/>
    </row>
  </sheetData>
  <mergeCells count="24">
    <mergeCell ref="A57:A61"/>
    <mergeCell ref="A2:A6"/>
    <mergeCell ref="A7:A11"/>
    <mergeCell ref="A12:A16"/>
    <mergeCell ref="A17:A21"/>
    <mergeCell ref="A22:A26"/>
    <mergeCell ref="A27:A31"/>
    <mergeCell ref="A32:A36"/>
    <mergeCell ref="A37:A41"/>
    <mergeCell ref="A42:A46"/>
    <mergeCell ref="A47:A51"/>
    <mergeCell ref="A52:A56"/>
    <mergeCell ref="B61:D61"/>
    <mergeCell ref="B6:D6"/>
    <mergeCell ref="B11:D11"/>
    <mergeCell ref="B16:D16"/>
    <mergeCell ref="B21:D21"/>
    <mergeCell ref="B26:D26"/>
    <mergeCell ref="B31:D31"/>
    <mergeCell ref="B36:D36"/>
    <mergeCell ref="B41:D41"/>
    <mergeCell ref="B46:D46"/>
    <mergeCell ref="B51:D51"/>
    <mergeCell ref="B56:D56"/>
  </mergeCells>
  <pageMargins left="0.31496062992125984" right="0.31496062992125984" top="0.35433070866141736" bottom="0.15748031496062992" header="0.31496062992125984" footer="0.31496062992125984"/>
  <pageSetup paperSize="8" scale="8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4"/>
  <sheetViews>
    <sheetView topLeftCell="C1" zoomScale="90" zoomScaleNormal="90" workbookViewId="0">
      <selection activeCell="K1" sqref="K1"/>
    </sheetView>
  </sheetViews>
  <sheetFormatPr defaultColWidth="8.88671875" defaultRowHeight="14.4" x14ac:dyDescent="0.3"/>
  <cols>
    <col min="1" max="1" width="6.44140625" bestFit="1" customWidth="1"/>
    <col min="2" max="2" width="19.5546875" bestFit="1" customWidth="1"/>
    <col min="3" max="4" width="27" bestFit="1" customWidth="1"/>
    <col min="5" max="5" width="8.44140625" bestFit="1" customWidth="1"/>
    <col min="6" max="6" width="11.109375" customWidth="1"/>
    <col min="7" max="7" width="10.6640625" customWidth="1"/>
    <col min="9" max="9" width="7.5546875" bestFit="1" customWidth="1"/>
    <col min="10" max="10" width="7.5546875" style="98" customWidth="1"/>
    <col min="11" max="11" width="9.6640625" customWidth="1"/>
    <col min="12" max="12" width="9.33203125" customWidth="1"/>
    <col min="13" max="13" width="11.88671875" bestFit="1" customWidth="1"/>
    <col min="14" max="14" width="8.109375" bestFit="1" customWidth="1"/>
    <col min="15" max="15" width="8.44140625" bestFit="1" customWidth="1"/>
    <col min="16" max="16" width="8.109375" bestFit="1" customWidth="1"/>
    <col min="17" max="17" width="65" bestFit="1" customWidth="1"/>
    <col min="18" max="18" width="52.44140625" bestFit="1" customWidth="1"/>
  </cols>
  <sheetData>
    <row r="1" spans="1:19" ht="29.4" thickBot="1" x14ac:dyDescent="0.35">
      <c r="A1" s="94" t="s">
        <v>0</v>
      </c>
      <c r="B1" s="90" t="s">
        <v>1</v>
      </c>
      <c r="C1" s="90" t="s">
        <v>2</v>
      </c>
      <c r="D1" s="90" t="s">
        <v>3</v>
      </c>
      <c r="E1" s="90" t="s">
        <v>145</v>
      </c>
      <c r="F1" s="90" t="s">
        <v>4</v>
      </c>
      <c r="G1" s="90" t="s">
        <v>5</v>
      </c>
      <c r="H1" s="90" t="s">
        <v>6</v>
      </c>
      <c r="I1" s="92" t="s">
        <v>100</v>
      </c>
      <c r="J1" s="91" t="s">
        <v>115</v>
      </c>
      <c r="K1" s="90" t="s">
        <v>104</v>
      </c>
      <c r="L1" s="90" t="s">
        <v>146</v>
      </c>
      <c r="M1" s="90" t="s">
        <v>7</v>
      </c>
      <c r="N1" s="90" t="s">
        <v>2</v>
      </c>
      <c r="O1" s="90" t="s">
        <v>144</v>
      </c>
      <c r="P1" s="90" t="s">
        <v>110</v>
      </c>
      <c r="Q1" s="93" t="s">
        <v>8</v>
      </c>
      <c r="R1" s="1"/>
      <c r="S1" s="2"/>
    </row>
    <row r="2" spans="1:19" ht="15" thickBot="1" x14ac:dyDescent="0.35">
      <c r="A2" s="3">
        <v>1</v>
      </c>
      <c r="B2" s="4" t="s">
        <v>9</v>
      </c>
      <c r="C2" s="54" t="s">
        <v>10</v>
      </c>
      <c r="D2" s="54" t="s">
        <v>11</v>
      </c>
      <c r="E2" s="58">
        <v>10740</v>
      </c>
      <c r="F2" s="54">
        <v>163</v>
      </c>
      <c r="G2" s="54">
        <v>150</v>
      </c>
      <c r="H2" s="4">
        <f>F2-G2</f>
        <v>13</v>
      </c>
      <c r="I2" s="48">
        <v>1.1000000000000001</v>
      </c>
      <c r="J2" s="95" t="s">
        <v>114</v>
      </c>
      <c r="K2" s="4">
        <v>5</v>
      </c>
      <c r="L2" s="5">
        <f>(E2*K2)/1000</f>
        <v>53.7</v>
      </c>
      <c r="M2" s="6">
        <f>L2/1440</f>
        <v>3.7291666666666667E-2</v>
      </c>
      <c r="N2" s="7">
        <v>0.375</v>
      </c>
      <c r="O2" s="4" t="s">
        <v>12</v>
      </c>
      <c r="P2" s="8">
        <f>0/1000</f>
        <v>0</v>
      </c>
      <c r="Q2" s="9" t="s">
        <v>113</v>
      </c>
      <c r="R2" s="10"/>
    </row>
    <row r="3" spans="1:19" ht="15" thickBot="1" x14ac:dyDescent="0.35">
      <c r="A3" s="11">
        <f>A2+1</f>
        <v>2</v>
      </c>
      <c r="B3" s="54" t="s">
        <v>13</v>
      </c>
      <c r="C3" s="54" t="s">
        <v>11</v>
      </c>
      <c r="D3" s="54" t="s">
        <v>148</v>
      </c>
      <c r="E3" s="58">
        <v>14600</v>
      </c>
      <c r="F3" s="54">
        <v>278</v>
      </c>
      <c r="G3" s="54">
        <v>245</v>
      </c>
      <c r="H3" s="12">
        <f t="shared" ref="H3:H44" si="0">F3-G3</f>
        <v>33</v>
      </c>
      <c r="I3" s="48">
        <v>1.55</v>
      </c>
      <c r="J3" s="95" t="s">
        <v>114</v>
      </c>
      <c r="K3" s="4">
        <v>5</v>
      </c>
      <c r="L3" s="13">
        <f t="shared" ref="L3:L44" si="1">(E3*K3)/1000</f>
        <v>73</v>
      </c>
      <c r="M3" s="14">
        <f t="shared" ref="M3:M44" si="2">L3/1440</f>
        <v>5.0694444444444445E-2</v>
      </c>
      <c r="N3" s="15">
        <f>N2+M2</f>
        <v>0.41229166666666667</v>
      </c>
      <c r="O3" s="12" t="s">
        <v>12</v>
      </c>
      <c r="P3" s="16">
        <f>(P2+E2)/1000</f>
        <v>10.74</v>
      </c>
      <c r="Q3" s="17"/>
    </row>
    <row r="4" spans="1:19" ht="15" thickBot="1" x14ac:dyDescent="0.35">
      <c r="A4" s="11">
        <f t="shared" ref="A4:A29" si="3">A3+1</f>
        <v>3</v>
      </c>
      <c r="B4" s="54" t="s">
        <v>14</v>
      </c>
      <c r="C4" s="54" t="s">
        <v>148</v>
      </c>
      <c r="D4" s="54" t="s">
        <v>149</v>
      </c>
      <c r="E4" s="58">
        <v>8660</v>
      </c>
      <c r="F4" s="54">
        <v>213</v>
      </c>
      <c r="G4" s="54">
        <v>145</v>
      </c>
      <c r="H4" s="12">
        <f t="shared" si="0"/>
        <v>68</v>
      </c>
      <c r="I4" s="48">
        <v>0.9</v>
      </c>
      <c r="J4" s="95" t="s">
        <v>114</v>
      </c>
      <c r="K4" s="4">
        <v>5</v>
      </c>
      <c r="L4" s="13">
        <f t="shared" si="1"/>
        <v>43.3</v>
      </c>
      <c r="M4" s="14">
        <f t="shared" si="2"/>
        <v>3.0069444444444444E-2</v>
      </c>
      <c r="N4" s="15">
        <f t="shared" ref="N4:N44" si="4">N3+M3</f>
        <v>0.4629861111111111</v>
      </c>
      <c r="O4" s="12" t="s">
        <v>12</v>
      </c>
      <c r="P4" s="16">
        <f>P3+E3/1000</f>
        <v>25.34</v>
      </c>
      <c r="Q4" s="17"/>
    </row>
    <row r="5" spans="1:19" ht="15" thickBot="1" x14ac:dyDescent="0.35">
      <c r="A5" s="11">
        <f t="shared" si="3"/>
        <v>4</v>
      </c>
      <c r="B5" s="54" t="s">
        <v>15</v>
      </c>
      <c r="C5" s="54" t="s">
        <v>149</v>
      </c>
      <c r="D5" s="54" t="s">
        <v>150</v>
      </c>
      <c r="E5" s="58">
        <v>11470</v>
      </c>
      <c r="F5" s="54">
        <v>536</v>
      </c>
      <c r="G5" s="54">
        <v>524</v>
      </c>
      <c r="H5" s="12">
        <f t="shared" si="0"/>
        <v>12</v>
      </c>
      <c r="I5" s="48">
        <v>1.5</v>
      </c>
      <c r="J5" s="95" t="s">
        <v>114</v>
      </c>
      <c r="K5" s="4">
        <v>5</v>
      </c>
      <c r="L5" s="13">
        <f t="shared" si="1"/>
        <v>57.35</v>
      </c>
      <c r="M5" s="14">
        <f t="shared" si="2"/>
        <v>3.982638888888889E-2</v>
      </c>
      <c r="N5" s="15">
        <f t="shared" si="4"/>
        <v>0.49305555555555552</v>
      </c>
      <c r="O5" s="12" t="s">
        <v>12</v>
      </c>
      <c r="P5" s="16">
        <f t="shared" ref="P5:P49" si="5">P4+E4/1000</f>
        <v>34</v>
      </c>
      <c r="Q5" s="17" t="s">
        <v>16</v>
      </c>
    </row>
    <row r="6" spans="1:19" ht="15" thickBot="1" x14ac:dyDescent="0.35">
      <c r="A6" s="11">
        <f t="shared" si="3"/>
        <v>5</v>
      </c>
      <c r="B6" s="54" t="s">
        <v>17</v>
      </c>
      <c r="C6" s="54" t="s">
        <v>150</v>
      </c>
      <c r="D6" s="54" t="s">
        <v>18</v>
      </c>
      <c r="E6" s="58">
        <v>9470</v>
      </c>
      <c r="F6" s="54">
        <v>211</v>
      </c>
      <c r="G6" s="54">
        <v>187</v>
      </c>
      <c r="H6" s="12">
        <f t="shared" si="0"/>
        <v>24</v>
      </c>
      <c r="I6" s="48">
        <v>1</v>
      </c>
      <c r="J6" s="95" t="s">
        <v>114</v>
      </c>
      <c r="K6" s="4">
        <v>5</v>
      </c>
      <c r="L6" s="13">
        <f t="shared" si="1"/>
        <v>47.35</v>
      </c>
      <c r="M6" s="14">
        <f t="shared" si="2"/>
        <v>3.2881944444444443E-2</v>
      </c>
      <c r="N6" s="15">
        <f t="shared" si="4"/>
        <v>0.53288194444444437</v>
      </c>
      <c r="O6" s="12" t="s">
        <v>12</v>
      </c>
      <c r="P6" s="16">
        <f t="shared" si="5"/>
        <v>45.47</v>
      </c>
      <c r="Q6" s="17"/>
    </row>
    <row r="7" spans="1:19" ht="15" thickBot="1" x14ac:dyDescent="0.35">
      <c r="A7" s="11">
        <f t="shared" si="3"/>
        <v>6</v>
      </c>
      <c r="B7" s="54" t="s">
        <v>19</v>
      </c>
      <c r="C7" s="54" t="s">
        <v>18</v>
      </c>
      <c r="D7" s="54" t="s">
        <v>20</v>
      </c>
      <c r="E7" s="58">
        <v>12800</v>
      </c>
      <c r="F7" s="54">
        <v>216</v>
      </c>
      <c r="G7" s="54">
        <v>186</v>
      </c>
      <c r="H7" s="12">
        <f t="shared" si="0"/>
        <v>30</v>
      </c>
      <c r="I7" s="48">
        <v>1.35</v>
      </c>
      <c r="J7" s="95" t="s">
        <v>114</v>
      </c>
      <c r="K7" s="4">
        <v>5</v>
      </c>
      <c r="L7" s="13">
        <f t="shared" si="1"/>
        <v>64</v>
      </c>
      <c r="M7" s="14">
        <f t="shared" si="2"/>
        <v>4.4444444444444446E-2</v>
      </c>
      <c r="N7" s="15">
        <f t="shared" si="4"/>
        <v>0.56576388888888884</v>
      </c>
      <c r="O7" s="12" t="s">
        <v>12</v>
      </c>
      <c r="P7" s="16">
        <f t="shared" si="5"/>
        <v>54.94</v>
      </c>
      <c r="Q7" s="17"/>
    </row>
    <row r="8" spans="1:19" ht="15" thickBot="1" x14ac:dyDescent="0.35">
      <c r="A8" s="11">
        <f t="shared" si="3"/>
        <v>7</v>
      </c>
      <c r="B8" s="54" t="s">
        <v>21</v>
      </c>
      <c r="C8" s="54" t="s">
        <v>20</v>
      </c>
      <c r="D8" s="54" t="s">
        <v>151</v>
      </c>
      <c r="E8" s="58">
        <v>7170</v>
      </c>
      <c r="F8" s="54">
        <v>87</v>
      </c>
      <c r="G8" s="54">
        <v>44</v>
      </c>
      <c r="H8" s="12">
        <f t="shared" si="0"/>
        <v>43</v>
      </c>
      <c r="I8" s="48">
        <v>0.7</v>
      </c>
      <c r="J8" s="95" t="s">
        <v>114</v>
      </c>
      <c r="K8" s="4">
        <v>5</v>
      </c>
      <c r="L8" s="13">
        <f t="shared" si="1"/>
        <v>35.85</v>
      </c>
      <c r="M8" s="14">
        <f t="shared" si="2"/>
        <v>2.4895833333333336E-2</v>
      </c>
      <c r="N8" s="15">
        <f t="shared" si="4"/>
        <v>0.61020833333333324</v>
      </c>
      <c r="O8" s="12" t="s">
        <v>12</v>
      </c>
      <c r="P8" s="16">
        <f t="shared" si="5"/>
        <v>67.739999999999995</v>
      </c>
      <c r="Q8" s="17"/>
    </row>
    <row r="9" spans="1:19" ht="15" thickBot="1" x14ac:dyDescent="0.35">
      <c r="A9" s="11">
        <f t="shared" si="3"/>
        <v>8</v>
      </c>
      <c r="B9" s="54" t="s">
        <v>22</v>
      </c>
      <c r="C9" s="54" t="s">
        <v>151</v>
      </c>
      <c r="D9" s="54" t="s">
        <v>23</v>
      </c>
      <c r="E9" s="58">
        <v>14860</v>
      </c>
      <c r="F9" s="54">
        <v>361</v>
      </c>
      <c r="G9" s="54">
        <v>214</v>
      </c>
      <c r="H9" s="12">
        <f t="shared" si="0"/>
        <v>147</v>
      </c>
      <c r="I9" s="48">
        <v>1.65</v>
      </c>
      <c r="J9" s="95" t="s">
        <v>114</v>
      </c>
      <c r="K9" s="4">
        <v>5</v>
      </c>
      <c r="L9" s="13">
        <f t="shared" si="1"/>
        <v>74.3</v>
      </c>
      <c r="M9" s="14">
        <f t="shared" si="2"/>
        <v>5.1597222222222218E-2</v>
      </c>
      <c r="N9" s="15">
        <f t="shared" si="4"/>
        <v>0.63510416666666658</v>
      </c>
      <c r="O9" s="12" t="s">
        <v>12</v>
      </c>
      <c r="P9" s="16">
        <f t="shared" si="5"/>
        <v>74.91</v>
      </c>
      <c r="Q9" s="17" t="s">
        <v>24</v>
      </c>
    </row>
    <row r="10" spans="1:19" ht="15" thickBot="1" x14ac:dyDescent="0.35">
      <c r="A10" s="11">
        <f t="shared" si="3"/>
        <v>9</v>
      </c>
      <c r="B10" s="54" t="s">
        <v>25</v>
      </c>
      <c r="C10" s="54" t="s">
        <v>23</v>
      </c>
      <c r="D10" s="54" t="s">
        <v>152</v>
      </c>
      <c r="E10" s="58">
        <v>10020</v>
      </c>
      <c r="F10" s="54">
        <v>415</v>
      </c>
      <c r="G10" s="54">
        <v>160</v>
      </c>
      <c r="H10" s="12">
        <f t="shared" si="0"/>
        <v>255</v>
      </c>
      <c r="I10" s="48">
        <v>1.25</v>
      </c>
      <c r="J10" s="95" t="s">
        <v>114</v>
      </c>
      <c r="K10" s="4">
        <v>5</v>
      </c>
      <c r="L10" s="13">
        <f t="shared" si="1"/>
        <v>50.1</v>
      </c>
      <c r="M10" s="14">
        <f t="shared" si="2"/>
        <v>3.4791666666666665E-2</v>
      </c>
      <c r="N10" s="15">
        <f t="shared" si="4"/>
        <v>0.68670138888888876</v>
      </c>
      <c r="O10" s="12" t="s">
        <v>12</v>
      </c>
      <c r="P10" s="16">
        <f t="shared" si="5"/>
        <v>89.77</v>
      </c>
      <c r="Q10" s="17" t="s">
        <v>26</v>
      </c>
    </row>
    <row r="11" spans="1:19" ht="15" thickBot="1" x14ac:dyDescent="0.35">
      <c r="A11" s="11">
        <f t="shared" si="3"/>
        <v>10</v>
      </c>
      <c r="B11" s="54" t="s">
        <v>27</v>
      </c>
      <c r="C11" s="54" t="s">
        <v>152</v>
      </c>
      <c r="D11" s="54" t="s">
        <v>153</v>
      </c>
      <c r="E11" s="58">
        <v>6750</v>
      </c>
      <c r="F11" s="54">
        <v>125</v>
      </c>
      <c r="G11" s="54">
        <v>182</v>
      </c>
      <c r="H11" s="12">
        <f t="shared" si="0"/>
        <v>-57</v>
      </c>
      <c r="I11" s="48">
        <v>0.7</v>
      </c>
      <c r="J11" s="95" t="s">
        <v>114</v>
      </c>
      <c r="K11" s="4">
        <v>5</v>
      </c>
      <c r="L11" s="13">
        <f t="shared" si="1"/>
        <v>33.75</v>
      </c>
      <c r="M11" s="14">
        <f t="shared" si="2"/>
        <v>2.34375E-2</v>
      </c>
      <c r="N11" s="15">
        <f t="shared" si="4"/>
        <v>0.72149305555555543</v>
      </c>
      <c r="O11" s="12" t="s">
        <v>12</v>
      </c>
      <c r="P11" s="16">
        <f t="shared" si="5"/>
        <v>99.789999999999992</v>
      </c>
      <c r="Q11" s="17"/>
    </row>
    <row r="12" spans="1:19" ht="15" thickBot="1" x14ac:dyDescent="0.35">
      <c r="A12" s="11">
        <f t="shared" si="3"/>
        <v>11</v>
      </c>
      <c r="B12" s="54" t="s">
        <v>28</v>
      </c>
      <c r="C12" s="54" t="s">
        <v>153</v>
      </c>
      <c r="D12" s="54" t="s">
        <v>154</v>
      </c>
      <c r="E12" s="58">
        <v>8930</v>
      </c>
      <c r="F12" s="54">
        <v>123</v>
      </c>
      <c r="G12" s="54">
        <v>248</v>
      </c>
      <c r="H12" s="12">
        <f t="shared" si="0"/>
        <v>-125</v>
      </c>
      <c r="I12" s="48">
        <v>0.85</v>
      </c>
      <c r="J12" s="95" t="s">
        <v>114</v>
      </c>
      <c r="K12" s="4">
        <v>5</v>
      </c>
      <c r="L12" s="13">
        <f t="shared" si="1"/>
        <v>44.65</v>
      </c>
      <c r="M12" s="14">
        <f t="shared" si="2"/>
        <v>3.1006944444444445E-2</v>
      </c>
      <c r="N12" s="15">
        <f t="shared" si="4"/>
        <v>0.74493055555555543</v>
      </c>
      <c r="O12" s="12" t="s">
        <v>12</v>
      </c>
      <c r="P12" s="16">
        <f t="shared" si="5"/>
        <v>106.53999999999999</v>
      </c>
      <c r="Q12" s="17"/>
      <c r="S12" s="18"/>
    </row>
    <row r="13" spans="1:19" x14ac:dyDescent="0.3">
      <c r="A13" s="11">
        <f t="shared" si="3"/>
        <v>12</v>
      </c>
      <c r="B13" s="54" t="s">
        <v>29</v>
      </c>
      <c r="C13" s="54" t="s">
        <v>154</v>
      </c>
      <c r="D13" s="54" t="s">
        <v>30</v>
      </c>
      <c r="E13" s="58">
        <v>8760</v>
      </c>
      <c r="F13" s="54">
        <v>207</v>
      </c>
      <c r="G13" s="54">
        <v>11</v>
      </c>
      <c r="H13" s="12">
        <f t="shared" si="0"/>
        <v>196</v>
      </c>
      <c r="I13" s="48">
        <v>0.95</v>
      </c>
      <c r="J13" s="95" t="s">
        <v>114</v>
      </c>
      <c r="K13" s="4">
        <v>5</v>
      </c>
      <c r="L13" s="13">
        <f t="shared" si="1"/>
        <v>43.8</v>
      </c>
      <c r="M13" s="14">
        <f t="shared" si="2"/>
        <v>3.0416666666666665E-2</v>
      </c>
      <c r="N13" s="15">
        <f t="shared" si="4"/>
        <v>0.77593749999999984</v>
      </c>
      <c r="O13" s="12" t="s">
        <v>12</v>
      </c>
      <c r="P13" s="16">
        <f t="shared" si="5"/>
        <v>115.47</v>
      </c>
      <c r="Q13" s="17"/>
    </row>
    <row r="14" spans="1:19" x14ac:dyDescent="0.3">
      <c r="A14" s="19">
        <f t="shared" si="3"/>
        <v>13</v>
      </c>
      <c r="B14" s="20" t="s">
        <v>31</v>
      </c>
      <c r="C14" s="20" t="s">
        <v>30</v>
      </c>
      <c r="D14" s="20" t="s">
        <v>32</v>
      </c>
      <c r="E14" s="24">
        <v>10180</v>
      </c>
      <c r="F14" s="20">
        <v>278</v>
      </c>
      <c r="G14" s="20">
        <v>136</v>
      </c>
      <c r="H14" s="20">
        <f t="shared" si="0"/>
        <v>142</v>
      </c>
      <c r="I14" s="48">
        <v>1.2</v>
      </c>
      <c r="J14" s="95" t="s">
        <v>114</v>
      </c>
      <c r="K14" s="4">
        <v>5</v>
      </c>
      <c r="L14" s="21">
        <f t="shared" si="1"/>
        <v>50.9</v>
      </c>
      <c r="M14" s="22">
        <f t="shared" si="2"/>
        <v>3.5347222222222224E-2</v>
      </c>
      <c r="N14" s="23">
        <f t="shared" si="4"/>
        <v>0.80635416666666648</v>
      </c>
      <c r="O14" s="20" t="s">
        <v>12</v>
      </c>
      <c r="P14" s="24">
        <f t="shared" si="5"/>
        <v>124.23</v>
      </c>
      <c r="Q14" s="25"/>
    </row>
    <row r="15" spans="1:19" x14ac:dyDescent="0.3">
      <c r="A15" s="19">
        <f t="shared" si="3"/>
        <v>14</v>
      </c>
      <c r="B15" s="20" t="s">
        <v>33</v>
      </c>
      <c r="C15" s="20" t="s">
        <v>32</v>
      </c>
      <c r="D15" s="20" t="s">
        <v>34</v>
      </c>
      <c r="E15" s="24">
        <v>10270</v>
      </c>
      <c r="F15" s="20">
        <v>400</v>
      </c>
      <c r="G15" s="20">
        <v>129</v>
      </c>
      <c r="H15" s="20">
        <f t="shared" si="0"/>
        <v>271</v>
      </c>
      <c r="I15" s="48">
        <v>1.3</v>
      </c>
      <c r="J15" s="95" t="s">
        <v>114</v>
      </c>
      <c r="K15" s="4">
        <v>5</v>
      </c>
      <c r="L15" s="21">
        <f t="shared" si="1"/>
        <v>51.35</v>
      </c>
      <c r="M15" s="22">
        <f t="shared" si="2"/>
        <v>3.5659722222222225E-2</v>
      </c>
      <c r="N15" s="23">
        <f t="shared" si="4"/>
        <v>0.84170138888888868</v>
      </c>
      <c r="O15" s="20" t="s">
        <v>12</v>
      </c>
      <c r="P15" s="24">
        <f t="shared" si="5"/>
        <v>134.41</v>
      </c>
      <c r="Q15" s="25"/>
    </row>
    <row r="16" spans="1:19" x14ac:dyDescent="0.3">
      <c r="A16" s="19">
        <f t="shared" si="3"/>
        <v>15</v>
      </c>
      <c r="B16" s="20" t="s">
        <v>35</v>
      </c>
      <c r="C16" s="20" t="s">
        <v>34</v>
      </c>
      <c r="D16" s="20" t="s">
        <v>36</v>
      </c>
      <c r="E16" s="24">
        <v>11280</v>
      </c>
      <c r="F16" s="20">
        <v>151</v>
      </c>
      <c r="G16" s="20">
        <v>315</v>
      </c>
      <c r="H16" s="20">
        <f t="shared" si="0"/>
        <v>-164</v>
      </c>
      <c r="I16" s="48">
        <v>1.1499999999999999</v>
      </c>
      <c r="J16" s="95" t="s">
        <v>114</v>
      </c>
      <c r="K16" s="4">
        <v>5</v>
      </c>
      <c r="L16" s="21">
        <f t="shared" si="1"/>
        <v>56.4</v>
      </c>
      <c r="M16" s="22">
        <f t="shared" si="2"/>
        <v>3.9166666666666669E-2</v>
      </c>
      <c r="N16" s="23">
        <f t="shared" si="4"/>
        <v>0.87736111111111093</v>
      </c>
      <c r="O16" s="20" t="s">
        <v>37</v>
      </c>
      <c r="P16" s="24">
        <f t="shared" si="5"/>
        <v>144.68</v>
      </c>
      <c r="Q16" s="25"/>
    </row>
    <row r="17" spans="1:17" x14ac:dyDescent="0.3">
      <c r="A17" s="19">
        <f t="shared" si="3"/>
        <v>16</v>
      </c>
      <c r="B17" s="20" t="s">
        <v>38</v>
      </c>
      <c r="C17" s="20" t="s">
        <v>39</v>
      </c>
      <c r="D17" s="20" t="s">
        <v>40</v>
      </c>
      <c r="E17" s="24">
        <v>13870</v>
      </c>
      <c r="F17" s="20">
        <v>53</v>
      </c>
      <c r="G17" s="20">
        <v>373</v>
      </c>
      <c r="H17" s="20">
        <f t="shared" si="0"/>
        <v>-320</v>
      </c>
      <c r="I17" s="48">
        <v>1.3</v>
      </c>
      <c r="J17" s="95" t="s">
        <v>114</v>
      </c>
      <c r="K17" s="4">
        <v>5</v>
      </c>
      <c r="L17" s="21">
        <f t="shared" si="1"/>
        <v>69.349999999999994</v>
      </c>
      <c r="M17" s="22">
        <f t="shared" si="2"/>
        <v>4.8159722222222215E-2</v>
      </c>
      <c r="N17" s="23">
        <f t="shared" si="4"/>
        <v>0.91652777777777761</v>
      </c>
      <c r="O17" s="20" t="s">
        <v>37</v>
      </c>
      <c r="P17" s="24">
        <f t="shared" si="5"/>
        <v>155.96</v>
      </c>
      <c r="Q17" s="25" t="s">
        <v>41</v>
      </c>
    </row>
    <row r="18" spans="1:17" x14ac:dyDescent="0.3">
      <c r="A18" s="19">
        <f t="shared" si="3"/>
        <v>17</v>
      </c>
      <c r="B18" s="20" t="s">
        <v>42</v>
      </c>
      <c r="C18" s="20" t="s">
        <v>40</v>
      </c>
      <c r="D18" s="20" t="s">
        <v>43</v>
      </c>
      <c r="E18" s="24">
        <v>9730</v>
      </c>
      <c r="F18" s="20">
        <v>67</v>
      </c>
      <c r="G18" s="20">
        <v>154</v>
      </c>
      <c r="H18" s="20">
        <f t="shared" si="0"/>
        <v>-87</v>
      </c>
      <c r="I18" s="48">
        <v>0.9</v>
      </c>
      <c r="J18" s="95" t="s">
        <v>114</v>
      </c>
      <c r="K18" s="4">
        <v>5</v>
      </c>
      <c r="L18" s="21">
        <f t="shared" si="1"/>
        <v>48.65</v>
      </c>
      <c r="M18" s="22">
        <f t="shared" si="2"/>
        <v>3.3784722222222223E-2</v>
      </c>
      <c r="N18" s="23">
        <f t="shared" si="4"/>
        <v>0.96468749999999981</v>
      </c>
      <c r="O18" s="20" t="s">
        <v>37</v>
      </c>
      <c r="P18" s="24">
        <f t="shared" si="5"/>
        <v>169.83</v>
      </c>
      <c r="Q18" s="25" t="s">
        <v>44</v>
      </c>
    </row>
    <row r="19" spans="1:17" x14ac:dyDescent="0.3">
      <c r="A19" s="19">
        <f>A18+1</f>
        <v>18</v>
      </c>
      <c r="B19" s="20" t="s">
        <v>45</v>
      </c>
      <c r="C19" s="20" t="s">
        <v>43</v>
      </c>
      <c r="D19" s="20" t="s">
        <v>155</v>
      </c>
      <c r="E19" s="24">
        <v>8930</v>
      </c>
      <c r="F19" s="20">
        <v>45</v>
      </c>
      <c r="G19" s="20">
        <v>167</v>
      </c>
      <c r="H19" s="20">
        <f t="shared" si="0"/>
        <v>-122</v>
      </c>
      <c r="I19" s="48">
        <v>0.85</v>
      </c>
      <c r="J19" s="95" t="s">
        <v>114</v>
      </c>
      <c r="K19" s="4">
        <v>5</v>
      </c>
      <c r="L19" s="21">
        <f t="shared" si="1"/>
        <v>44.65</v>
      </c>
      <c r="M19" s="22">
        <f t="shared" si="2"/>
        <v>3.1006944444444445E-2</v>
      </c>
      <c r="N19" s="23">
        <f>N18+M18</f>
        <v>0.99847222222222198</v>
      </c>
      <c r="O19" s="20" t="s">
        <v>37</v>
      </c>
      <c r="P19" s="24">
        <f>P18+E18/1000</f>
        <v>179.56</v>
      </c>
      <c r="Q19" s="25" t="s">
        <v>44</v>
      </c>
    </row>
    <row r="20" spans="1:17" x14ac:dyDescent="0.3">
      <c r="A20" s="19">
        <f>A19+1</f>
        <v>19</v>
      </c>
      <c r="B20" s="20" t="s">
        <v>46</v>
      </c>
      <c r="C20" s="20" t="s">
        <v>155</v>
      </c>
      <c r="D20" s="20" t="s">
        <v>156</v>
      </c>
      <c r="E20" s="24">
        <v>10550</v>
      </c>
      <c r="F20" s="20">
        <v>135</v>
      </c>
      <c r="G20" s="20">
        <v>123</v>
      </c>
      <c r="H20" s="20">
        <f t="shared" si="0"/>
        <v>12</v>
      </c>
      <c r="I20" s="48">
        <v>1</v>
      </c>
      <c r="J20" s="95" t="s">
        <v>114</v>
      </c>
      <c r="K20" s="4">
        <v>5</v>
      </c>
      <c r="L20" s="21">
        <f t="shared" si="1"/>
        <v>52.75</v>
      </c>
      <c r="M20" s="22">
        <f t="shared" si="2"/>
        <v>3.6631944444444446E-2</v>
      </c>
      <c r="N20" s="23">
        <f>N19+M19</f>
        <v>1.0294791666666665</v>
      </c>
      <c r="O20" s="20" t="s">
        <v>37</v>
      </c>
      <c r="P20" s="24">
        <f>P19+E19/1000</f>
        <v>188.49</v>
      </c>
      <c r="Q20" s="25"/>
    </row>
    <row r="21" spans="1:17" x14ac:dyDescent="0.3">
      <c r="A21" s="19">
        <f t="shared" si="3"/>
        <v>20</v>
      </c>
      <c r="B21" s="20" t="s">
        <v>47</v>
      </c>
      <c r="C21" s="20" t="s">
        <v>156</v>
      </c>
      <c r="D21" s="20" t="s">
        <v>157</v>
      </c>
      <c r="E21" s="24">
        <v>8670</v>
      </c>
      <c r="F21" s="20">
        <v>381</v>
      </c>
      <c r="G21" s="20">
        <v>195</v>
      </c>
      <c r="H21" s="20">
        <f t="shared" si="0"/>
        <v>186</v>
      </c>
      <c r="I21" s="48">
        <v>1.1000000000000001</v>
      </c>
      <c r="J21" s="95" t="s">
        <v>114</v>
      </c>
      <c r="K21" s="4">
        <v>5</v>
      </c>
      <c r="L21" s="21">
        <f t="shared" si="1"/>
        <v>43.35</v>
      </c>
      <c r="M21" s="22">
        <f t="shared" si="2"/>
        <v>3.0104166666666668E-2</v>
      </c>
      <c r="N21" s="23">
        <f t="shared" si="4"/>
        <v>1.066111111111111</v>
      </c>
      <c r="O21" s="20" t="s">
        <v>37</v>
      </c>
      <c r="P21" s="24">
        <f t="shared" si="5"/>
        <v>199.04000000000002</v>
      </c>
      <c r="Q21" s="25" t="s">
        <v>48</v>
      </c>
    </row>
    <row r="22" spans="1:17" x14ac:dyDescent="0.3">
      <c r="A22" s="19">
        <f t="shared" si="3"/>
        <v>21</v>
      </c>
      <c r="B22" s="20" t="s">
        <v>49</v>
      </c>
      <c r="C22" s="20" t="s">
        <v>157</v>
      </c>
      <c r="D22" s="20" t="s">
        <v>50</v>
      </c>
      <c r="E22" s="24">
        <v>9000</v>
      </c>
      <c r="F22" s="20">
        <v>251</v>
      </c>
      <c r="G22" s="20">
        <v>437</v>
      </c>
      <c r="H22" s="20">
        <f t="shared" si="0"/>
        <v>-186</v>
      </c>
      <c r="I22" s="48">
        <v>1</v>
      </c>
      <c r="J22" s="95" t="s">
        <v>114</v>
      </c>
      <c r="K22" s="4">
        <v>5</v>
      </c>
      <c r="L22" s="21">
        <f t="shared" si="1"/>
        <v>45</v>
      </c>
      <c r="M22" s="22">
        <f t="shared" si="2"/>
        <v>3.125E-2</v>
      </c>
      <c r="N22" s="23">
        <f t="shared" si="4"/>
        <v>1.0962152777777776</v>
      </c>
      <c r="O22" s="20" t="s">
        <v>37</v>
      </c>
      <c r="P22" s="24">
        <f t="shared" si="5"/>
        <v>207.71</v>
      </c>
      <c r="Q22" s="25" t="s">
        <v>44</v>
      </c>
    </row>
    <row r="23" spans="1:17" x14ac:dyDescent="0.3">
      <c r="A23" s="19">
        <f t="shared" si="3"/>
        <v>22</v>
      </c>
      <c r="B23" s="20" t="s">
        <v>51</v>
      </c>
      <c r="C23" s="20" t="s">
        <v>50</v>
      </c>
      <c r="D23" s="20" t="s">
        <v>158</v>
      </c>
      <c r="E23" s="24">
        <v>13300</v>
      </c>
      <c r="F23" s="20">
        <v>115</v>
      </c>
      <c r="G23" s="20">
        <v>193</v>
      </c>
      <c r="H23" s="20">
        <f t="shared" si="0"/>
        <v>-78</v>
      </c>
      <c r="I23" s="48">
        <v>1.3</v>
      </c>
      <c r="J23" s="95" t="s">
        <v>114</v>
      </c>
      <c r="K23" s="4">
        <v>5</v>
      </c>
      <c r="L23" s="21">
        <f t="shared" si="1"/>
        <v>66.5</v>
      </c>
      <c r="M23" s="22">
        <f t="shared" si="2"/>
        <v>4.6180555555555558E-2</v>
      </c>
      <c r="N23" s="23">
        <f t="shared" si="4"/>
        <v>1.1274652777777776</v>
      </c>
      <c r="O23" s="20" t="s">
        <v>37</v>
      </c>
      <c r="P23" s="24">
        <f t="shared" si="5"/>
        <v>216.71</v>
      </c>
      <c r="Q23" s="25" t="s">
        <v>52</v>
      </c>
    </row>
    <row r="24" spans="1:17" x14ac:dyDescent="0.3">
      <c r="A24" s="19">
        <f t="shared" si="3"/>
        <v>23</v>
      </c>
      <c r="B24" s="20" t="s">
        <v>53</v>
      </c>
      <c r="C24" s="20" t="s">
        <v>158</v>
      </c>
      <c r="D24" s="20" t="s">
        <v>159</v>
      </c>
      <c r="E24" s="24">
        <v>10440</v>
      </c>
      <c r="F24" s="20">
        <v>217</v>
      </c>
      <c r="G24" s="20">
        <v>245</v>
      </c>
      <c r="H24" s="20">
        <f t="shared" si="0"/>
        <v>-28</v>
      </c>
      <c r="I24" s="48">
        <v>1.1000000000000001</v>
      </c>
      <c r="J24" s="95" t="s">
        <v>114</v>
      </c>
      <c r="K24" s="4">
        <v>5</v>
      </c>
      <c r="L24" s="21">
        <f t="shared" si="1"/>
        <v>52.2</v>
      </c>
      <c r="M24" s="22">
        <f t="shared" si="2"/>
        <v>3.6250000000000004E-2</v>
      </c>
      <c r="N24" s="23">
        <f t="shared" si="4"/>
        <v>1.1736458333333331</v>
      </c>
      <c r="O24" s="20" t="s">
        <v>37</v>
      </c>
      <c r="P24" s="24">
        <f t="shared" si="5"/>
        <v>230.01000000000002</v>
      </c>
      <c r="Q24" s="25" t="s">
        <v>54</v>
      </c>
    </row>
    <row r="25" spans="1:17" x14ac:dyDescent="0.3">
      <c r="A25" s="19">
        <f t="shared" si="3"/>
        <v>24</v>
      </c>
      <c r="B25" s="20" t="s">
        <v>55</v>
      </c>
      <c r="C25" s="20" t="s">
        <v>159</v>
      </c>
      <c r="D25" s="20" t="s">
        <v>56</v>
      </c>
      <c r="E25" s="24">
        <v>11340</v>
      </c>
      <c r="F25" s="20">
        <v>31</v>
      </c>
      <c r="G25" s="20">
        <v>30</v>
      </c>
      <c r="H25" s="20">
        <f t="shared" si="0"/>
        <v>1</v>
      </c>
      <c r="I25" s="48">
        <v>1.1000000000000001</v>
      </c>
      <c r="J25" s="95" t="s">
        <v>114</v>
      </c>
      <c r="K25" s="4">
        <v>5</v>
      </c>
      <c r="L25" s="21">
        <f t="shared" si="1"/>
        <v>56.7</v>
      </c>
      <c r="M25" s="22">
        <f t="shared" si="2"/>
        <v>3.9375E-2</v>
      </c>
      <c r="N25" s="23">
        <f t="shared" si="4"/>
        <v>1.2098958333333329</v>
      </c>
      <c r="O25" s="20" t="s">
        <v>37</v>
      </c>
      <c r="P25" s="24">
        <f t="shared" si="5"/>
        <v>240.45000000000002</v>
      </c>
      <c r="Q25" s="25" t="s">
        <v>57</v>
      </c>
    </row>
    <row r="26" spans="1:17" x14ac:dyDescent="0.3">
      <c r="A26" s="11">
        <f t="shared" si="3"/>
        <v>25</v>
      </c>
      <c r="B26" s="12" t="s">
        <v>58</v>
      </c>
      <c r="C26" s="12" t="s">
        <v>56</v>
      </c>
      <c r="D26" s="12" t="s">
        <v>59</v>
      </c>
      <c r="E26" s="16">
        <v>10760</v>
      </c>
      <c r="F26" s="12">
        <v>404</v>
      </c>
      <c r="G26" s="12">
        <v>283</v>
      </c>
      <c r="H26" s="12">
        <f t="shared" si="0"/>
        <v>121</v>
      </c>
      <c r="I26" s="48">
        <v>1.3</v>
      </c>
      <c r="J26" s="95" t="s">
        <v>114</v>
      </c>
      <c r="K26" s="4">
        <v>5</v>
      </c>
      <c r="L26" s="13">
        <f t="shared" si="1"/>
        <v>53.8</v>
      </c>
      <c r="M26" s="14">
        <f t="shared" si="2"/>
        <v>3.7361111111111109E-2</v>
      </c>
      <c r="N26" s="15">
        <f t="shared" si="4"/>
        <v>1.2492708333333329</v>
      </c>
      <c r="O26" s="12" t="s">
        <v>37</v>
      </c>
      <c r="P26" s="16">
        <f t="shared" si="5"/>
        <v>251.79000000000002</v>
      </c>
      <c r="Q26" s="17"/>
    </row>
    <row r="27" spans="1:17" x14ac:dyDescent="0.3">
      <c r="A27" s="11">
        <f t="shared" si="3"/>
        <v>26</v>
      </c>
      <c r="B27" s="12" t="s">
        <v>60</v>
      </c>
      <c r="C27" s="12" t="s">
        <v>59</v>
      </c>
      <c r="D27" s="12" t="s">
        <v>61</v>
      </c>
      <c r="E27" s="16">
        <v>10470</v>
      </c>
      <c r="F27" s="12">
        <v>195</v>
      </c>
      <c r="G27" s="12">
        <v>298</v>
      </c>
      <c r="H27" s="12">
        <f t="shared" si="0"/>
        <v>-103</v>
      </c>
      <c r="I27" s="48">
        <v>1.1000000000000001</v>
      </c>
      <c r="J27" s="95" t="s">
        <v>114</v>
      </c>
      <c r="K27" s="4">
        <v>5</v>
      </c>
      <c r="L27" s="13">
        <f t="shared" si="1"/>
        <v>52.35</v>
      </c>
      <c r="M27" s="14">
        <f t="shared" si="2"/>
        <v>3.6354166666666667E-2</v>
      </c>
      <c r="N27" s="15">
        <f t="shared" si="4"/>
        <v>1.2866319444444441</v>
      </c>
      <c r="O27" s="12" t="s">
        <v>37</v>
      </c>
      <c r="P27" s="16">
        <f t="shared" si="5"/>
        <v>262.55</v>
      </c>
      <c r="Q27" s="17" t="s">
        <v>62</v>
      </c>
    </row>
    <row r="28" spans="1:17" s="27" customFormat="1" x14ac:dyDescent="0.3">
      <c r="A28" s="11">
        <f t="shared" si="3"/>
        <v>27</v>
      </c>
      <c r="B28" s="12" t="s">
        <v>63</v>
      </c>
      <c r="C28" s="12" t="s">
        <v>61</v>
      </c>
      <c r="D28" s="12" t="s">
        <v>64</v>
      </c>
      <c r="E28" s="16">
        <v>11610</v>
      </c>
      <c r="F28" s="12">
        <v>106</v>
      </c>
      <c r="G28" s="12">
        <v>229</v>
      </c>
      <c r="H28" s="12">
        <f t="shared" si="0"/>
        <v>-123</v>
      </c>
      <c r="I28" s="48">
        <v>1.1000000000000001</v>
      </c>
      <c r="J28" s="95" t="s">
        <v>114</v>
      </c>
      <c r="K28" s="4">
        <v>5</v>
      </c>
      <c r="L28" s="13">
        <f t="shared" si="1"/>
        <v>58.05</v>
      </c>
      <c r="M28" s="14">
        <f t="shared" si="2"/>
        <v>4.0312500000000001E-2</v>
      </c>
      <c r="N28" s="15">
        <f t="shared" si="4"/>
        <v>1.3229861111111108</v>
      </c>
      <c r="O28" s="12" t="s">
        <v>37</v>
      </c>
      <c r="P28" s="16">
        <f t="shared" si="5"/>
        <v>273.02000000000004</v>
      </c>
      <c r="Q28" s="26" t="s">
        <v>65</v>
      </c>
    </row>
    <row r="29" spans="1:17" s="35" customFormat="1" x14ac:dyDescent="0.3">
      <c r="A29" s="28">
        <f t="shared" si="3"/>
        <v>28</v>
      </c>
      <c r="B29" s="29" t="s">
        <v>66</v>
      </c>
      <c r="C29" s="29" t="s">
        <v>64</v>
      </c>
      <c r="D29" s="29" t="s">
        <v>67</v>
      </c>
      <c r="E29" s="33">
        <v>6950</v>
      </c>
      <c r="F29" s="29">
        <v>76</v>
      </c>
      <c r="G29" s="29">
        <v>102</v>
      </c>
      <c r="H29" s="29">
        <f t="shared" si="0"/>
        <v>-26</v>
      </c>
      <c r="I29" s="48">
        <v>0.7</v>
      </c>
      <c r="J29" s="95" t="s">
        <v>114</v>
      </c>
      <c r="K29" s="4">
        <v>5</v>
      </c>
      <c r="L29" s="30">
        <f t="shared" si="1"/>
        <v>34.75</v>
      </c>
      <c r="M29" s="31">
        <f t="shared" si="2"/>
        <v>2.4131944444444445E-2</v>
      </c>
      <c r="N29" s="32">
        <f t="shared" si="4"/>
        <v>1.3632986111111107</v>
      </c>
      <c r="O29" s="29" t="s">
        <v>37</v>
      </c>
      <c r="P29" s="33">
        <f t="shared" si="5"/>
        <v>284.63000000000005</v>
      </c>
      <c r="Q29" s="34" t="s">
        <v>68</v>
      </c>
    </row>
    <row r="30" spans="1:17" s="35" customFormat="1" x14ac:dyDescent="0.3">
      <c r="A30" s="11">
        <f>A29+1</f>
        <v>29</v>
      </c>
      <c r="B30" s="12" t="s">
        <v>69</v>
      </c>
      <c r="C30" s="12" t="s">
        <v>67</v>
      </c>
      <c r="D30" s="12" t="s">
        <v>70</v>
      </c>
      <c r="E30" s="16">
        <v>12140</v>
      </c>
      <c r="F30" s="12">
        <v>114</v>
      </c>
      <c r="G30" s="12">
        <v>59</v>
      </c>
      <c r="H30" s="12">
        <f t="shared" si="0"/>
        <v>55</v>
      </c>
      <c r="I30" s="48">
        <v>1.2</v>
      </c>
      <c r="J30" s="95" t="s">
        <v>114</v>
      </c>
      <c r="K30" s="4">
        <v>5</v>
      </c>
      <c r="L30" s="13">
        <f t="shared" si="1"/>
        <v>60.7</v>
      </c>
      <c r="M30" s="14">
        <f t="shared" si="2"/>
        <v>4.2152777777777782E-2</v>
      </c>
      <c r="N30" s="15">
        <v>0.89583333333333337</v>
      </c>
      <c r="O30" s="12" t="s">
        <v>37</v>
      </c>
      <c r="P30" s="16">
        <f t="shared" si="5"/>
        <v>291.58000000000004</v>
      </c>
      <c r="Q30" s="26" t="s">
        <v>71</v>
      </c>
    </row>
    <row r="31" spans="1:17" x14ac:dyDescent="0.3">
      <c r="A31" s="11">
        <f t="shared" ref="A31:A49" si="6">A30+1</f>
        <v>30</v>
      </c>
      <c r="B31" s="12" t="s">
        <v>72</v>
      </c>
      <c r="C31" s="12" t="s">
        <v>70</v>
      </c>
      <c r="D31" s="12" t="s">
        <v>73</v>
      </c>
      <c r="E31" s="16">
        <v>10690</v>
      </c>
      <c r="F31" s="12">
        <v>254</v>
      </c>
      <c r="G31" s="12">
        <v>218</v>
      </c>
      <c r="H31" s="12">
        <f t="shared" si="0"/>
        <v>36</v>
      </c>
      <c r="I31" s="48">
        <v>1.1499999999999999</v>
      </c>
      <c r="J31" s="95" t="s">
        <v>114</v>
      </c>
      <c r="K31" s="4">
        <v>5</v>
      </c>
      <c r="L31" s="13">
        <f t="shared" si="1"/>
        <v>53.45</v>
      </c>
      <c r="M31" s="14">
        <f t="shared" si="2"/>
        <v>3.7118055555555557E-2</v>
      </c>
      <c r="N31" s="15">
        <f t="shared" si="4"/>
        <v>0.93798611111111119</v>
      </c>
      <c r="O31" s="12" t="s">
        <v>37</v>
      </c>
      <c r="P31" s="16">
        <f t="shared" si="5"/>
        <v>303.72000000000003</v>
      </c>
      <c r="Q31" s="17" t="s">
        <v>74</v>
      </c>
    </row>
    <row r="32" spans="1:17" x14ac:dyDescent="0.3">
      <c r="A32" s="11">
        <f t="shared" si="6"/>
        <v>31</v>
      </c>
      <c r="B32" s="12" t="s">
        <v>75</v>
      </c>
      <c r="C32" s="12" t="s">
        <v>73</v>
      </c>
      <c r="D32" s="12" t="s">
        <v>76</v>
      </c>
      <c r="E32" s="16">
        <v>12300</v>
      </c>
      <c r="F32" s="12">
        <v>161</v>
      </c>
      <c r="G32" s="12">
        <v>62</v>
      </c>
      <c r="H32" s="12">
        <f t="shared" si="0"/>
        <v>99</v>
      </c>
      <c r="I32" s="48">
        <v>1.25</v>
      </c>
      <c r="J32" s="95" t="s">
        <v>114</v>
      </c>
      <c r="K32" s="4">
        <v>5</v>
      </c>
      <c r="L32" s="13">
        <f t="shared" si="1"/>
        <v>61.5</v>
      </c>
      <c r="M32" s="14">
        <f t="shared" si="2"/>
        <v>4.2708333333333334E-2</v>
      </c>
      <c r="N32" s="15">
        <f t="shared" si="4"/>
        <v>0.97510416666666677</v>
      </c>
      <c r="O32" s="12" t="s">
        <v>37</v>
      </c>
      <c r="P32" s="16">
        <f t="shared" si="5"/>
        <v>314.41000000000003</v>
      </c>
      <c r="Q32" s="17"/>
    </row>
    <row r="33" spans="1:17" x14ac:dyDescent="0.3">
      <c r="A33" s="11">
        <f t="shared" si="6"/>
        <v>32</v>
      </c>
      <c r="B33" s="12" t="s">
        <v>77</v>
      </c>
      <c r="C33" s="12" t="s">
        <v>76</v>
      </c>
      <c r="D33" s="12" t="s">
        <v>78</v>
      </c>
      <c r="E33" s="16">
        <v>9960</v>
      </c>
      <c r="F33" s="12">
        <v>359</v>
      </c>
      <c r="G33" s="12">
        <v>248</v>
      </c>
      <c r="H33" s="12">
        <f t="shared" si="0"/>
        <v>111</v>
      </c>
      <c r="I33" s="48">
        <v>1.2</v>
      </c>
      <c r="J33" s="95" t="s">
        <v>114</v>
      </c>
      <c r="K33" s="4">
        <v>5</v>
      </c>
      <c r="L33" s="13">
        <f t="shared" si="1"/>
        <v>49.8</v>
      </c>
      <c r="M33" s="14">
        <f t="shared" si="2"/>
        <v>3.4583333333333334E-2</v>
      </c>
      <c r="N33" s="15">
        <f t="shared" si="4"/>
        <v>1.0178125</v>
      </c>
      <c r="O33" s="12" t="s">
        <v>37</v>
      </c>
      <c r="P33" s="16">
        <f t="shared" si="5"/>
        <v>326.71000000000004</v>
      </c>
      <c r="Q33" s="17" t="s">
        <v>79</v>
      </c>
    </row>
    <row r="34" spans="1:17" x14ac:dyDescent="0.3">
      <c r="A34" s="11">
        <f t="shared" si="6"/>
        <v>33</v>
      </c>
      <c r="B34" s="12" t="s">
        <v>80</v>
      </c>
      <c r="C34" s="12" t="s">
        <v>78</v>
      </c>
      <c r="D34" s="12" t="s">
        <v>101</v>
      </c>
      <c r="E34" s="16">
        <v>11360</v>
      </c>
      <c r="F34" s="12">
        <v>310</v>
      </c>
      <c r="G34" s="12">
        <v>434</v>
      </c>
      <c r="H34" s="12">
        <f t="shared" si="0"/>
        <v>-124</v>
      </c>
      <c r="I34" s="48">
        <v>1.3</v>
      </c>
      <c r="J34" s="95" t="s">
        <v>114</v>
      </c>
      <c r="K34" s="4">
        <v>5</v>
      </c>
      <c r="L34" s="13">
        <f t="shared" si="1"/>
        <v>56.8</v>
      </c>
      <c r="M34" s="14">
        <f t="shared" si="2"/>
        <v>3.9444444444444442E-2</v>
      </c>
      <c r="N34" s="15">
        <f t="shared" si="4"/>
        <v>1.0523958333333334</v>
      </c>
      <c r="O34" s="12" t="s">
        <v>81</v>
      </c>
      <c r="P34" s="16">
        <f t="shared" si="5"/>
        <v>336.67</v>
      </c>
      <c r="Q34" s="17"/>
    </row>
    <row r="35" spans="1:17" x14ac:dyDescent="0.3">
      <c r="A35" s="11">
        <f t="shared" si="6"/>
        <v>34</v>
      </c>
      <c r="B35" s="12" t="s">
        <v>82</v>
      </c>
      <c r="C35" s="12" t="s">
        <v>101</v>
      </c>
      <c r="D35" s="12" t="s">
        <v>83</v>
      </c>
      <c r="E35" s="16">
        <v>14360</v>
      </c>
      <c r="F35" s="12">
        <v>185</v>
      </c>
      <c r="G35" s="12">
        <v>458</v>
      </c>
      <c r="H35" s="12">
        <f t="shared" si="0"/>
        <v>-273</v>
      </c>
      <c r="I35" s="48">
        <v>1.4</v>
      </c>
      <c r="J35" s="95" t="s">
        <v>114</v>
      </c>
      <c r="K35" s="4">
        <v>5</v>
      </c>
      <c r="L35" s="13">
        <f t="shared" si="1"/>
        <v>71.8</v>
      </c>
      <c r="M35" s="14">
        <f t="shared" si="2"/>
        <v>4.9861111111111106E-2</v>
      </c>
      <c r="N35" s="15">
        <f t="shared" si="4"/>
        <v>1.0918402777777778</v>
      </c>
      <c r="O35" s="12" t="s">
        <v>81</v>
      </c>
      <c r="P35" s="16">
        <f t="shared" si="5"/>
        <v>348.03000000000003</v>
      </c>
      <c r="Q35" s="17"/>
    </row>
    <row r="36" spans="1:17" x14ac:dyDescent="0.3">
      <c r="A36" s="11">
        <f t="shared" si="6"/>
        <v>35</v>
      </c>
      <c r="B36" s="12" t="s">
        <v>84</v>
      </c>
      <c r="C36" s="12" t="s">
        <v>83</v>
      </c>
      <c r="D36" s="12" t="s">
        <v>160</v>
      </c>
      <c r="E36" s="16">
        <v>12640</v>
      </c>
      <c r="F36" s="12">
        <v>81</v>
      </c>
      <c r="G36" s="12">
        <v>107</v>
      </c>
      <c r="H36" s="12">
        <f t="shared" si="0"/>
        <v>-26</v>
      </c>
      <c r="I36" s="48">
        <v>1.2</v>
      </c>
      <c r="J36" s="95" t="s">
        <v>114</v>
      </c>
      <c r="K36" s="4">
        <v>5</v>
      </c>
      <c r="L36" s="13">
        <f t="shared" si="1"/>
        <v>63.2</v>
      </c>
      <c r="M36" s="14">
        <f t="shared" si="2"/>
        <v>4.3888888888888894E-2</v>
      </c>
      <c r="N36" s="15">
        <f t="shared" si="4"/>
        <v>1.1417013888888889</v>
      </c>
      <c r="O36" s="12" t="s">
        <v>81</v>
      </c>
      <c r="P36" s="16">
        <f t="shared" si="5"/>
        <v>362.39000000000004</v>
      </c>
      <c r="Q36" s="17"/>
    </row>
    <row r="37" spans="1:17" x14ac:dyDescent="0.3">
      <c r="A37" s="11">
        <f t="shared" si="6"/>
        <v>36</v>
      </c>
      <c r="B37" s="12" t="s">
        <v>85</v>
      </c>
      <c r="C37" s="12" t="s">
        <v>160</v>
      </c>
      <c r="D37" s="12" t="s">
        <v>161</v>
      </c>
      <c r="E37" s="16">
        <v>12600</v>
      </c>
      <c r="F37" s="12">
        <v>107</v>
      </c>
      <c r="G37" s="12">
        <v>125</v>
      </c>
      <c r="H37" s="12">
        <f t="shared" si="0"/>
        <v>-18</v>
      </c>
      <c r="I37" s="48">
        <v>1.2</v>
      </c>
      <c r="J37" s="95" t="s">
        <v>114</v>
      </c>
      <c r="K37" s="4">
        <v>5</v>
      </c>
      <c r="L37" s="13">
        <f t="shared" si="1"/>
        <v>63</v>
      </c>
      <c r="M37" s="14">
        <f t="shared" si="2"/>
        <v>4.3749999999999997E-2</v>
      </c>
      <c r="N37" s="15">
        <f t="shared" si="4"/>
        <v>1.1855902777777778</v>
      </c>
      <c r="O37" s="12" t="s">
        <v>81</v>
      </c>
      <c r="P37" s="16">
        <f t="shared" si="5"/>
        <v>375.03000000000003</v>
      </c>
      <c r="Q37" s="17"/>
    </row>
    <row r="38" spans="1:17" s="27" customFormat="1" x14ac:dyDescent="0.3">
      <c r="A38" s="19">
        <f t="shared" si="6"/>
        <v>37</v>
      </c>
      <c r="B38" s="20" t="s">
        <v>86</v>
      </c>
      <c r="C38" s="20" t="s">
        <v>161</v>
      </c>
      <c r="D38" s="20" t="s">
        <v>162</v>
      </c>
      <c r="E38" s="24">
        <v>11430</v>
      </c>
      <c r="F38" s="20">
        <v>62</v>
      </c>
      <c r="G38" s="20">
        <v>74</v>
      </c>
      <c r="H38" s="20">
        <f t="shared" si="0"/>
        <v>-12</v>
      </c>
      <c r="I38" s="48">
        <v>1.1000000000000001</v>
      </c>
      <c r="J38" s="95" t="s">
        <v>114</v>
      </c>
      <c r="K38" s="4">
        <v>5</v>
      </c>
      <c r="L38" s="21">
        <f t="shared" si="1"/>
        <v>57.15</v>
      </c>
      <c r="M38" s="22">
        <f t="shared" si="2"/>
        <v>3.9687500000000001E-2</v>
      </c>
      <c r="N38" s="23">
        <f t="shared" si="4"/>
        <v>1.2293402777777778</v>
      </c>
      <c r="O38" s="20" t="s">
        <v>81</v>
      </c>
      <c r="P38" s="24">
        <f t="shared" si="5"/>
        <v>387.63000000000005</v>
      </c>
      <c r="Q38" s="25" t="s">
        <v>114</v>
      </c>
    </row>
    <row r="39" spans="1:17" s="27" customFormat="1" x14ac:dyDescent="0.3">
      <c r="A39" s="19">
        <f t="shared" si="6"/>
        <v>38</v>
      </c>
      <c r="B39" s="20" t="s">
        <v>87</v>
      </c>
      <c r="C39" s="20" t="s">
        <v>162</v>
      </c>
      <c r="D39" s="20" t="s">
        <v>88</v>
      </c>
      <c r="E39" s="24">
        <v>10880</v>
      </c>
      <c r="F39" s="20">
        <v>37</v>
      </c>
      <c r="G39" s="20">
        <v>46</v>
      </c>
      <c r="H39" s="20">
        <f t="shared" si="0"/>
        <v>-9</v>
      </c>
      <c r="I39" s="48">
        <v>1</v>
      </c>
      <c r="J39" s="95" t="s">
        <v>114</v>
      </c>
      <c r="K39" s="4">
        <v>5</v>
      </c>
      <c r="L39" s="21">
        <f t="shared" si="1"/>
        <v>54.4</v>
      </c>
      <c r="M39" s="22">
        <f t="shared" si="2"/>
        <v>3.7777777777777778E-2</v>
      </c>
      <c r="N39" s="23">
        <f t="shared" si="4"/>
        <v>1.2690277777777779</v>
      </c>
      <c r="O39" s="20" t="s">
        <v>81</v>
      </c>
      <c r="P39" s="24">
        <f t="shared" si="5"/>
        <v>399.06000000000006</v>
      </c>
      <c r="Q39" s="25" t="s">
        <v>114</v>
      </c>
    </row>
    <row r="40" spans="1:17" s="27" customFormat="1" x14ac:dyDescent="0.3">
      <c r="A40" s="19">
        <f t="shared" si="6"/>
        <v>39</v>
      </c>
      <c r="B40" s="20" t="s">
        <v>89</v>
      </c>
      <c r="C40" s="20" t="s">
        <v>88</v>
      </c>
      <c r="D40" s="20" t="s">
        <v>90</v>
      </c>
      <c r="E40" s="24">
        <v>9690</v>
      </c>
      <c r="F40" s="20">
        <v>109</v>
      </c>
      <c r="G40" s="20">
        <v>111</v>
      </c>
      <c r="H40" s="20">
        <f t="shared" si="0"/>
        <v>-2</v>
      </c>
      <c r="I40" s="48">
        <v>0.9</v>
      </c>
      <c r="J40" s="95" t="s">
        <v>114</v>
      </c>
      <c r="K40" s="4">
        <v>5</v>
      </c>
      <c r="L40" s="21">
        <f t="shared" si="1"/>
        <v>48.45</v>
      </c>
      <c r="M40" s="22">
        <f t="shared" si="2"/>
        <v>3.3645833333333333E-2</v>
      </c>
      <c r="N40" s="23">
        <f t="shared" si="4"/>
        <v>1.3068055555555556</v>
      </c>
      <c r="O40" s="20" t="s">
        <v>81</v>
      </c>
      <c r="P40" s="24">
        <f t="shared" si="5"/>
        <v>409.94000000000005</v>
      </c>
      <c r="Q40" s="25" t="s">
        <v>114</v>
      </c>
    </row>
    <row r="41" spans="1:17" s="27" customFormat="1" x14ac:dyDescent="0.3">
      <c r="A41" s="19">
        <f t="shared" si="6"/>
        <v>40</v>
      </c>
      <c r="B41" s="20" t="s">
        <v>91</v>
      </c>
      <c r="C41" s="20" t="s">
        <v>90</v>
      </c>
      <c r="D41" s="20" t="s">
        <v>92</v>
      </c>
      <c r="E41" s="24">
        <v>11620</v>
      </c>
      <c r="F41" s="20">
        <v>92</v>
      </c>
      <c r="G41" s="20">
        <v>94</v>
      </c>
      <c r="H41" s="20">
        <f t="shared" si="0"/>
        <v>-2</v>
      </c>
      <c r="I41" s="48">
        <v>1.1000000000000001</v>
      </c>
      <c r="J41" s="95" t="s">
        <v>114</v>
      </c>
      <c r="K41" s="4">
        <v>5</v>
      </c>
      <c r="L41" s="21">
        <f t="shared" si="1"/>
        <v>58.1</v>
      </c>
      <c r="M41" s="22">
        <f t="shared" si="2"/>
        <v>4.0347222222222222E-2</v>
      </c>
      <c r="N41" s="23">
        <f t="shared" si="4"/>
        <v>1.3404513888888889</v>
      </c>
      <c r="O41" s="20" t="s">
        <v>81</v>
      </c>
      <c r="P41" s="24">
        <f t="shared" si="5"/>
        <v>419.63000000000005</v>
      </c>
      <c r="Q41" s="25" t="s">
        <v>114</v>
      </c>
    </row>
    <row r="42" spans="1:17" s="36" customFormat="1" x14ac:dyDescent="0.3">
      <c r="A42" s="19">
        <f t="shared" si="6"/>
        <v>41</v>
      </c>
      <c r="B42" s="20" t="s">
        <v>94</v>
      </c>
      <c r="C42" s="20" t="s">
        <v>92</v>
      </c>
      <c r="D42" s="20" t="s">
        <v>163</v>
      </c>
      <c r="E42" s="24">
        <v>13150</v>
      </c>
      <c r="F42" s="20">
        <v>219</v>
      </c>
      <c r="G42" s="20">
        <v>217</v>
      </c>
      <c r="H42" s="20">
        <f t="shared" si="0"/>
        <v>2</v>
      </c>
      <c r="I42" s="48">
        <v>1.35</v>
      </c>
      <c r="J42" s="95" t="s">
        <v>114</v>
      </c>
      <c r="K42" s="4">
        <v>5</v>
      </c>
      <c r="L42" s="21">
        <f t="shared" si="1"/>
        <v>65.75</v>
      </c>
      <c r="M42" s="22">
        <f t="shared" si="2"/>
        <v>4.565972222222222E-2</v>
      </c>
      <c r="N42" s="23">
        <f t="shared" si="4"/>
        <v>1.3807986111111112</v>
      </c>
      <c r="O42" s="20" t="s">
        <v>81</v>
      </c>
      <c r="P42" s="24">
        <f t="shared" si="5"/>
        <v>431.25000000000006</v>
      </c>
      <c r="Q42" s="25" t="s">
        <v>114</v>
      </c>
    </row>
    <row r="43" spans="1:17" s="37" customFormat="1" x14ac:dyDescent="0.3">
      <c r="A43" s="19">
        <f t="shared" si="6"/>
        <v>42</v>
      </c>
      <c r="B43" s="20" t="s">
        <v>174</v>
      </c>
      <c r="C43" s="20" t="s">
        <v>163</v>
      </c>
      <c r="D43" s="20" t="s">
        <v>164</v>
      </c>
      <c r="E43" s="24">
        <v>12690</v>
      </c>
      <c r="F43" s="20">
        <v>200</v>
      </c>
      <c r="G43" s="20">
        <v>195</v>
      </c>
      <c r="H43" s="20">
        <f t="shared" si="0"/>
        <v>5</v>
      </c>
      <c r="I43" s="48">
        <v>1.3</v>
      </c>
      <c r="J43" s="95" t="s">
        <v>114</v>
      </c>
      <c r="K43" s="4">
        <v>5</v>
      </c>
      <c r="L43" s="21">
        <f t="shared" si="1"/>
        <v>63.45</v>
      </c>
      <c r="M43" s="22">
        <f t="shared" si="2"/>
        <v>4.4062500000000004E-2</v>
      </c>
      <c r="N43" s="23">
        <f t="shared" si="4"/>
        <v>1.4264583333333334</v>
      </c>
      <c r="O43" s="20" t="s">
        <v>81</v>
      </c>
      <c r="P43" s="24">
        <f t="shared" si="5"/>
        <v>444.40000000000003</v>
      </c>
      <c r="Q43" s="25" t="s">
        <v>114</v>
      </c>
    </row>
    <row r="44" spans="1:17" s="36" customFormat="1" x14ac:dyDescent="0.3">
      <c r="A44" s="19">
        <f t="shared" si="6"/>
        <v>43</v>
      </c>
      <c r="B44" s="20" t="s">
        <v>175</v>
      </c>
      <c r="C44" s="20" t="s">
        <v>164</v>
      </c>
      <c r="D44" s="20" t="s">
        <v>165</v>
      </c>
      <c r="E44" s="24">
        <v>12900</v>
      </c>
      <c r="F44" s="20">
        <v>229</v>
      </c>
      <c r="G44" s="20">
        <v>169</v>
      </c>
      <c r="H44" s="20">
        <f t="shared" si="0"/>
        <v>60</v>
      </c>
      <c r="I44" s="48">
        <v>1.35</v>
      </c>
      <c r="J44" s="95" t="s">
        <v>114</v>
      </c>
      <c r="K44" s="4">
        <v>5</v>
      </c>
      <c r="L44" s="21">
        <f t="shared" si="1"/>
        <v>64.5</v>
      </c>
      <c r="M44" s="22">
        <f t="shared" si="2"/>
        <v>4.4791666666666667E-2</v>
      </c>
      <c r="N44" s="23">
        <f t="shared" si="4"/>
        <v>1.4705208333333335</v>
      </c>
      <c r="O44" s="20" t="s">
        <v>81</v>
      </c>
      <c r="P44" s="24">
        <f t="shared" si="5"/>
        <v>457.09000000000003</v>
      </c>
      <c r="Q44" s="25" t="s">
        <v>114</v>
      </c>
    </row>
    <row r="45" spans="1:17" s="36" customFormat="1" x14ac:dyDescent="0.3">
      <c r="A45" s="19">
        <f t="shared" si="6"/>
        <v>44</v>
      </c>
      <c r="B45" s="20" t="s">
        <v>95</v>
      </c>
      <c r="C45" s="20" t="s">
        <v>165</v>
      </c>
      <c r="D45" s="20" t="s">
        <v>166</v>
      </c>
      <c r="E45" s="24">
        <v>12600</v>
      </c>
      <c r="F45" s="20">
        <v>156</v>
      </c>
      <c r="G45" s="20">
        <v>196</v>
      </c>
      <c r="H45" s="20">
        <f>F45-G45</f>
        <v>-40</v>
      </c>
      <c r="I45" s="48">
        <v>1.25</v>
      </c>
      <c r="J45" s="95" t="s">
        <v>114</v>
      </c>
      <c r="K45" s="4">
        <v>5</v>
      </c>
      <c r="L45" s="21">
        <f>(E45*K45)/1000</f>
        <v>63</v>
      </c>
      <c r="M45" s="22">
        <f>L45/1440</f>
        <v>4.3749999999999997E-2</v>
      </c>
      <c r="N45" s="23">
        <f>N44+M44</f>
        <v>1.5153125000000001</v>
      </c>
      <c r="O45" s="20" t="s">
        <v>81</v>
      </c>
      <c r="P45" s="24">
        <f t="shared" si="5"/>
        <v>469.99</v>
      </c>
      <c r="Q45" s="25" t="s">
        <v>114</v>
      </c>
    </row>
    <row r="46" spans="1:17" s="27" customFormat="1" x14ac:dyDescent="0.3">
      <c r="A46" s="19">
        <f t="shared" si="6"/>
        <v>45</v>
      </c>
      <c r="B46" s="20" t="s">
        <v>173</v>
      </c>
      <c r="C46" s="20" t="s">
        <v>166</v>
      </c>
      <c r="D46" s="20" t="s">
        <v>96</v>
      </c>
      <c r="E46" s="24">
        <v>12310</v>
      </c>
      <c r="F46" s="20">
        <v>91</v>
      </c>
      <c r="G46" s="20">
        <v>163</v>
      </c>
      <c r="H46" s="20">
        <f t="shared" ref="H46:H49" si="7">F46-G46</f>
        <v>-72</v>
      </c>
      <c r="I46" s="48">
        <v>1.1499999999999999</v>
      </c>
      <c r="J46" s="95" t="s">
        <v>114</v>
      </c>
      <c r="K46" s="4">
        <v>5</v>
      </c>
      <c r="L46" s="21">
        <f t="shared" ref="L46:L49" si="8">(E46*K46)/1000</f>
        <v>61.55</v>
      </c>
      <c r="M46" s="22">
        <f t="shared" ref="M46:M49" si="9">L46/1440</f>
        <v>4.2743055555555555E-2</v>
      </c>
      <c r="N46" s="23">
        <f t="shared" ref="N46:N50" si="10">N45+M45</f>
        <v>1.5590625</v>
      </c>
      <c r="O46" s="20" t="s">
        <v>81</v>
      </c>
      <c r="P46" s="24">
        <f t="shared" si="5"/>
        <v>482.59000000000003</v>
      </c>
      <c r="Q46" s="25" t="s">
        <v>114</v>
      </c>
    </row>
    <row r="47" spans="1:17" s="27" customFormat="1" x14ac:dyDescent="0.3">
      <c r="A47" s="19">
        <f t="shared" si="6"/>
        <v>46</v>
      </c>
      <c r="B47" s="20" t="s">
        <v>172</v>
      </c>
      <c r="C47" s="20" t="s">
        <v>96</v>
      </c>
      <c r="D47" s="20" t="s">
        <v>167</v>
      </c>
      <c r="E47" s="24">
        <v>11620</v>
      </c>
      <c r="F47" s="20">
        <v>16</v>
      </c>
      <c r="G47" s="20">
        <v>19</v>
      </c>
      <c r="H47" s="20">
        <f t="shared" si="7"/>
        <v>-3</v>
      </c>
      <c r="I47" s="48">
        <v>1.1000000000000001</v>
      </c>
      <c r="J47" s="95" t="s">
        <v>114</v>
      </c>
      <c r="K47" s="4">
        <v>5</v>
      </c>
      <c r="L47" s="21">
        <f t="shared" si="8"/>
        <v>58.1</v>
      </c>
      <c r="M47" s="22">
        <f t="shared" si="9"/>
        <v>4.0347222222222222E-2</v>
      </c>
      <c r="N47" s="23">
        <f t="shared" si="10"/>
        <v>1.6018055555555555</v>
      </c>
      <c r="O47" s="20" t="s">
        <v>81</v>
      </c>
      <c r="P47" s="24">
        <f t="shared" si="5"/>
        <v>494.90000000000003</v>
      </c>
      <c r="Q47" s="25" t="s">
        <v>114</v>
      </c>
    </row>
    <row r="48" spans="1:17" s="27" customFormat="1" x14ac:dyDescent="0.3">
      <c r="A48" s="19">
        <f t="shared" si="6"/>
        <v>47</v>
      </c>
      <c r="B48" s="20" t="s">
        <v>171</v>
      </c>
      <c r="C48" s="20" t="s">
        <v>167</v>
      </c>
      <c r="D48" s="20" t="s">
        <v>168</v>
      </c>
      <c r="E48" s="24">
        <v>9540</v>
      </c>
      <c r="F48" s="20">
        <v>70</v>
      </c>
      <c r="G48" s="20">
        <v>68</v>
      </c>
      <c r="H48" s="20">
        <f t="shared" si="7"/>
        <v>2</v>
      </c>
      <c r="I48" s="48">
        <v>0.9</v>
      </c>
      <c r="J48" s="95" t="s">
        <v>114</v>
      </c>
      <c r="K48" s="4">
        <v>5</v>
      </c>
      <c r="L48" s="21">
        <f t="shared" si="8"/>
        <v>47.7</v>
      </c>
      <c r="M48" s="22">
        <f t="shared" si="9"/>
        <v>3.3125000000000002E-2</v>
      </c>
      <c r="N48" s="23">
        <f t="shared" si="10"/>
        <v>1.6421527777777778</v>
      </c>
      <c r="O48" s="20" t="s">
        <v>81</v>
      </c>
      <c r="P48" s="24">
        <f t="shared" si="5"/>
        <v>506.52000000000004</v>
      </c>
      <c r="Q48" s="25" t="s">
        <v>114</v>
      </c>
    </row>
    <row r="49" spans="1:17" s="27" customFormat="1" ht="15" thickBot="1" x14ac:dyDescent="0.35">
      <c r="A49" s="38">
        <f t="shared" si="6"/>
        <v>48</v>
      </c>
      <c r="B49" s="39" t="s">
        <v>170</v>
      </c>
      <c r="C49" s="20" t="s">
        <v>168</v>
      </c>
      <c r="D49" s="60" t="s">
        <v>169</v>
      </c>
      <c r="E49" s="61">
        <v>6260</v>
      </c>
      <c r="F49" s="60">
        <v>0</v>
      </c>
      <c r="G49" s="60">
        <v>0</v>
      </c>
      <c r="H49" s="20">
        <f t="shared" si="7"/>
        <v>0</v>
      </c>
      <c r="I49" s="48">
        <v>0.6</v>
      </c>
      <c r="J49" s="95" t="s">
        <v>114</v>
      </c>
      <c r="K49" s="4">
        <v>5</v>
      </c>
      <c r="L49" s="40">
        <f t="shared" si="8"/>
        <v>31.3</v>
      </c>
      <c r="M49" s="41">
        <f t="shared" si="9"/>
        <v>2.1736111111111112E-2</v>
      </c>
      <c r="N49" s="42">
        <f t="shared" si="10"/>
        <v>1.6752777777777779</v>
      </c>
      <c r="O49" s="39" t="s">
        <v>81</v>
      </c>
      <c r="P49" s="43">
        <f t="shared" si="5"/>
        <v>516.06000000000006</v>
      </c>
      <c r="Q49" s="44" t="s">
        <v>114</v>
      </c>
    </row>
    <row r="50" spans="1:17" ht="15" thickBot="1" x14ac:dyDescent="0.35">
      <c r="A50" s="45"/>
      <c r="B50" s="45"/>
      <c r="C50" s="45"/>
      <c r="D50" s="45"/>
      <c r="E50" s="45"/>
      <c r="F50" s="45"/>
      <c r="G50" s="45"/>
      <c r="H50" s="45"/>
      <c r="I50" s="45"/>
      <c r="J50" s="96"/>
      <c r="K50" s="45"/>
      <c r="L50" s="45"/>
      <c r="M50" s="45"/>
      <c r="N50" s="85">
        <f t="shared" si="10"/>
        <v>1.697013888888889</v>
      </c>
      <c r="O50" s="45" t="s">
        <v>140</v>
      </c>
      <c r="P50" s="85">
        <f>N29+M29</f>
        <v>1.3874305555555553</v>
      </c>
      <c r="Q50" s="45" t="s">
        <v>141</v>
      </c>
    </row>
    <row r="51" spans="1:17" x14ac:dyDescent="0.3">
      <c r="A51" s="45" t="s">
        <v>97</v>
      </c>
      <c r="B51" s="45" t="s">
        <v>98</v>
      </c>
      <c r="C51" s="45"/>
      <c r="D51" s="45"/>
      <c r="E51" s="49">
        <f>SUM(E2:E49)</f>
        <v>522320</v>
      </c>
      <c r="F51" s="49">
        <f>SUM(F2:F49)</f>
        <v>8692</v>
      </c>
      <c r="G51" s="49">
        <f>SUM(G2:G49)</f>
        <v>8768</v>
      </c>
      <c r="H51" s="49">
        <f>SUM(H2:H49)</f>
        <v>-76</v>
      </c>
      <c r="I51" s="51">
        <f>SUM(I2:I49)</f>
        <v>54.000000000000014</v>
      </c>
      <c r="J51" s="97"/>
      <c r="K51" s="50" t="s">
        <v>102</v>
      </c>
      <c r="L51" s="46">
        <f>SUM(L2:L49)</f>
        <v>2611.5999999999995</v>
      </c>
      <c r="M51" s="46"/>
      <c r="N51" s="46">
        <f>L51/E52</f>
        <v>4.9999999999999982</v>
      </c>
      <c r="O51" s="45" t="s">
        <v>142</v>
      </c>
      <c r="P51" s="45"/>
      <c r="Q51" s="45"/>
    </row>
    <row r="52" spans="1:17" x14ac:dyDescent="0.3">
      <c r="A52" s="45"/>
      <c r="B52" s="45" t="s">
        <v>99</v>
      </c>
      <c r="C52" s="45"/>
      <c r="D52" s="45"/>
      <c r="E52" s="45">
        <f>E51/1000</f>
        <v>522.32000000000005</v>
      </c>
      <c r="F52" s="45"/>
      <c r="G52" s="45"/>
      <c r="H52" s="45"/>
      <c r="I52" s="45"/>
      <c r="J52" s="96"/>
      <c r="K52" s="50" t="s">
        <v>103</v>
      </c>
      <c r="L52" s="46">
        <f>L51/60</f>
        <v>43.526666666666657</v>
      </c>
      <c r="M52" s="46"/>
      <c r="N52" s="46" t="s">
        <v>114</v>
      </c>
      <c r="O52" s="45"/>
      <c r="P52" s="45"/>
      <c r="Q52" s="45"/>
    </row>
    <row r="53" spans="1:17" x14ac:dyDescent="0.3">
      <c r="K53" s="52" t="s">
        <v>105</v>
      </c>
      <c r="L53" s="18">
        <f>L52/24</f>
        <v>1.8136111111111106</v>
      </c>
      <c r="N53" t="s">
        <v>114</v>
      </c>
    </row>
    <row r="61" spans="1:17" x14ac:dyDescent="0.3">
      <c r="L61" s="47"/>
      <c r="M61" s="47"/>
    </row>
    <row r="62" spans="1:17" x14ac:dyDescent="0.3">
      <c r="L62" s="47"/>
      <c r="M62" s="47"/>
    </row>
    <row r="63" spans="1:17" x14ac:dyDescent="0.3">
      <c r="L63" s="47"/>
      <c r="M63" s="47"/>
    </row>
    <row r="64" spans="1:17" x14ac:dyDescent="0.3">
      <c r="L64" s="47"/>
      <c r="M64" s="47"/>
    </row>
  </sheetData>
  <autoFilter ref="A1:Q49"/>
  <pageMargins left="0.11811023622047245" right="0.11811023622047245" top="0.15748031496062992" bottom="0.15748031496062992" header="0.31496062992125984" footer="0.31496062992125984"/>
  <pageSetup paperSize="8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9"/>
  <sheetViews>
    <sheetView tabSelected="1" workbookViewId="0">
      <selection activeCell="K12" sqref="K12"/>
    </sheetView>
  </sheetViews>
  <sheetFormatPr defaultRowHeight="14.4" x14ac:dyDescent="0.3"/>
  <cols>
    <col min="1" max="1" width="4.33203125" customWidth="1"/>
    <col min="2" max="2" width="26.44140625" customWidth="1"/>
  </cols>
  <sheetData>
    <row r="1" spans="1:3" x14ac:dyDescent="0.3">
      <c r="A1" t="s">
        <v>264</v>
      </c>
      <c r="B1" t="s">
        <v>178</v>
      </c>
      <c r="C1" t="s">
        <v>265</v>
      </c>
    </row>
    <row r="2" spans="1:3" x14ac:dyDescent="0.3">
      <c r="A2">
        <v>1</v>
      </c>
      <c r="B2" t="str">
        <f ca="1">INDIRECT(ADDRESS(MOD(A2-1,12)+3,2,,,"DXC DREAM TEAM"))</f>
        <v>Danka Redechová</v>
      </c>
      <c r="C2" t="str">
        <f ca="1">CONCATENATE(_xlfn.FLOOR.MATH(INDIRECT(ADDRESS(5*MOD(A2-1,12)+2+_xlfn.FLOOR.MATH((A2-1)/12),11,,,"trasa podľa bežcov"))),":",ROUND(60*MOD(INDIRECT(ADDRESS(5*MOD(A2-1,12)+2+_xlfn.FLOOR.MATH((A2-1)/12),11,,,"trasa podľa bežcov")),1),0))</f>
        <v>5:12</v>
      </c>
    </row>
    <row r="3" spans="1:3" x14ac:dyDescent="0.3">
      <c r="A3">
        <v>2</v>
      </c>
      <c r="B3" t="str">
        <f t="shared" ref="B3:B49" ca="1" si="0">INDIRECT(ADDRESS(MOD(A3-1,12)+3,2,,,"DXC DREAM TEAM"))</f>
        <v xml:space="preserve">? náhrada za M.Štrkolec </v>
      </c>
      <c r="C3" t="str">
        <f t="shared" ref="C3:C49" ca="1" si="1">CONCATENATE(_xlfn.FLOOR.MATH(INDIRECT(ADDRESS(5*MOD(A3-1,12)+2+_xlfn.FLOOR.MATH((A3-1)/12),11,,,"trasa podľa bežcov"))),":",ROUND(60*MOD(INDIRECT(ADDRESS(5*MOD(A3-1,12)+2+_xlfn.FLOOR.MATH((A3-1)/12),11,,,"trasa podľa bežcov")),1),0))</f>
        <v>5:0</v>
      </c>
    </row>
    <row r="4" spans="1:3" x14ac:dyDescent="0.3">
      <c r="A4">
        <v>3</v>
      </c>
      <c r="B4" t="str">
        <f t="shared" ca="1" si="0"/>
        <v>Vladimír Dudlák</v>
      </c>
      <c r="C4" t="str">
        <f t="shared" ca="1" si="1"/>
        <v>5:12</v>
      </c>
    </row>
    <row r="5" spans="1:3" x14ac:dyDescent="0.3">
      <c r="A5">
        <v>4</v>
      </c>
      <c r="B5" t="str">
        <f t="shared" ca="1" si="0"/>
        <v>Peter Škorík</v>
      </c>
      <c r="C5" t="str">
        <f t="shared" ca="1" si="1"/>
        <v>5:0</v>
      </c>
    </row>
    <row r="6" spans="1:3" x14ac:dyDescent="0.3">
      <c r="A6">
        <v>5</v>
      </c>
      <c r="B6" t="str">
        <f t="shared" ca="1" si="0"/>
        <v>Jožo Pujdo Pury</v>
      </c>
      <c r="C6" t="str">
        <f t="shared" ca="1" si="1"/>
        <v>5:18</v>
      </c>
    </row>
    <row r="7" spans="1:3" x14ac:dyDescent="0.3">
      <c r="A7">
        <v>6</v>
      </c>
      <c r="B7" t="str">
        <f t="shared" ca="1" si="0"/>
        <v>Michal Ševčík</v>
      </c>
      <c r="C7" t="str">
        <f t="shared" ca="1" si="1"/>
        <v>5:12</v>
      </c>
    </row>
    <row r="8" spans="1:3" x14ac:dyDescent="0.3">
      <c r="A8">
        <v>7</v>
      </c>
      <c r="B8" t="str">
        <f t="shared" ca="1" si="0"/>
        <v>Matúš Ševčík</v>
      </c>
      <c r="C8" t="str">
        <f t="shared" ca="1" si="1"/>
        <v>5:0</v>
      </c>
    </row>
    <row r="9" spans="1:3" x14ac:dyDescent="0.3">
      <c r="A9">
        <v>8</v>
      </c>
      <c r="B9" t="str">
        <f t="shared" ca="1" si="0"/>
        <v>Matej Fabšík</v>
      </c>
      <c r="C9" t="str">
        <f t="shared" ca="1" si="1"/>
        <v>4:30</v>
      </c>
    </row>
    <row r="10" spans="1:3" x14ac:dyDescent="0.3">
      <c r="A10">
        <v>9</v>
      </c>
      <c r="B10" t="str">
        <f t="shared" ca="1" si="0"/>
        <v>Andrej Kacian</v>
      </c>
      <c r="C10" t="str">
        <f t="shared" ca="1" si="1"/>
        <v>5:12</v>
      </c>
    </row>
    <row r="11" spans="1:3" x14ac:dyDescent="0.3">
      <c r="A11">
        <v>10</v>
      </c>
      <c r="B11" t="str">
        <f t="shared" ca="1" si="0"/>
        <v>Slavomír Hodúl</v>
      </c>
      <c r="C11" t="str">
        <f t="shared" ca="1" si="1"/>
        <v>5:0</v>
      </c>
    </row>
    <row r="12" spans="1:3" x14ac:dyDescent="0.3">
      <c r="A12">
        <v>11</v>
      </c>
      <c r="B12" t="str">
        <f t="shared" ca="1" si="0"/>
        <v>Peter Šišolák</v>
      </c>
      <c r="C12" t="str">
        <f t="shared" ca="1" si="1"/>
        <v>5:0</v>
      </c>
    </row>
    <row r="13" spans="1:3" x14ac:dyDescent="0.3">
      <c r="A13">
        <v>12</v>
      </c>
      <c r="B13" t="str">
        <f t="shared" ca="1" si="0"/>
        <v>Renata Hochschornerová</v>
      </c>
      <c r="C13" t="str">
        <f t="shared" ca="1" si="1"/>
        <v>5:12</v>
      </c>
    </row>
    <row r="14" spans="1:3" x14ac:dyDescent="0.3">
      <c r="A14">
        <v>13</v>
      </c>
      <c r="B14" t="str">
        <f t="shared" ca="1" si="0"/>
        <v>Danka Redechová</v>
      </c>
      <c r="C14" t="str">
        <f t="shared" ca="1" si="1"/>
        <v>5:12</v>
      </c>
    </row>
    <row r="15" spans="1:3" x14ac:dyDescent="0.3">
      <c r="A15">
        <v>14</v>
      </c>
      <c r="B15" t="str">
        <f t="shared" ca="1" si="0"/>
        <v xml:space="preserve">? náhrada za M.Štrkolec </v>
      </c>
      <c r="C15" t="str">
        <f t="shared" ca="1" si="1"/>
        <v>5:0</v>
      </c>
    </row>
    <row r="16" spans="1:3" x14ac:dyDescent="0.3">
      <c r="A16">
        <v>15</v>
      </c>
      <c r="B16" t="str">
        <f t="shared" ca="1" si="0"/>
        <v>Vladimír Dudlák</v>
      </c>
      <c r="C16" t="str">
        <f t="shared" ca="1" si="1"/>
        <v>5:6</v>
      </c>
    </row>
    <row r="17" spans="1:3" x14ac:dyDescent="0.3">
      <c r="A17">
        <v>16</v>
      </c>
      <c r="B17" t="str">
        <f t="shared" ca="1" si="0"/>
        <v>Peter Škorík</v>
      </c>
      <c r="C17" t="str">
        <f t="shared" ca="1" si="1"/>
        <v>5:0</v>
      </c>
    </row>
    <row r="18" spans="1:3" x14ac:dyDescent="0.3">
      <c r="A18">
        <v>17</v>
      </c>
      <c r="B18" t="str">
        <f t="shared" ca="1" si="0"/>
        <v>Jožo Pujdo Pury</v>
      </c>
      <c r="C18" t="str">
        <f t="shared" ca="1" si="1"/>
        <v>5:6</v>
      </c>
    </row>
    <row r="19" spans="1:3" x14ac:dyDescent="0.3">
      <c r="A19">
        <v>18</v>
      </c>
      <c r="B19" t="str">
        <f t="shared" ca="1" si="0"/>
        <v>Michal Ševčík</v>
      </c>
      <c r="C19" t="str">
        <f t="shared" ca="1" si="1"/>
        <v>5:0</v>
      </c>
    </row>
    <row r="20" spans="1:3" x14ac:dyDescent="0.3">
      <c r="A20">
        <v>19</v>
      </c>
      <c r="B20" t="str">
        <f t="shared" ca="1" si="0"/>
        <v>Matúš Ševčík</v>
      </c>
      <c r="C20" t="str">
        <f t="shared" ca="1" si="1"/>
        <v>5:6</v>
      </c>
    </row>
    <row r="21" spans="1:3" x14ac:dyDescent="0.3">
      <c r="A21">
        <v>20</v>
      </c>
      <c r="B21" t="str">
        <f t="shared" ca="1" si="0"/>
        <v>Matej Fabšík</v>
      </c>
      <c r="C21" t="str">
        <f t="shared" ca="1" si="1"/>
        <v>4:54</v>
      </c>
    </row>
    <row r="22" spans="1:3" x14ac:dyDescent="0.3">
      <c r="A22">
        <v>21</v>
      </c>
      <c r="B22" t="str">
        <f t="shared" ca="1" si="0"/>
        <v>Andrej Kacian</v>
      </c>
      <c r="C22" t="str">
        <f t="shared" ca="1" si="1"/>
        <v>5:6</v>
      </c>
    </row>
    <row r="23" spans="1:3" x14ac:dyDescent="0.3">
      <c r="A23">
        <v>22</v>
      </c>
      <c r="B23" t="str">
        <f t="shared" ca="1" si="0"/>
        <v>Slavomír Hodúl</v>
      </c>
      <c r="C23" t="str">
        <f t="shared" ca="1" si="1"/>
        <v>5:12</v>
      </c>
    </row>
    <row r="24" spans="1:3" x14ac:dyDescent="0.3">
      <c r="A24">
        <v>23</v>
      </c>
      <c r="B24" t="str">
        <f t="shared" ca="1" si="0"/>
        <v>Peter Šišolák</v>
      </c>
      <c r="C24" t="str">
        <f t="shared" ca="1" si="1"/>
        <v>5:12</v>
      </c>
    </row>
    <row r="25" spans="1:3" x14ac:dyDescent="0.3">
      <c r="A25">
        <v>24</v>
      </c>
      <c r="B25" t="str">
        <f t="shared" ca="1" si="0"/>
        <v>Renata Hochschornerová</v>
      </c>
      <c r="C25" t="str">
        <f t="shared" ca="1" si="1"/>
        <v>5:12</v>
      </c>
    </row>
    <row r="26" spans="1:3" x14ac:dyDescent="0.3">
      <c r="A26">
        <v>25</v>
      </c>
      <c r="B26" t="str">
        <f t="shared" ca="1" si="0"/>
        <v>Danka Redechová</v>
      </c>
      <c r="C26" t="str">
        <f t="shared" ca="1" si="1"/>
        <v>5:18</v>
      </c>
    </row>
    <row r="27" spans="1:3" x14ac:dyDescent="0.3">
      <c r="A27">
        <v>26</v>
      </c>
      <c r="B27" t="str">
        <f t="shared" ca="1" si="0"/>
        <v xml:space="preserve">? náhrada za M.Štrkolec </v>
      </c>
      <c r="C27" t="str">
        <f t="shared" ca="1" si="1"/>
        <v>5:0</v>
      </c>
    </row>
    <row r="28" spans="1:3" x14ac:dyDescent="0.3">
      <c r="A28">
        <v>27</v>
      </c>
      <c r="B28" t="str">
        <f t="shared" ca="1" si="0"/>
        <v>Vladimír Dudlák</v>
      </c>
      <c r="C28" t="str">
        <f t="shared" ca="1" si="1"/>
        <v>5:18</v>
      </c>
    </row>
    <row r="29" spans="1:3" x14ac:dyDescent="0.3">
      <c r="A29">
        <v>28</v>
      </c>
      <c r="B29" t="str">
        <f t="shared" ca="1" si="0"/>
        <v>Peter Škorík</v>
      </c>
      <c r="C29" t="str">
        <f t="shared" ca="1" si="1"/>
        <v>5:0</v>
      </c>
    </row>
    <row r="30" spans="1:3" x14ac:dyDescent="0.3">
      <c r="A30">
        <v>29</v>
      </c>
      <c r="B30" t="str">
        <f t="shared" ca="1" si="0"/>
        <v>Jožo Pujdo Pury</v>
      </c>
      <c r="C30" t="str">
        <f t="shared" ca="1" si="1"/>
        <v>5:12</v>
      </c>
    </row>
    <row r="31" spans="1:3" x14ac:dyDescent="0.3">
      <c r="A31">
        <v>30</v>
      </c>
      <c r="B31" t="str">
        <f t="shared" ca="1" si="0"/>
        <v>Michal Ševčík</v>
      </c>
      <c r="C31" t="str">
        <f t="shared" ca="1" si="1"/>
        <v>5:12</v>
      </c>
    </row>
    <row r="32" spans="1:3" x14ac:dyDescent="0.3">
      <c r="A32">
        <v>31</v>
      </c>
      <c r="B32" t="str">
        <f t="shared" ca="1" si="0"/>
        <v>Matúš Ševčík</v>
      </c>
      <c r="C32" t="str">
        <f t="shared" ca="1" si="1"/>
        <v>5:18</v>
      </c>
    </row>
    <row r="33" spans="1:3" x14ac:dyDescent="0.3">
      <c r="A33">
        <v>32</v>
      </c>
      <c r="B33" t="str">
        <f t="shared" ca="1" si="0"/>
        <v>Matej Fabšík</v>
      </c>
      <c r="C33" t="str">
        <f t="shared" ca="1" si="1"/>
        <v>4:42</v>
      </c>
    </row>
    <row r="34" spans="1:3" x14ac:dyDescent="0.3">
      <c r="A34">
        <v>33</v>
      </c>
      <c r="B34" t="str">
        <f t="shared" ca="1" si="0"/>
        <v>Andrej Kacian</v>
      </c>
      <c r="C34" t="str">
        <f t="shared" ca="1" si="1"/>
        <v>5:18</v>
      </c>
    </row>
    <row r="35" spans="1:3" x14ac:dyDescent="0.3">
      <c r="A35">
        <v>34</v>
      </c>
      <c r="B35" t="str">
        <f t="shared" ca="1" si="0"/>
        <v>Slavomír Hodúl</v>
      </c>
      <c r="C35" t="str">
        <f t="shared" ca="1" si="1"/>
        <v>5:12</v>
      </c>
    </row>
    <row r="36" spans="1:3" x14ac:dyDescent="0.3">
      <c r="A36">
        <v>35</v>
      </c>
      <c r="B36" t="str">
        <f t="shared" ca="1" si="0"/>
        <v>Peter Šišolák</v>
      </c>
      <c r="C36" t="str">
        <f t="shared" ca="1" si="1"/>
        <v>5:12</v>
      </c>
    </row>
    <row r="37" spans="1:3" x14ac:dyDescent="0.3">
      <c r="A37">
        <v>36</v>
      </c>
      <c r="B37" t="str">
        <f t="shared" ca="1" si="0"/>
        <v>Renata Hochschornerová</v>
      </c>
      <c r="C37" t="str">
        <f t="shared" ca="1" si="1"/>
        <v>5:12</v>
      </c>
    </row>
    <row r="38" spans="1:3" x14ac:dyDescent="0.3">
      <c r="A38">
        <v>37</v>
      </c>
      <c r="B38" t="str">
        <f t="shared" ca="1" si="0"/>
        <v>Danka Redechová</v>
      </c>
      <c r="C38" t="str">
        <f t="shared" ca="1" si="1"/>
        <v>5:12</v>
      </c>
    </row>
    <row r="39" spans="1:3" x14ac:dyDescent="0.3">
      <c r="A39">
        <v>38</v>
      </c>
      <c r="B39" t="str">
        <f t="shared" ca="1" si="0"/>
        <v xml:space="preserve">? náhrada za M.Štrkolec </v>
      </c>
      <c r="C39" t="str">
        <f t="shared" ca="1" si="1"/>
        <v>5:0</v>
      </c>
    </row>
    <row r="40" spans="1:3" x14ac:dyDescent="0.3">
      <c r="A40">
        <v>39</v>
      </c>
      <c r="B40" t="str">
        <f t="shared" ca="1" si="0"/>
        <v>Vladimír Dudlák</v>
      </c>
      <c r="C40" t="str">
        <f t="shared" ca="1" si="1"/>
        <v>5:6</v>
      </c>
    </row>
    <row r="41" spans="1:3" x14ac:dyDescent="0.3">
      <c r="A41">
        <v>40</v>
      </c>
      <c r="B41" t="str">
        <f t="shared" ca="1" si="0"/>
        <v>Peter Škorík</v>
      </c>
      <c r="C41" t="str">
        <f t="shared" ca="1" si="1"/>
        <v>5:0</v>
      </c>
    </row>
    <row r="42" spans="1:3" x14ac:dyDescent="0.3">
      <c r="A42">
        <v>41</v>
      </c>
      <c r="B42" t="str">
        <f t="shared" ca="1" si="0"/>
        <v>Jožo Pujdo Pury</v>
      </c>
      <c r="C42" t="str">
        <f t="shared" ca="1" si="1"/>
        <v>5:18</v>
      </c>
    </row>
    <row r="43" spans="1:3" x14ac:dyDescent="0.3">
      <c r="A43">
        <v>42</v>
      </c>
      <c r="B43" t="str">
        <f t="shared" ca="1" si="0"/>
        <v>Michal Ševčík</v>
      </c>
      <c r="C43" t="str">
        <f t="shared" ca="1" si="1"/>
        <v>5:12</v>
      </c>
    </row>
    <row r="44" spans="1:3" x14ac:dyDescent="0.3">
      <c r="A44">
        <v>43</v>
      </c>
      <c r="B44" t="str">
        <f t="shared" ca="1" si="0"/>
        <v>Matúš Ševčík</v>
      </c>
      <c r="C44" t="str">
        <f t="shared" ca="1" si="1"/>
        <v>5:18</v>
      </c>
    </row>
    <row r="45" spans="1:3" x14ac:dyDescent="0.3">
      <c r="A45">
        <v>44</v>
      </c>
      <c r="B45" t="str">
        <f t="shared" ca="1" si="0"/>
        <v>Matej Fabšík</v>
      </c>
      <c r="C45" t="str">
        <f t="shared" ca="1" si="1"/>
        <v>4:24</v>
      </c>
    </row>
    <row r="46" spans="1:3" x14ac:dyDescent="0.3">
      <c r="A46">
        <v>45</v>
      </c>
      <c r="B46" t="str">
        <f t="shared" ca="1" si="0"/>
        <v>Andrej Kacian</v>
      </c>
      <c r="C46" t="str">
        <f t="shared" ca="1" si="1"/>
        <v>5:0</v>
      </c>
    </row>
    <row r="47" spans="1:3" x14ac:dyDescent="0.3">
      <c r="A47">
        <v>46</v>
      </c>
      <c r="B47" t="str">
        <f t="shared" ca="1" si="0"/>
        <v>Slavomír Hodúl</v>
      </c>
      <c r="C47" t="str">
        <f t="shared" ca="1" si="1"/>
        <v>5:12</v>
      </c>
    </row>
    <row r="48" spans="1:3" x14ac:dyDescent="0.3">
      <c r="A48">
        <v>47</v>
      </c>
      <c r="B48" t="str">
        <f t="shared" ca="1" si="0"/>
        <v>Peter Šišolák</v>
      </c>
      <c r="C48" t="str">
        <f t="shared" ca="1" si="1"/>
        <v>5:6</v>
      </c>
    </row>
    <row r="49" spans="1:3" x14ac:dyDescent="0.3">
      <c r="A49">
        <v>48</v>
      </c>
      <c r="B49" t="str">
        <f t="shared" ca="1" si="0"/>
        <v>Renata Hochschornerová</v>
      </c>
      <c r="C49" t="str">
        <f t="shared" ca="1" si="1"/>
        <v>5:12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DXC DREAM TEAM</vt:lpstr>
      <vt:lpstr>trasa podľa bežcov</vt:lpstr>
      <vt:lpstr>Cela trasa</vt:lpstr>
      <vt:lpstr>Useky</vt:lpstr>
    </vt:vector>
  </TitlesOfParts>
  <Company>Hewlett 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Vladimir Dudlak</dc:creator>
  <cp:lastModifiedBy>Balint, Vojtech</cp:lastModifiedBy>
  <cp:lastPrinted>2019-05-16T15:47:55Z</cp:lastPrinted>
  <dcterms:created xsi:type="dcterms:W3CDTF">2016-04-06T11:58:55Z</dcterms:created>
  <dcterms:modified xsi:type="dcterms:W3CDTF">2019-05-22T10:45:44Z</dcterms:modified>
</cp:coreProperties>
</file>