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ex\Downloads\"/>
    </mc:Choice>
  </mc:AlternateContent>
  <xr:revisionPtr revIDLastSave="0" documentId="8_{3F98AD8E-CEE8-44B6-B162-CAE37B8911E5}" xr6:coauthVersionLast="47" xr6:coauthVersionMax="47" xr10:uidLastSave="{00000000-0000-0000-0000-000000000000}"/>
  <bookViews>
    <workbookView xWindow="-108" yWindow="-108" windowWidth="23256" windowHeight="12456" tabRatio="838" xr2:uid="{00000000-000D-0000-FFFF-FFFF00000000}"/>
  </bookViews>
  <sheets>
    <sheet name="Dashboard" sheetId="19" r:id="rId1"/>
    <sheet name="Account Information" sheetId="20" r:id="rId2"/>
    <sheet name="Card Info" sheetId="17" r:id="rId3"/>
    <sheet name="Individual Profile Report" sheetId="18" r:id="rId4"/>
    <sheet name="Amount Purchased" sheetId="22" r:id="rId5"/>
    <sheet name="Cash Advance Transactions" sheetId="23" r:id="rId6"/>
    <sheet name="Payments" sheetId="24" r:id="rId7"/>
    <sheet name="Confirmation Letter" sheetId="12" r:id="rId8"/>
    <sheet name="Statement of Account" sheetId="13" r:id="rId9"/>
    <sheet name="Payment System" sheetId="14" r:id="rId10"/>
  </sheets>
  <definedNames>
    <definedName name="_xlnm._FilterDatabase" localSheetId="1" hidden="1">'Account Information'!$B$2:$Z$17</definedName>
    <definedName name="_xlnm._FilterDatabase" localSheetId="4" hidden="1">'Amount Purchased'!$B$3:$F$3</definedName>
    <definedName name="_xlnm._FilterDatabase" localSheetId="6" hidden="1">Payments!$C$3:$F$18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2" l="1"/>
  <c r="D26" i="18"/>
  <c r="G26" i="18"/>
  <c r="E18" i="18"/>
  <c r="G18" i="18"/>
  <c r="G10" i="18"/>
  <c r="H10" i="18"/>
  <c r="D8" i="18"/>
  <c r="C3" i="12" l="1"/>
  <c r="G18" i="12"/>
  <c r="H16" i="13" s="1"/>
  <c r="E25" i="13" s="1"/>
  <c r="G21" i="12"/>
  <c r="G22" i="12"/>
  <c r="G23" i="12"/>
  <c r="H20" i="13"/>
  <c r="H10" i="13" s="1"/>
  <c r="D39" i="13" s="1"/>
  <c r="J10" i="14"/>
  <c r="F6" i="24"/>
  <c r="F16" i="24"/>
  <c r="F18" i="24"/>
  <c r="E4" i="23"/>
  <c r="E4" i="24" s="1"/>
  <c r="F4" i="24" s="1"/>
  <c r="E5" i="23"/>
  <c r="E5" i="24" s="1"/>
  <c r="F5" i="24" s="1"/>
  <c r="E6" i="23"/>
  <c r="E6" i="24" s="1"/>
  <c r="E7" i="23"/>
  <c r="E7" i="24" s="1"/>
  <c r="F7" i="24" s="1"/>
  <c r="E8" i="23"/>
  <c r="E8" i="24" s="1"/>
  <c r="F8" i="24" s="1"/>
  <c r="E9" i="23"/>
  <c r="E10" i="23"/>
  <c r="E10" i="24" s="1"/>
  <c r="F10" i="24" s="1"/>
  <c r="E11" i="23"/>
  <c r="E11" i="24" s="1"/>
  <c r="F11" i="24" s="1"/>
  <c r="E12" i="23"/>
  <c r="E12" i="24" s="1"/>
  <c r="F12" i="24" s="1"/>
  <c r="E13" i="23"/>
  <c r="E13" i="24" s="1"/>
  <c r="F13" i="24" s="1"/>
  <c r="E14" i="23"/>
  <c r="E14" i="24" s="1"/>
  <c r="F14" i="24" s="1"/>
  <c r="E15" i="23"/>
  <c r="E16" i="23"/>
  <c r="E16" i="24" s="1"/>
  <c r="E17" i="23"/>
  <c r="E17" i="24" s="1"/>
  <c r="F17" i="24" s="1"/>
  <c r="E18" i="23"/>
  <c r="E18" i="24" s="1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G27" i="18"/>
  <c r="G28" i="18"/>
  <c r="D28" i="18"/>
  <c r="D27" i="18"/>
  <c r="E20" i="18"/>
  <c r="C20" i="18"/>
  <c r="D18" i="18"/>
  <c r="C18" i="18"/>
  <c r="D16" i="18"/>
  <c r="D15" i="18"/>
  <c r="C5" i="12" s="1"/>
  <c r="D10" i="18"/>
  <c r="G36" i="13" s="1"/>
  <c r="C10" i="18"/>
  <c r="F8" i="18"/>
  <c r="C8" i="18"/>
  <c r="D10" i="13" l="1"/>
  <c r="E11" i="14"/>
  <c r="D36" i="13"/>
  <c r="E15" i="24"/>
  <c r="F15" i="24" s="1"/>
  <c r="E9" i="24"/>
  <c r="F9" i="24" s="1"/>
  <c r="C4" i="12"/>
  <c r="F7" i="12"/>
  <c r="E7" i="12" s="1"/>
  <c r="E10" i="18"/>
  <c r="G8" i="12"/>
  <c r="G20" i="12"/>
  <c r="D11" i="13"/>
  <c r="E9" i="14"/>
  <c r="J9" i="14"/>
  <c r="G26" i="13"/>
  <c r="D26" i="13"/>
  <c r="F26" i="13"/>
  <c r="D24" i="13"/>
  <c r="E26" i="13"/>
  <c r="G25" i="13"/>
  <c r="G24" i="13"/>
  <c r="F24" i="13"/>
  <c r="D25" i="13"/>
  <c r="F25" i="13"/>
  <c r="E24" i="13"/>
  <c r="G15" i="14" s="1"/>
  <c r="E17" i="13"/>
  <c r="E16" i="13"/>
  <c r="E15" i="13"/>
  <c r="E18" i="13" s="1"/>
  <c r="H15" i="13" l="1"/>
  <c r="H18" i="13" s="1"/>
  <c r="H19" i="13" s="1"/>
  <c r="E20" i="13"/>
  <c r="H11" i="13" l="1"/>
  <c r="G13" i="14" s="1"/>
  <c r="G17" i="14" s="1"/>
  <c r="F39" i="13"/>
</calcChain>
</file>

<file path=xl/sharedStrings.xml><?xml version="1.0" encoding="utf-8"?>
<sst xmlns="http://schemas.openxmlformats.org/spreadsheetml/2006/main" count="553" uniqueCount="434">
  <si>
    <t>ACCOUNT INFORMATION</t>
  </si>
  <si>
    <t>CASH ADVANCE TRANSACTIONS</t>
  </si>
  <si>
    <t>PAYMENTS</t>
  </si>
  <si>
    <t>CONFIRMATION LETTER</t>
  </si>
  <si>
    <t>PAYMENT SYSTEM</t>
  </si>
  <si>
    <t>Credit Card Number</t>
  </si>
  <si>
    <t>Last Name</t>
  </si>
  <si>
    <t>First Name</t>
  </si>
  <si>
    <t>M.I</t>
  </si>
  <si>
    <t>Sex</t>
  </si>
  <si>
    <t>Home Address 1</t>
  </si>
  <si>
    <t>Home Address 2</t>
  </si>
  <si>
    <t>ZIP</t>
  </si>
  <si>
    <t>E-mail Address</t>
  </si>
  <si>
    <t>Home Number</t>
  </si>
  <si>
    <t>Office Number</t>
  </si>
  <si>
    <t>Fax Number</t>
  </si>
  <si>
    <t>Mobile Number</t>
  </si>
  <si>
    <t>Credit Card Type or Network</t>
  </si>
  <si>
    <t>Credit Card Issue Date</t>
  </si>
  <si>
    <t>Credit Card Expiration Date</t>
  </si>
  <si>
    <t>Current Employer (Company)</t>
  </si>
  <si>
    <t>Address of Current Employer (Company)</t>
  </si>
  <si>
    <t>Contact Number of Current Employer (Company)</t>
  </si>
  <si>
    <t>Current Profession / Position</t>
  </si>
  <si>
    <t>Monthly Income</t>
  </si>
  <si>
    <t>Previous Employer</t>
  </si>
  <si>
    <t>Contact Number of Previous Employer (Company)</t>
  </si>
  <si>
    <t>Customer Previous Profession / Position</t>
  </si>
  <si>
    <t>Address of Previous Employer (Company)</t>
  </si>
  <si>
    <t>5112-3496-7840-1788</t>
  </si>
  <si>
    <t>Alonzo</t>
  </si>
  <si>
    <t>Sofia</t>
  </si>
  <si>
    <t>Z.</t>
  </si>
  <si>
    <t>F</t>
  </si>
  <si>
    <t>15 Rainbow Street, Barangay San Roque, Marikina City, Metro Manila, Philippines</t>
  </si>
  <si>
    <t>56 M. L. Quezon Avenue, Lapu-Lapu City, Cebu, Philippines</t>
  </si>
  <si>
    <t>sofiaalonzo@gmail.com</t>
  </si>
  <si>
    <t>(02) 5555-0919</t>
  </si>
  <si>
    <t>(02) 8112-1324</t>
  </si>
  <si>
    <t>(02) 8122-2222</t>
  </si>
  <si>
    <t>0977-685-2106</t>
  </si>
  <si>
    <t>Mastercard Classic</t>
  </si>
  <si>
    <t>IKEA</t>
  </si>
  <si>
    <t>MOA Square, Mall of Asia Complex, Marina Way, Pasay, Philippines</t>
  </si>
  <si>
    <t>(02) 7800-0010</t>
  </si>
  <si>
    <t>Retail Sales Administrator</t>
  </si>
  <si>
    <t>Teleperformance</t>
  </si>
  <si>
    <t>(02) 4837-2651</t>
  </si>
  <si>
    <t>Sales Consultant</t>
  </si>
  <si>
    <t>Pavilion Greenfield District, Mandaluyong, Philippines</t>
  </si>
  <si>
    <t>3456-7890-1234-5670</t>
  </si>
  <si>
    <t>Argarin</t>
  </si>
  <si>
    <t>Andrea</t>
  </si>
  <si>
    <t>L.</t>
  </si>
  <si>
    <t>25 Sienna Street, Barangay Bel-Air, Makati City, Metro Manila, Philippines</t>
  </si>
  <si>
    <t xml:space="preserve">10 L. P. Leviste Avenue, Barangay Santo Domingo, Santa Rosa, Laguna, Philippines </t>
  </si>
  <si>
    <t>argarin.andrea@gmail.com</t>
  </si>
  <si>
    <t>(02) 8991-1234</t>
  </si>
  <si>
    <t>(02) 7789-1203</t>
  </si>
  <si>
    <t>(02) 7223-1009</t>
  </si>
  <si>
    <t>0922-465-2309</t>
  </si>
  <si>
    <t>American Express Gold</t>
  </si>
  <si>
    <t>L'Oreal</t>
  </si>
  <si>
    <t>Robinsons Equitable Tower, P. Poveda Road, Ortigas Center, Pasig, Philippines</t>
  </si>
  <si>
    <t>(02) 8363-7574</t>
  </si>
  <si>
    <t>Brand Manager</t>
  </si>
  <si>
    <t>Burberry</t>
  </si>
  <si>
    <t>(02) 1593-8472</t>
  </si>
  <si>
    <t>Brand Sales Manager</t>
  </si>
  <si>
    <t>Rustan's Department Store, Ayala Center, Makati Ave, Makati, Philippines</t>
  </si>
  <si>
    <t>5199-8986-0190-9998</t>
  </si>
  <si>
    <t>Ashford</t>
  </si>
  <si>
    <t>Nikos</t>
  </si>
  <si>
    <t>A.</t>
  </si>
  <si>
    <t>M</t>
  </si>
  <si>
    <t>78 A. Bonifacio Street, Barangay Sto. Nino, Quezon City, Metro Manila, Philippines</t>
  </si>
  <si>
    <t xml:space="preserve">44 G. Del Pilar Street, Barangay Pagsanjan, Pagsanjan, Laguna, Philippines </t>
  </si>
  <si>
    <t>nikos.ashford@gmail.com</t>
  </si>
  <si>
    <t>(02) 8123-8790</t>
  </si>
  <si>
    <t>(02) 7839-2093</t>
  </si>
  <si>
    <t>(02) 7819-2314</t>
  </si>
  <si>
    <t>0926-584-4599</t>
  </si>
  <si>
    <t>Mastercard Platinum</t>
  </si>
  <si>
    <t>JPMorgan Chase &amp; Co</t>
  </si>
  <si>
    <t>9th Avenue, corner 38th St, Taguig, Philippines</t>
  </si>
  <si>
    <t>(02) 7908-5000</t>
  </si>
  <si>
    <t>Business Development Manager</t>
  </si>
  <si>
    <t>Google Inc</t>
  </si>
  <si>
    <t>(02) 8201-4539</t>
  </si>
  <si>
    <t>Data Science Analyst / Business Data Analyst</t>
  </si>
  <si>
    <t>Seven NEO, Building 5th Ave, Manila, Philippines</t>
  </si>
  <si>
    <t>4123-4589-8999-1112</t>
  </si>
  <si>
    <t>Castel</t>
  </si>
  <si>
    <t>Rafael</t>
  </si>
  <si>
    <t>N.</t>
  </si>
  <si>
    <t>32 Magnolia Street, Barangay Lourdes, Quezon City, Metro Manila, Philippines</t>
  </si>
  <si>
    <t xml:space="preserve">90 Maharlika Highway, Barangay Batangas, San Pablo, Laguna, Philippines </t>
  </si>
  <si>
    <t>rafael.castel@gmail.com</t>
  </si>
  <si>
    <t>(02) 8897-5678</t>
  </si>
  <si>
    <t>(02) 7001-0290</t>
  </si>
  <si>
    <t>(02) 7453-1899</t>
  </si>
  <si>
    <t>0977-434-4023</t>
  </si>
  <si>
    <t>Visa Classic</t>
  </si>
  <si>
    <t>San Miguel Corporation</t>
  </si>
  <si>
    <t>40 San Miguel Ave, Ortigas Center, Mandaluyong, Philippines</t>
  </si>
  <si>
    <t>(02) 8632-3000</t>
  </si>
  <si>
    <t>Sales Manager</t>
  </si>
  <si>
    <t xml:space="preserve">Red Bull </t>
  </si>
  <si>
    <t>(02) 6472-9318</t>
  </si>
  <si>
    <t>Supply Chain Analyst</t>
  </si>
  <si>
    <t>Romualdez St. Gate 3, Tabacalera Compound, Manila, Philippines</t>
  </si>
  <si>
    <t>4122-9859-7811-0032</t>
  </si>
  <si>
    <t>Cruz</t>
  </si>
  <si>
    <t>Diane</t>
  </si>
  <si>
    <t>J.</t>
  </si>
  <si>
    <t>15 Sampaguita Street, Barangay New Era, Quezon City, Metro Manila, Philippines</t>
  </si>
  <si>
    <t xml:space="preserve">78 National Road, Barangay San Jose, Calamba, Laguna, Philippines </t>
  </si>
  <si>
    <t>dianecruz@gmail.com</t>
  </si>
  <si>
    <t>(02) 5329-8789</t>
  </si>
  <si>
    <t>(02) 7123-9039</t>
  </si>
  <si>
    <t>(02) 7003-9909</t>
  </si>
  <si>
    <t>0965-347-4612</t>
  </si>
  <si>
    <t>Ford Motor Company</t>
  </si>
  <si>
    <t>Ford BGC Showroom, Rizal Dr, Crescent Park West, Taguig, Philippines</t>
  </si>
  <si>
    <t>0917-303-0653</t>
  </si>
  <si>
    <t>Porsche</t>
  </si>
  <si>
    <t>(02) 2938-4715</t>
  </si>
  <si>
    <t>Financial Administrator</t>
  </si>
  <si>
    <t>Westgate Center, Commerce Ave, Muntinlupa, Philippines</t>
  </si>
  <si>
    <t>3422-2510-0682-5670</t>
  </si>
  <si>
    <t>Ellison</t>
  </si>
  <si>
    <t>Erjim</t>
  </si>
  <si>
    <t>P.</t>
  </si>
  <si>
    <t>88 Malugay Street, Barangay San Antonio, Makati City, Metro Manila, Philippines</t>
  </si>
  <si>
    <t xml:space="preserve">66 Ayala Avenue, Barangay Poblacion, San Jose, Batangas, Philippines </t>
  </si>
  <si>
    <t>ellisonerjim@gmail.com</t>
  </si>
  <si>
    <t>(02) 8199-1243</t>
  </si>
  <si>
    <t>(02) 7481-0011</t>
  </si>
  <si>
    <t>(02) 7731-9991</t>
  </si>
  <si>
    <t>0922-234-1299</t>
  </si>
  <si>
    <t>American Express Green</t>
  </si>
  <si>
    <t>BMW Philippines</t>
  </si>
  <si>
    <t>Eton Centris, EDSA, corner Quezon Ave, Quezon City, Philippines</t>
  </si>
  <si>
    <t>(02) 7854-2499</t>
  </si>
  <si>
    <t>Electric Vehicle Technician</t>
  </si>
  <si>
    <t>Toyota</t>
  </si>
  <si>
    <t>(02) 7568-2104</t>
  </si>
  <si>
    <t xml:space="preserve"> 728 Quezon Ave, Quezon City, Philippines</t>
  </si>
  <si>
    <t>3498-2917-1282-5379</t>
  </si>
  <si>
    <t>Leclerc</t>
  </si>
  <si>
    <t>Fernando</t>
  </si>
  <si>
    <t>101 Mayor Gil Fernando Avenue, Barangay Calumpang, Marikina City, Metro Manila, Philippines</t>
  </si>
  <si>
    <t xml:space="preserve">78 J.P. Laurel Avenue, Davao City, Philippines </t>
  </si>
  <si>
    <t>fleclerc@gmail.com</t>
  </si>
  <si>
    <t>(02) 8892-0016</t>
  </si>
  <si>
    <t>(02) 8800-1777</t>
  </si>
  <si>
    <t>(02) 8771-9022</t>
  </si>
  <si>
    <t>0949-341-3475</t>
  </si>
  <si>
    <t>Mercedes-Benz Group AG</t>
  </si>
  <si>
    <t>5th Ave, corner 24th St, Taguig, Philippines</t>
  </si>
  <si>
    <t>(02) 4800-0000</t>
  </si>
  <si>
    <t>Quality Assurance Engineer</t>
  </si>
  <si>
    <t>Aston Martin</t>
  </si>
  <si>
    <t>(02) 4182-9576</t>
  </si>
  <si>
    <t>Sales Specialist Head</t>
  </si>
  <si>
    <t>Chino Roces Ave, Makati, Philippines</t>
  </si>
  <si>
    <t>4199-0129-2269-1762</t>
  </si>
  <si>
    <t>Mendoza</t>
  </si>
  <si>
    <t>Julia</t>
  </si>
  <si>
    <t>O.</t>
  </si>
  <si>
    <t>47 Jasmine Street, Barangay Kamias, Quezon City, Metro Manila, Philippines</t>
  </si>
  <si>
    <t xml:space="preserve">29 Rizal Street, Barangay 2, Batangas City, Batangas, Philippines </t>
  </si>
  <si>
    <t>julia.mendoza@gmail.com</t>
  </si>
  <si>
    <t>(02) 8294-7770</t>
  </si>
  <si>
    <t>(02) 7764-9484</t>
  </si>
  <si>
    <t>(02) 7811-1299</t>
  </si>
  <si>
    <t>0949-852-4316</t>
  </si>
  <si>
    <t>February 29, 2025</t>
  </si>
  <si>
    <t>Sanofi</t>
  </si>
  <si>
    <t>One World Place Corporate Office, 32nd St, Taguig, Philippines</t>
  </si>
  <si>
    <t>(02) 7854-2029</t>
  </si>
  <si>
    <t>Cosmetic Chemist</t>
  </si>
  <si>
    <t xml:space="preserve">St. Lukes Medical Center </t>
  </si>
  <si>
    <t>(02) 1029-3847</t>
  </si>
  <si>
    <t>Medical Cosmetic Administrator</t>
  </si>
  <si>
    <t>5th Ave, Taguig, Philippines</t>
  </si>
  <si>
    <t>5165-8989-1015-1702</t>
  </si>
  <si>
    <t>Mercado</t>
  </si>
  <si>
    <t>Diego</t>
  </si>
  <si>
    <t>M.</t>
  </si>
  <si>
    <t>103 A. Villegas Street, Barangay 671, Manila, Metro Manila, Philippines</t>
  </si>
  <si>
    <t>8 Rizal Street, Barangay Poblacion, Nasugbu, Batangas, Philippines</t>
  </si>
  <si>
    <t>diegomercado@gmail.com</t>
  </si>
  <si>
    <t>(02) 8998-9902</t>
  </si>
  <si>
    <t>(02) 7394-1333</t>
  </si>
  <si>
    <t>(02) 7982-4433</t>
  </si>
  <si>
    <t>0989-215-4344</t>
  </si>
  <si>
    <t>Samsung Electronics</t>
  </si>
  <si>
    <t>155 Ayala Avenue, Glorietta 3, Ayala Center, Makati, Philippines</t>
  </si>
  <si>
    <t>(02) 7028-9999</t>
  </si>
  <si>
    <t>Firmware Engineer</t>
  </si>
  <si>
    <t>G-Cash</t>
  </si>
  <si>
    <t>(02) 5647-3829</t>
  </si>
  <si>
    <t>West Global Center, 9th Avenue cor. 30th Street Bonifacio Global City, Taguig, Philippines</t>
  </si>
  <si>
    <t>4177-7249-0918-8892</t>
  </si>
  <si>
    <t>Montgomery</t>
  </si>
  <si>
    <t>Dream</t>
  </si>
  <si>
    <t>R.</t>
  </si>
  <si>
    <t>33 C. Palanca Street, Barangay Legaspi Village, Makati City, Metro Manila, Philippines</t>
  </si>
  <si>
    <t xml:space="preserve">15 San Juan Avenue, Barangay Ilijan, Batangas City, Batangas, Philippines </t>
  </si>
  <si>
    <t>thedreammontgomery@gmail.com</t>
  </si>
  <si>
    <t>(02) 8191-1243</t>
  </si>
  <si>
    <t>(02) 7111-0022</t>
  </si>
  <si>
    <t>(02) 7783-5554</t>
  </si>
  <si>
    <t>0968-586-4312</t>
  </si>
  <si>
    <t>Visa Gold</t>
  </si>
  <si>
    <t>IBM Corporation</t>
  </si>
  <si>
    <t>IBM Plaza, 8 Eastwood Ave, Quezon City, Philippines</t>
  </si>
  <si>
    <t>(02) 7854-1500</t>
  </si>
  <si>
    <t>Test Engineer</t>
  </si>
  <si>
    <t>Acudeen Technologies</t>
  </si>
  <si>
    <t>(02) 8901-2345</t>
  </si>
  <si>
    <t>Cypress Gardens, 112 V.A. Rufino St, Legazpi Village, Makati, Philippines</t>
  </si>
  <si>
    <t>4121-9802-0755-1129</t>
  </si>
  <si>
    <t>Reyes</t>
  </si>
  <si>
    <t>Marco</t>
  </si>
  <si>
    <t>25 B. Paredes Street, Barangay San Nicolas, Manila, Metro Manila, Philippines</t>
  </si>
  <si>
    <t xml:space="preserve">88 Rizal Avenue, Barangay Anabu II-F, Imus, Cavite, Philippines </t>
  </si>
  <si>
    <t>marcoreyes@gmail.com</t>
  </si>
  <si>
    <t>(02) 5550-8688</t>
  </si>
  <si>
    <t>(02) 7129-1111</t>
  </si>
  <si>
    <t>(02) 7113-0009</t>
  </si>
  <si>
    <t>0996-452-7682</t>
  </si>
  <si>
    <t>Starbucks Corporation</t>
  </si>
  <si>
    <t>61 Muralla St, Intramuros, Manila, Philippines</t>
  </si>
  <si>
    <t>(02) 7899-9999</t>
  </si>
  <si>
    <t>Marketing Manager</t>
  </si>
  <si>
    <t>Fintech</t>
  </si>
  <si>
    <t>(02) 3748-2916</t>
  </si>
  <si>
    <t>Marketing Social Development Admin</t>
  </si>
  <si>
    <t>88 Corporate Center, 141 Valero, Makati, Philippines</t>
  </si>
  <si>
    <t>Rockefeller</t>
  </si>
  <si>
    <t>Jaden</t>
  </si>
  <si>
    <t>C.</t>
  </si>
  <si>
    <t>55 L. P. Leviste Street, Barangay Salcedo Village, Makati City, Metro Manila, Philippines</t>
  </si>
  <si>
    <t xml:space="preserve">45 Aguinaldo Highway, Barangay Bucandala, Imus, Cavite, Philippines </t>
  </si>
  <si>
    <t>jadenrocke@gmail.com</t>
  </si>
  <si>
    <t>(02) 8829-2902</t>
  </si>
  <si>
    <t>(02) 7182-0543</t>
  </si>
  <si>
    <t>(02) 7999-2232</t>
  </si>
  <si>
    <t>0980-800-8808</t>
  </si>
  <si>
    <t>Johnson &amp; Johnson</t>
  </si>
  <si>
    <t>Edison Ave, Parañaque, Philippines</t>
  </si>
  <si>
    <t>(02) 7028-8111</t>
  </si>
  <si>
    <t>Healthcare Informatics Specialist</t>
  </si>
  <si>
    <t>Makati Medical Center</t>
  </si>
  <si>
    <t>(02) 2183-6579</t>
  </si>
  <si>
    <t>Healthcare Specialist Head</t>
  </si>
  <si>
    <t>2 Amorsolo Street, Legazpi Village, Makati, Philippines</t>
  </si>
  <si>
    <t>3481-9826-0234-9988</t>
  </si>
  <si>
    <t>Stan</t>
  </si>
  <si>
    <t>Amorc</t>
  </si>
  <si>
    <t>10 Greenbelt Drive, Barangay San Lorenzo, Makati City, Metro Manila, Philippines</t>
  </si>
  <si>
    <t xml:space="preserve">23 Barangay San Vicente, Biñan, Laguna, Philippines </t>
  </si>
  <si>
    <t>amorc.stan@gmail.com</t>
  </si>
  <si>
    <t>(02) 8121-3456</t>
  </si>
  <si>
    <t>(02) 7700-9039</t>
  </si>
  <si>
    <t>0917-123-7912</t>
  </si>
  <si>
    <t>American Express Platinum</t>
  </si>
  <si>
    <t>Microsoft Corporation</t>
  </si>
  <si>
    <t>One Ayala West Tower, Ayala Avenue, corner Edsa, Makati, Philippines</t>
  </si>
  <si>
    <t>(02) 8860-8989</t>
  </si>
  <si>
    <t>Business Intelligence Analyst Head</t>
  </si>
  <si>
    <t>(02) 6492-0387</t>
  </si>
  <si>
    <t>Data Science Analyst</t>
  </si>
  <si>
    <t>4101-0900-4171-9063</t>
  </si>
  <si>
    <t>Villanueva</t>
  </si>
  <si>
    <t>Blair</t>
  </si>
  <si>
    <t>W.</t>
  </si>
  <si>
    <t>89 A. Mabini Street, Barangay Malate, Manila, Metro Manila, Philippines</t>
  </si>
  <si>
    <t xml:space="preserve">56 Zapote Road, Barangay Zapote, Bacoor, Cavite, Philippines </t>
  </si>
  <si>
    <t>blair.villanueva@gmail.com</t>
  </si>
  <si>
    <t>(02) 9897-0010</t>
  </si>
  <si>
    <t>(02) 8291-7281</t>
  </si>
  <si>
    <t>(02) 7553-1111</t>
  </si>
  <si>
    <t>0994-012-0225</t>
  </si>
  <si>
    <t>Zara</t>
  </si>
  <si>
    <t>Glorietta 3 Mall, Ayala Ave, Makati, Philippines</t>
  </si>
  <si>
    <t>(02) 7811-5672</t>
  </si>
  <si>
    <t>Influencer Marketing Manager</t>
  </si>
  <si>
    <t>H&amp;M</t>
  </si>
  <si>
    <t>(02) 9032-1476</t>
  </si>
  <si>
    <t>Araneta Center, General Roxas Ave, Cubao, Quezon City, Philippines</t>
  </si>
  <si>
    <t>4166-7610-6757-1280</t>
  </si>
  <si>
    <t>Westwood</t>
  </si>
  <si>
    <t>Katherine</t>
  </si>
  <si>
    <t>22 Sunrise Street, Barangay Bagong Pag-asa, Quezon City, Metro Manila, Philippines</t>
  </si>
  <si>
    <t xml:space="preserve">5 J.P. Laurel Highway, Barangay San Isidro, Lipa City, Batangas, Philippines </t>
  </si>
  <si>
    <t>kathwestwood@gmail.com</t>
  </si>
  <si>
    <t>(02) 8990-0989</t>
  </si>
  <si>
    <t>(02) 5379-0871</t>
  </si>
  <si>
    <t>(02) 7443-1009</t>
  </si>
  <si>
    <t>0929-455-3213</t>
  </si>
  <si>
    <t>Visa Platinum</t>
  </si>
  <si>
    <t>AT&amp;T Inc.</t>
  </si>
  <si>
    <t>The Enterprise Center Building,  Ayala Avenue, Makati City · Philippines</t>
  </si>
  <si>
    <t>(02) 7854-2300</t>
  </si>
  <si>
    <t>Financial Analyst Head</t>
  </si>
  <si>
    <t>Apple Company</t>
  </si>
  <si>
    <t>(02)5829-4713</t>
  </si>
  <si>
    <t>Financial Consultant</t>
  </si>
  <si>
    <t>The Enterprise II Building, Ayala Avenue, Legaspi Village, Makati City</t>
  </si>
  <si>
    <t>Card Limit</t>
  </si>
  <si>
    <t>Mastercard Gold</t>
  </si>
  <si>
    <t>Individual Profile</t>
  </si>
  <si>
    <t>M.I.</t>
  </si>
  <si>
    <t>Credit Card Type</t>
  </si>
  <si>
    <t>Card Issued</t>
  </si>
  <si>
    <t>Card Expiry Date</t>
  </si>
  <si>
    <t>Contact Details</t>
  </si>
  <si>
    <t>Primary Address</t>
  </si>
  <si>
    <t>Secondary Address</t>
  </si>
  <si>
    <t>Zip Code:</t>
  </si>
  <si>
    <t>Home Number:</t>
  </si>
  <si>
    <t>Office Number:</t>
  </si>
  <si>
    <t>Fax Number:</t>
  </si>
  <si>
    <t>Mobile Number:</t>
  </si>
  <si>
    <t>Email Address:</t>
  </si>
  <si>
    <t>Current Employment</t>
  </si>
  <si>
    <t>Employment History</t>
  </si>
  <si>
    <t>Company Name:</t>
  </si>
  <si>
    <t>Company Number:</t>
  </si>
  <si>
    <t>Position Held:</t>
  </si>
  <si>
    <t>Position Head:</t>
  </si>
  <si>
    <t>Cash Advance</t>
  </si>
  <si>
    <t>Transaction Date</t>
  </si>
  <si>
    <t>Post Date</t>
  </si>
  <si>
    <t>Payments</t>
  </si>
  <si>
    <t>AMOUNT PURCHASED</t>
  </si>
  <si>
    <t>Description</t>
  </si>
  <si>
    <t>Amount Purchase</t>
  </si>
  <si>
    <t>SM Appliance Center – SM Mall of Asia, Main Mall, Pasay City</t>
  </si>
  <si>
    <t>Fully Booked – Bonifacio High Street, B6 Building, Bonifacio Global City, Taguig</t>
  </si>
  <si>
    <t>Lazada HQ – 8 Rockwell Building, Hidalgo Drive, Rockwell Center, Makati City</t>
  </si>
  <si>
    <t>Muji – Greenbelt 3, Ayala Center, Makati City</t>
  </si>
  <si>
    <t>Robinsons Department Store – Robinsons Galleria, Ortigas Avenue, Quezon City</t>
  </si>
  <si>
    <t>Mercury Drug – Katipunan Building, Katipunan Avenue, Loyola Heights, Quezon City</t>
  </si>
  <si>
    <t>Power Mac Center – Glorietta 5, Ayala Center, Makati City</t>
  </si>
  <si>
    <t>Starbucks – 6780 Building, Ayala Avenue, Makati Cit</t>
  </si>
  <si>
    <t>National Book Store – Upper Ground Floor, SM Megamall Building A, Mandaluyong City</t>
  </si>
  <si>
    <t>Uniqlo – Upper Ground Floor, SM Aura Premier, Bonifacio Global City, Taguig</t>
  </si>
  <si>
    <t>Bench – Ground Floor, Trinoma Mall, North Avenue, Quezon City</t>
  </si>
  <si>
    <t>Rustan’s Supermarket – Shangri-La Plaza Mall, Ortigas Center, Mandaluyong City</t>
  </si>
  <si>
    <t>The Coffee Bean &amp; Tea Leaf – City Walk 1, Eastwood City, Libis, Quezon City</t>
  </si>
  <si>
    <t>Decathlon – Ground Floor, Building C, Tiendesitas, Frontera Verde, Pasig City</t>
  </si>
  <si>
    <t>Zara – Upper Ground Floor, SM Makati, Ayala Center, Makati City</t>
  </si>
  <si>
    <t>Dear</t>
  </si>
  <si>
    <t>Attached to this letter is your</t>
  </si>
  <si>
    <t>credit card.</t>
  </si>
  <si>
    <t>Please review your information below if it is without discrepancy.</t>
  </si>
  <si>
    <t>We humbly suggest that you keep this information for your future reference.</t>
  </si>
  <si>
    <t>We appreciate your trust in Blue Horizon Bank!</t>
  </si>
  <si>
    <t>Card Number:</t>
  </si>
  <si>
    <t>Card Type:</t>
  </si>
  <si>
    <t>Credit Limit:</t>
  </si>
  <si>
    <t>Statement Date:</t>
  </si>
  <si>
    <t>Issue Date:</t>
  </si>
  <si>
    <t>Expiry Date:</t>
  </si>
  <si>
    <t>Sincerely,</t>
  </si>
  <si>
    <t>Statement of Credit Account</t>
  </si>
  <si>
    <t>PAYMENT SUMMARY</t>
  </si>
  <si>
    <t>Payment Due Date</t>
  </si>
  <si>
    <t>Total Amount Due</t>
  </si>
  <si>
    <t>ACCOUNT SUMMARY</t>
  </si>
  <si>
    <t>BLUE HORIZON INFORMATION</t>
  </si>
  <si>
    <t>Purchases and Installments</t>
  </si>
  <si>
    <t>Credit Card Information</t>
  </si>
  <si>
    <t>Cash Advancements</t>
  </si>
  <si>
    <t>Payments &amp; Credits</t>
  </si>
  <si>
    <t>Monthly Rate Interest</t>
  </si>
  <si>
    <t>Interests, Fees, &amp; Charges</t>
  </si>
  <si>
    <t>Credit Limit</t>
  </si>
  <si>
    <t>Cash Advance Limit</t>
  </si>
  <si>
    <t>Statement Due</t>
  </si>
  <si>
    <t>TRANSACTIONS MADE</t>
  </si>
  <si>
    <t>Transaction Details</t>
  </si>
  <si>
    <t>Amount (Php)</t>
  </si>
  <si>
    <t>End of Statement</t>
  </si>
  <si>
    <t>Please examine record upon receipt</t>
  </si>
  <si>
    <t>If no error is reported in 30 days, the account will be considered correct.</t>
  </si>
  <si>
    <t>(Please cut through the dotted lines)</t>
  </si>
  <si>
    <t>PAYMENT SLIP</t>
  </si>
  <si>
    <t>Cash Amount:</t>
  </si>
  <si>
    <t>Check Amount:</t>
  </si>
  <si>
    <t>Details:</t>
  </si>
  <si>
    <t>Please separate your check payments for each of your accounts. Please enclose this portion with your payment.</t>
  </si>
  <si>
    <t>This serves as your Bank's copy of instructions. See reverse side for more details.</t>
  </si>
  <si>
    <t xml:space="preserve">Due Date </t>
  </si>
  <si>
    <t>Statement Date</t>
  </si>
  <si>
    <t>Cardholder's Name</t>
  </si>
  <si>
    <t>Total Amount Paid</t>
  </si>
  <si>
    <t>Last Payment Made</t>
  </si>
  <si>
    <t>Remaining Balance</t>
  </si>
  <si>
    <t xml:space="preserve">     Click to navigate to the preferred sheet in Excel</t>
  </si>
  <si>
    <t xml:space="preserve">     ACCOUNT INFORMATION</t>
  </si>
  <si>
    <t xml:space="preserve">     INDIVIDUAL PROFILE REPORT</t>
  </si>
  <si>
    <t xml:space="preserve">     TRANSACTIONS</t>
  </si>
  <si>
    <t xml:space="preserve">     CASH ADVANCE TRANSACTIONS</t>
  </si>
  <si>
    <t xml:space="preserve">     PAYMENTS</t>
  </si>
  <si>
    <t xml:space="preserve">     CONFIRMATION LETTER</t>
  </si>
  <si>
    <t xml:space="preserve">     STATEMENT OF ACCOUNT</t>
  </si>
  <si>
    <t xml:space="preserve">     PAYMENT SYSTEM</t>
  </si>
  <si>
    <t xml:space="preserve">   BLUE HORIZON BANK</t>
  </si>
  <si>
    <t>CARD LIMIT</t>
  </si>
  <si>
    <t>CARD TYPE</t>
  </si>
  <si>
    <t>CREDIT CARD LIMIT</t>
  </si>
  <si>
    <t>GO TO DASHBOARD</t>
  </si>
  <si>
    <t xml:space="preserve">         GO TO INDIVIDUAL PROFILE REPORT</t>
  </si>
  <si>
    <t xml:space="preserve">     GO TO DASHBOARD</t>
  </si>
  <si>
    <t>GO TO CONFIRMATION LETTER</t>
  </si>
  <si>
    <r>
      <t>Please do not hesitate to call us on our hotline</t>
    </r>
    <r>
      <rPr>
        <b/>
        <sz val="12"/>
        <color theme="9" tint="-0.249977111117893"/>
        <rFont val="Helvetica"/>
      </rPr>
      <t xml:space="preserve"> 03284723021</t>
    </r>
    <r>
      <rPr>
        <sz val="12"/>
        <rFont val="Helvetica"/>
      </rPr>
      <t xml:space="preserve"> if  </t>
    </r>
  </si>
  <si>
    <r>
      <t>you have any queries. Also, you can email us at</t>
    </r>
    <r>
      <rPr>
        <u val="double"/>
        <sz val="12"/>
        <color theme="9" tint="-0.249977111117893"/>
        <rFont val="Helvetica"/>
      </rPr>
      <t xml:space="preserve"> </t>
    </r>
    <r>
      <rPr>
        <b/>
        <u val="double"/>
        <sz val="12"/>
        <color theme="9" tint="-0.249977111117893"/>
        <rFont val="Helvetica"/>
      </rPr>
      <t>customer@bluehorizon.com.ph</t>
    </r>
    <r>
      <rPr>
        <sz val="12"/>
        <color theme="9" tint="-0.249977111117893"/>
        <rFont val="Helvetica"/>
      </rPr>
      <t xml:space="preserve"> </t>
    </r>
  </si>
  <si>
    <t xml:space="preserve">        </t>
  </si>
  <si>
    <t xml:space="preserve"> Erjim Nikolai A. Escalante</t>
  </si>
  <si>
    <t xml:space="preserve">               </t>
  </si>
  <si>
    <t xml:space="preserve"> General Manager</t>
  </si>
  <si>
    <t>GO BACK TO DASHBOARD</t>
  </si>
  <si>
    <t xml:space="preserve">            GO TO PAYMENTS</t>
  </si>
  <si>
    <t>GO TO STATEMENT OF ACCOUNT</t>
  </si>
  <si>
    <t xml:space="preserve"> GO TO CONFIRMATION LETTER</t>
  </si>
  <si>
    <t>GO TO PAYMENT SYSTEM</t>
  </si>
  <si>
    <t>GO TO PROFILE REPORT</t>
  </si>
  <si>
    <t xml:space="preserve">      GO BACK TO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</si>
</sst>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₱&quot;* #,##0.00_-;\-&quot;₱&quot;* #,##0.00_-;_-&quot;₱&quot;* &quot;-&quot;??_-;_-@_-"/>
    <numFmt numFmtId="165" formatCode="_-[$₱-3409]* #,##0.00_-;\-[$₱-3409]* #,##0.00_-;_-[$₱-3409]* &quot;-&quot;??_-;_-@_-"/>
    <numFmt numFmtId="166" formatCode="[$-3409]mmmm\ dd\,\ yyyy;@"/>
    <numFmt numFmtId="167" formatCode="0.0%"/>
    <numFmt numFmtId="168" formatCode="m/d/yyyy;@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"/>
    </font>
    <font>
      <sz val="11"/>
      <color theme="1"/>
      <name val="Helvetica"/>
    </font>
    <font>
      <sz val="11"/>
      <color theme="3" tint="-0.499984740745262"/>
      <name val="Helvetica"/>
    </font>
    <font>
      <sz val="11"/>
      <name val="Helvetica"/>
    </font>
    <font>
      <sz val="11"/>
      <color rgb="FF002060"/>
      <name val="Helvetica"/>
    </font>
    <font>
      <b/>
      <sz val="16"/>
      <color rgb="FFC00000"/>
      <name val="Helvetica"/>
    </font>
    <font>
      <b/>
      <sz val="16"/>
      <color rgb="FFFF0000"/>
      <name val="Helvetica"/>
    </font>
    <font>
      <b/>
      <sz val="16"/>
      <color rgb="FF00B050"/>
      <name val="Helvetica"/>
    </font>
    <font>
      <b/>
      <sz val="16"/>
      <color rgb="FF7030A0"/>
      <name val="Helvetica"/>
    </font>
    <font>
      <b/>
      <sz val="16"/>
      <color theme="9"/>
      <name val="Helvetica"/>
    </font>
    <font>
      <b/>
      <sz val="16"/>
      <color theme="8"/>
      <name val="Helvetica"/>
    </font>
    <font>
      <b/>
      <sz val="16"/>
      <color theme="3"/>
      <name val="Helvetica"/>
    </font>
    <font>
      <b/>
      <sz val="16"/>
      <color theme="6" tint="-0.499984740745262"/>
      <name val="Helvetica"/>
    </font>
    <font>
      <b/>
      <sz val="18"/>
      <color theme="0"/>
      <name val="Helvetica"/>
    </font>
    <font>
      <b/>
      <sz val="12"/>
      <color theme="0"/>
      <name val="Helvetica"/>
    </font>
    <font>
      <sz val="12"/>
      <color theme="1"/>
      <name val="Helvetica"/>
    </font>
    <font>
      <b/>
      <i/>
      <sz val="24"/>
      <color theme="1"/>
      <name val="Helvetica"/>
    </font>
    <font>
      <b/>
      <sz val="12"/>
      <name val="Helvetica"/>
    </font>
    <font>
      <b/>
      <sz val="12"/>
      <color theme="1"/>
      <name val="Helvetica"/>
    </font>
    <font>
      <b/>
      <sz val="16"/>
      <color theme="0"/>
      <name val="Helvetica"/>
    </font>
    <font>
      <sz val="11"/>
      <color theme="0"/>
      <name val="Helvetica"/>
    </font>
    <font>
      <b/>
      <sz val="16"/>
      <name val="Helvetica"/>
    </font>
    <font>
      <b/>
      <i/>
      <sz val="14"/>
      <name val="Helvetica"/>
    </font>
    <font>
      <i/>
      <sz val="16"/>
      <color theme="0"/>
      <name val="Helvetica"/>
    </font>
    <font>
      <sz val="12"/>
      <name val="Helvetica"/>
    </font>
    <font>
      <b/>
      <sz val="14"/>
      <color theme="0"/>
      <name val="Helvetica"/>
    </font>
    <font>
      <b/>
      <sz val="11"/>
      <color theme="0"/>
      <name val="Helvetica"/>
    </font>
    <font>
      <b/>
      <sz val="11"/>
      <name val="Helvetica"/>
    </font>
    <font>
      <sz val="16"/>
      <name val="Helvetica"/>
    </font>
    <font>
      <i/>
      <sz val="16"/>
      <name val="Helvetica"/>
    </font>
    <font>
      <b/>
      <sz val="20"/>
      <color theme="0"/>
      <name val="Helvetica"/>
    </font>
    <font>
      <b/>
      <sz val="20"/>
      <color rgb="FFFFFF00"/>
      <name val="Helvetica"/>
    </font>
    <font>
      <b/>
      <u/>
      <sz val="16"/>
      <color rgb="FFFFFF00"/>
      <name val="Helvetica"/>
    </font>
    <font>
      <b/>
      <u/>
      <sz val="12"/>
      <color rgb="FFFFFF00"/>
      <name val="Helvetica"/>
    </font>
    <font>
      <sz val="14"/>
      <color theme="1"/>
      <name val="Helvetica"/>
    </font>
    <font>
      <sz val="14"/>
      <color rgb="FF002060"/>
      <name val="Helvetica"/>
    </font>
    <font>
      <b/>
      <u/>
      <sz val="14"/>
      <color rgb="FFFFFF00"/>
      <name val="Helvetica"/>
    </font>
    <font>
      <b/>
      <i/>
      <sz val="16"/>
      <color theme="1"/>
      <name val="Helvetica"/>
    </font>
    <font>
      <i/>
      <sz val="14"/>
      <color theme="1"/>
      <name val="Helvetica"/>
    </font>
    <font>
      <b/>
      <i/>
      <sz val="18"/>
      <color theme="0"/>
      <name val="Helvetica"/>
    </font>
    <font>
      <b/>
      <sz val="12"/>
      <color theme="5"/>
      <name val="Helvetica"/>
    </font>
    <font>
      <b/>
      <sz val="12"/>
      <color theme="9" tint="-0.249977111117893"/>
      <name val="Helvetica"/>
    </font>
    <font>
      <sz val="12"/>
      <color theme="5"/>
      <name val="Helvetica"/>
    </font>
    <font>
      <u val="double"/>
      <sz val="12"/>
      <color theme="9" tint="-0.249977111117893"/>
      <name val="Helvetica"/>
    </font>
    <font>
      <b/>
      <u val="double"/>
      <sz val="12"/>
      <color theme="9" tint="-0.249977111117893"/>
      <name val="Helvetica"/>
    </font>
    <font>
      <sz val="12"/>
      <color theme="9" tint="-0.249977111117893"/>
      <name val="Helvetica"/>
    </font>
    <font>
      <b/>
      <sz val="12"/>
      <color rgb="FF002060"/>
      <name val="Helvetica"/>
    </font>
    <font>
      <sz val="12"/>
      <color rgb="FFFFFF00"/>
      <name val="Helvetica"/>
    </font>
    <font>
      <b/>
      <u/>
      <sz val="12"/>
      <color theme="5" tint="-0.249977111117893"/>
      <name val="Helvetica"/>
    </font>
    <font>
      <b/>
      <i/>
      <sz val="14"/>
      <color theme="1"/>
      <name val="Helvetica"/>
    </font>
    <font>
      <b/>
      <i/>
      <sz val="16"/>
      <name val="Helvetica"/>
    </font>
    <font>
      <b/>
      <u/>
      <sz val="11"/>
      <color theme="0"/>
      <name val="Helvetica"/>
    </font>
    <font>
      <b/>
      <sz val="22"/>
      <color theme="3" tint="-0.499984740745262"/>
      <name val="Helvetica"/>
    </font>
  </fonts>
  <fills count="2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/>
      <top style="mediumDashDotDot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 style="thin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medium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/>
      <bottom style="mediumDashDotDot">
        <color indexed="64"/>
      </bottom>
      <diagonal/>
    </border>
    <border>
      <left/>
      <right style="medium">
        <color theme="3"/>
      </right>
      <top/>
      <bottom style="mediumDashDotDot">
        <color indexed="64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medium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6" borderId="2">
      <alignment horizontal="center"/>
    </xf>
    <xf numFmtId="0" fontId="4" fillId="6" borderId="2">
      <alignment horizontal="center"/>
    </xf>
    <xf numFmtId="0" fontId="1" fillId="7" borderId="2">
      <alignment horizontal="center"/>
    </xf>
    <xf numFmtId="0" fontId="3" fillId="8" borderId="3" applyBorder="0">
      <alignment horizontal="center"/>
    </xf>
    <xf numFmtId="0" fontId="1" fillId="9" borderId="2">
      <alignment horizontal="center"/>
    </xf>
    <xf numFmtId="0" fontId="3" fillId="10" borderId="2">
      <alignment horizontal="center"/>
    </xf>
    <xf numFmtId="0" fontId="3" fillId="11" borderId="3" applyBorder="0">
      <alignment horizontal="center"/>
    </xf>
    <xf numFmtId="0" fontId="3" fillId="12" borderId="2"/>
    <xf numFmtId="0" fontId="3" fillId="13" borderId="2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15" borderId="1">
      <alignment horizontal="center" vertical="center"/>
    </xf>
    <xf numFmtId="0" fontId="3" fillId="9" borderId="0">
      <alignment horizontal="center" vertical="center"/>
    </xf>
    <xf numFmtId="0" fontId="3" fillId="15" borderId="0">
      <alignment horizontal="center" vertical="center"/>
    </xf>
    <xf numFmtId="0" fontId="7" fillId="18" borderId="0" applyNumberFormat="0" applyBorder="0" applyAlignment="0" applyProtection="0"/>
  </cellStyleXfs>
  <cellXfs count="279">
    <xf numFmtId="0" fontId="0" fillId="0" borderId="0" xfId="0"/>
    <xf numFmtId="0" fontId="0" fillId="19" borderId="0" xfId="0" applyFill="1"/>
    <xf numFmtId="0" fontId="0" fillId="15" borderId="0" xfId="0" applyFill="1"/>
    <xf numFmtId="0" fontId="9" fillId="16" borderId="0" xfId="0" applyFont="1" applyFill="1"/>
    <xf numFmtId="0" fontId="10" fillId="19" borderId="0" xfId="0" applyFont="1" applyFill="1"/>
    <xf numFmtId="0" fontId="10" fillId="15" borderId="0" xfId="0" applyFont="1" applyFill="1"/>
    <xf numFmtId="0" fontId="10" fillId="16" borderId="0" xfId="0" applyFont="1" applyFill="1"/>
    <xf numFmtId="0" fontId="10" fillId="16" borderId="0" xfId="0" applyFont="1" applyFill="1" applyAlignment="1">
      <alignment horizontal="center"/>
    </xf>
    <xf numFmtId="0" fontId="12" fillId="19" borderId="0" xfId="0" applyFont="1" applyFill="1"/>
    <xf numFmtId="0" fontId="13" fillId="15" borderId="0" xfId="0" applyFont="1" applyFill="1"/>
    <xf numFmtId="0" fontId="11" fillId="15" borderId="0" xfId="0" applyFont="1" applyFill="1"/>
    <xf numFmtId="0" fontId="14" fillId="16" borderId="0" xfId="17" applyFont="1" applyFill="1"/>
    <xf numFmtId="0" fontId="15" fillId="16" borderId="0" xfId="2" applyFont="1" applyFill="1"/>
    <xf numFmtId="0" fontId="16" fillId="16" borderId="0" xfId="17" applyFont="1" applyFill="1"/>
    <xf numFmtId="0" fontId="17" fillId="16" borderId="0" xfId="17" applyFont="1" applyFill="1"/>
    <xf numFmtId="0" fontId="18" fillId="16" borderId="0" xfId="17" applyFont="1" applyFill="1"/>
    <xf numFmtId="0" fontId="19" fillId="16" borderId="0" xfId="17" applyFont="1" applyFill="1"/>
    <xf numFmtId="0" fontId="20" fillId="16" borderId="0" xfId="17" applyFont="1" applyFill="1"/>
    <xf numFmtId="0" fontId="21" fillId="16" borderId="0" xfId="17" applyFont="1" applyFill="1"/>
    <xf numFmtId="0" fontId="10" fillId="17" borderId="0" xfId="0" applyFont="1" applyFill="1"/>
    <xf numFmtId="0" fontId="24" fillId="16" borderId="2" xfId="0" applyFont="1" applyFill="1" applyBorder="1" applyAlignment="1">
      <alignment horizontal="center" vertical="center"/>
    </xf>
    <xf numFmtId="165" fontId="24" fillId="16" borderId="2" xfId="0" applyNumberFormat="1" applyFont="1" applyFill="1" applyBorder="1" applyAlignment="1">
      <alignment horizontal="center" vertical="center"/>
    </xf>
    <xf numFmtId="0" fontId="25" fillId="16" borderId="0" xfId="0" applyFont="1" applyFill="1"/>
    <xf numFmtId="0" fontId="22" fillId="15" borderId="0" xfId="0" applyFont="1" applyFill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9" fontId="0" fillId="19" borderId="0" xfId="16" applyFont="1" applyFill="1"/>
    <xf numFmtId="166" fontId="10" fillId="0" borderId="2" xfId="0" applyNumberFormat="1" applyFont="1" applyBorder="1" applyAlignment="1">
      <alignment horizontal="center" vertical="center"/>
    </xf>
    <xf numFmtId="166" fontId="10" fillId="0" borderId="51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0" fillId="0" borderId="51" xfId="0" applyNumberFormat="1" applyFont="1" applyBorder="1" applyAlignment="1">
      <alignment horizontal="center" vertical="center"/>
    </xf>
    <xf numFmtId="0" fontId="3" fillId="15" borderId="0" xfId="2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9" fillId="15" borderId="0" xfId="21" applyFont="1">
      <alignment horizontal="center" vertical="center"/>
    </xf>
    <xf numFmtId="0" fontId="37" fillId="19" borderId="0" xfId="0" applyFont="1" applyFill="1"/>
    <xf numFmtId="0" fontId="37" fillId="16" borderId="0" xfId="20" applyFont="1" applyFill="1">
      <alignment horizontal="center" vertical="center"/>
    </xf>
    <xf numFmtId="0" fontId="37" fillId="15" borderId="0" xfId="20" applyFont="1" applyFill="1">
      <alignment horizontal="center" vertical="center"/>
    </xf>
    <xf numFmtId="0" fontId="30" fillId="20" borderId="48" xfId="13" applyFont="1" applyFill="1" applyBorder="1" applyAlignment="1">
      <alignment horizontal="center" vertical="center"/>
    </xf>
    <xf numFmtId="0" fontId="30" fillId="20" borderId="2" xfId="13" applyFont="1" applyFill="1" applyBorder="1" applyAlignment="1">
      <alignment horizontal="center" vertical="center"/>
    </xf>
    <xf numFmtId="0" fontId="37" fillId="16" borderId="2" xfId="13" applyFont="1" applyFill="1" applyBorder="1" applyAlignment="1">
      <alignment horizontal="center" vertical="center"/>
    </xf>
    <xf numFmtId="0" fontId="30" fillId="20" borderId="2" xfId="19" applyFont="1" applyFill="1" applyBorder="1">
      <alignment horizontal="center" vertical="center"/>
    </xf>
    <xf numFmtId="0" fontId="37" fillId="16" borderId="51" xfId="13" applyFont="1" applyFill="1" applyBorder="1" applyAlignment="1">
      <alignment horizontal="center" vertical="center"/>
    </xf>
    <xf numFmtId="166" fontId="37" fillId="16" borderId="2" xfId="13" applyNumberFormat="1" applyFont="1" applyFill="1" applyBorder="1" applyAlignment="1">
      <alignment horizontal="center" vertical="center"/>
    </xf>
    <xf numFmtId="0" fontId="37" fillId="15" borderId="0" xfId="13" applyFont="1" applyFill="1" applyBorder="1" applyAlignment="1">
      <alignment horizontal="center" vertical="center"/>
    </xf>
    <xf numFmtId="164" fontId="37" fillId="15" borderId="0" xfId="18" applyFont="1" applyFill="1" applyBorder="1" applyAlignment="1">
      <alignment horizontal="center" vertical="center"/>
    </xf>
    <xf numFmtId="166" fontId="37" fillId="15" borderId="0" xfId="13" applyNumberFormat="1" applyFont="1" applyFill="1" applyBorder="1" applyAlignment="1">
      <alignment horizontal="center" vertical="center"/>
    </xf>
    <xf numFmtId="0" fontId="30" fillId="20" borderId="41" xfId="13" applyFont="1" applyFill="1" applyBorder="1" applyAlignment="1">
      <alignment horizontal="center" vertical="center"/>
    </xf>
    <xf numFmtId="0" fontId="30" fillId="20" borderId="43" xfId="13" applyFont="1" applyFill="1" applyBorder="1" applyAlignment="1">
      <alignment horizontal="center" vertical="center"/>
    </xf>
    <xf numFmtId="0" fontId="30" fillId="20" borderId="38" xfId="13" applyFont="1" applyFill="1" applyBorder="1" applyAlignment="1">
      <alignment horizontal="center" vertical="center"/>
    </xf>
    <xf numFmtId="0" fontId="30" fillId="20" borderId="39" xfId="13" applyFont="1" applyFill="1" applyBorder="1" applyAlignment="1">
      <alignment horizontal="center" vertical="center"/>
    </xf>
    <xf numFmtId="0" fontId="37" fillId="16" borderId="43" xfId="13" applyFont="1" applyFill="1" applyBorder="1" applyAlignment="1">
      <alignment horizontal="center" vertical="center"/>
    </xf>
    <xf numFmtId="0" fontId="37" fillId="16" borderId="44" xfId="13" applyFont="1" applyFill="1" applyBorder="1" applyAlignment="1">
      <alignment horizontal="center" vertical="center"/>
    </xf>
    <xf numFmtId="0" fontId="37" fillId="16" borderId="42" xfId="13" applyFont="1" applyFill="1" applyBorder="1" applyAlignment="1">
      <alignment horizontal="center" vertical="center"/>
    </xf>
    <xf numFmtId="0" fontId="37" fillId="16" borderId="45" xfId="13" applyFont="1" applyFill="1" applyBorder="1" applyAlignment="1">
      <alignment horizontal="center" vertical="center"/>
    </xf>
    <xf numFmtId="0" fontId="37" fillId="19" borderId="0" xfId="20" applyFont="1" applyFill="1">
      <alignment horizontal="center" vertical="center"/>
    </xf>
    <xf numFmtId="0" fontId="37" fillId="15" borderId="0" xfId="20" applyFont="1" applyFill="1" applyAlignment="1">
      <alignment vertical="center"/>
    </xf>
    <xf numFmtId="0" fontId="37" fillId="19" borderId="0" xfId="20" applyFont="1" applyFill="1" applyAlignment="1">
      <alignment vertical="center"/>
    </xf>
    <xf numFmtId="0" fontId="37" fillId="19" borderId="0" xfId="13" applyFont="1" applyFill="1" applyBorder="1" applyAlignment="1">
      <alignment horizontal="center" vertical="center"/>
    </xf>
    <xf numFmtId="0" fontId="39" fillId="19" borderId="0" xfId="17" applyFont="1" applyFill="1"/>
    <xf numFmtId="0" fontId="27" fillId="16" borderId="2" xfId="0" applyFont="1" applyFill="1" applyBorder="1" applyAlignment="1">
      <alignment horizontal="center" vertical="center"/>
    </xf>
    <xf numFmtId="166" fontId="24" fillId="16" borderId="2" xfId="0" applyNumberFormat="1" applyFont="1" applyFill="1" applyBorder="1" applyAlignment="1">
      <alignment horizontal="center" vertical="center"/>
    </xf>
    <xf numFmtId="0" fontId="24" fillId="19" borderId="0" xfId="0" applyFont="1" applyFill="1"/>
    <xf numFmtId="0" fontId="24" fillId="19" borderId="0" xfId="0" applyFont="1" applyFill="1" applyAlignment="1">
      <alignment horizontal="center" vertical="center"/>
    </xf>
    <xf numFmtId="166" fontId="24" fillId="19" borderId="0" xfId="0" applyNumberFormat="1" applyFont="1" applyFill="1"/>
    <xf numFmtId="0" fontId="43" fillId="19" borderId="0" xfId="0" applyFont="1" applyFill="1"/>
    <xf numFmtId="0" fontId="9" fillId="16" borderId="2" xfId="0" applyFont="1" applyFill="1" applyBorder="1" applyAlignment="1">
      <alignment horizontal="center" vertical="center"/>
    </xf>
    <xf numFmtId="0" fontId="43" fillId="19" borderId="0" xfId="0" applyFont="1" applyFill="1" applyAlignment="1">
      <alignment horizontal="center" vertical="center"/>
    </xf>
    <xf numFmtId="0" fontId="43" fillId="16" borderId="2" xfId="0" applyFont="1" applyFill="1" applyBorder="1" applyAlignment="1">
      <alignment horizontal="center" vertical="center"/>
    </xf>
    <xf numFmtId="165" fontId="43" fillId="16" borderId="2" xfId="0" applyNumberFormat="1" applyFont="1" applyFill="1" applyBorder="1" applyAlignment="1">
      <alignment horizontal="center" vertical="center"/>
    </xf>
    <xf numFmtId="166" fontId="43" fillId="16" borderId="2" xfId="0" applyNumberFormat="1" applyFont="1" applyFill="1" applyBorder="1" applyAlignment="1">
      <alignment horizontal="center" vertical="center"/>
    </xf>
    <xf numFmtId="0" fontId="44" fillId="19" borderId="0" xfId="0" applyFont="1" applyFill="1"/>
    <xf numFmtId="166" fontId="43" fillId="19" borderId="0" xfId="0" applyNumberFormat="1" applyFont="1" applyFill="1"/>
    <xf numFmtId="0" fontId="43" fillId="20" borderId="2" xfId="0" applyFont="1" applyFill="1" applyBorder="1" applyAlignment="1">
      <alignment horizontal="center" vertical="center"/>
    </xf>
    <xf numFmtId="165" fontId="43" fillId="20" borderId="2" xfId="0" applyNumberFormat="1" applyFont="1" applyFill="1" applyBorder="1" applyAlignment="1">
      <alignment horizontal="center" vertical="center"/>
    </xf>
    <xf numFmtId="166" fontId="43" fillId="20" borderId="2" xfId="0" applyNumberFormat="1" applyFont="1" applyFill="1" applyBorder="1" applyAlignment="1">
      <alignment horizontal="center" vertical="center"/>
    </xf>
    <xf numFmtId="0" fontId="43" fillId="15" borderId="0" xfId="0" applyFont="1" applyFill="1"/>
    <xf numFmtId="166" fontId="43" fillId="15" borderId="0" xfId="0" applyNumberFormat="1" applyFont="1" applyFill="1"/>
    <xf numFmtId="0" fontId="43" fillId="15" borderId="0" xfId="0" applyFont="1" applyFill="1" applyAlignment="1">
      <alignment horizontal="center" vertical="center"/>
    </xf>
    <xf numFmtId="0" fontId="44" fillId="15" borderId="0" xfId="0" applyFont="1" applyFill="1"/>
    <xf numFmtId="166" fontId="44" fillId="15" borderId="0" xfId="0" applyNumberFormat="1" applyFont="1" applyFill="1"/>
    <xf numFmtId="0" fontId="48" fillId="15" borderId="0" xfId="0" applyFont="1" applyFill="1" applyAlignment="1">
      <alignment horizontal="center" vertical="center"/>
    </xf>
    <xf numFmtId="0" fontId="28" fillId="19" borderId="0" xfId="17" applyFont="1" applyFill="1" applyAlignment="1">
      <alignment horizontal="center" vertical="center"/>
    </xf>
    <xf numFmtId="166" fontId="28" fillId="19" borderId="0" xfId="17" applyNumberFormat="1" applyFont="1" applyFill="1"/>
    <xf numFmtId="166" fontId="28" fillId="19" borderId="0" xfId="17" applyNumberFormat="1" applyFont="1" applyFill="1" applyAlignment="1">
      <alignment horizontal="center" vertical="center"/>
    </xf>
    <xf numFmtId="0" fontId="24" fillId="16" borderId="15" xfId="5" applyFont="1" applyFill="1" applyBorder="1"/>
    <xf numFmtId="0" fontId="24" fillId="16" borderId="15" xfId="5" applyFont="1" applyFill="1" applyBorder="1" applyAlignment="1"/>
    <xf numFmtId="0" fontId="24" fillId="16" borderId="16" xfId="5" applyFont="1" applyFill="1" applyBorder="1"/>
    <xf numFmtId="0" fontId="49" fillId="16" borderId="18" xfId="5" applyFont="1" applyFill="1" applyBorder="1"/>
    <xf numFmtId="0" fontId="24" fillId="16" borderId="0" xfId="5" applyFont="1" applyFill="1" applyBorder="1"/>
    <xf numFmtId="0" fontId="24" fillId="16" borderId="0" xfId="5" applyFont="1" applyFill="1" applyBorder="1" applyAlignment="1"/>
    <xf numFmtId="0" fontId="24" fillId="16" borderId="17" xfId="5" applyFont="1" applyFill="1" applyBorder="1"/>
    <xf numFmtId="0" fontId="24" fillId="16" borderId="18" xfId="5" applyFont="1" applyFill="1" applyBorder="1"/>
    <xf numFmtId="0" fontId="26" fillId="16" borderId="0" xfId="5" applyFont="1" applyFill="1" applyBorder="1"/>
    <xf numFmtId="0" fontId="33" fillId="16" borderId="0" xfId="5" applyFont="1" applyFill="1" applyBorder="1"/>
    <xf numFmtId="0" fontId="49" fillId="16" borderId="0" xfId="5" applyFont="1" applyFill="1" applyBorder="1" applyAlignment="1"/>
    <xf numFmtId="0" fontId="51" fillId="16" borderId="0" xfId="5" applyFont="1" applyFill="1" applyBorder="1" applyAlignment="1"/>
    <xf numFmtId="0" fontId="33" fillId="16" borderId="0" xfId="5" applyFont="1" applyFill="1" applyBorder="1" applyAlignment="1"/>
    <xf numFmtId="0" fontId="26" fillId="16" borderId="0" xfId="5" applyFont="1" applyFill="1" applyBorder="1" applyAlignment="1"/>
    <xf numFmtId="0" fontId="55" fillId="16" borderId="0" xfId="5" applyFont="1" applyFill="1" applyBorder="1"/>
    <xf numFmtId="0" fontId="24" fillId="16" borderId="19" xfId="0" applyFont="1" applyFill="1" applyBorder="1"/>
    <xf numFmtId="0" fontId="24" fillId="16" borderId="20" xfId="5" applyFont="1" applyFill="1" applyBorder="1"/>
    <xf numFmtId="0" fontId="24" fillId="16" borderId="20" xfId="5" applyFont="1" applyFill="1" applyBorder="1" applyAlignment="1"/>
    <xf numFmtId="0" fontId="24" fillId="16" borderId="21" xfId="5" applyFont="1" applyFill="1" applyBorder="1"/>
    <xf numFmtId="0" fontId="24" fillId="16" borderId="22" xfId="19" applyFont="1" applyFill="1" applyBorder="1" applyAlignment="1">
      <alignment horizontal="left" vertical="center"/>
    </xf>
    <xf numFmtId="0" fontId="24" fillId="16" borderId="24" xfId="19" applyFont="1" applyFill="1" applyBorder="1" applyAlignment="1">
      <alignment horizontal="left" vertical="center"/>
    </xf>
    <xf numFmtId="0" fontId="24" fillId="16" borderId="19" xfId="19" applyFont="1" applyFill="1" applyBorder="1" applyAlignment="1">
      <alignment horizontal="left" vertical="center"/>
    </xf>
    <xf numFmtId="0" fontId="24" fillId="16" borderId="32" xfId="19" applyFont="1" applyFill="1" applyBorder="1" applyAlignment="1">
      <alignment horizontal="left" vertical="center"/>
    </xf>
    <xf numFmtId="0" fontId="24" fillId="16" borderId="26" xfId="19" applyFont="1" applyFill="1" applyBorder="1" applyAlignment="1">
      <alignment horizontal="left" vertical="center"/>
    </xf>
    <xf numFmtId="0" fontId="24" fillId="16" borderId="29" xfId="19" applyFont="1" applyFill="1" applyBorder="1" applyAlignment="1">
      <alignment horizontal="left" vertical="center"/>
    </xf>
    <xf numFmtId="0" fontId="27" fillId="16" borderId="18" xfId="5" applyFont="1" applyFill="1" applyBorder="1" applyAlignment="1">
      <alignment vertical="center" wrapText="1"/>
    </xf>
    <xf numFmtId="14" fontId="27" fillId="16" borderId="22" xfId="5" applyNumberFormat="1" applyFont="1" applyFill="1" applyBorder="1" applyAlignment="1">
      <alignment horizontal="left"/>
    </xf>
    <xf numFmtId="0" fontId="27" fillId="16" borderId="0" xfId="5" applyFont="1" applyFill="1" applyBorder="1"/>
    <xf numFmtId="0" fontId="24" fillId="15" borderId="0" xfId="0" applyFont="1" applyFill="1"/>
    <xf numFmtId="166" fontId="24" fillId="15" borderId="0" xfId="0" applyNumberFormat="1" applyFont="1" applyFill="1"/>
    <xf numFmtId="0" fontId="56" fillId="15" borderId="0" xfId="0" applyFont="1" applyFill="1" applyAlignment="1">
      <alignment horizontal="center" vertical="center"/>
    </xf>
    <xf numFmtId="166" fontId="24" fillId="15" borderId="0" xfId="0" applyNumberFormat="1" applyFont="1" applyFill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0" fontId="56" fillId="19" borderId="0" xfId="0" applyFont="1" applyFill="1"/>
    <xf numFmtId="0" fontId="42" fillId="19" borderId="0" xfId="17" applyFont="1" applyFill="1"/>
    <xf numFmtId="166" fontId="57" fillId="19" borderId="0" xfId="17" applyNumberFormat="1" applyFont="1" applyFill="1"/>
    <xf numFmtId="0" fontId="57" fillId="19" borderId="0" xfId="17" applyFont="1" applyFill="1"/>
    <xf numFmtId="0" fontId="56" fillId="19" borderId="0" xfId="0" applyFont="1" applyFill="1" applyAlignment="1">
      <alignment horizontal="center" vertical="center"/>
    </xf>
    <xf numFmtId="166" fontId="24" fillId="19" borderId="0" xfId="0" applyNumberFormat="1" applyFont="1" applyFill="1" applyAlignment="1">
      <alignment horizontal="center" vertical="center"/>
    </xf>
    <xf numFmtId="0" fontId="24" fillId="20" borderId="2" xfId="0" applyFont="1" applyFill="1" applyBorder="1" applyAlignment="1">
      <alignment horizontal="center" vertical="center"/>
    </xf>
    <xf numFmtId="166" fontId="24" fillId="20" borderId="2" xfId="0" applyNumberFormat="1" applyFont="1" applyFill="1" applyBorder="1" applyAlignment="1">
      <alignment horizontal="center" vertical="center"/>
    </xf>
    <xf numFmtId="165" fontId="24" fillId="20" borderId="2" xfId="0" applyNumberFormat="1" applyFont="1" applyFill="1" applyBorder="1" applyAlignment="1">
      <alignment horizontal="center" vertical="center"/>
    </xf>
    <xf numFmtId="0" fontId="34" fillId="19" borderId="0" xfId="17" applyFont="1" applyFill="1"/>
    <xf numFmtId="0" fontId="28" fillId="19" borderId="0" xfId="17" applyFont="1" applyFill="1"/>
    <xf numFmtId="0" fontId="35" fillId="19" borderId="0" xfId="17" applyFont="1" applyFill="1"/>
    <xf numFmtId="0" fontId="26" fillId="16" borderId="2" xfId="0" applyFont="1" applyFill="1" applyBorder="1" applyAlignment="1">
      <alignment horizontal="center" vertical="center"/>
    </xf>
    <xf numFmtId="0" fontId="33" fillId="16" borderId="2" xfId="0" applyFont="1" applyFill="1" applyBorder="1" applyAlignment="1">
      <alignment horizontal="center" vertical="center"/>
    </xf>
    <xf numFmtId="165" fontId="33" fillId="16" borderId="2" xfId="0" applyNumberFormat="1" applyFont="1" applyFill="1" applyBorder="1" applyAlignment="1">
      <alignment horizontal="center" vertical="center"/>
    </xf>
    <xf numFmtId="166" fontId="33" fillId="16" borderId="2" xfId="0" applyNumberFormat="1" applyFont="1" applyFill="1" applyBorder="1" applyAlignment="1">
      <alignment horizontal="center" vertical="center"/>
    </xf>
    <xf numFmtId="0" fontId="33" fillId="20" borderId="2" xfId="0" applyFont="1" applyFill="1" applyBorder="1" applyAlignment="1">
      <alignment horizontal="center" vertical="center"/>
    </xf>
    <xf numFmtId="165" fontId="33" fillId="20" borderId="2" xfId="0" applyNumberFormat="1" applyFont="1" applyFill="1" applyBorder="1" applyAlignment="1">
      <alignment horizontal="center" vertical="center"/>
    </xf>
    <xf numFmtId="166" fontId="33" fillId="20" borderId="2" xfId="0" applyNumberFormat="1" applyFont="1" applyFill="1" applyBorder="1" applyAlignment="1">
      <alignment horizontal="center" vertical="center"/>
    </xf>
    <xf numFmtId="0" fontId="12" fillId="15" borderId="0" xfId="5" applyFont="1" applyFill="1"/>
    <xf numFmtId="0" fontId="12" fillId="15" borderId="0" xfId="6" applyFont="1" applyFill="1"/>
    <xf numFmtId="0" fontId="12" fillId="16" borderId="22" xfId="6" applyFont="1" applyFill="1" applyBorder="1"/>
    <xf numFmtId="0" fontId="12" fillId="16" borderId="15" xfId="6" applyFont="1" applyFill="1" applyBorder="1"/>
    <xf numFmtId="0" fontId="12" fillId="16" borderId="16" xfId="6" applyFont="1" applyFill="1" applyBorder="1"/>
    <xf numFmtId="0" fontId="12" fillId="16" borderId="18" xfId="6" applyFont="1" applyFill="1" applyBorder="1"/>
    <xf numFmtId="0" fontId="12" fillId="16" borderId="0" xfId="6" applyFont="1" applyFill="1" applyBorder="1"/>
    <xf numFmtId="0" fontId="12" fillId="16" borderId="17" xfId="6" applyFont="1" applyFill="1" applyBorder="1"/>
    <xf numFmtId="166" fontId="12" fillId="16" borderId="42" xfId="3" applyNumberFormat="1" applyFont="1" applyFill="1" applyBorder="1" applyAlignment="1">
      <alignment horizontal="center" vertical="center"/>
    </xf>
    <xf numFmtId="0" fontId="12" fillId="16" borderId="0" xfId="6" applyFont="1" applyFill="1" applyBorder="1" applyAlignment="1"/>
    <xf numFmtId="164" fontId="12" fillId="16" borderId="42" xfId="18" applyFont="1" applyFill="1" applyBorder="1"/>
    <xf numFmtId="0" fontId="12" fillId="16" borderId="42" xfId="6" applyFont="1" applyFill="1" applyBorder="1" applyAlignment="1">
      <alignment horizontal="right"/>
    </xf>
    <xf numFmtId="167" fontId="12" fillId="16" borderId="42" xfId="16" applyNumberFormat="1" applyFont="1" applyFill="1" applyBorder="1" applyAlignment="1">
      <alignment horizontal="right"/>
    </xf>
    <xf numFmtId="164" fontId="12" fillId="16" borderId="45" xfId="18" applyFont="1" applyFill="1" applyBorder="1"/>
    <xf numFmtId="164" fontId="12" fillId="16" borderId="42" xfId="18" applyFont="1" applyFill="1" applyBorder="1" applyAlignment="1">
      <alignment horizontal="right"/>
    </xf>
    <xf numFmtId="164" fontId="12" fillId="16" borderId="42" xfId="6" applyNumberFormat="1" applyFont="1" applyFill="1" applyBorder="1" applyAlignment="1">
      <alignment horizontal="right"/>
    </xf>
    <xf numFmtId="164" fontId="12" fillId="16" borderId="28" xfId="6" applyNumberFormat="1" applyFont="1" applyFill="1" applyBorder="1"/>
    <xf numFmtId="166" fontId="12" fillId="16" borderId="45" xfId="6" applyNumberFormat="1" applyFont="1" applyFill="1" applyBorder="1" applyAlignment="1">
      <alignment horizontal="right" vertical="center"/>
    </xf>
    <xf numFmtId="0" fontId="12" fillId="16" borderId="0" xfId="6" applyFont="1" applyFill="1" applyBorder="1" applyAlignment="1">
      <alignment horizontal="center"/>
    </xf>
    <xf numFmtId="0" fontId="12" fillId="16" borderId="17" xfId="6" applyFont="1" applyFill="1" applyBorder="1" applyAlignment="1">
      <alignment horizontal="center"/>
    </xf>
    <xf numFmtId="0" fontId="12" fillId="16" borderId="36" xfId="6" applyFont="1" applyFill="1" applyBorder="1"/>
    <xf numFmtId="0" fontId="12" fillId="16" borderId="4" xfId="6" applyFont="1" applyFill="1" applyBorder="1"/>
    <xf numFmtId="0" fontId="12" fillId="16" borderId="37" xfId="6" applyFont="1" applyFill="1" applyBorder="1"/>
    <xf numFmtId="166" fontId="12" fillId="16" borderId="2" xfId="22" applyNumberFormat="1" applyFont="1" applyFill="1" applyBorder="1" applyAlignment="1">
      <alignment horizontal="center" vertical="center"/>
    </xf>
    <xf numFmtId="164" fontId="12" fillId="16" borderId="2" xfId="22" applyNumberFormat="1" applyFont="1" applyFill="1" applyBorder="1" applyAlignment="1">
      <alignment horizontal="center"/>
    </xf>
    <xf numFmtId="0" fontId="12" fillId="16" borderId="19" xfId="6" applyFont="1" applyFill="1" applyBorder="1"/>
    <xf numFmtId="0" fontId="12" fillId="16" borderId="20" xfId="6" applyFont="1" applyFill="1" applyBorder="1"/>
    <xf numFmtId="0" fontId="12" fillId="16" borderId="21" xfId="6" applyFont="1" applyFill="1" applyBorder="1"/>
    <xf numFmtId="0" fontId="12" fillId="19" borderId="0" xfId="5" applyFont="1" applyFill="1"/>
    <xf numFmtId="166" fontId="12" fillId="16" borderId="41" xfId="6" applyNumberFormat="1" applyFont="1" applyFill="1" applyBorder="1" applyAlignment="1">
      <alignment horizontal="center" vertical="center"/>
    </xf>
    <xf numFmtId="166" fontId="12" fillId="16" borderId="35" xfId="6" applyNumberFormat="1" applyFont="1" applyFill="1" applyBorder="1" applyAlignment="1">
      <alignment horizontal="center" vertical="center"/>
    </xf>
    <xf numFmtId="166" fontId="12" fillId="16" borderId="35" xfId="6" applyNumberFormat="1" applyFont="1" applyFill="1" applyBorder="1" applyAlignment="1">
      <alignment horizontal="center" vertical="center" wrapText="1"/>
    </xf>
    <xf numFmtId="164" fontId="12" fillId="16" borderId="42" xfId="18" applyFont="1" applyFill="1" applyBorder="1" applyAlignment="1">
      <alignment horizontal="center" vertical="center"/>
    </xf>
    <xf numFmtId="166" fontId="12" fillId="16" borderId="43" xfId="6" applyNumberFormat="1" applyFont="1" applyFill="1" applyBorder="1" applyAlignment="1">
      <alignment horizontal="center" vertical="center"/>
    </xf>
    <xf numFmtId="166" fontId="12" fillId="16" borderId="44" xfId="6" applyNumberFormat="1" applyFont="1" applyFill="1" applyBorder="1" applyAlignment="1">
      <alignment horizontal="center" vertical="center"/>
    </xf>
    <xf numFmtId="166" fontId="12" fillId="16" borderId="44" xfId="6" applyNumberFormat="1" applyFont="1" applyFill="1" applyBorder="1" applyAlignment="1">
      <alignment horizontal="center" vertical="center" wrapText="1"/>
    </xf>
    <xf numFmtId="164" fontId="12" fillId="16" borderId="45" xfId="18" applyFont="1" applyFill="1" applyBorder="1" applyAlignment="1">
      <alignment horizontal="center" vertical="center"/>
    </xf>
    <xf numFmtId="164" fontId="12" fillId="16" borderId="45" xfId="3" applyNumberFormat="1" applyFont="1" applyFill="1" applyBorder="1" applyAlignment="1">
      <alignment horizontal="center" vertical="center"/>
    </xf>
    <xf numFmtId="0" fontId="36" fillId="20" borderId="41" xfId="15" applyFont="1" applyFill="1" applyBorder="1" applyAlignment="1">
      <alignment horizontal="center" vertical="center"/>
    </xf>
    <xf numFmtId="0" fontId="36" fillId="20" borderId="43" xfId="15" applyFont="1" applyFill="1" applyBorder="1" applyAlignment="1">
      <alignment horizontal="center" vertical="center"/>
    </xf>
    <xf numFmtId="0" fontId="36" fillId="20" borderId="41" xfId="15" applyFont="1" applyFill="1" applyBorder="1"/>
    <xf numFmtId="0" fontId="36" fillId="20" borderId="43" xfId="15" applyFont="1" applyFill="1" applyBorder="1"/>
    <xf numFmtId="0" fontId="36" fillId="20" borderId="26" xfId="15" applyFont="1" applyFill="1" applyBorder="1"/>
    <xf numFmtId="0" fontId="36" fillId="20" borderId="72" xfId="15" applyFont="1" applyFill="1" applyBorder="1" applyAlignment="1">
      <alignment horizontal="center" vertical="center"/>
    </xf>
    <xf numFmtId="0" fontId="36" fillId="20" borderId="73" xfId="15" applyFont="1" applyFill="1" applyBorder="1" applyAlignment="1">
      <alignment horizontal="center" vertical="center"/>
    </xf>
    <xf numFmtId="0" fontId="36" fillId="20" borderId="74" xfId="15" applyFont="1" applyFill="1" applyBorder="1" applyAlignment="1">
      <alignment horizontal="center" vertical="center"/>
    </xf>
    <xf numFmtId="0" fontId="36" fillId="20" borderId="2" xfId="13" applyFont="1" applyFill="1" applyBorder="1">
      <alignment horizontal="center"/>
    </xf>
    <xf numFmtId="0" fontId="10" fillId="16" borderId="13" xfId="0" applyFont="1" applyFill="1" applyBorder="1"/>
    <xf numFmtId="0" fontId="10" fillId="16" borderId="11" xfId="0" applyFont="1" applyFill="1" applyBorder="1"/>
    <xf numFmtId="0" fontId="10" fillId="16" borderId="14" xfId="0" applyFont="1" applyFill="1" applyBorder="1"/>
    <xf numFmtId="0" fontId="10" fillId="16" borderId="8" xfId="0" applyFont="1" applyFill="1" applyBorder="1"/>
    <xf numFmtId="14" fontId="10" fillId="16" borderId="0" xfId="0" applyNumberFormat="1" applyFont="1" applyFill="1" applyAlignment="1">
      <alignment horizontal="center"/>
    </xf>
    <xf numFmtId="0" fontId="10" fillId="16" borderId="7" xfId="0" applyFont="1" applyFill="1" applyBorder="1"/>
    <xf numFmtId="0" fontId="10" fillId="16" borderId="9" xfId="0" applyFont="1" applyFill="1" applyBorder="1"/>
    <xf numFmtId="0" fontId="10" fillId="16" borderId="10" xfId="0" applyFont="1" applyFill="1" applyBorder="1"/>
    <xf numFmtId="0" fontId="10" fillId="16" borderId="12" xfId="0" applyFont="1" applyFill="1" applyBorder="1"/>
    <xf numFmtId="0" fontId="10" fillId="15" borderId="10" xfId="0" applyFont="1" applyFill="1" applyBorder="1"/>
    <xf numFmtId="0" fontId="10" fillId="15" borderId="8" xfId="0" applyFont="1" applyFill="1" applyBorder="1"/>
    <xf numFmtId="0" fontId="28" fillId="19" borderId="0" xfId="17" applyFont="1" applyFill="1" applyAlignment="1">
      <alignment horizontal="left" vertical="center"/>
    </xf>
    <xf numFmtId="0" fontId="39" fillId="19" borderId="0" xfId="17" applyFont="1" applyFill="1" applyAlignment="1">
      <alignment horizontal="center"/>
    </xf>
    <xf numFmtId="0" fontId="40" fillId="19" borderId="0" xfId="17" applyFont="1" applyFill="1" applyAlignment="1">
      <alignment horizontal="center"/>
    </xf>
    <xf numFmtId="0" fontId="31" fillId="16" borderId="2" xfId="19" applyFont="1" applyFill="1" applyBorder="1">
      <alignment horizontal="center" vertical="center"/>
    </xf>
    <xf numFmtId="0" fontId="32" fillId="16" borderId="2" xfId="19" applyFont="1" applyFill="1" applyBorder="1">
      <alignment horizontal="center" vertical="center"/>
    </xf>
    <xf numFmtId="0" fontId="30" fillId="20" borderId="2" xfId="19" applyFont="1" applyFill="1" applyBorder="1">
      <alignment horizontal="center" vertical="center"/>
    </xf>
    <xf numFmtId="0" fontId="28" fillId="20" borderId="2" xfId="19" applyFont="1" applyFill="1" applyBorder="1">
      <alignment horizontal="center" vertical="center"/>
    </xf>
    <xf numFmtId="0" fontId="30" fillId="20" borderId="3" xfId="13" applyFont="1" applyFill="1" applyBorder="1" applyAlignment="1">
      <alignment horizontal="center" vertical="center"/>
    </xf>
    <xf numFmtId="0" fontId="30" fillId="20" borderId="46" xfId="13" applyFont="1" applyFill="1" applyBorder="1" applyAlignment="1">
      <alignment horizontal="center" vertical="center"/>
    </xf>
    <xf numFmtId="164" fontId="37" fillId="16" borderId="3" xfId="18" applyFont="1" applyFill="1" applyBorder="1" applyAlignment="1">
      <alignment horizontal="center" vertical="center"/>
    </xf>
    <xf numFmtId="164" fontId="37" fillId="16" borderId="46" xfId="18" applyFont="1" applyFill="1" applyBorder="1" applyAlignment="1">
      <alignment horizontal="center" vertical="center"/>
    </xf>
    <xf numFmtId="0" fontId="37" fillId="16" borderId="3" xfId="13" applyFont="1" applyFill="1" applyBorder="1" applyAlignment="1">
      <alignment horizontal="center" vertical="center"/>
    </xf>
    <xf numFmtId="0" fontId="37" fillId="16" borderId="46" xfId="13" applyFont="1" applyFill="1" applyBorder="1" applyAlignment="1">
      <alignment horizontal="center" vertical="center"/>
    </xf>
    <xf numFmtId="0" fontId="22" fillId="19" borderId="0" xfId="17" applyFont="1" applyFill="1" applyAlignment="1">
      <alignment horizontal="center" vertical="center"/>
    </xf>
    <xf numFmtId="0" fontId="37" fillId="16" borderId="65" xfId="13" applyFont="1" applyFill="1" applyBorder="1" applyAlignment="1">
      <alignment horizontal="center" vertical="center"/>
    </xf>
    <xf numFmtId="0" fontId="37" fillId="16" borderId="57" xfId="13" applyFont="1" applyFill="1" applyBorder="1" applyAlignment="1">
      <alignment horizontal="center" vertical="center"/>
    </xf>
    <xf numFmtId="0" fontId="37" fillId="16" borderId="62" xfId="13" applyFont="1" applyFill="1" applyBorder="1" applyAlignment="1">
      <alignment horizontal="center" vertical="center"/>
    </xf>
    <xf numFmtId="0" fontId="37" fillId="16" borderId="63" xfId="13" applyFont="1" applyFill="1" applyBorder="1" applyAlignment="1">
      <alignment horizontal="center" vertical="center"/>
    </xf>
    <xf numFmtId="0" fontId="37" fillId="16" borderId="64" xfId="13" applyFont="1" applyFill="1" applyBorder="1" applyAlignment="1">
      <alignment horizontal="center" vertical="center"/>
    </xf>
    <xf numFmtId="0" fontId="30" fillId="20" borderId="59" xfId="19" applyFont="1" applyFill="1" applyBorder="1">
      <alignment horizontal="center" vertical="center"/>
    </xf>
    <xf numFmtId="0" fontId="30" fillId="20" borderId="61" xfId="19" applyFont="1" applyFill="1" applyBorder="1">
      <alignment horizontal="center" vertical="center"/>
    </xf>
    <xf numFmtId="0" fontId="30" fillId="20" borderId="60" xfId="19" applyFont="1" applyFill="1" applyBorder="1">
      <alignment horizontal="center" vertical="center"/>
    </xf>
    <xf numFmtId="0" fontId="30" fillId="20" borderId="58" xfId="13" applyFont="1" applyFill="1" applyBorder="1" applyAlignment="1">
      <alignment horizontal="center" vertical="center"/>
    </xf>
    <xf numFmtId="0" fontId="30" fillId="20" borderId="54" xfId="13" applyFont="1" applyFill="1" applyBorder="1" applyAlignment="1">
      <alignment horizontal="center" vertical="center"/>
    </xf>
    <xf numFmtId="0" fontId="37" fillId="16" borderId="55" xfId="13" applyFont="1" applyFill="1" applyBorder="1" applyAlignment="1">
      <alignment horizontal="center" vertical="center"/>
    </xf>
    <xf numFmtId="0" fontId="37" fillId="16" borderId="68" xfId="13" applyFont="1" applyFill="1" applyBorder="1" applyAlignment="1">
      <alignment horizontal="center" vertical="center"/>
    </xf>
    <xf numFmtId="0" fontId="37" fillId="16" borderId="67" xfId="13" applyFont="1" applyFill="1" applyBorder="1" applyAlignment="1">
      <alignment horizontal="center" vertical="center"/>
    </xf>
    <xf numFmtId="0" fontId="38" fillId="14" borderId="49" xfId="13" applyFont="1" applyFill="1" applyBorder="1" applyAlignment="1">
      <alignment horizontal="center" vertical="center"/>
    </xf>
    <xf numFmtId="0" fontId="38" fillId="14" borderId="53" xfId="13" applyFont="1" applyFill="1" applyBorder="1" applyAlignment="1">
      <alignment horizontal="center" vertical="center"/>
    </xf>
    <xf numFmtId="0" fontId="38" fillId="14" borderId="47" xfId="13" applyFont="1" applyFill="1" applyBorder="1" applyAlignment="1">
      <alignment horizontal="center" vertical="center"/>
    </xf>
    <xf numFmtId="0" fontId="30" fillId="20" borderId="65" xfId="13" applyFont="1" applyFill="1" applyBorder="1" applyAlignment="1">
      <alignment horizontal="center" vertical="center"/>
    </xf>
    <xf numFmtId="0" fontId="30" fillId="20" borderId="57" xfId="13" applyFont="1" applyFill="1" applyBorder="1" applyAlignment="1">
      <alignment horizontal="center" vertical="center"/>
    </xf>
    <xf numFmtId="0" fontId="30" fillId="20" borderId="59" xfId="13" applyFont="1" applyFill="1" applyBorder="1" applyAlignment="1">
      <alignment horizontal="center" vertical="center"/>
    </xf>
    <xf numFmtId="0" fontId="30" fillId="20" borderId="56" xfId="13" applyFont="1" applyFill="1" applyBorder="1" applyAlignment="1">
      <alignment horizontal="center" vertical="center"/>
    </xf>
    <xf numFmtId="0" fontId="30" fillId="20" borderId="66" xfId="13" applyFont="1" applyFill="1" applyBorder="1" applyAlignment="1">
      <alignment horizontal="center" vertical="center"/>
    </xf>
    <xf numFmtId="0" fontId="30" fillId="20" borderId="61" xfId="13" applyFont="1" applyFill="1" applyBorder="1" applyAlignment="1">
      <alignment horizontal="center" vertical="center"/>
    </xf>
    <xf numFmtId="0" fontId="30" fillId="20" borderId="60" xfId="13" applyFont="1" applyFill="1" applyBorder="1" applyAlignment="1">
      <alignment horizontal="center" vertical="center"/>
    </xf>
    <xf numFmtId="0" fontId="30" fillId="20" borderId="69" xfId="19" applyFont="1" applyFill="1" applyBorder="1">
      <alignment horizontal="center" vertical="center"/>
    </xf>
    <xf numFmtId="0" fontId="30" fillId="20" borderId="70" xfId="19" applyFont="1" applyFill="1" applyBorder="1">
      <alignment horizontal="center" vertical="center"/>
    </xf>
    <xf numFmtId="0" fontId="30" fillId="20" borderId="71" xfId="19" applyFont="1" applyFill="1" applyBorder="1">
      <alignment horizontal="center" vertical="center"/>
    </xf>
    <xf numFmtId="0" fontId="58" fillId="16" borderId="2" xfId="0" applyFont="1" applyFill="1" applyBorder="1" applyAlignment="1">
      <alignment horizontal="center" vertical="center"/>
    </xf>
    <xf numFmtId="0" fontId="24" fillId="16" borderId="2" xfId="0" applyFont="1" applyFill="1" applyBorder="1" applyAlignment="1">
      <alignment horizontal="center" vertical="center"/>
    </xf>
    <xf numFmtId="0" fontId="46" fillId="16" borderId="2" xfId="0" applyFont="1" applyFill="1" applyBorder="1" applyAlignment="1">
      <alignment horizontal="center" vertical="center"/>
    </xf>
    <xf numFmtId="0" fontId="47" fillId="16" borderId="2" xfId="0" applyFont="1" applyFill="1" applyBorder="1" applyAlignment="1">
      <alignment horizontal="center" vertical="center"/>
    </xf>
    <xf numFmtId="0" fontId="59" fillId="16" borderId="2" xfId="0" applyFont="1" applyFill="1" applyBorder="1" applyAlignment="1">
      <alignment horizontal="center" vertical="center"/>
    </xf>
    <xf numFmtId="0" fontId="23" fillId="19" borderId="0" xfId="17" applyFont="1" applyFill="1" applyAlignment="1">
      <alignment horizontal="center" vertical="center"/>
    </xf>
    <xf numFmtId="0" fontId="42" fillId="19" borderId="0" xfId="17" applyFont="1" applyFill="1" applyAlignment="1">
      <alignment horizontal="center" vertical="center"/>
    </xf>
    <xf numFmtId="166" fontId="24" fillId="16" borderId="30" xfId="4" applyNumberFormat="1" applyFont="1" applyFill="1" applyBorder="1" applyAlignment="1">
      <alignment horizontal="right" vertical="center"/>
    </xf>
    <xf numFmtId="166" fontId="24" fillId="16" borderId="31" xfId="4" applyNumberFormat="1" applyFont="1" applyFill="1" applyBorder="1" applyAlignment="1">
      <alignment horizontal="right" vertical="center"/>
    </xf>
    <xf numFmtId="0" fontId="24" fillId="16" borderId="25" xfId="4" applyFont="1" applyFill="1" applyBorder="1" applyAlignment="1">
      <alignment horizontal="right" vertical="center"/>
    </xf>
    <xf numFmtId="0" fontId="24" fillId="16" borderId="23" xfId="4" applyFont="1" applyFill="1" applyBorder="1" applyAlignment="1">
      <alignment horizontal="right" vertical="center"/>
    </xf>
    <xf numFmtId="0" fontId="24" fillId="16" borderId="26" xfId="4" applyFont="1" applyFill="1" applyBorder="1" applyAlignment="1">
      <alignment horizontal="right" vertical="center"/>
    </xf>
    <xf numFmtId="0" fontId="24" fillId="16" borderId="28" xfId="4" applyFont="1" applyFill="1" applyBorder="1" applyAlignment="1">
      <alignment horizontal="right" vertical="center"/>
    </xf>
    <xf numFmtId="164" fontId="24" fillId="16" borderId="29" xfId="18" applyFont="1" applyFill="1" applyBorder="1" applyAlignment="1">
      <alignment horizontal="right" vertical="center"/>
    </xf>
    <xf numFmtId="164" fontId="24" fillId="16" borderId="31" xfId="18" applyFont="1" applyFill="1" applyBorder="1" applyAlignment="1">
      <alignment horizontal="right" vertical="center"/>
    </xf>
    <xf numFmtId="14" fontId="24" fillId="16" borderId="33" xfId="4" applyNumberFormat="1" applyFont="1" applyFill="1" applyBorder="1" applyAlignment="1">
      <alignment horizontal="right" vertical="center"/>
    </xf>
    <xf numFmtId="0" fontId="24" fillId="16" borderId="34" xfId="4" applyFont="1" applyFill="1" applyBorder="1" applyAlignment="1">
      <alignment horizontal="right" vertical="center"/>
    </xf>
    <xf numFmtId="166" fontId="24" fillId="16" borderId="27" xfId="4" applyNumberFormat="1" applyFont="1" applyFill="1" applyBorder="1" applyAlignment="1">
      <alignment horizontal="right" vertical="center"/>
    </xf>
    <xf numFmtId="166" fontId="24" fillId="16" borderId="28" xfId="4" applyNumberFormat="1" applyFont="1" applyFill="1" applyBorder="1" applyAlignment="1">
      <alignment horizontal="right" vertical="center"/>
    </xf>
    <xf numFmtId="0" fontId="36" fillId="16" borderId="0" xfId="1" applyFont="1" applyFill="1" applyBorder="1" applyAlignment="1">
      <alignment horizontal="center"/>
    </xf>
    <xf numFmtId="0" fontId="12" fillId="16" borderId="5" xfId="6" applyFont="1" applyFill="1" applyBorder="1" applyAlignment="1">
      <alignment horizontal="center"/>
    </xf>
    <xf numFmtId="0" fontId="12" fillId="16" borderId="0" xfId="6" applyFont="1" applyFill="1" applyBorder="1" applyAlignment="1">
      <alignment horizontal="center"/>
    </xf>
    <xf numFmtId="0" fontId="28" fillId="19" borderId="0" xfId="17" applyFont="1" applyFill="1" applyBorder="1" applyAlignment="1">
      <alignment horizontal="center" vertical="center"/>
    </xf>
    <xf numFmtId="0" fontId="60" fillId="19" borderId="0" xfId="17" applyFont="1" applyFill="1" applyBorder="1" applyAlignment="1">
      <alignment horizontal="center" vertical="center"/>
    </xf>
    <xf numFmtId="0" fontId="28" fillId="19" borderId="0" xfId="17" applyFont="1" applyFill="1" applyBorder="1" applyAlignment="1">
      <alignment horizontal="left" vertical="center"/>
    </xf>
    <xf numFmtId="0" fontId="36" fillId="20" borderId="38" xfId="19" applyFont="1" applyFill="1" applyBorder="1">
      <alignment horizontal="center" vertical="center"/>
    </xf>
    <xf numFmtId="0" fontId="36" fillId="20" borderId="40" xfId="19" applyFont="1" applyFill="1" applyBorder="1">
      <alignment horizontal="center" vertical="center"/>
    </xf>
    <xf numFmtId="0" fontId="12" fillId="16" borderId="0" xfId="19" applyFont="1" applyFill="1" applyBorder="1">
      <alignment horizontal="center" vertical="center"/>
    </xf>
    <xf numFmtId="0" fontId="36" fillId="20" borderId="2" xfId="19" applyFont="1" applyFill="1" applyBorder="1">
      <alignment horizontal="center" vertical="center"/>
    </xf>
    <xf numFmtId="0" fontId="12" fillId="20" borderId="40" xfId="19" applyFont="1" applyFill="1" applyBorder="1">
      <alignment horizontal="center" vertical="center"/>
    </xf>
    <xf numFmtId="0" fontId="10" fillId="16" borderId="14" xfId="0" applyFont="1" applyFill="1" applyBorder="1" applyAlignment="1">
      <alignment horizontal="center"/>
    </xf>
    <xf numFmtId="0" fontId="10" fillId="16" borderId="0" xfId="0" applyFont="1" applyFill="1" applyAlignment="1">
      <alignment horizontal="center"/>
    </xf>
    <xf numFmtId="0" fontId="61" fillId="16" borderId="6" xfId="0" applyFont="1" applyFill="1" applyBorder="1" applyAlignment="1">
      <alignment horizontal="center"/>
    </xf>
    <xf numFmtId="0" fontId="34" fillId="19" borderId="0" xfId="17" applyFont="1" applyFill="1" applyAlignment="1">
      <alignment horizontal="center"/>
    </xf>
    <xf numFmtId="0" fontId="45" fillId="19" borderId="0" xfId="17" applyFont="1" applyFill="1" applyAlignment="1">
      <alignment horizontal="center"/>
    </xf>
    <xf numFmtId="0" fontId="41" fillId="19" borderId="0" xfId="17" applyFont="1" applyFill="1" applyAlignment="1">
      <alignment horizontal="center"/>
    </xf>
    <xf numFmtId="165" fontId="10" fillId="16" borderId="0" xfId="0" applyNumberFormat="1" applyFont="1" applyFill="1" applyAlignment="1">
      <alignment horizontal="center"/>
    </xf>
    <xf numFmtId="168" fontId="10" fillId="16" borderId="0" xfId="0" applyNumberFormat="1" applyFont="1" applyFill="1" applyAlignment="1">
      <alignment horizontal="center"/>
    </xf>
  </cellXfs>
  <cellStyles count="23">
    <cellStyle name="20% - Accent5" xfId="5" builtinId="46"/>
    <cellStyle name="40% - Accent3" xfId="3" builtinId="39"/>
    <cellStyle name="60% - Accent3" xfId="4" builtinId="40"/>
    <cellStyle name="60% - Accent5" xfId="6" builtinId="48"/>
    <cellStyle name="Accent2" xfId="2" builtinId="33"/>
    <cellStyle name="Currency" xfId="18" builtinId="4"/>
    <cellStyle name="Good" xfId="22" builtinId="26"/>
    <cellStyle name="Hyperlink" xfId="17" builtinId="8"/>
    <cellStyle name="Normal" xfId="0" builtinId="0"/>
    <cellStyle name="Percent" xfId="16" builtinId="5"/>
    <cellStyle name="Style 1" xfId="7" xr:uid="{00000000-0005-0000-0000-00000A000000}"/>
    <cellStyle name="Style 10" xfId="19" xr:uid="{00000000-0005-0000-0000-00000B000000}"/>
    <cellStyle name="Style 10 2" xfId="21" xr:uid="{00000000-0005-0000-0000-00000C000000}"/>
    <cellStyle name="Style 11" xfId="20" xr:uid="{00000000-0005-0000-0000-00000D000000}"/>
    <cellStyle name="Style 2" xfId="8" xr:uid="{00000000-0005-0000-0000-00000E000000}"/>
    <cellStyle name="Style 3" xfId="9" xr:uid="{00000000-0005-0000-0000-00000F000000}"/>
    <cellStyle name="Style 4" xfId="10" xr:uid="{00000000-0005-0000-0000-000010000000}"/>
    <cellStyle name="Style 5" xfId="11" xr:uid="{00000000-0005-0000-0000-000011000000}"/>
    <cellStyle name="Style 6" xfId="12" xr:uid="{00000000-0005-0000-0000-000012000000}"/>
    <cellStyle name="Style 7" xfId="13" xr:uid="{00000000-0005-0000-0000-000013000000}"/>
    <cellStyle name="Style 8" xfId="14" xr:uid="{00000000-0005-0000-0000-000014000000}"/>
    <cellStyle name="Style 9" xfId="15" xr:uid="{00000000-0005-0000-0000-000015000000}"/>
    <cellStyle name="Title" xfId="1" builtinId="15"/>
  </cellStyles>
  <dxfs count="63"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numFmt numFmtId="166" formatCode="[$-3409]mmmm\ dd\,\ 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numFmt numFmtId="166" formatCode="[$-3409]mmmm\ dd\,\ 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"/>
        <scheme val="none"/>
      </font>
      <numFmt numFmtId="165" formatCode="_-[$₱-3409]* #,##0.00_-;\-[$₱-3409]* #,##0.00_-;_-[$₱-3409]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2"/>
        <color auto="1"/>
        <name val="Helvetic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Helvetic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Helvetica"/>
        <scheme val="none"/>
      </font>
      <numFmt numFmtId="166" formatCode="[$-3409]mmmm\ dd\,\ 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Helvetica"/>
        <scheme val="none"/>
      </font>
      <numFmt numFmtId="166" formatCode="[$-3409]mmmm\ dd\,\ 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Helvetica"/>
        <scheme val="none"/>
      </font>
      <numFmt numFmtId="165" formatCode="_-[$₱-3409]* #,##0.00_-;\-[$₱-3409]* #,##0.00_-;_-[$₱-3409]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Helvetic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Helvetic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medium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  <numFmt numFmtId="165" formatCode="_-[$₱-3409]* #,##0.00_-;\-[$₱-3409]* #,##0.00_-;_-[$₱-3409]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  <numFmt numFmtId="166" formatCode="[$-3409]mmmm\ dd\,\ 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  <numFmt numFmtId="166" formatCode="[$-3409]mmmm\ dd\,\ 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medium">
          <color theme="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numFmt numFmtId="165" formatCode="_-[$₱-3409]* #,##0.00_-;\-[$₱-3409]* #,##0.00_-;_-[$₱-3409]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3"/>
        </top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numFmt numFmtId="165" formatCode="_-[$₱-3409]* #,##0.00_-;\-[$₱-3409]* #,##0.00_-;_-[$₱-3409]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numFmt numFmtId="166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numFmt numFmtId="166" formatCode="[$-3409]mmmm\ dd\,\ 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Helvetic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D3FBF4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Individual Profile Report'!A1"/><Relationship Id="rId3" Type="http://schemas.openxmlformats.org/officeDocument/2006/relationships/image" Target="../media/image3.jpeg"/><Relationship Id="rId7" Type="http://schemas.openxmlformats.org/officeDocument/2006/relationships/hyperlink" Target="#'Amount Purchased'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'Cash Advance Transactions'!A1"/><Relationship Id="rId11" Type="http://schemas.openxmlformats.org/officeDocument/2006/relationships/hyperlink" Target="#'Payment System'!A1"/><Relationship Id="rId5" Type="http://schemas.openxmlformats.org/officeDocument/2006/relationships/hyperlink" Target="#Payments!A1"/><Relationship Id="rId10" Type="http://schemas.openxmlformats.org/officeDocument/2006/relationships/hyperlink" Target="#'Statement of Account'!A1"/><Relationship Id="rId4" Type="http://schemas.openxmlformats.org/officeDocument/2006/relationships/hyperlink" Target="#'Confirmation Letter'!A1"/><Relationship Id="rId9" Type="http://schemas.openxmlformats.org/officeDocument/2006/relationships/hyperlink" Target="#'Account Information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'Individual Profile Report'!A1"/><Relationship Id="rId2" Type="http://schemas.openxmlformats.org/officeDocument/2006/relationships/hyperlink" Target="#Dashboard!A1"/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Individual Profile Report'!A1"/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Individual Profile Report'!A1"/><Relationship Id="rId2" Type="http://schemas.openxmlformats.org/officeDocument/2006/relationships/hyperlink" Target="#Dashboard!A1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Amount Purchased'!A1"/><Relationship Id="rId2" Type="http://schemas.openxmlformats.org/officeDocument/2006/relationships/hyperlink" Target="#Dashboard!A1"/><Relationship Id="rId1" Type="http://schemas.openxmlformats.org/officeDocument/2006/relationships/image" Target="../media/image5.png"/><Relationship Id="rId4" Type="http://schemas.openxmlformats.org/officeDocument/2006/relationships/hyperlink" Target="#'Confirmation Letter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Cash Advance Transactions'!A1"/><Relationship Id="rId2" Type="http://schemas.openxmlformats.org/officeDocument/2006/relationships/hyperlink" Target="#Dashboard!A1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Payments!A1"/><Relationship Id="rId2" Type="http://schemas.openxmlformats.org/officeDocument/2006/relationships/hyperlink" Target="#Dashboard!A1"/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Confirmation Letter'!A1"/><Relationship Id="rId2" Type="http://schemas.openxmlformats.org/officeDocument/2006/relationships/hyperlink" Target="#Dashboard!A1"/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'Statement of Account'!A1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'Payment System'!A1"/><Relationship Id="rId2" Type="http://schemas.openxmlformats.org/officeDocument/2006/relationships/hyperlink" Target="#Dashboard!A1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0</xdr:colOff>
      <xdr:row>23</xdr:row>
      <xdr:rowOff>164523</xdr:rowOff>
    </xdr:from>
    <xdr:ext cx="6699250" cy="1063144"/>
    <xdr:pic>
      <xdr:nvPicPr>
        <xdr:cNvPr id="14" name="Picture 2">
          <a:extLst>
            <a:ext uri="{FF2B5EF4-FFF2-40B4-BE49-F238E27FC236}">
              <a16:creationId xmlns:a16="http://schemas.microsoft.com/office/drawing/2014/main" id="{00000000-0008-0000-0000-00000E000000}"/>
            </a:ext>
            <a:ext uri="{147F2762-F138-4A5C-976F-8EAC2B608ADB}">
              <a16:predDERef xmlns:a16="http://schemas.microsoft.com/office/drawing/2014/main" pred="{C5AFB45C-7F6E-4448-93AC-EE4439E0D4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279"/>
        <a:stretch/>
      </xdr:blipFill>
      <xdr:spPr>
        <a:xfrm>
          <a:off x="9673167" y="5117523"/>
          <a:ext cx="6699250" cy="1063144"/>
        </a:xfrm>
        <a:prstGeom prst="rect">
          <a:avLst/>
        </a:prstGeom>
      </xdr:spPr>
    </xdr:pic>
    <xdr:clientData/>
  </xdr:oneCellAnchor>
  <xdr:twoCellAnchor editAs="oneCell">
    <xdr:from>
      <xdr:col>1</xdr:col>
      <xdr:colOff>21166</xdr:colOff>
      <xdr:row>1</xdr:row>
      <xdr:rowOff>10583</xdr:rowOff>
    </xdr:from>
    <xdr:to>
      <xdr:col>17</xdr:col>
      <xdr:colOff>3929</xdr:colOff>
      <xdr:row>30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260"/>
        <a:stretch/>
      </xdr:blipFill>
      <xdr:spPr>
        <a:xfrm>
          <a:off x="232833" y="190500"/>
          <a:ext cx="9292166" cy="6043083"/>
        </a:xfrm>
        <a:prstGeom prst="rect">
          <a:avLst/>
        </a:prstGeom>
      </xdr:spPr>
    </xdr:pic>
    <xdr:clientData/>
  </xdr:twoCellAnchor>
  <xdr:twoCellAnchor editAs="oneCell">
    <xdr:from>
      <xdr:col>18</xdr:col>
      <xdr:colOff>3746501</xdr:colOff>
      <xdr:row>1</xdr:row>
      <xdr:rowOff>10583</xdr:rowOff>
    </xdr:from>
    <xdr:to>
      <xdr:col>21</xdr:col>
      <xdr:colOff>33022</xdr:colOff>
      <xdr:row>3</xdr:row>
      <xdr:rowOff>129963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72584" y="190500"/>
          <a:ext cx="1281855" cy="680296"/>
        </a:xfrm>
        <a:prstGeom prst="rect">
          <a:avLst/>
        </a:prstGeom>
      </xdr:spPr>
    </xdr:pic>
    <xdr:clientData/>
  </xdr:twoCellAnchor>
  <xdr:twoCellAnchor>
    <xdr:from>
      <xdr:col>18</xdr:col>
      <xdr:colOff>2963334</xdr:colOff>
      <xdr:row>16</xdr:row>
      <xdr:rowOff>169333</xdr:rowOff>
    </xdr:from>
    <xdr:to>
      <xdr:col>19</xdr:col>
      <xdr:colOff>110067</xdr:colOff>
      <xdr:row>18</xdr:row>
      <xdr:rowOff>26585</xdr:rowOff>
    </xdr:to>
    <xdr:sp macro="" textlink="">
      <xdr:nvSpPr>
        <xdr:cNvPr id="6" name="Flowchart: Terminator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689417" y="3608916"/>
          <a:ext cx="914400" cy="301752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1545167</xdr:colOff>
      <xdr:row>14</xdr:row>
      <xdr:rowOff>158750</xdr:rowOff>
    </xdr:from>
    <xdr:to>
      <xdr:col>18</xdr:col>
      <xdr:colOff>2459567</xdr:colOff>
      <xdr:row>16</xdr:row>
      <xdr:rowOff>16002</xdr:rowOff>
    </xdr:to>
    <xdr:sp macro="" textlink="">
      <xdr:nvSpPr>
        <xdr:cNvPr id="7" name="Flowchart: Terminator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271250" y="3153833"/>
          <a:ext cx="914400" cy="301752"/>
        </a:xfrm>
        <a:prstGeom prst="flowChartTermina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3714750</xdr:colOff>
      <xdr:row>12</xdr:row>
      <xdr:rowOff>158750</xdr:rowOff>
    </xdr:from>
    <xdr:to>
      <xdr:col>20</xdr:col>
      <xdr:colOff>247650</xdr:colOff>
      <xdr:row>14</xdr:row>
      <xdr:rowOff>16002</xdr:rowOff>
    </xdr:to>
    <xdr:sp macro="" textlink="">
      <xdr:nvSpPr>
        <xdr:cNvPr id="8" name="Flowchart: Terminator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3440833" y="2709333"/>
          <a:ext cx="914400" cy="301752"/>
        </a:xfrm>
        <a:prstGeom prst="flowChartTermina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2021417</xdr:colOff>
      <xdr:row>10</xdr:row>
      <xdr:rowOff>169334</xdr:rowOff>
    </xdr:from>
    <xdr:to>
      <xdr:col>18</xdr:col>
      <xdr:colOff>2935817</xdr:colOff>
      <xdr:row>12</xdr:row>
      <xdr:rowOff>26586</xdr:rowOff>
    </xdr:to>
    <xdr:sp macro="" textlink="">
      <xdr:nvSpPr>
        <xdr:cNvPr id="9" name="Flowchart: Terminator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747500" y="2275417"/>
          <a:ext cx="914400" cy="301752"/>
        </a:xfrm>
        <a:prstGeom prst="flowChartTerminator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3376084</xdr:colOff>
      <xdr:row>8</xdr:row>
      <xdr:rowOff>169334</xdr:rowOff>
    </xdr:from>
    <xdr:to>
      <xdr:col>19</xdr:col>
      <xdr:colOff>522817</xdr:colOff>
      <xdr:row>10</xdr:row>
      <xdr:rowOff>26586</xdr:rowOff>
    </xdr:to>
    <xdr:sp macro="" textlink="">
      <xdr:nvSpPr>
        <xdr:cNvPr id="10" name="Flowchart: Terminator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3102167" y="1830917"/>
          <a:ext cx="914400" cy="301752"/>
        </a:xfrm>
        <a:prstGeom prst="flowChartTermina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2952750</xdr:colOff>
      <xdr:row>6</xdr:row>
      <xdr:rowOff>169334</xdr:rowOff>
    </xdr:from>
    <xdr:to>
      <xdr:col>19</xdr:col>
      <xdr:colOff>99483</xdr:colOff>
      <xdr:row>8</xdr:row>
      <xdr:rowOff>26586</xdr:rowOff>
    </xdr:to>
    <xdr:sp macro="" textlink="">
      <xdr:nvSpPr>
        <xdr:cNvPr id="11" name="Flowchart: Terminator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678833" y="1386417"/>
          <a:ext cx="914400" cy="301752"/>
        </a:xfrm>
        <a:prstGeom prst="flowChartTermina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3153834</xdr:colOff>
      <xdr:row>18</xdr:row>
      <xdr:rowOff>158750</xdr:rowOff>
    </xdr:from>
    <xdr:to>
      <xdr:col>19</xdr:col>
      <xdr:colOff>300567</xdr:colOff>
      <xdr:row>20</xdr:row>
      <xdr:rowOff>16002</xdr:rowOff>
    </xdr:to>
    <xdr:sp macro="" textlink="">
      <xdr:nvSpPr>
        <xdr:cNvPr id="12" name="Flowchart: Terminator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879917" y="4042833"/>
          <a:ext cx="914400" cy="301752"/>
        </a:xfrm>
        <a:prstGeom prst="flowChartTermina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18</xdr:col>
      <xdr:colOff>2370667</xdr:colOff>
      <xdr:row>20</xdr:row>
      <xdr:rowOff>169334</xdr:rowOff>
    </xdr:from>
    <xdr:to>
      <xdr:col>18</xdr:col>
      <xdr:colOff>3285067</xdr:colOff>
      <xdr:row>22</xdr:row>
      <xdr:rowOff>26586</xdr:rowOff>
    </xdr:to>
    <xdr:sp macro="" textlink="">
      <xdr:nvSpPr>
        <xdr:cNvPr id="13" name="Flowchart: Terminator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2096750" y="4497917"/>
          <a:ext cx="914400" cy="301752"/>
        </a:xfrm>
        <a:prstGeom prst="flowChartTermina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180975</xdr:rowOff>
    </xdr:from>
    <xdr:to>
      <xdr:col>4</xdr:col>
      <xdr:colOff>923925</xdr:colOff>
      <xdr:row>7</xdr:row>
      <xdr:rowOff>71755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80975"/>
          <a:ext cx="2190750" cy="1162050"/>
        </a:xfrm>
        <a:prstGeom prst="rect">
          <a:avLst/>
        </a:prstGeom>
      </xdr:spPr>
    </xdr:pic>
    <xdr:clientData/>
  </xdr:twoCellAnchor>
  <xdr:twoCellAnchor>
    <xdr:from>
      <xdr:col>7</xdr:col>
      <xdr:colOff>236220</xdr:colOff>
      <xdr:row>20</xdr:row>
      <xdr:rowOff>243840</xdr:rowOff>
    </xdr:from>
    <xdr:to>
      <xdr:col>8</xdr:col>
      <xdr:colOff>571500</xdr:colOff>
      <xdr:row>21</xdr:row>
      <xdr:rowOff>57912</xdr:rowOff>
    </xdr:to>
    <xdr:sp macro="" textlink="">
      <xdr:nvSpPr>
        <xdr:cNvPr id="4" name="Flowchart: Terminator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4968240" y="4046220"/>
          <a:ext cx="914400" cy="301752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236220</xdr:colOff>
      <xdr:row>22</xdr:row>
      <xdr:rowOff>76200</xdr:rowOff>
    </xdr:from>
    <xdr:to>
      <xdr:col>8</xdr:col>
      <xdr:colOff>571500</xdr:colOff>
      <xdr:row>23</xdr:row>
      <xdr:rowOff>57912</xdr:rowOff>
    </xdr:to>
    <xdr:sp macro="" textlink="">
      <xdr:nvSpPr>
        <xdr:cNvPr id="5" name="Flowchart: Terminato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4968240" y="4541520"/>
          <a:ext cx="914400" cy="301752"/>
        </a:xfrm>
        <a:prstGeom prst="flowChartTermina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1273628</xdr:colOff>
      <xdr:row>20</xdr:row>
      <xdr:rowOff>54428</xdr:rowOff>
    </xdr:from>
    <xdr:to>
      <xdr:col>3</xdr:col>
      <xdr:colOff>413657</xdr:colOff>
      <xdr:row>21</xdr:row>
      <xdr:rowOff>40494</xdr:rowOff>
    </xdr:to>
    <xdr:sp macro="" textlink="">
      <xdr:nvSpPr>
        <xdr:cNvPr id="6" name="Flowchart: Terminator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559628" y="7173685"/>
          <a:ext cx="914400" cy="301752"/>
        </a:xfrm>
        <a:prstGeom prst="flowChartTerminator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</xdr:col>
      <xdr:colOff>283028</xdr:colOff>
      <xdr:row>22</xdr:row>
      <xdr:rowOff>108857</xdr:rowOff>
    </xdr:from>
    <xdr:to>
      <xdr:col>5</xdr:col>
      <xdr:colOff>500742</xdr:colOff>
      <xdr:row>23</xdr:row>
      <xdr:rowOff>18723</xdr:rowOff>
    </xdr:to>
    <xdr:sp macro="" textlink="">
      <xdr:nvSpPr>
        <xdr:cNvPr id="9" name="Flowchart: Terminator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5606142" y="7717971"/>
          <a:ext cx="914400" cy="301752"/>
        </a:xfrm>
        <a:prstGeom prst="flowChartTerminator">
          <a:avLst/>
        </a:prstGeom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594361</xdr:colOff>
      <xdr:row>1</xdr:row>
      <xdr:rowOff>30480</xdr:rowOff>
    </xdr:from>
    <xdr:to>
      <xdr:col>2</xdr:col>
      <xdr:colOff>1077128</xdr:colOff>
      <xdr:row>1</xdr:row>
      <xdr:rowOff>289560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541" y="213360"/>
          <a:ext cx="482767" cy="259080"/>
        </a:xfrm>
        <a:prstGeom prst="rect">
          <a:avLst/>
        </a:prstGeom>
      </xdr:spPr>
    </xdr:pic>
    <xdr:clientData/>
  </xdr:twoCellAnchor>
  <xdr:twoCellAnchor>
    <xdr:from>
      <xdr:col>1</xdr:col>
      <xdr:colOff>3268980</xdr:colOff>
      <xdr:row>15</xdr:row>
      <xdr:rowOff>0</xdr:rowOff>
    </xdr:from>
    <xdr:to>
      <xdr:col>1</xdr:col>
      <xdr:colOff>4183380</xdr:colOff>
      <xdr:row>16</xdr:row>
      <xdr:rowOff>35052</xdr:rowOff>
    </xdr:to>
    <xdr:sp macro="" textlink="">
      <xdr:nvSpPr>
        <xdr:cNvPr id="4" name="Flowchart: Terminator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413760" y="4442460"/>
          <a:ext cx="914400" cy="301752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2743200</xdr:colOff>
      <xdr:row>14</xdr:row>
      <xdr:rowOff>152400</xdr:rowOff>
    </xdr:from>
    <xdr:to>
      <xdr:col>2</xdr:col>
      <xdr:colOff>3657600</xdr:colOff>
      <xdr:row>16</xdr:row>
      <xdr:rowOff>4572</xdr:rowOff>
    </xdr:to>
    <xdr:sp macro="" textlink="">
      <xdr:nvSpPr>
        <xdr:cNvPr id="5" name="Flowchart: Terminator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612380" y="4411980"/>
          <a:ext cx="914400" cy="301752"/>
        </a:xfrm>
        <a:prstGeom prst="flowChartTermina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502023</xdr:colOff>
      <xdr:row>4</xdr:row>
      <xdr:rowOff>15650</xdr:rowOff>
    </xdr:from>
    <xdr:to>
      <xdr:col>7</xdr:col>
      <xdr:colOff>1807581</xdr:colOff>
      <xdr:row>7</xdr:row>
      <xdr:rowOff>413657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6917" y="696968"/>
          <a:ext cx="3232970" cy="1572383"/>
        </a:xfrm>
        <a:prstGeom prst="rect">
          <a:avLst/>
        </a:prstGeom>
      </xdr:spPr>
    </xdr:pic>
    <xdr:clientData/>
  </xdr:twoCellAnchor>
  <xdr:twoCellAnchor>
    <xdr:from>
      <xdr:col>3</xdr:col>
      <xdr:colOff>1841500</xdr:colOff>
      <xdr:row>29</xdr:row>
      <xdr:rowOff>431800</xdr:rowOff>
    </xdr:from>
    <xdr:to>
      <xdr:col>3</xdr:col>
      <xdr:colOff>2755900</xdr:colOff>
      <xdr:row>29</xdr:row>
      <xdr:rowOff>733552</xdr:rowOff>
    </xdr:to>
    <xdr:sp macro="" textlink="">
      <xdr:nvSpPr>
        <xdr:cNvPr id="3" name="Flowchart: Terminator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45100" y="11569700"/>
          <a:ext cx="914400" cy="301752"/>
        </a:xfrm>
        <a:prstGeom prst="flowChartTerminator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6</xdr:col>
      <xdr:colOff>1219200</xdr:colOff>
      <xdr:row>29</xdr:row>
      <xdr:rowOff>304800</xdr:rowOff>
    </xdr:from>
    <xdr:to>
      <xdr:col>7</xdr:col>
      <xdr:colOff>355600</xdr:colOff>
      <xdr:row>29</xdr:row>
      <xdr:rowOff>606552</xdr:rowOff>
    </xdr:to>
    <xdr:sp macro="" textlink="">
      <xdr:nvSpPr>
        <xdr:cNvPr id="9" name="Flowchart: Terminato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1925300" y="11442700"/>
          <a:ext cx="914400" cy="301752"/>
        </a:xfrm>
        <a:prstGeom prst="flowChartTerminator">
          <a:avLst/>
        </a:prstGeom>
        <a:solidFill>
          <a:srgbClr val="7030A0"/>
        </a:solidFill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6</xdr:col>
      <xdr:colOff>1295400</xdr:colOff>
      <xdr:row>30</xdr:row>
      <xdr:rowOff>0</xdr:rowOff>
    </xdr:from>
    <xdr:to>
      <xdr:col>7</xdr:col>
      <xdr:colOff>431800</xdr:colOff>
      <xdr:row>31</xdr:row>
      <xdr:rowOff>9652</xdr:rowOff>
    </xdr:to>
    <xdr:sp macro="" textlink="">
      <xdr:nvSpPr>
        <xdr:cNvPr id="11" name="Flowchart: Terminator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2001500" y="12001500"/>
          <a:ext cx="914400" cy="301752"/>
        </a:xfrm>
        <a:prstGeom prst="flowChartTerminator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1694448</xdr:colOff>
      <xdr:row>1</xdr:row>
      <xdr:rowOff>20053</xdr:rowOff>
    </xdr:from>
    <xdr:to>
      <xdr:col>4</xdr:col>
      <xdr:colOff>2479129</xdr:colOff>
      <xdr:row>1</xdr:row>
      <xdr:rowOff>441158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3422" y="210553"/>
          <a:ext cx="784681" cy="421105"/>
        </a:xfrm>
        <a:prstGeom prst="rect">
          <a:avLst/>
        </a:prstGeom>
      </xdr:spPr>
    </xdr:pic>
    <xdr:clientData/>
  </xdr:twoCellAnchor>
  <xdr:twoCellAnchor>
    <xdr:from>
      <xdr:col>2</xdr:col>
      <xdr:colOff>501316</xdr:colOff>
      <xdr:row>20</xdr:row>
      <xdr:rowOff>30079</xdr:rowOff>
    </xdr:from>
    <xdr:to>
      <xdr:col>2</xdr:col>
      <xdr:colOff>1415716</xdr:colOff>
      <xdr:row>21</xdr:row>
      <xdr:rowOff>61120</xdr:rowOff>
    </xdr:to>
    <xdr:sp macro="" textlink="">
      <xdr:nvSpPr>
        <xdr:cNvPr id="3" name="Flowchart: Terminator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997869" y="6697579"/>
          <a:ext cx="914400" cy="301752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</xdr:col>
      <xdr:colOff>792079</xdr:colOff>
      <xdr:row>19</xdr:row>
      <xdr:rowOff>180473</xdr:rowOff>
    </xdr:from>
    <xdr:to>
      <xdr:col>4</xdr:col>
      <xdr:colOff>1706479</xdr:colOff>
      <xdr:row>21</xdr:row>
      <xdr:rowOff>21014</xdr:rowOff>
    </xdr:to>
    <xdr:sp macro="" textlink="">
      <xdr:nvSpPr>
        <xdr:cNvPr id="4" name="Flowchart: Terminator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021053" y="6657473"/>
          <a:ext cx="914400" cy="301752"/>
        </a:xfrm>
        <a:prstGeom prst="flowChartTerminator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1905001</xdr:colOff>
      <xdr:row>1</xdr:row>
      <xdr:rowOff>23091</xdr:rowOff>
    </xdr:from>
    <xdr:to>
      <xdr:col>4</xdr:col>
      <xdr:colOff>76464</xdr:colOff>
      <xdr:row>1</xdr:row>
      <xdr:rowOff>646545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5546" y="242455"/>
          <a:ext cx="1161736" cy="623454"/>
        </a:xfrm>
        <a:prstGeom prst="rect">
          <a:avLst/>
        </a:prstGeom>
      </xdr:spPr>
    </xdr:pic>
    <xdr:clientData/>
  </xdr:twoCellAnchor>
  <xdr:twoCellAnchor>
    <xdr:from>
      <xdr:col>1</xdr:col>
      <xdr:colOff>3001818</xdr:colOff>
      <xdr:row>19</xdr:row>
      <xdr:rowOff>311728</xdr:rowOff>
    </xdr:from>
    <xdr:to>
      <xdr:col>2</xdr:col>
      <xdr:colOff>625763</xdr:colOff>
      <xdr:row>19</xdr:row>
      <xdr:rowOff>613480</xdr:rowOff>
    </xdr:to>
    <xdr:sp macro="" textlink="">
      <xdr:nvSpPr>
        <xdr:cNvPr id="4" name="Flowchart: Terminator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3140363" y="9097819"/>
          <a:ext cx="914400" cy="301752"/>
        </a:xfrm>
        <a:prstGeom prst="flowChartTerminator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</xdr:col>
      <xdr:colOff>300181</xdr:colOff>
      <xdr:row>19</xdr:row>
      <xdr:rowOff>288636</xdr:rowOff>
    </xdr:from>
    <xdr:to>
      <xdr:col>4</xdr:col>
      <xdr:colOff>1214581</xdr:colOff>
      <xdr:row>19</xdr:row>
      <xdr:rowOff>590388</xdr:rowOff>
    </xdr:to>
    <xdr:sp macro="" textlink="">
      <xdr:nvSpPr>
        <xdr:cNvPr id="5" name="Flowchart: Termina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70999" y="9074727"/>
          <a:ext cx="914400" cy="301752"/>
        </a:xfrm>
        <a:prstGeom prst="flowChartTerminator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3001819</xdr:colOff>
      <xdr:row>20</xdr:row>
      <xdr:rowOff>23093</xdr:rowOff>
    </xdr:from>
    <xdr:to>
      <xdr:col>2</xdr:col>
      <xdr:colOff>625764</xdr:colOff>
      <xdr:row>21</xdr:row>
      <xdr:rowOff>24663</xdr:rowOff>
    </xdr:to>
    <xdr:sp macro="" textlink="">
      <xdr:nvSpPr>
        <xdr:cNvPr id="6" name="Flowchart: Terminator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3140364" y="9675093"/>
          <a:ext cx="914400" cy="301752"/>
        </a:xfrm>
        <a:prstGeom prst="flowChartTerminator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1315667</xdr:colOff>
      <xdr:row>1</xdr:row>
      <xdr:rowOff>15875</xdr:rowOff>
    </xdr:from>
    <xdr:to>
      <xdr:col>4</xdr:col>
      <xdr:colOff>2069991</xdr:colOff>
      <xdr:row>1</xdr:row>
      <xdr:rowOff>420688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8681" y="287272"/>
          <a:ext cx="754324" cy="404813"/>
        </a:xfrm>
        <a:prstGeom prst="rect">
          <a:avLst/>
        </a:prstGeom>
      </xdr:spPr>
    </xdr:pic>
    <xdr:clientData/>
  </xdr:twoCellAnchor>
  <xdr:twoCellAnchor>
    <xdr:from>
      <xdr:col>2</xdr:col>
      <xdr:colOff>1868465</xdr:colOff>
      <xdr:row>19</xdr:row>
      <xdr:rowOff>62631</xdr:rowOff>
    </xdr:from>
    <xdr:to>
      <xdr:col>2</xdr:col>
      <xdr:colOff>2782865</xdr:colOff>
      <xdr:row>21</xdr:row>
      <xdr:rowOff>30356</xdr:rowOff>
    </xdr:to>
    <xdr:sp macro="" textlink="">
      <xdr:nvSpPr>
        <xdr:cNvPr id="4" name="Flowchart: Terminator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265123" y="7348604"/>
          <a:ext cx="914400" cy="301752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</xdr:col>
      <xdr:colOff>2870548</xdr:colOff>
      <xdr:row>19</xdr:row>
      <xdr:rowOff>52191</xdr:rowOff>
    </xdr:from>
    <xdr:to>
      <xdr:col>5</xdr:col>
      <xdr:colOff>455113</xdr:colOff>
      <xdr:row>21</xdr:row>
      <xdr:rowOff>19916</xdr:rowOff>
    </xdr:to>
    <xdr:sp macro="" textlink="">
      <xdr:nvSpPr>
        <xdr:cNvPr id="7" name="Flowchart: Terminator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9133562" y="7338164"/>
          <a:ext cx="914400" cy="301752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1377540</xdr:colOff>
      <xdr:row>2</xdr:row>
      <xdr:rowOff>127188</xdr:rowOff>
    </xdr:from>
    <xdr:to>
      <xdr:col>10</xdr:col>
      <xdr:colOff>1066577</xdr:colOff>
      <xdr:row>6</xdr:row>
      <xdr:rowOff>1682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9469" y="512670"/>
          <a:ext cx="2414307" cy="1246094"/>
        </a:xfrm>
        <a:prstGeom prst="rect">
          <a:avLst/>
        </a:prstGeom>
      </xdr:spPr>
    </xdr:pic>
    <xdr:clientData/>
  </xdr:twoCellAnchor>
  <xdr:twoCellAnchor>
    <xdr:from>
      <xdr:col>4</xdr:col>
      <xdr:colOff>134471</xdr:colOff>
      <xdr:row>31</xdr:row>
      <xdr:rowOff>44824</xdr:rowOff>
    </xdr:from>
    <xdr:to>
      <xdr:col>5</xdr:col>
      <xdr:colOff>779930</xdr:colOff>
      <xdr:row>32</xdr:row>
      <xdr:rowOff>158317</xdr:rowOff>
    </xdr:to>
    <xdr:sp macro="" textlink="">
      <xdr:nvSpPr>
        <xdr:cNvPr id="2" name="Flowchart: Termina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761130" y="8077200"/>
          <a:ext cx="914400" cy="301752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5</xdr:col>
      <xdr:colOff>304800</xdr:colOff>
      <xdr:row>33</xdr:row>
      <xdr:rowOff>134471</xdr:rowOff>
    </xdr:from>
    <xdr:to>
      <xdr:col>5</xdr:col>
      <xdr:colOff>1219200</xdr:colOff>
      <xdr:row>35</xdr:row>
      <xdr:rowOff>59705</xdr:rowOff>
    </xdr:to>
    <xdr:sp macro="" textlink="">
      <xdr:nvSpPr>
        <xdr:cNvPr id="5" name="Flowchart: Terminator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3630706" y="8758518"/>
          <a:ext cx="914400" cy="301752"/>
        </a:xfrm>
        <a:prstGeom prst="flowChartTerminator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374482</xdr:colOff>
      <xdr:row>2</xdr:row>
      <xdr:rowOff>146890</xdr:rowOff>
    </xdr:from>
    <xdr:to>
      <xdr:col>3</xdr:col>
      <xdr:colOff>1924995</xdr:colOff>
      <xdr:row>8</xdr:row>
      <xdr:rowOff>195649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482" y="538187"/>
          <a:ext cx="2106567" cy="1129975"/>
        </a:xfrm>
        <a:prstGeom prst="rect">
          <a:avLst/>
        </a:prstGeom>
      </xdr:spPr>
    </xdr:pic>
    <xdr:clientData/>
  </xdr:twoCellAnchor>
  <xdr:twoCellAnchor>
    <xdr:from>
      <xdr:col>4</xdr:col>
      <xdr:colOff>1184189</xdr:colOff>
      <xdr:row>49</xdr:row>
      <xdr:rowOff>144162</xdr:rowOff>
    </xdr:from>
    <xdr:to>
      <xdr:col>5</xdr:col>
      <xdr:colOff>389238</xdr:colOff>
      <xdr:row>51</xdr:row>
      <xdr:rowOff>3131</xdr:rowOff>
    </xdr:to>
    <xdr:sp macro="" textlink="">
      <xdr:nvSpPr>
        <xdr:cNvPr id="3" name="Flowchart: Terminator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4788243" y="10626811"/>
          <a:ext cx="914400" cy="301752"/>
        </a:xfrm>
        <a:prstGeom prst="flowChartTerminator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751705</xdr:colOff>
      <xdr:row>49</xdr:row>
      <xdr:rowOff>144163</xdr:rowOff>
    </xdr:from>
    <xdr:to>
      <xdr:col>7</xdr:col>
      <xdr:colOff>1666105</xdr:colOff>
      <xdr:row>51</xdr:row>
      <xdr:rowOff>3132</xdr:rowOff>
    </xdr:to>
    <xdr:sp macro="" textlink="">
      <xdr:nvSpPr>
        <xdr:cNvPr id="4" name="Flowchart: Terminator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0431164" y="10626812"/>
          <a:ext cx="914400" cy="301752"/>
        </a:xfrm>
        <a:prstGeom prst="flowChartTermina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B2:Z17" totalsRowShown="0" headerRowDxfId="62" dataDxfId="60" headerRowBorderDxfId="61" tableBorderDxfId="59" totalsRowBorderDxfId="58">
  <autoFilter ref="B2:Z17" xr:uid="{00000000-0009-0000-0100-000004000000}"/>
  <tableColumns count="25">
    <tableColumn id="1" xr3:uid="{00000000-0010-0000-0000-000001000000}" name="Credit Card Number" dataDxfId="57"/>
    <tableColumn id="2" xr3:uid="{00000000-0010-0000-0000-000002000000}" name="Last Name" dataDxfId="56"/>
    <tableColumn id="3" xr3:uid="{00000000-0010-0000-0000-000003000000}" name="First Name" dataDxfId="55"/>
    <tableColumn id="4" xr3:uid="{00000000-0010-0000-0000-000004000000}" name="M.I" dataDxfId="54"/>
    <tableColumn id="5" xr3:uid="{00000000-0010-0000-0000-000005000000}" name="Sex" dataDxfId="53"/>
    <tableColumn id="6" xr3:uid="{00000000-0010-0000-0000-000006000000}" name="Home Address 1" dataDxfId="52"/>
    <tableColumn id="7" xr3:uid="{00000000-0010-0000-0000-000007000000}" name="Home Address 2" dataDxfId="51"/>
    <tableColumn id="8" xr3:uid="{00000000-0010-0000-0000-000008000000}" name="ZIP" dataDxfId="50"/>
    <tableColumn id="9" xr3:uid="{00000000-0010-0000-0000-000009000000}" name="E-mail Address" dataDxfId="49"/>
    <tableColumn id="10" xr3:uid="{00000000-0010-0000-0000-00000A000000}" name="Home Number" dataDxfId="48"/>
    <tableColumn id="11" xr3:uid="{00000000-0010-0000-0000-00000B000000}" name="Office Number" dataDxfId="47"/>
    <tableColumn id="12" xr3:uid="{00000000-0010-0000-0000-00000C000000}" name="Fax Number" dataDxfId="46"/>
    <tableColumn id="13" xr3:uid="{00000000-0010-0000-0000-00000D000000}" name="Mobile Number" dataDxfId="45"/>
    <tableColumn id="14" xr3:uid="{00000000-0010-0000-0000-00000E000000}" name="Credit Card Type or Network" dataDxfId="44"/>
    <tableColumn id="15" xr3:uid="{00000000-0010-0000-0000-00000F000000}" name="Credit Card Issue Date" dataDxfId="43"/>
    <tableColumn id="16" xr3:uid="{00000000-0010-0000-0000-000010000000}" name="Credit Card Expiration Date" dataDxfId="42"/>
    <tableColumn id="17" xr3:uid="{00000000-0010-0000-0000-000011000000}" name="Current Employer (Company)" dataDxfId="41"/>
    <tableColumn id="18" xr3:uid="{00000000-0010-0000-0000-000012000000}" name="Address of Current Employer (Company)" dataDxfId="40"/>
    <tableColumn id="19" xr3:uid="{00000000-0010-0000-0000-000013000000}" name="Contact Number of Current Employer (Company)" dataDxfId="39"/>
    <tableColumn id="20" xr3:uid="{00000000-0010-0000-0000-000014000000}" name="Current Profession / Position" dataDxfId="38"/>
    <tableColumn id="21" xr3:uid="{00000000-0010-0000-0000-000015000000}" name="Monthly Income" dataDxfId="37"/>
    <tableColumn id="22" xr3:uid="{00000000-0010-0000-0000-000016000000}" name="Previous Employer" dataDxfId="36"/>
    <tableColumn id="23" xr3:uid="{00000000-0010-0000-0000-000017000000}" name="Contact Number of Previous Employer (Company)" dataDxfId="35"/>
    <tableColumn id="24" xr3:uid="{00000000-0010-0000-0000-000018000000}" name="Customer Previous Profession / Position" dataDxfId="34"/>
    <tableColumn id="25" xr3:uid="{00000000-0010-0000-0000-000019000000}" name="Address of Previous Employer (Company)" dataDxfId="3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B3:C12" totalsRowShown="0" headerRowDxfId="32" dataDxfId="31" tableBorderDxfId="30">
  <autoFilter ref="B3:C12" xr:uid="{00000000-0009-0000-0100-000006000000}"/>
  <tableColumns count="2">
    <tableColumn id="1" xr3:uid="{00000000-0010-0000-0100-000001000000}" name="CARD TYPE" dataDxfId="29"/>
    <tableColumn id="2" xr3:uid="{00000000-0010-0000-0100-000002000000}" name="CREDIT CARD LIMIT" dataDxfId="2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7" displayName="Table7" ref="B3:F18" totalsRowShown="0" headerRowDxfId="27" dataDxfId="25" headerRowBorderDxfId="26" tableBorderDxfId="24" totalsRowBorderDxfId="23">
  <autoFilter ref="B3:F18" xr:uid="{00000000-0009-0000-0100-000001000000}"/>
  <tableColumns count="5">
    <tableColumn id="1" xr3:uid="{00000000-0010-0000-0200-000001000000}" name="Credit Card Number" dataDxfId="22"/>
    <tableColumn id="2" xr3:uid="{00000000-0010-0000-0200-000002000000}" name="Transaction Date" dataDxfId="21"/>
    <tableColumn id="3" xr3:uid="{00000000-0010-0000-0200-000003000000}" name="Post Date" dataDxfId="20">
      <calculatedColumnFormula>C4+1</calculatedColumnFormula>
    </tableColumn>
    <tableColumn id="4" xr3:uid="{00000000-0010-0000-0200-000004000000}" name="Description" dataDxfId="19"/>
    <tableColumn id="5" xr3:uid="{00000000-0010-0000-0200-000005000000}" name="Amount Purchase" dataDxfId="1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8" displayName="Table8" ref="B3:E18" totalsRowShown="0" headerRowDxfId="17" dataDxfId="15" headerRowBorderDxfId="16" tableBorderDxfId="14" totalsRowBorderDxfId="13">
  <autoFilter ref="B3:E18" xr:uid="{00000000-0009-0000-0100-000002000000}"/>
  <tableColumns count="4">
    <tableColumn id="1" xr3:uid="{00000000-0010-0000-0300-000001000000}" name="Credit Card Number" dataDxfId="12"/>
    <tableColumn id="2" xr3:uid="{00000000-0010-0000-0300-000002000000}" name="Cash Advance" dataDxfId="11"/>
    <tableColumn id="3" xr3:uid="{00000000-0010-0000-0300-000003000000}" name="Transaction Date" dataDxfId="10"/>
    <tableColumn id="4" xr3:uid="{00000000-0010-0000-0300-000004000000}" name="Post Date" dataDxfId="9">
      <calculatedColumnFormula>D4+1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C3:F18" totalsRowShown="0" headerRowDxfId="8" dataDxfId="6" headerRowBorderDxfId="7" tableBorderDxfId="5" totalsRowBorderDxfId="4">
  <autoFilter ref="C3:F18" xr:uid="{00000000-0009-0000-0100-000003000000}"/>
  <tableColumns count="4">
    <tableColumn id="1" xr3:uid="{00000000-0010-0000-0400-000001000000}" name="Credit Card Number" dataDxfId="3"/>
    <tableColumn id="2" xr3:uid="{00000000-0010-0000-0400-000002000000}" name="Payments" dataDxfId="2"/>
    <tableColumn id="3" xr3:uid="{00000000-0010-0000-0400-000003000000}" name="Post Date" dataDxfId="1">
      <calculatedColumnFormula>VLOOKUP(Table3[[#This Row],[Credit Card Number]],'Cash Advance Transactions'!B:E,4,FALSE)</calculatedColumnFormula>
    </tableColumn>
    <tableColumn id="4" xr3:uid="{00000000-0010-0000-0400-000004000000}" name="Transaction Date" dataDxfId="0">
      <calculatedColumnFormula>E4-1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lisonerjim@gmail.com" TargetMode="External"/><Relationship Id="rId13" Type="http://schemas.openxmlformats.org/officeDocument/2006/relationships/hyperlink" Target="mailto:blair.villanueva@gmail.com" TargetMode="External"/><Relationship Id="rId3" Type="http://schemas.openxmlformats.org/officeDocument/2006/relationships/hyperlink" Target="mailto:dianecruz@gmail.com" TargetMode="External"/><Relationship Id="rId7" Type="http://schemas.openxmlformats.org/officeDocument/2006/relationships/hyperlink" Target="mailto:julia.mendoza@gmail.com" TargetMode="External"/><Relationship Id="rId12" Type="http://schemas.openxmlformats.org/officeDocument/2006/relationships/hyperlink" Target="mailto:marcoreyes@gmail.com" TargetMode="External"/><Relationship Id="rId17" Type="http://schemas.openxmlformats.org/officeDocument/2006/relationships/table" Target="../tables/table1.xml"/><Relationship Id="rId2" Type="http://schemas.openxmlformats.org/officeDocument/2006/relationships/hyperlink" Target="mailto:argarin.andrea@gmail.com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mailto:amorc.stan@gmail.com" TargetMode="External"/><Relationship Id="rId6" Type="http://schemas.openxmlformats.org/officeDocument/2006/relationships/hyperlink" Target="mailto:kathwestwood@gmail.com" TargetMode="External"/><Relationship Id="rId11" Type="http://schemas.openxmlformats.org/officeDocument/2006/relationships/hyperlink" Target="mailto:jadenrocke@gmail.com" TargetMode="External"/><Relationship Id="rId5" Type="http://schemas.openxmlformats.org/officeDocument/2006/relationships/hyperlink" Target="mailto:nikos.ashford@gmail.com" TargetMode="External"/><Relationship Id="rId15" Type="http://schemas.openxmlformats.org/officeDocument/2006/relationships/hyperlink" Target="mailto:fleclerc@gmail.com" TargetMode="External"/><Relationship Id="rId10" Type="http://schemas.openxmlformats.org/officeDocument/2006/relationships/hyperlink" Target="mailto:diegomercado@gmail.com" TargetMode="External"/><Relationship Id="rId4" Type="http://schemas.openxmlformats.org/officeDocument/2006/relationships/hyperlink" Target="mailto:rafael.castel@gmail.com" TargetMode="External"/><Relationship Id="rId9" Type="http://schemas.openxmlformats.org/officeDocument/2006/relationships/hyperlink" Target="mailto:thedreammontgomery@gmail.com" TargetMode="External"/><Relationship Id="rId14" Type="http://schemas.openxmlformats.org/officeDocument/2006/relationships/hyperlink" Target="mailto:sofiaalonz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AA31"/>
  <sheetViews>
    <sheetView tabSelected="1" zoomScale="86" zoomScaleNormal="72" workbookViewId="0">
      <selection activeCell="AA9" sqref="AA9"/>
    </sheetView>
  </sheetViews>
  <sheetFormatPr defaultColWidth="8.88671875" defaultRowHeight="13.8" x14ac:dyDescent="0.25"/>
  <cols>
    <col min="1" max="1" width="2.33203125" style="4" customWidth="1"/>
    <col min="2" max="2" width="8.88671875" style="4" customWidth="1"/>
    <col min="3" max="9" width="8.88671875" style="4"/>
    <col min="10" max="11" width="8.88671875" style="4" customWidth="1"/>
    <col min="12" max="15" width="8.88671875" style="4"/>
    <col min="16" max="16" width="7" style="4" customWidth="1"/>
    <col min="17" max="17" width="3.5546875" style="4" customWidth="1"/>
    <col min="18" max="18" width="3.6640625" style="4" customWidth="1"/>
    <col min="19" max="19" width="55" style="4" bestFit="1" customWidth="1"/>
    <col min="20" max="23" width="8.88671875" style="4"/>
    <col min="24" max="24" width="2.109375" style="4" customWidth="1"/>
    <col min="25" max="25" width="2.44140625" style="4" customWidth="1"/>
    <col min="26" max="26" width="2.109375" style="4" customWidth="1"/>
    <col min="27" max="27" width="4" style="4" customWidth="1"/>
    <col min="28" max="29" width="3.5546875" style="4" customWidth="1"/>
    <col min="30" max="16384" width="8.88671875" style="4"/>
  </cols>
  <sheetData>
    <row r="1" spans="1:27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5"/>
      <c r="R2" s="5"/>
      <c r="S2" s="6"/>
      <c r="T2" s="6"/>
      <c r="U2" s="6"/>
      <c r="V2" s="6"/>
      <c r="W2" s="6"/>
      <c r="X2" s="6"/>
      <c r="Y2" s="6"/>
      <c r="Z2" s="6"/>
      <c r="AA2" s="9"/>
    </row>
    <row r="3" spans="1:27" ht="30" x14ac:dyDescent="0.5">
      <c r="A3" s="5"/>
      <c r="R3" s="5"/>
      <c r="S3" s="22" t="s">
        <v>413</v>
      </c>
      <c r="T3" s="6"/>
      <c r="U3" s="6"/>
      <c r="V3" s="6"/>
      <c r="W3" s="6"/>
      <c r="X3" s="6"/>
      <c r="Y3" s="6"/>
      <c r="Z3" s="6"/>
      <c r="AA3" s="9"/>
    </row>
    <row r="4" spans="1:27" x14ac:dyDescent="0.25">
      <c r="A4" s="5"/>
      <c r="R4" s="5"/>
      <c r="S4" s="6"/>
      <c r="T4" s="6"/>
      <c r="U4" s="6"/>
      <c r="V4" s="6"/>
      <c r="W4" s="6"/>
      <c r="X4" s="6"/>
      <c r="Y4" s="6"/>
      <c r="Z4" s="6"/>
      <c r="AA4" s="9"/>
    </row>
    <row r="5" spans="1:27" ht="6" customHeight="1" x14ac:dyDescent="0.25">
      <c r="A5" s="5"/>
      <c r="R5" s="5"/>
      <c r="S5" s="6"/>
      <c r="T5" s="6"/>
      <c r="U5" s="6"/>
      <c r="V5" s="6"/>
      <c r="W5" s="6"/>
      <c r="X5" s="6"/>
      <c r="Y5" s="6"/>
      <c r="Z5" s="6"/>
      <c r="AA5" s="9"/>
    </row>
    <row r="6" spans="1:27" ht="17.399999999999999" x14ac:dyDescent="0.3">
      <c r="A6" s="5"/>
      <c r="R6" s="5"/>
      <c r="S6" s="3" t="s">
        <v>404</v>
      </c>
      <c r="T6" s="6"/>
      <c r="U6" s="6"/>
      <c r="V6" s="6"/>
      <c r="W6" s="6"/>
      <c r="X6" s="6"/>
      <c r="Y6" s="6"/>
      <c r="Z6" s="6"/>
      <c r="AA6" s="9"/>
    </row>
    <row r="7" spans="1:27" x14ac:dyDescent="0.25">
      <c r="A7" s="5"/>
      <c r="R7" s="5"/>
      <c r="S7" s="6"/>
      <c r="T7" s="6"/>
      <c r="U7" s="6"/>
      <c r="V7" s="6"/>
      <c r="W7" s="6"/>
      <c r="X7" s="6"/>
      <c r="Y7" s="6"/>
      <c r="Z7" s="6"/>
      <c r="AA7" s="9"/>
    </row>
    <row r="8" spans="1:27" ht="21" x14ac:dyDescent="0.4">
      <c r="A8" s="5"/>
      <c r="R8" s="5"/>
      <c r="S8" s="12" t="s">
        <v>405</v>
      </c>
      <c r="T8" s="6"/>
      <c r="U8" s="6"/>
      <c r="V8" s="6"/>
      <c r="W8" s="6"/>
      <c r="X8" s="6"/>
      <c r="Y8" s="6"/>
      <c r="Z8" s="6"/>
      <c r="AA8" s="9"/>
    </row>
    <row r="9" spans="1:27" x14ac:dyDescent="0.25">
      <c r="A9" s="5"/>
      <c r="R9" s="5"/>
      <c r="S9" s="6"/>
      <c r="T9" s="6"/>
      <c r="U9" s="6"/>
      <c r="V9" s="6"/>
      <c r="W9" s="6"/>
      <c r="X9" s="6"/>
      <c r="Y9" s="6"/>
      <c r="Z9" s="6"/>
      <c r="AA9" s="9"/>
    </row>
    <row r="10" spans="1:27" ht="21" x14ac:dyDescent="0.4">
      <c r="A10" s="5"/>
      <c r="R10" s="5"/>
      <c r="S10" s="13" t="s">
        <v>406</v>
      </c>
      <c r="T10" s="6"/>
      <c r="U10" s="6"/>
      <c r="V10" s="6"/>
      <c r="W10" s="6"/>
      <c r="X10" s="6"/>
      <c r="Y10" s="6"/>
      <c r="Z10" s="6"/>
      <c r="AA10" s="9"/>
    </row>
    <row r="11" spans="1:27" x14ac:dyDescent="0.25">
      <c r="A11" s="5"/>
      <c r="R11" s="5"/>
      <c r="S11" s="6"/>
      <c r="T11" s="6"/>
      <c r="U11" s="6"/>
      <c r="V11" s="6"/>
      <c r="W11" s="6"/>
      <c r="X11" s="6"/>
      <c r="Y11" s="6"/>
      <c r="Z11" s="6"/>
      <c r="AA11" s="9"/>
    </row>
    <row r="12" spans="1:27" ht="21" x14ac:dyDescent="0.4">
      <c r="A12" s="5"/>
      <c r="R12" s="5"/>
      <c r="S12" s="14" t="s">
        <v>407</v>
      </c>
      <c r="T12" s="6"/>
      <c r="U12" s="6"/>
      <c r="V12" s="6"/>
      <c r="W12" s="6"/>
      <c r="X12" s="6"/>
      <c r="Y12" s="6"/>
      <c r="Z12" s="6"/>
      <c r="AA12" s="9"/>
    </row>
    <row r="13" spans="1:27" x14ac:dyDescent="0.25">
      <c r="A13" s="5"/>
      <c r="R13" s="5"/>
      <c r="S13" s="6"/>
      <c r="T13" s="6"/>
      <c r="U13" s="6"/>
      <c r="V13" s="6"/>
      <c r="W13" s="6"/>
      <c r="X13" s="6"/>
      <c r="Y13" s="6"/>
      <c r="Z13" s="6"/>
      <c r="AA13" s="9"/>
    </row>
    <row r="14" spans="1:27" ht="21" x14ac:dyDescent="0.4">
      <c r="A14" s="5"/>
      <c r="R14" s="5"/>
      <c r="S14" s="15" t="s">
        <v>408</v>
      </c>
      <c r="T14" s="6"/>
      <c r="U14" s="6"/>
      <c r="V14" s="6"/>
      <c r="W14" s="6"/>
      <c r="X14" s="6"/>
      <c r="Y14" s="6"/>
      <c r="Z14" s="6"/>
      <c r="AA14" s="9"/>
    </row>
    <row r="15" spans="1:27" x14ac:dyDescent="0.25">
      <c r="A15" s="5"/>
      <c r="R15" s="5"/>
      <c r="S15" s="6"/>
      <c r="T15" s="6"/>
      <c r="U15" s="6"/>
      <c r="V15" s="6"/>
      <c r="W15" s="6"/>
      <c r="X15" s="6"/>
      <c r="Y15" s="6"/>
      <c r="Z15" s="6"/>
      <c r="AA15" s="9"/>
    </row>
    <row r="16" spans="1:27" ht="21" x14ac:dyDescent="0.4">
      <c r="A16" s="5"/>
      <c r="R16" s="5"/>
      <c r="S16" s="11" t="s">
        <v>409</v>
      </c>
      <c r="T16" s="6"/>
      <c r="U16" s="6"/>
      <c r="V16" s="6"/>
      <c r="W16" s="6"/>
      <c r="X16" s="6"/>
      <c r="Y16" s="6"/>
      <c r="Z16" s="6"/>
      <c r="AA16" s="9"/>
    </row>
    <row r="17" spans="1:27" x14ac:dyDescent="0.25">
      <c r="A17" s="5"/>
      <c r="R17" s="5"/>
      <c r="S17" s="6"/>
      <c r="T17" s="6"/>
      <c r="U17" s="6"/>
      <c r="V17" s="6"/>
      <c r="W17" s="6"/>
      <c r="X17" s="6"/>
      <c r="Y17" s="6"/>
      <c r="Z17" s="6"/>
      <c r="AA17" s="9"/>
    </row>
    <row r="18" spans="1:27" ht="21" x14ac:dyDescent="0.4">
      <c r="A18" s="5"/>
      <c r="R18" s="5"/>
      <c r="S18" s="16" t="s">
        <v>410</v>
      </c>
      <c r="T18" s="6"/>
      <c r="U18" s="6"/>
      <c r="V18" s="6"/>
      <c r="W18" s="6"/>
      <c r="X18" s="6"/>
      <c r="Y18" s="6"/>
      <c r="Z18" s="6"/>
      <c r="AA18" s="9"/>
    </row>
    <row r="19" spans="1:27" x14ac:dyDescent="0.25">
      <c r="A19" s="5"/>
      <c r="R19" s="5"/>
      <c r="S19" s="6"/>
      <c r="T19" s="6"/>
      <c r="U19" s="6"/>
      <c r="V19" s="6"/>
      <c r="W19" s="6"/>
      <c r="X19" s="6"/>
      <c r="Y19" s="6"/>
      <c r="Z19" s="6"/>
      <c r="AA19" s="9"/>
    </row>
    <row r="20" spans="1:27" ht="21" x14ac:dyDescent="0.4">
      <c r="A20" s="5"/>
      <c r="R20" s="5"/>
      <c r="S20" s="17" t="s">
        <v>411</v>
      </c>
      <c r="T20" s="6"/>
      <c r="U20" s="6"/>
      <c r="V20" s="6"/>
      <c r="W20" s="6"/>
      <c r="X20" s="6"/>
      <c r="Y20" s="6"/>
      <c r="Z20" s="6"/>
      <c r="AA20" s="9"/>
    </row>
    <row r="21" spans="1:27" x14ac:dyDescent="0.25">
      <c r="A21" s="5"/>
      <c r="R21" s="5"/>
      <c r="S21" s="6"/>
      <c r="T21" s="6"/>
      <c r="U21" s="6"/>
      <c r="V21" s="6"/>
      <c r="W21" s="6"/>
      <c r="X21" s="6"/>
      <c r="Y21" s="6"/>
      <c r="Z21" s="6"/>
      <c r="AA21" s="9"/>
    </row>
    <row r="22" spans="1:27" ht="21" x14ac:dyDescent="0.4">
      <c r="A22" s="5"/>
      <c r="R22" s="5"/>
      <c r="S22" s="18" t="s">
        <v>412</v>
      </c>
      <c r="T22" s="6"/>
      <c r="U22" s="6"/>
      <c r="V22" s="6"/>
      <c r="W22" s="6"/>
      <c r="X22" s="6"/>
      <c r="Y22" s="6"/>
      <c r="Z22" s="6"/>
      <c r="AA22" s="9"/>
    </row>
    <row r="23" spans="1:27" ht="18" customHeight="1" x14ac:dyDescent="0.25">
      <c r="A23" s="5"/>
      <c r="R23" s="5"/>
      <c r="S23" s="6"/>
      <c r="T23" s="6"/>
      <c r="U23" s="6"/>
      <c r="V23" s="6"/>
      <c r="W23" s="6"/>
      <c r="X23" s="6"/>
      <c r="Y23" s="6"/>
      <c r="Z23" s="6"/>
      <c r="AA23" s="9"/>
    </row>
    <row r="24" spans="1:27" x14ac:dyDescent="0.25">
      <c r="A24" s="5"/>
      <c r="R24" s="5"/>
      <c r="S24" s="5"/>
      <c r="T24" s="5"/>
      <c r="U24" s="5"/>
      <c r="V24" s="5"/>
      <c r="W24" s="5"/>
      <c r="X24" s="5"/>
      <c r="Y24" s="5"/>
      <c r="Z24" s="5"/>
      <c r="AA24" s="9"/>
    </row>
    <row r="25" spans="1:27" x14ac:dyDescent="0.25">
      <c r="A25" s="5"/>
      <c r="R25" s="5"/>
      <c r="S25" s="7"/>
      <c r="T25" s="6"/>
      <c r="U25" s="6"/>
      <c r="V25" s="6"/>
      <c r="W25" s="6"/>
      <c r="X25" s="6"/>
      <c r="Y25" s="6"/>
      <c r="Z25" s="6"/>
      <c r="AA25" s="9"/>
    </row>
    <row r="26" spans="1:27" x14ac:dyDescent="0.25">
      <c r="A26" s="5"/>
      <c r="R26" s="5"/>
      <c r="S26" s="6"/>
      <c r="T26" s="6"/>
      <c r="U26" s="6"/>
      <c r="V26" s="6"/>
      <c r="W26" s="6"/>
      <c r="X26" s="6"/>
      <c r="Y26" s="6"/>
      <c r="Z26" s="6"/>
      <c r="AA26" s="9"/>
    </row>
    <row r="27" spans="1:27" x14ac:dyDescent="0.25">
      <c r="A27" s="5"/>
      <c r="R27" s="5"/>
      <c r="S27" s="6"/>
      <c r="T27" s="6"/>
      <c r="U27" s="6"/>
      <c r="V27" s="6"/>
      <c r="W27" s="6"/>
      <c r="X27" s="6"/>
      <c r="Y27" s="6"/>
      <c r="Z27" s="6"/>
      <c r="AA27" s="9"/>
    </row>
    <row r="28" spans="1:27" x14ac:dyDescent="0.25">
      <c r="A28" s="5"/>
      <c r="R28" s="5"/>
      <c r="S28" s="6"/>
      <c r="T28" s="6"/>
      <c r="U28" s="6"/>
      <c r="V28" s="6"/>
      <c r="W28" s="6"/>
      <c r="X28" s="6"/>
      <c r="Y28" s="6"/>
      <c r="Z28" s="6"/>
      <c r="AA28" s="9"/>
    </row>
    <row r="29" spans="1:27" x14ac:dyDescent="0.25">
      <c r="A29" s="5"/>
      <c r="R29" s="5"/>
      <c r="S29" s="6"/>
      <c r="T29" s="6"/>
      <c r="U29" s="6"/>
      <c r="V29" s="6"/>
      <c r="W29" s="6"/>
      <c r="X29" s="6"/>
      <c r="Y29" s="6"/>
      <c r="Z29" s="6"/>
      <c r="AA29" s="9"/>
    </row>
    <row r="30" spans="1:27" ht="12" customHeight="1" x14ac:dyDescent="0.25">
      <c r="A30" s="5"/>
      <c r="R30" s="5"/>
      <c r="S30" s="6"/>
      <c r="T30" s="6"/>
      <c r="U30" s="6"/>
      <c r="V30" s="6"/>
      <c r="W30" s="6"/>
      <c r="X30" s="6"/>
      <c r="Y30" s="6"/>
      <c r="Z30" s="6"/>
      <c r="AA30" s="9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0"/>
      <c r="S31" s="10"/>
      <c r="T31" s="10"/>
      <c r="U31" s="10"/>
      <c r="V31" s="10"/>
      <c r="W31" s="10"/>
      <c r="X31" s="10"/>
      <c r="Y31" s="10"/>
      <c r="Z31" s="10"/>
      <c r="AA31" s="9"/>
    </row>
  </sheetData>
  <hyperlinks>
    <hyperlink ref="S8" location="'Account Information'!A1" display="ACCOUNT INFORMATION" xr:uid="{00000000-0004-0000-0000-000000000000}"/>
    <hyperlink ref="S10" location="'Individual Profile Report'!A1" display="INDIVIDUAL PROFILE REPORT" xr:uid="{00000000-0004-0000-0000-000001000000}"/>
    <hyperlink ref="S12" location="'Amount Purchased'!A1" display="TRANSACTIONS" xr:uid="{00000000-0004-0000-0000-000002000000}"/>
    <hyperlink ref="S14" location="'Cash Advance Transactions'!A1" display="CASH ADVANCE TRANSACTIONS" xr:uid="{00000000-0004-0000-0000-000003000000}"/>
    <hyperlink ref="S16" location="Payments!A1" display="PAYMENTS" xr:uid="{00000000-0004-0000-0000-000004000000}"/>
    <hyperlink ref="S18" location="'Confirmation Letter'!A1" display="CONFIRMATION LETTER" xr:uid="{00000000-0004-0000-0000-000005000000}"/>
    <hyperlink ref="S20" location="'Statement of Account'!A1" display="STATEMENT OF ACCOUNT" xr:uid="{00000000-0004-0000-0000-000006000000}"/>
    <hyperlink ref="S22" location="'Payment System'!A1" display="PAYMENT SYSTEM" xr:uid="{00000000-0004-0000-0000-000007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499984740745262"/>
  </sheetPr>
  <dimension ref="B2:L23"/>
  <sheetViews>
    <sheetView workbookViewId="0">
      <selection activeCell="E12" sqref="E12"/>
    </sheetView>
  </sheetViews>
  <sheetFormatPr defaultColWidth="8.88671875" defaultRowHeight="13.8" x14ac:dyDescent="0.25"/>
  <cols>
    <col min="1" max="1" width="4.5546875" style="4" customWidth="1"/>
    <col min="2" max="2" width="2.88671875" style="4" customWidth="1"/>
    <col min="3" max="3" width="5.109375" style="4" customWidth="1"/>
    <col min="4" max="4" width="17.5546875" style="4" bestFit="1" customWidth="1"/>
    <col min="5" max="5" width="21.109375" style="4" customWidth="1"/>
    <col min="6" max="7" width="8.88671875" style="4"/>
    <col min="8" max="8" width="8.44140625" style="4" bestFit="1" customWidth="1"/>
    <col min="9" max="9" width="13.88671875" style="4" bestFit="1" customWidth="1"/>
    <col min="10" max="10" width="16" style="4" customWidth="1"/>
    <col min="11" max="11" width="5.88671875" style="4" customWidth="1"/>
    <col min="12" max="12" width="2.44140625" style="4" customWidth="1"/>
    <col min="13" max="16384" width="8.88671875" style="4"/>
  </cols>
  <sheetData>
    <row r="2" spans="2:12" ht="14.4" thickBot="1" x14ac:dyDescent="0.3">
      <c r="B2" s="5"/>
      <c r="C2" s="199"/>
      <c r="D2" s="199"/>
      <c r="E2" s="199"/>
      <c r="F2" s="199"/>
      <c r="G2" s="199"/>
      <c r="H2" s="199"/>
      <c r="I2" s="199"/>
      <c r="J2" s="199"/>
      <c r="K2" s="199"/>
      <c r="L2" s="5"/>
    </row>
    <row r="3" spans="2:12" ht="14.4" thickTop="1" x14ac:dyDescent="0.25">
      <c r="B3" s="200"/>
      <c r="C3" s="190"/>
      <c r="D3" s="6"/>
      <c r="E3" s="6"/>
      <c r="F3" s="6"/>
      <c r="G3" s="6"/>
      <c r="H3" s="6"/>
      <c r="I3" s="6"/>
      <c r="J3" s="6"/>
      <c r="K3" s="191"/>
      <c r="L3" s="5"/>
    </row>
    <row r="4" spans="2:12" x14ac:dyDescent="0.25">
      <c r="B4" s="200"/>
      <c r="C4" s="192"/>
      <c r="D4" s="6"/>
      <c r="E4" s="6"/>
      <c r="F4" s="6"/>
      <c r="G4" s="6"/>
      <c r="H4" s="6"/>
      <c r="I4" s="6"/>
      <c r="J4" s="6"/>
      <c r="K4" s="193"/>
      <c r="L4" s="5"/>
    </row>
    <row r="5" spans="2:12" x14ac:dyDescent="0.25">
      <c r="B5" s="200"/>
      <c r="C5" s="192"/>
      <c r="D5" s="6"/>
      <c r="E5" s="6"/>
      <c r="F5" s="6"/>
      <c r="G5" s="6"/>
      <c r="H5" s="6"/>
      <c r="I5" s="6"/>
      <c r="J5" s="6"/>
      <c r="K5" s="193"/>
      <c r="L5" s="5"/>
    </row>
    <row r="6" spans="2:12" ht="28.8" thickBot="1" x14ac:dyDescent="0.55000000000000004">
      <c r="B6" s="200"/>
      <c r="C6" s="192"/>
      <c r="D6" s="6"/>
      <c r="E6" s="6"/>
      <c r="F6" s="6"/>
      <c r="G6" s="6"/>
      <c r="H6" s="273" t="s">
        <v>4</v>
      </c>
      <c r="I6" s="273"/>
      <c r="J6" s="273"/>
      <c r="K6" s="193"/>
      <c r="L6" s="5"/>
    </row>
    <row r="7" spans="2:12" ht="14.4" thickTop="1" x14ac:dyDescent="0.25">
      <c r="B7" s="200"/>
      <c r="C7" s="192"/>
      <c r="D7" s="6"/>
      <c r="E7" s="6"/>
      <c r="F7" s="6"/>
      <c r="G7" s="6"/>
      <c r="H7" s="6"/>
      <c r="I7" s="6"/>
      <c r="J7" s="6"/>
      <c r="K7" s="193"/>
      <c r="L7" s="5"/>
    </row>
    <row r="8" spans="2:12" x14ac:dyDescent="0.25">
      <c r="B8" s="200"/>
      <c r="C8" s="192"/>
      <c r="D8" s="6"/>
      <c r="E8" s="6"/>
      <c r="F8" s="6"/>
      <c r="G8" s="6"/>
      <c r="H8" s="6"/>
      <c r="I8" s="6"/>
      <c r="J8" s="6"/>
      <c r="K8" s="193"/>
      <c r="L8" s="5"/>
    </row>
    <row r="9" spans="2:12" x14ac:dyDescent="0.25">
      <c r="B9" s="200"/>
      <c r="C9" s="271" t="s">
        <v>5</v>
      </c>
      <c r="D9" s="272"/>
      <c r="E9" s="272" t="str">
        <f>'Statement of Account'!H16</f>
        <v>5165-8989-1015-1702</v>
      </c>
      <c r="F9" s="272"/>
      <c r="G9" s="6"/>
      <c r="H9" s="272" t="s">
        <v>398</v>
      </c>
      <c r="I9" s="272"/>
      <c r="J9" s="194">
        <f ca="1">'Statement of Account'!H10</f>
        <v>45866</v>
      </c>
      <c r="K9" s="193"/>
      <c r="L9" s="5"/>
    </row>
    <row r="10" spans="2:12" x14ac:dyDescent="0.25">
      <c r="B10" s="200"/>
      <c r="C10" s="192"/>
      <c r="D10" s="6"/>
      <c r="E10" s="6"/>
      <c r="F10" s="6"/>
      <c r="G10" s="6"/>
      <c r="H10" s="272" t="s">
        <v>399</v>
      </c>
      <c r="I10" s="272"/>
      <c r="J10" s="194">
        <f ca="1">TODAY()</f>
        <v>45836</v>
      </c>
      <c r="K10" s="193"/>
      <c r="L10" s="5"/>
    </row>
    <row r="11" spans="2:12" x14ac:dyDescent="0.25">
      <c r="B11" s="200"/>
      <c r="C11" s="271" t="s">
        <v>400</v>
      </c>
      <c r="D11" s="272"/>
      <c r="E11" s="272" t="str">
        <f>'Statement of Account'!D10</f>
        <v>Diego M. Mercado</v>
      </c>
      <c r="F11" s="272"/>
      <c r="G11" s="6"/>
      <c r="H11" s="6"/>
      <c r="I11" s="6"/>
      <c r="J11" s="6"/>
      <c r="K11" s="193"/>
      <c r="L11" s="5"/>
    </row>
    <row r="12" spans="2:12" x14ac:dyDescent="0.25">
      <c r="B12" s="200"/>
      <c r="C12" s="192"/>
      <c r="D12" s="6"/>
      <c r="E12" s="6"/>
      <c r="F12" s="6"/>
      <c r="G12" s="6"/>
      <c r="H12" s="6"/>
      <c r="I12" s="6"/>
      <c r="J12" s="6"/>
      <c r="K12" s="193"/>
      <c r="L12" s="5"/>
    </row>
    <row r="13" spans="2:12" x14ac:dyDescent="0.25">
      <c r="B13" s="200"/>
      <c r="C13" s="192"/>
      <c r="D13" s="6"/>
      <c r="E13" s="6" t="s">
        <v>373</v>
      </c>
      <c r="F13" s="6"/>
      <c r="G13" s="277">
        <f>'Statement of Account'!H11</f>
        <v>85</v>
      </c>
      <c r="H13" s="277"/>
      <c r="I13" s="6"/>
      <c r="J13" s="6"/>
      <c r="K13" s="193"/>
      <c r="L13" s="5"/>
    </row>
    <row r="14" spans="2:12" x14ac:dyDescent="0.25">
      <c r="B14" s="200"/>
      <c r="C14" s="192"/>
      <c r="D14" s="6"/>
      <c r="E14" s="6" t="s">
        <v>401</v>
      </c>
      <c r="F14" s="6"/>
      <c r="G14" s="277">
        <v>100</v>
      </c>
      <c r="H14" s="277"/>
      <c r="I14" s="6"/>
      <c r="J14" s="6"/>
      <c r="K14" s="193"/>
      <c r="L14" s="5"/>
    </row>
    <row r="15" spans="2:12" x14ac:dyDescent="0.25">
      <c r="B15" s="200"/>
      <c r="C15" s="192"/>
      <c r="D15" s="6"/>
      <c r="E15" s="6" t="s">
        <v>402</v>
      </c>
      <c r="F15" s="6"/>
      <c r="G15" s="278">
        <f>'Statement of Account'!E24</f>
        <v>45496</v>
      </c>
      <c r="H15" s="278"/>
      <c r="I15" s="6"/>
      <c r="J15" s="6"/>
      <c r="K15" s="193"/>
      <c r="L15" s="5"/>
    </row>
    <row r="16" spans="2:12" x14ac:dyDescent="0.25">
      <c r="B16" s="200"/>
      <c r="C16" s="192"/>
      <c r="D16" s="6"/>
      <c r="E16" s="6"/>
      <c r="F16" s="6"/>
      <c r="G16" s="6"/>
      <c r="H16" s="6"/>
      <c r="I16" s="6"/>
      <c r="J16" s="6"/>
      <c r="K16" s="193"/>
      <c r="L16" s="5"/>
    </row>
    <row r="17" spans="2:12" x14ac:dyDescent="0.25">
      <c r="B17" s="200"/>
      <c r="C17" s="192"/>
      <c r="D17" s="6"/>
      <c r="E17" s="6" t="s">
        <v>403</v>
      </c>
      <c r="F17" s="6"/>
      <c r="G17" s="277">
        <f>G13-G14</f>
        <v>-15</v>
      </c>
      <c r="H17" s="277"/>
      <c r="I17" s="6"/>
      <c r="J17" s="6"/>
      <c r="K17" s="193"/>
      <c r="L17" s="5"/>
    </row>
    <row r="18" spans="2:12" ht="14.4" thickBot="1" x14ac:dyDescent="0.3">
      <c r="B18" s="200"/>
      <c r="C18" s="192"/>
      <c r="D18" s="6"/>
      <c r="E18" s="195"/>
      <c r="F18" s="195"/>
      <c r="G18" s="195"/>
      <c r="H18" s="195"/>
      <c r="I18" s="6"/>
      <c r="J18" s="6"/>
      <c r="K18" s="193"/>
      <c r="L18" s="5"/>
    </row>
    <row r="19" spans="2:12" ht="19.5" customHeight="1" thickBot="1" x14ac:dyDescent="0.3">
      <c r="B19" s="200"/>
      <c r="C19" s="196"/>
      <c r="D19" s="197"/>
      <c r="E19" s="197"/>
      <c r="F19" s="197"/>
      <c r="G19" s="197"/>
      <c r="H19" s="197"/>
      <c r="I19" s="197"/>
      <c r="J19" s="197"/>
      <c r="K19" s="198"/>
      <c r="L19" s="5"/>
    </row>
    <row r="20" spans="2:12" ht="14.4" thickTop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 ht="38.4" customHeight="1" x14ac:dyDescent="0.3">
      <c r="E21" s="274" t="s">
        <v>427</v>
      </c>
      <c r="F21" s="275"/>
      <c r="G21" s="275"/>
      <c r="H21" s="275"/>
    </row>
    <row r="23" spans="2:12" ht="25.5" customHeight="1" x14ac:dyDescent="0.4">
      <c r="E23" s="274" t="s">
        <v>432</v>
      </c>
      <c r="F23" s="276"/>
      <c r="G23" s="276"/>
      <c r="H23" s="276"/>
    </row>
  </sheetData>
  <mergeCells count="13">
    <mergeCell ref="C11:D11"/>
    <mergeCell ref="C9:D9"/>
    <mergeCell ref="H6:J6"/>
    <mergeCell ref="E21:H21"/>
    <mergeCell ref="E23:H23"/>
    <mergeCell ref="G13:H13"/>
    <mergeCell ref="G14:H14"/>
    <mergeCell ref="G15:H15"/>
    <mergeCell ref="G17:H17"/>
    <mergeCell ref="H9:I9"/>
    <mergeCell ref="H10:I10"/>
    <mergeCell ref="E9:F9"/>
    <mergeCell ref="E11:F11"/>
  </mergeCells>
  <hyperlinks>
    <hyperlink ref="E21:H21" location="Dashboard!A1" display="[Go Back to Dashboard]" xr:uid="{00000000-0004-0000-0900-000000000000}"/>
    <hyperlink ref="E23:H23" location="'Individual Profile Report'!A1" display="Go to Profile Report" xr:uid="{00000000-0004-0000-0900-000001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CL196"/>
  <sheetViews>
    <sheetView showGridLines="0" topLeftCell="A8" zoomScale="70" zoomScaleNormal="70" workbookViewId="0"/>
  </sheetViews>
  <sheetFormatPr defaultColWidth="8.88671875" defaultRowHeight="13.8" x14ac:dyDescent="0.25"/>
  <cols>
    <col min="1" max="1" width="2.88671875" style="19" customWidth="1"/>
    <col min="2" max="2" width="30.44140625" style="19" customWidth="1"/>
    <col min="3" max="3" width="25.88671875" style="19" customWidth="1"/>
    <col min="4" max="4" width="18.44140625" style="19" customWidth="1"/>
    <col min="5" max="5" width="10.21875" style="19" customWidth="1"/>
    <col min="6" max="6" width="11.88671875" style="19" customWidth="1"/>
    <col min="7" max="7" width="102.77734375" style="19" bestFit="1" customWidth="1"/>
    <col min="8" max="8" width="91.33203125" style="19" bestFit="1" customWidth="1"/>
    <col min="9" max="9" width="11.21875" style="19" customWidth="1"/>
    <col min="10" max="10" width="40.88671875" style="19" customWidth="1"/>
    <col min="11" max="11" width="23.5546875" style="19" customWidth="1"/>
    <col min="12" max="12" width="24.5546875" style="19" customWidth="1"/>
    <col min="13" max="13" width="21" style="19" customWidth="1"/>
    <col min="14" max="14" width="25.88671875" style="19" customWidth="1"/>
    <col min="15" max="15" width="40.5546875" style="19" bestFit="1" customWidth="1"/>
    <col min="16" max="16" width="32.5546875" style="19" bestFit="1" customWidth="1"/>
    <col min="17" max="17" width="39.44140625" style="19" bestFit="1" customWidth="1"/>
    <col min="18" max="18" width="41.109375" style="19" bestFit="1" customWidth="1"/>
    <col min="19" max="19" width="90" style="19" bestFit="1" customWidth="1"/>
    <col min="20" max="20" width="62.44140625" style="19" customWidth="1"/>
    <col min="21" max="21" width="43.44140625" style="19" bestFit="1" customWidth="1"/>
    <col min="22" max="22" width="25.6640625" style="19" customWidth="1"/>
    <col min="23" max="23" width="29.44140625" style="19" bestFit="1" customWidth="1"/>
    <col min="24" max="24" width="55.88671875" style="19" bestFit="1" customWidth="1"/>
    <col min="25" max="25" width="46.88671875" style="19" bestFit="1" customWidth="1"/>
    <col min="26" max="26" width="121.88671875" style="19" customWidth="1"/>
    <col min="27" max="27" width="2.88671875" style="19" customWidth="1"/>
    <col min="28" max="29" width="8.88671875" style="19"/>
    <col min="30" max="30" width="3.109375" style="19" customWidth="1"/>
    <col min="31" max="16384" width="8.88671875" style="19"/>
  </cols>
  <sheetData>
    <row r="1" spans="1:90" ht="36" customHeight="1" x14ac:dyDescent="0.25">
      <c r="A1" s="5"/>
      <c r="B1" s="5"/>
      <c r="C1" s="5"/>
      <c r="D1" s="5"/>
      <c r="E1" s="5"/>
      <c r="F1" s="5"/>
      <c r="G1" s="87" t="s">
        <v>0</v>
      </c>
      <c r="H1" s="5"/>
      <c r="I1" s="5"/>
      <c r="J1" s="5"/>
      <c r="K1" s="5"/>
      <c r="L1" s="5"/>
      <c r="M1" s="5"/>
      <c r="N1" s="5"/>
      <c r="O1" s="23" t="s">
        <v>0</v>
      </c>
      <c r="P1" s="5"/>
      <c r="Q1" s="5"/>
      <c r="R1" s="5"/>
      <c r="S1" s="87" t="s">
        <v>0</v>
      </c>
      <c r="T1" s="5"/>
      <c r="U1" s="5"/>
      <c r="V1" s="5"/>
      <c r="W1" s="5"/>
      <c r="X1" s="5"/>
      <c r="Y1" s="5"/>
      <c r="Z1" s="87" t="s">
        <v>0</v>
      </c>
      <c r="AA1" s="5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ht="40.799999999999997" customHeight="1" x14ac:dyDescent="0.25">
      <c r="A2" s="5"/>
      <c r="B2" s="24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5" t="s">
        <v>10</v>
      </c>
      <c r="H2" s="25" t="s">
        <v>11</v>
      </c>
      <c r="I2" s="25" t="s">
        <v>12</v>
      </c>
      <c r="J2" s="25" t="s">
        <v>13</v>
      </c>
      <c r="K2" s="25" t="s">
        <v>14</v>
      </c>
      <c r="L2" s="25" t="s">
        <v>15</v>
      </c>
      <c r="M2" s="25" t="s">
        <v>16</v>
      </c>
      <c r="N2" s="25" t="s">
        <v>17</v>
      </c>
      <c r="O2" s="25" t="s">
        <v>18</v>
      </c>
      <c r="P2" s="25" t="s">
        <v>19</v>
      </c>
      <c r="Q2" s="25" t="s">
        <v>20</v>
      </c>
      <c r="R2" s="25" t="s">
        <v>21</v>
      </c>
      <c r="S2" s="25" t="s">
        <v>22</v>
      </c>
      <c r="T2" s="25" t="s">
        <v>23</v>
      </c>
      <c r="U2" s="25" t="s">
        <v>24</v>
      </c>
      <c r="V2" s="25" t="s">
        <v>25</v>
      </c>
      <c r="W2" s="25" t="s">
        <v>26</v>
      </c>
      <c r="X2" s="25" t="s">
        <v>27</v>
      </c>
      <c r="Y2" s="25" t="s">
        <v>28</v>
      </c>
      <c r="Z2" s="26" t="s">
        <v>29</v>
      </c>
      <c r="AA2" s="5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 ht="30.6" customHeight="1" x14ac:dyDescent="0.25">
      <c r="A3" s="5"/>
      <c r="B3" s="27" t="s">
        <v>30</v>
      </c>
      <c r="C3" s="28" t="s">
        <v>31</v>
      </c>
      <c r="D3" s="28" t="s">
        <v>32</v>
      </c>
      <c r="E3" s="28" t="s">
        <v>33</v>
      </c>
      <c r="F3" s="28" t="s">
        <v>34</v>
      </c>
      <c r="G3" s="28" t="s">
        <v>35</v>
      </c>
      <c r="H3" s="28" t="s">
        <v>36</v>
      </c>
      <c r="I3" s="28">
        <v>6015</v>
      </c>
      <c r="J3" s="28" t="s">
        <v>37</v>
      </c>
      <c r="K3" s="28" t="s">
        <v>38</v>
      </c>
      <c r="L3" s="28" t="s">
        <v>39</v>
      </c>
      <c r="M3" s="28" t="s">
        <v>40</v>
      </c>
      <c r="N3" s="28" t="s">
        <v>41</v>
      </c>
      <c r="O3" s="28" t="s">
        <v>42</v>
      </c>
      <c r="P3" s="34">
        <v>45361</v>
      </c>
      <c r="Q3" s="34">
        <v>47208</v>
      </c>
      <c r="R3" s="28" t="s">
        <v>43</v>
      </c>
      <c r="S3" s="28" t="s">
        <v>44</v>
      </c>
      <c r="T3" s="28" t="s">
        <v>45</v>
      </c>
      <c r="U3" s="28" t="s">
        <v>46</v>
      </c>
      <c r="V3" s="36">
        <v>70000</v>
      </c>
      <c r="W3" s="28" t="s">
        <v>47</v>
      </c>
      <c r="X3" s="28" t="s">
        <v>48</v>
      </c>
      <c r="Y3" s="28" t="s">
        <v>49</v>
      </c>
      <c r="Z3" s="29" t="s">
        <v>50</v>
      </c>
      <c r="AA3" s="5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0" ht="30.6" customHeight="1" x14ac:dyDescent="0.25">
      <c r="A4" s="5"/>
      <c r="B4" s="27" t="s">
        <v>51</v>
      </c>
      <c r="C4" s="28" t="s">
        <v>52</v>
      </c>
      <c r="D4" s="28" t="s">
        <v>53</v>
      </c>
      <c r="E4" s="28" t="s">
        <v>54</v>
      </c>
      <c r="F4" s="28" t="s">
        <v>34</v>
      </c>
      <c r="G4" s="28" t="s">
        <v>55</v>
      </c>
      <c r="H4" s="28" t="s">
        <v>56</v>
      </c>
      <c r="I4" s="28">
        <v>1209</v>
      </c>
      <c r="J4" s="28" t="s">
        <v>57</v>
      </c>
      <c r="K4" s="28" t="s">
        <v>58</v>
      </c>
      <c r="L4" s="28" t="s">
        <v>59</v>
      </c>
      <c r="M4" s="28" t="s">
        <v>60</v>
      </c>
      <c r="N4" s="28" t="s">
        <v>61</v>
      </c>
      <c r="O4" s="28" t="s">
        <v>62</v>
      </c>
      <c r="P4" s="34">
        <v>45015</v>
      </c>
      <c r="Q4" s="34">
        <v>46843</v>
      </c>
      <c r="R4" s="28" t="s">
        <v>63</v>
      </c>
      <c r="S4" s="28" t="s">
        <v>64</v>
      </c>
      <c r="T4" s="28" t="s">
        <v>65</v>
      </c>
      <c r="U4" s="28" t="s">
        <v>66</v>
      </c>
      <c r="V4" s="36">
        <v>190000</v>
      </c>
      <c r="W4" s="28" t="s">
        <v>67</v>
      </c>
      <c r="X4" s="28" t="s">
        <v>68</v>
      </c>
      <c r="Y4" s="28" t="s">
        <v>69</v>
      </c>
      <c r="Z4" s="29" t="s">
        <v>70</v>
      </c>
      <c r="AA4" s="5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</row>
    <row r="5" spans="1:90" ht="32.4" customHeight="1" x14ac:dyDescent="0.25">
      <c r="A5" s="5"/>
      <c r="B5" s="27" t="s">
        <v>71</v>
      </c>
      <c r="C5" s="28" t="s">
        <v>72</v>
      </c>
      <c r="D5" s="28" t="s">
        <v>73</v>
      </c>
      <c r="E5" s="28" t="s">
        <v>74</v>
      </c>
      <c r="F5" s="28" t="s">
        <v>75</v>
      </c>
      <c r="G5" s="28" t="s">
        <v>76</v>
      </c>
      <c r="H5" s="28" t="s">
        <v>77</v>
      </c>
      <c r="I5" s="28">
        <v>1113</v>
      </c>
      <c r="J5" s="28" t="s">
        <v>78</v>
      </c>
      <c r="K5" s="28" t="s">
        <v>79</v>
      </c>
      <c r="L5" s="28" t="s">
        <v>80</v>
      </c>
      <c r="M5" s="28" t="s">
        <v>81</v>
      </c>
      <c r="N5" s="28" t="s">
        <v>82</v>
      </c>
      <c r="O5" s="28" t="s">
        <v>83</v>
      </c>
      <c r="P5" s="34">
        <v>44667</v>
      </c>
      <c r="Q5" s="34">
        <v>46507</v>
      </c>
      <c r="R5" s="28" t="s">
        <v>84</v>
      </c>
      <c r="S5" s="28" t="s">
        <v>85</v>
      </c>
      <c r="T5" s="28" t="s">
        <v>86</v>
      </c>
      <c r="U5" s="28" t="s">
        <v>87</v>
      </c>
      <c r="V5" s="36">
        <v>230000</v>
      </c>
      <c r="W5" s="28" t="s">
        <v>88</v>
      </c>
      <c r="X5" s="28" t="s">
        <v>89</v>
      </c>
      <c r="Y5" s="28" t="s">
        <v>90</v>
      </c>
      <c r="Z5" s="29" t="s">
        <v>91</v>
      </c>
      <c r="AA5" s="5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</row>
    <row r="6" spans="1:90" ht="30" customHeight="1" x14ac:dyDescent="0.25">
      <c r="A6" s="5"/>
      <c r="B6" s="27" t="s">
        <v>92</v>
      </c>
      <c r="C6" s="28" t="s">
        <v>93</v>
      </c>
      <c r="D6" s="28" t="s">
        <v>94</v>
      </c>
      <c r="E6" s="28" t="s">
        <v>95</v>
      </c>
      <c r="F6" s="28" t="s">
        <v>75</v>
      </c>
      <c r="G6" s="28" t="s">
        <v>96</v>
      </c>
      <c r="H6" s="28" t="s">
        <v>97</v>
      </c>
      <c r="I6" s="28">
        <v>1114</v>
      </c>
      <c r="J6" s="28" t="s">
        <v>98</v>
      </c>
      <c r="K6" s="28" t="s">
        <v>99</v>
      </c>
      <c r="L6" s="28" t="s">
        <v>100</v>
      </c>
      <c r="M6" s="28" t="s">
        <v>101</v>
      </c>
      <c r="N6" s="28" t="s">
        <v>102</v>
      </c>
      <c r="O6" s="28" t="s">
        <v>103</v>
      </c>
      <c r="P6" s="34">
        <v>45542</v>
      </c>
      <c r="Q6" s="34">
        <v>47391</v>
      </c>
      <c r="R6" s="28" t="s">
        <v>104</v>
      </c>
      <c r="S6" s="28" t="s">
        <v>105</v>
      </c>
      <c r="T6" s="28" t="s">
        <v>106</v>
      </c>
      <c r="U6" s="28" t="s">
        <v>107</v>
      </c>
      <c r="V6" s="36">
        <v>90000</v>
      </c>
      <c r="W6" s="28" t="s">
        <v>108</v>
      </c>
      <c r="X6" s="28" t="s">
        <v>109</v>
      </c>
      <c r="Y6" s="28" t="s">
        <v>110</v>
      </c>
      <c r="Z6" s="29" t="s">
        <v>111</v>
      </c>
      <c r="AA6" s="5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</row>
    <row r="7" spans="1:90" ht="31.2" customHeight="1" x14ac:dyDescent="0.25">
      <c r="A7" s="5"/>
      <c r="B7" s="27" t="s">
        <v>112</v>
      </c>
      <c r="C7" s="28" t="s">
        <v>113</v>
      </c>
      <c r="D7" s="28" t="s">
        <v>114</v>
      </c>
      <c r="E7" s="28" t="s">
        <v>115</v>
      </c>
      <c r="F7" s="28" t="s">
        <v>34</v>
      </c>
      <c r="G7" s="28" t="s">
        <v>116</v>
      </c>
      <c r="H7" s="28" t="s">
        <v>117</v>
      </c>
      <c r="I7" s="28">
        <v>1107</v>
      </c>
      <c r="J7" s="28" t="s">
        <v>118</v>
      </c>
      <c r="K7" s="28" t="s">
        <v>119</v>
      </c>
      <c r="L7" s="28" t="s">
        <v>120</v>
      </c>
      <c r="M7" s="28" t="s">
        <v>121</v>
      </c>
      <c r="N7" s="28" t="s">
        <v>122</v>
      </c>
      <c r="O7" s="28" t="s">
        <v>103</v>
      </c>
      <c r="P7" s="34">
        <v>44189</v>
      </c>
      <c r="Q7" s="34">
        <v>46022</v>
      </c>
      <c r="R7" s="28" t="s">
        <v>123</v>
      </c>
      <c r="S7" s="28" t="s">
        <v>124</v>
      </c>
      <c r="T7" s="28" t="s">
        <v>125</v>
      </c>
      <c r="U7" s="28" t="s">
        <v>110</v>
      </c>
      <c r="V7" s="36">
        <v>70000</v>
      </c>
      <c r="W7" s="28" t="s">
        <v>126</v>
      </c>
      <c r="X7" s="28" t="s">
        <v>127</v>
      </c>
      <c r="Y7" s="28" t="s">
        <v>128</v>
      </c>
      <c r="Z7" s="29" t="s">
        <v>129</v>
      </c>
      <c r="AA7" s="5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</row>
    <row r="8" spans="1:90" ht="27" customHeight="1" x14ac:dyDescent="0.25">
      <c r="A8" s="5"/>
      <c r="B8" s="27" t="s">
        <v>130</v>
      </c>
      <c r="C8" s="28" t="s">
        <v>131</v>
      </c>
      <c r="D8" s="28" t="s">
        <v>132</v>
      </c>
      <c r="E8" s="28" t="s">
        <v>133</v>
      </c>
      <c r="F8" s="28" t="s">
        <v>75</v>
      </c>
      <c r="G8" s="28" t="s">
        <v>134</v>
      </c>
      <c r="H8" s="28" t="s">
        <v>135</v>
      </c>
      <c r="I8" s="28">
        <v>1203</v>
      </c>
      <c r="J8" s="28" t="s">
        <v>136</v>
      </c>
      <c r="K8" s="28" t="s">
        <v>137</v>
      </c>
      <c r="L8" s="28" t="s">
        <v>138</v>
      </c>
      <c r="M8" s="28" t="s">
        <v>139</v>
      </c>
      <c r="N8" s="28" t="s">
        <v>140</v>
      </c>
      <c r="O8" s="28" t="s">
        <v>141</v>
      </c>
      <c r="P8" s="34">
        <v>45463</v>
      </c>
      <c r="Q8" s="34">
        <v>47299</v>
      </c>
      <c r="R8" s="28" t="s">
        <v>142</v>
      </c>
      <c r="S8" s="28" t="s">
        <v>143</v>
      </c>
      <c r="T8" s="28" t="s">
        <v>144</v>
      </c>
      <c r="U8" s="28" t="s">
        <v>145</v>
      </c>
      <c r="V8" s="36">
        <v>85000</v>
      </c>
      <c r="W8" s="28" t="s">
        <v>146</v>
      </c>
      <c r="X8" s="28" t="s">
        <v>147</v>
      </c>
      <c r="Y8" s="28" t="s">
        <v>145</v>
      </c>
      <c r="Z8" s="29" t="s">
        <v>148</v>
      </c>
      <c r="AA8" s="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</row>
    <row r="9" spans="1:90" ht="30.6" customHeight="1" x14ac:dyDescent="0.25">
      <c r="A9" s="5"/>
      <c r="B9" s="27" t="s">
        <v>149</v>
      </c>
      <c r="C9" s="28" t="s">
        <v>150</v>
      </c>
      <c r="D9" s="28" t="s">
        <v>151</v>
      </c>
      <c r="E9" s="28" t="s">
        <v>133</v>
      </c>
      <c r="F9" s="28" t="s">
        <v>75</v>
      </c>
      <c r="G9" s="28" t="s">
        <v>152</v>
      </c>
      <c r="H9" s="28" t="s">
        <v>153</v>
      </c>
      <c r="I9" s="28">
        <v>8000</v>
      </c>
      <c r="J9" s="28" t="s">
        <v>154</v>
      </c>
      <c r="K9" s="28" t="s">
        <v>155</v>
      </c>
      <c r="L9" s="28" t="s">
        <v>156</v>
      </c>
      <c r="M9" s="28" t="s">
        <v>157</v>
      </c>
      <c r="N9" s="28" t="s">
        <v>158</v>
      </c>
      <c r="O9" s="28" t="s">
        <v>62</v>
      </c>
      <c r="P9" s="34">
        <v>45256</v>
      </c>
      <c r="Q9" s="34">
        <v>47087</v>
      </c>
      <c r="R9" s="28" t="s">
        <v>159</v>
      </c>
      <c r="S9" s="28" t="s">
        <v>160</v>
      </c>
      <c r="T9" s="28" t="s">
        <v>161</v>
      </c>
      <c r="U9" s="28" t="s">
        <v>162</v>
      </c>
      <c r="V9" s="36">
        <v>150000</v>
      </c>
      <c r="W9" s="28" t="s">
        <v>163</v>
      </c>
      <c r="X9" s="28" t="s">
        <v>164</v>
      </c>
      <c r="Y9" s="28" t="s">
        <v>165</v>
      </c>
      <c r="Z9" s="29" t="s">
        <v>166</v>
      </c>
      <c r="AA9" s="5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</row>
    <row r="10" spans="1:90" ht="30" customHeight="1" x14ac:dyDescent="0.25">
      <c r="A10" s="5"/>
      <c r="B10" s="27" t="s">
        <v>167</v>
      </c>
      <c r="C10" s="28" t="s">
        <v>168</v>
      </c>
      <c r="D10" s="28" t="s">
        <v>169</v>
      </c>
      <c r="E10" s="28" t="s">
        <v>170</v>
      </c>
      <c r="F10" s="28" t="s">
        <v>34</v>
      </c>
      <c r="G10" s="28" t="s">
        <v>171</v>
      </c>
      <c r="H10" s="28" t="s">
        <v>172</v>
      </c>
      <c r="I10" s="28">
        <v>1102</v>
      </c>
      <c r="J10" s="28" t="s">
        <v>173</v>
      </c>
      <c r="K10" s="28" t="s">
        <v>174</v>
      </c>
      <c r="L10" s="28" t="s">
        <v>175</v>
      </c>
      <c r="M10" s="28" t="s">
        <v>176</v>
      </c>
      <c r="N10" s="28" t="s">
        <v>177</v>
      </c>
      <c r="O10" s="28" t="s">
        <v>103</v>
      </c>
      <c r="P10" s="34">
        <v>43879</v>
      </c>
      <c r="Q10" s="34" t="s">
        <v>178</v>
      </c>
      <c r="R10" s="28" t="s">
        <v>179</v>
      </c>
      <c r="S10" s="28" t="s">
        <v>180</v>
      </c>
      <c r="T10" s="28" t="s">
        <v>181</v>
      </c>
      <c r="U10" s="28" t="s">
        <v>182</v>
      </c>
      <c r="V10" s="36">
        <v>60000</v>
      </c>
      <c r="W10" s="28" t="s">
        <v>183</v>
      </c>
      <c r="X10" s="28" t="s">
        <v>184</v>
      </c>
      <c r="Y10" s="28" t="s">
        <v>185</v>
      </c>
      <c r="Z10" s="29" t="s">
        <v>186</v>
      </c>
      <c r="AA10" s="5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</row>
    <row r="11" spans="1:90" ht="28.35" customHeight="1" x14ac:dyDescent="0.25">
      <c r="A11" s="5"/>
      <c r="B11" s="27" t="s">
        <v>187</v>
      </c>
      <c r="C11" s="28" t="s">
        <v>188</v>
      </c>
      <c r="D11" s="28" t="s">
        <v>189</v>
      </c>
      <c r="E11" s="28" t="s">
        <v>190</v>
      </c>
      <c r="F11" s="28" t="s">
        <v>75</v>
      </c>
      <c r="G11" s="28" t="s">
        <v>191</v>
      </c>
      <c r="H11" s="28" t="s">
        <v>192</v>
      </c>
      <c r="I11" s="28">
        <v>1004</v>
      </c>
      <c r="J11" s="28" t="s">
        <v>193</v>
      </c>
      <c r="K11" s="28" t="s">
        <v>194</v>
      </c>
      <c r="L11" s="28" t="s">
        <v>195</v>
      </c>
      <c r="M11" s="28" t="s">
        <v>196</v>
      </c>
      <c r="N11" s="28" t="s">
        <v>197</v>
      </c>
      <c r="O11" s="28" t="s">
        <v>42</v>
      </c>
      <c r="P11" s="34">
        <v>45276</v>
      </c>
      <c r="Q11" s="34">
        <v>47118</v>
      </c>
      <c r="R11" s="28" t="s">
        <v>198</v>
      </c>
      <c r="S11" s="28" t="s">
        <v>199</v>
      </c>
      <c r="T11" s="28" t="s">
        <v>200</v>
      </c>
      <c r="U11" s="28" t="s">
        <v>201</v>
      </c>
      <c r="V11" s="36">
        <v>50000</v>
      </c>
      <c r="W11" s="28" t="s">
        <v>202</v>
      </c>
      <c r="X11" s="28" t="s">
        <v>203</v>
      </c>
      <c r="Y11" s="28" t="s">
        <v>201</v>
      </c>
      <c r="Z11" s="29" t="s">
        <v>204</v>
      </c>
      <c r="AA11" s="5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</row>
    <row r="12" spans="1:90" ht="26.4" customHeight="1" x14ac:dyDescent="0.25">
      <c r="A12" s="5"/>
      <c r="B12" s="27" t="s">
        <v>205</v>
      </c>
      <c r="C12" s="28" t="s">
        <v>206</v>
      </c>
      <c r="D12" s="28" t="s">
        <v>207</v>
      </c>
      <c r="E12" s="28" t="s">
        <v>208</v>
      </c>
      <c r="F12" s="28" t="s">
        <v>34</v>
      </c>
      <c r="G12" s="28" t="s">
        <v>209</v>
      </c>
      <c r="H12" s="28" t="s">
        <v>210</v>
      </c>
      <c r="I12" s="28">
        <v>1229</v>
      </c>
      <c r="J12" s="28" t="s">
        <v>211</v>
      </c>
      <c r="K12" s="28" t="s">
        <v>212</v>
      </c>
      <c r="L12" s="28" t="s">
        <v>213</v>
      </c>
      <c r="M12" s="28" t="s">
        <v>214</v>
      </c>
      <c r="N12" s="28" t="s">
        <v>215</v>
      </c>
      <c r="O12" s="28" t="s">
        <v>216</v>
      </c>
      <c r="P12" s="34">
        <v>44479</v>
      </c>
      <c r="Q12" s="34">
        <v>46326</v>
      </c>
      <c r="R12" s="28" t="s">
        <v>217</v>
      </c>
      <c r="S12" s="28" t="s">
        <v>218</v>
      </c>
      <c r="T12" s="28" t="s">
        <v>219</v>
      </c>
      <c r="U12" s="28" t="s">
        <v>220</v>
      </c>
      <c r="V12" s="36">
        <v>120000</v>
      </c>
      <c r="W12" s="28" t="s">
        <v>221</v>
      </c>
      <c r="X12" s="28" t="s">
        <v>222</v>
      </c>
      <c r="Y12" s="28" t="s">
        <v>220</v>
      </c>
      <c r="Z12" s="29" t="s">
        <v>223</v>
      </c>
      <c r="AA12" s="5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</row>
    <row r="13" spans="1:90" ht="27" customHeight="1" x14ac:dyDescent="0.25">
      <c r="A13" s="5"/>
      <c r="B13" s="27" t="s">
        <v>224</v>
      </c>
      <c r="C13" s="28" t="s">
        <v>225</v>
      </c>
      <c r="D13" s="28" t="s">
        <v>226</v>
      </c>
      <c r="E13" s="28" t="s">
        <v>33</v>
      </c>
      <c r="F13" s="28" t="s">
        <v>75</v>
      </c>
      <c r="G13" s="28" t="s">
        <v>227</v>
      </c>
      <c r="H13" s="28" t="s">
        <v>228</v>
      </c>
      <c r="I13" s="28">
        <v>1010</v>
      </c>
      <c r="J13" s="28" t="s">
        <v>229</v>
      </c>
      <c r="K13" s="28" t="s">
        <v>230</v>
      </c>
      <c r="L13" s="28" t="s">
        <v>231</v>
      </c>
      <c r="M13" s="28" t="s">
        <v>232</v>
      </c>
      <c r="N13" s="28" t="s">
        <v>233</v>
      </c>
      <c r="O13" s="28" t="s">
        <v>103</v>
      </c>
      <c r="P13" s="34">
        <v>45317</v>
      </c>
      <c r="Q13" s="34">
        <v>47149</v>
      </c>
      <c r="R13" s="28" t="s">
        <v>234</v>
      </c>
      <c r="S13" s="28" t="s">
        <v>235</v>
      </c>
      <c r="T13" s="28" t="s">
        <v>236</v>
      </c>
      <c r="U13" s="28" t="s">
        <v>237</v>
      </c>
      <c r="V13" s="36">
        <v>80000</v>
      </c>
      <c r="W13" s="28" t="s">
        <v>238</v>
      </c>
      <c r="X13" s="28" t="s">
        <v>239</v>
      </c>
      <c r="Y13" s="28" t="s">
        <v>240</v>
      </c>
      <c r="Z13" s="29" t="s">
        <v>241</v>
      </c>
      <c r="AA13" s="5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</row>
    <row r="14" spans="1:90" ht="30" customHeight="1" x14ac:dyDescent="0.25">
      <c r="A14" s="5"/>
      <c r="B14" s="27" t="s">
        <v>130</v>
      </c>
      <c r="C14" s="28" t="s">
        <v>242</v>
      </c>
      <c r="D14" s="28" t="s">
        <v>243</v>
      </c>
      <c r="E14" s="28" t="s">
        <v>244</v>
      </c>
      <c r="F14" s="28" t="s">
        <v>75</v>
      </c>
      <c r="G14" s="28" t="s">
        <v>245</v>
      </c>
      <c r="H14" s="28" t="s">
        <v>246</v>
      </c>
      <c r="I14" s="28">
        <v>1227</v>
      </c>
      <c r="J14" s="28" t="s">
        <v>247</v>
      </c>
      <c r="K14" s="28" t="s">
        <v>248</v>
      </c>
      <c r="L14" s="28" t="s">
        <v>249</v>
      </c>
      <c r="M14" s="28" t="s">
        <v>250</v>
      </c>
      <c r="N14" s="28" t="s">
        <v>251</v>
      </c>
      <c r="O14" s="28" t="s">
        <v>62</v>
      </c>
      <c r="P14" s="34">
        <v>45508</v>
      </c>
      <c r="Q14" s="34">
        <v>47361</v>
      </c>
      <c r="R14" s="28" t="s">
        <v>252</v>
      </c>
      <c r="S14" s="28" t="s">
        <v>253</v>
      </c>
      <c r="T14" s="28" t="s">
        <v>254</v>
      </c>
      <c r="U14" s="28" t="s">
        <v>255</v>
      </c>
      <c r="V14" s="36">
        <v>450000</v>
      </c>
      <c r="W14" s="28" t="s">
        <v>256</v>
      </c>
      <c r="X14" s="28" t="s">
        <v>257</v>
      </c>
      <c r="Y14" s="28" t="s">
        <v>258</v>
      </c>
      <c r="Z14" s="29" t="s">
        <v>259</v>
      </c>
      <c r="AA14" s="5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</row>
    <row r="15" spans="1:90" ht="28.65" customHeight="1" x14ac:dyDescent="0.25">
      <c r="A15" s="5"/>
      <c r="B15" s="27" t="s">
        <v>260</v>
      </c>
      <c r="C15" s="28" t="s">
        <v>261</v>
      </c>
      <c r="D15" s="28" t="s">
        <v>262</v>
      </c>
      <c r="E15" s="28" t="s">
        <v>190</v>
      </c>
      <c r="F15" s="28" t="s">
        <v>75</v>
      </c>
      <c r="G15" s="28" t="s">
        <v>263</v>
      </c>
      <c r="H15" s="28" t="s">
        <v>264</v>
      </c>
      <c r="I15" s="28">
        <v>1223</v>
      </c>
      <c r="J15" s="28" t="s">
        <v>265</v>
      </c>
      <c r="K15" s="28" t="s">
        <v>266</v>
      </c>
      <c r="L15" s="28" t="s">
        <v>120</v>
      </c>
      <c r="M15" s="28" t="s">
        <v>267</v>
      </c>
      <c r="N15" s="28" t="s">
        <v>268</v>
      </c>
      <c r="O15" s="28" t="s">
        <v>269</v>
      </c>
      <c r="P15" s="34">
        <v>45076</v>
      </c>
      <c r="Q15" s="34">
        <v>46904</v>
      </c>
      <c r="R15" s="28" t="s">
        <v>270</v>
      </c>
      <c r="S15" s="28" t="s">
        <v>271</v>
      </c>
      <c r="T15" s="28" t="s">
        <v>272</v>
      </c>
      <c r="U15" s="28" t="s">
        <v>273</v>
      </c>
      <c r="V15" s="36">
        <v>220000</v>
      </c>
      <c r="W15" s="28" t="s">
        <v>88</v>
      </c>
      <c r="X15" s="28" t="s">
        <v>274</v>
      </c>
      <c r="Y15" s="28" t="s">
        <v>275</v>
      </c>
      <c r="Z15" s="29" t="s">
        <v>91</v>
      </c>
      <c r="AA15" s="5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</row>
    <row r="16" spans="1:90" ht="28.35" customHeight="1" x14ac:dyDescent="0.25">
      <c r="A16" s="5"/>
      <c r="B16" s="27" t="s">
        <v>276</v>
      </c>
      <c r="C16" s="28" t="s">
        <v>277</v>
      </c>
      <c r="D16" s="28" t="s">
        <v>278</v>
      </c>
      <c r="E16" s="28" t="s">
        <v>279</v>
      </c>
      <c r="F16" s="28" t="s">
        <v>34</v>
      </c>
      <c r="G16" s="28" t="s">
        <v>280</v>
      </c>
      <c r="H16" s="28" t="s">
        <v>281</v>
      </c>
      <c r="I16" s="28">
        <v>1004</v>
      </c>
      <c r="J16" s="28" t="s">
        <v>282</v>
      </c>
      <c r="K16" s="28" t="s">
        <v>283</v>
      </c>
      <c r="L16" s="28" t="s">
        <v>284</v>
      </c>
      <c r="M16" s="28" t="s">
        <v>285</v>
      </c>
      <c r="N16" s="28" t="s">
        <v>286</v>
      </c>
      <c r="O16" s="28" t="s">
        <v>103</v>
      </c>
      <c r="P16" s="34">
        <v>44379</v>
      </c>
      <c r="Q16" s="34">
        <v>46234</v>
      </c>
      <c r="R16" s="28" t="s">
        <v>287</v>
      </c>
      <c r="S16" s="28" t="s">
        <v>288</v>
      </c>
      <c r="T16" s="28" t="s">
        <v>289</v>
      </c>
      <c r="U16" s="28" t="s">
        <v>290</v>
      </c>
      <c r="V16" s="36">
        <v>75000</v>
      </c>
      <c r="W16" s="28" t="s">
        <v>291</v>
      </c>
      <c r="X16" s="28" t="s">
        <v>292</v>
      </c>
      <c r="Y16" s="28" t="s">
        <v>237</v>
      </c>
      <c r="Z16" s="29" t="s">
        <v>293</v>
      </c>
      <c r="AA16" s="5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</row>
    <row r="17" spans="1:90" ht="30" customHeight="1" x14ac:dyDescent="0.25">
      <c r="A17" s="5"/>
      <c r="B17" s="30" t="s">
        <v>294</v>
      </c>
      <c r="C17" s="31" t="s">
        <v>295</v>
      </c>
      <c r="D17" s="31" t="s">
        <v>296</v>
      </c>
      <c r="E17" s="31" t="s">
        <v>95</v>
      </c>
      <c r="F17" s="31" t="s">
        <v>34</v>
      </c>
      <c r="G17" s="31" t="s">
        <v>297</v>
      </c>
      <c r="H17" s="31" t="s">
        <v>298</v>
      </c>
      <c r="I17" s="31">
        <v>1105</v>
      </c>
      <c r="J17" s="31" t="s">
        <v>299</v>
      </c>
      <c r="K17" s="31" t="s">
        <v>300</v>
      </c>
      <c r="L17" s="31" t="s">
        <v>301</v>
      </c>
      <c r="M17" s="31" t="s">
        <v>302</v>
      </c>
      <c r="N17" s="31" t="s">
        <v>303</v>
      </c>
      <c r="O17" s="31" t="s">
        <v>304</v>
      </c>
      <c r="P17" s="35">
        <v>45234</v>
      </c>
      <c r="Q17" s="35">
        <v>47087</v>
      </c>
      <c r="R17" s="31" t="s">
        <v>305</v>
      </c>
      <c r="S17" s="31" t="s">
        <v>306</v>
      </c>
      <c r="T17" s="31" t="s">
        <v>307</v>
      </c>
      <c r="U17" s="31" t="s">
        <v>308</v>
      </c>
      <c r="V17" s="37">
        <v>240000</v>
      </c>
      <c r="W17" s="31" t="s">
        <v>309</v>
      </c>
      <c r="X17" s="31" t="s">
        <v>310</v>
      </c>
      <c r="Y17" s="31" t="s">
        <v>311</v>
      </c>
      <c r="Z17" s="32" t="s">
        <v>312</v>
      </c>
      <c r="AA17" s="5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</row>
    <row r="18" spans="1:9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</row>
    <row r="19" spans="1:9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</row>
    <row r="20" spans="1:9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</row>
    <row r="21" spans="1:90" ht="24.6" x14ac:dyDescent="0.4">
      <c r="A21" s="4"/>
      <c r="B21" s="202" t="s">
        <v>417</v>
      </c>
      <c r="C21" s="20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</row>
    <row r="22" spans="1:9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</row>
    <row r="23" spans="1:90" ht="31.2" customHeight="1" x14ac:dyDescent="0.4">
      <c r="A23" s="4"/>
      <c r="B23" s="65" t="s">
        <v>418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</row>
    <row r="24" spans="1:9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</row>
    <row r="25" spans="1:9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</row>
    <row r="26" spans="1:9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</row>
    <row r="27" spans="1:9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</row>
    <row r="28" spans="1:9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</row>
    <row r="29" spans="1:90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</row>
    <row r="30" spans="1:90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</row>
    <row r="31" spans="1:90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</row>
    <row r="32" spans="1:9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</row>
    <row r="33" spans="1:9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</row>
    <row r="34" spans="1:9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</row>
    <row r="35" spans="1:9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</row>
    <row r="36" spans="1:9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</row>
    <row r="37" spans="1:9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</row>
    <row r="38" spans="1:9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</row>
    <row r="39" spans="1:9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</row>
    <row r="40" spans="1:9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</row>
    <row r="41" spans="1:9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</row>
    <row r="42" spans="1:9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</row>
    <row r="43" spans="1:9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</row>
    <row r="44" spans="1:9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</row>
    <row r="45" spans="1:9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</row>
    <row r="46" spans="1:9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</row>
    <row r="47" spans="1:9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</row>
    <row r="48" spans="1:9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</row>
    <row r="49" spans="1:9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</row>
    <row r="50" spans="1:9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</row>
    <row r="51" spans="1:9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</row>
    <row r="52" spans="1:9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</row>
    <row r="53" spans="1:9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</row>
    <row r="54" spans="1:9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</row>
    <row r="55" spans="1:9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</row>
    <row r="56" spans="1:9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</row>
    <row r="57" spans="1:9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</row>
    <row r="58" spans="1:9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</row>
    <row r="59" spans="1:90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</row>
    <row r="60" spans="1:9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</row>
    <row r="61" spans="1:9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</row>
    <row r="62" spans="1:9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</row>
    <row r="63" spans="1:9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</row>
    <row r="64" spans="1:9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</row>
    <row r="65" spans="1:9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</row>
    <row r="66" spans="1:9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</row>
    <row r="67" spans="1:9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</row>
    <row r="68" spans="1:9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</row>
    <row r="69" spans="1:9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</row>
    <row r="70" spans="1:9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</row>
    <row r="71" spans="1:9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</row>
    <row r="72" spans="1:9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</row>
    <row r="73" spans="1:9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</row>
    <row r="74" spans="1:9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</row>
    <row r="75" spans="1:9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</row>
    <row r="76" spans="1:9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</row>
    <row r="77" spans="1:9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</row>
    <row r="78" spans="1:9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</row>
    <row r="79" spans="1:9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</row>
    <row r="80" spans="1:9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</row>
    <row r="81" spans="1:9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</row>
    <row r="82" spans="1:9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</row>
    <row r="83" spans="1:9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</row>
    <row r="84" spans="1:9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</row>
    <row r="85" spans="1:9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</row>
    <row r="86" spans="1:9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</row>
    <row r="87" spans="1:9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</row>
    <row r="88" spans="1:9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</row>
    <row r="89" spans="1:9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</row>
    <row r="90" spans="1:9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</row>
    <row r="91" spans="1:9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</row>
    <row r="92" spans="1:9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</row>
    <row r="93" spans="1:9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</row>
    <row r="94" spans="1:9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</row>
    <row r="95" spans="1:9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</row>
    <row r="96" spans="1:9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</row>
    <row r="97" spans="1:9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</row>
    <row r="98" spans="1:9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</row>
    <row r="99" spans="1:9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</row>
    <row r="100" spans="1:9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</row>
    <row r="101" spans="1:9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</row>
    <row r="102" spans="1:9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</row>
    <row r="103" spans="1:9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</row>
    <row r="104" spans="1:9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</row>
    <row r="105" spans="1:9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</row>
    <row r="106" spans="1:9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</row>
    <row r="107" spans="1:9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</row>
    <row r="108" spans="1:9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</row>
    <row r="109" spans="1:9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</row>
    <row r="110" spans="1:9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</row>
    <row r="111" spans="1:9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</row>
    <row r="112" spans="1:9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</row>
    <row r="113" spans="1:9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</row>
    <row r="114" spans="1:9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</row>
    <row r="115" spans="1:9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</row>
    <row r="116" spans="1:9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</row>
    <row r="117" spans="1:9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</row>
    <row r="118" spans="1:9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</row>
    <row r="119" spans="1:9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</row>
    <row r="120" spans="1:90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</row>
    <row r="121" spans="1:9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</row>
    <row r="122" spans="1:90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</row>
    <row r="123" spans="1:9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</row>
    <row r="124" spans="1:9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</row>
    <row r="125" spans="1:9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</row>
    <row r="126" spans="1:90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</row>
    <row r="127" spans="1:9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</row>
    <row r="128" spans="1:9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</row>
    <row r="129" spans="1:90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</row>
    <row r="130" spans="1:90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</row>
    <row r="131" spans="1:90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</row>
    <row r="132" spans="1:90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</row>
    <row r="133" spans="1:90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</row>
    <row r="134" spans="1:90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</row>
    <row r="135" spans="1:90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</row>
    <row r="136" spans="1:90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</row>
    <row r="137" spans="1:90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</row>
    <row r="138" spans="1:90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</row>
    <row r="139" spans="1:9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</row>
    <row r="140" spans="1:90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</row>
    <row r="141" spans="1:90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</row>
    <row r="142" spans="1:90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</row>
    <row r="143" spans="1:90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</row>
    <row r="144" spans="1:90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</row>
    <row r="145" spans="1:90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</row>
    <row r="146" spans="1:90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</row>
    <row r="147" spans="1:90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</row>
    <row r="148" spans="1:90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</row>
    <row r="149" spans="1:90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</row>
    <row r="150" spans="1:90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</row>
    <row r="151" spans="1:90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</row>
    <row r="152" spans="1:90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</row>
    <row r="153" spans="1:90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</row>
    <row r="154" spans="1:90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</row>
    <row r="155" spans="1:90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</row>
    <row r="156" spans="1:90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</row>
    <row r="157" spans="1:90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</row>
    <row r="158" spans="1:90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</row>
    <row r="159" spans="1:90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</row>
    <row r="160" spans="1:90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</row>
    <row r="161" spans="1:9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</row>
    <row r="162" spans="1:90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</row>
    <row r="163" spans="1:90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</row>
    <row r="164" spans="1:90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</row>
    <row r="165" spans="1:90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</row>
    <row r="166" spans="1:90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</row>
    <row r="167" spans="1:90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</row>
    <row r="168" spans="1:90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</row>
    <row r="169" spans="1:90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</row>
    <row r="170" spans="1:90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</row>
    <row r="171" spans="1:9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</row>
    <row r="172" spans="1:90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</row>
    <row r="173" spans="1:9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</row>
    <row r="174" spans="1:90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</row>
    <row r="175" spans="1:90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</row>
    <row r="176" spans="1:90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</row>
    <row r="177" spans="1:90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</row>
    <row r="178" spans="1:90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</row>
    <row r="179" spans="1:90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</row>
    <row r="180" spans="1:90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</row>
    <row r="181" spans="1:90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</row>
    <row r="182" spans="1:90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</row>
    <row r="183" spans="1:90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</row>
    <row r="184" spans="1:90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</row>
    <row r="185" spans="1:90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</row>
    <row r="186" spans="1:90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</row>
    <row r="187" spans="1:90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</row>
    <row r="188" spans="1:90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</row>
    <row r="189" spans="1:90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</row>
    <row r="190" spans="1:90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</row>
    <row r="191" spans="1:90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</row>
    <row r="192" spans="1:90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</sheetData>
  <mergeCells count="1">
    <mergeCell ref="B21:C21"/>
  </mergeCells>
  <phoneticPr fontId="6" type="noConversion"/>
  <hyperlinks>
    <hyperlink ref="J15" r:id="rId1" xr:uid="{00000000-0004-0000-0100-000000000000}"/>
    <hyperlink ref="J4" r:id="rId2" xr:uid="{00000000-0004-0000-0100-000001000000}"/>
    <hyperlink ref="J7" r:id="rId3" xr:uid="{00000000-0004-0000-0100-000002000000}"/>
    <hyperlink ref="J6" r:id="rId4" xr:uid="{00000000-0004-0000-0100-000003000000}"/>
    <hyperlink ref="J5" r:id="rId5" xr:uid="{00000000-0004-0000-0100-000004000000}"/>
    <hyperlink ref="J17" r:id="rId6" xr:uid="{00000000-0004-0000-0100-000005000000}"/>
    <hyperlink ref="J10" r:id="rId7" xr:uid="{00000000-0004-0000-0100-000006000000}"/>
    <hyperlink ref="J8" r:id="rId8" xr:uid="{00000000-0004-0000-0100-000007000000}"/>
    <hyperlink ref="J12" r:id="rId9" xr:uid="{00000000-0004-0000-0100-000008000000}"/>
    <hyperlink ref="J11" r:id="rId10" xr:uid="{00000000-0004-0000-0100-000009000000}"/>
    <hyperlink ref="J14" r:id="rId11" xr:uid="{00000000-0004-0000-0100-00000A000000}"/>
    <hyperlink ref="J13" r:id="rId12" xr:uid="{00000000-0004-0000-0100-00000B000000}"/>
    <hyperlink ref="J16" r:id="rId13" xr:uid="{00000000-0004-0000-0100-00000C000000}"/>
    <hyperlink ref="J3" r:id="rId14" xr:uid="{00000000-0004-0000-0100-00000D000000}"/>
    <hyperlink ref="J9" r:id="rId15" xr:uid="{00000000-0004-0000-0100-00000E000000}"/>
    <hyperlink ref="B21:C21" location="Dashboard!A1" display="[Go Back to Dashboard]" xr:uid="{00000000-0004-0000-0100-00000F000000}"/>
    <hyperlink ref="B23" location="'Individual Profile Report'!A1" display="             GO TO INDIVIDUAL PROFILE REPORT" xr:uid="{00000000-0004-0000-0100-000010000000}"/>
  </hyperlinks>
  <pageMargins left="0.7" right="0.7" top="0.75" bottom="0.75" header="0.3" footer="0.3"/>
  <drawing r:id="rId16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A1:I16"/>
  <sheetViews>
    <sheetView workbookViewId="0">
      <selection activeCell="B6" sqref="B6"/>
    </sheetView>
  </sheetViews>
  <sheetFormatPr defaultColWidth="8.88671875" defaultRowHeight="14.4" x14ac:dyDescent="0.3"/>
  <cols>
    <col min="1" max="1" width="2.109375" style="1" customWidth="1"/>
    <col min="2" max="2" width="68.88671875" style="1" customWidth="1"/>
    <col min="3" max="3" width="69.5546875" style="1" customWidth="1"/>
    <col min="4" max="4" width="1.88671875" style="1" customWidth="1"/>
    <col min="5" max="16384" width="8.88671875" style="1"/>
  </cols>
  <sheetData>
    <row r="1" spans="1:9" x14ac:dyDescent="0.3">
      <c r="A1" s="2"/>
      <c r="B1" s="2"/>
      <c r="C1" s="2"/>
      <c r="D1" s="2"/>
    </row>
    <row r="2" spans="1:9" ht="26.4" customHeight="1" x14ac:dyDescent="0.3">
      <c r="A2" s="38"/>
      <c r="B2" s="204" t="s">
        <v>414</v>
      </c>
      <c r="C2" s="205"/>
      <c r="D2" s="38"/>
    </row>
    <row r="3" spans="1:9" ht="27.6" customHeight="1" x14ac:dyDescent="0.3">
      <c r="A3" s="38"/>
      <c r="B3" s="39" t="s">
        <v>415</v>
      </c>
      <c r="C3" s="39" t="s">
        <v>416</v>
      </c>
      <c r="D3" s="38"/>
    </row>
    <row r="4" spans="1:9" ht="26.4" customHeight="1" x14ac:dyDescent="0.3">
      <c r="A4" s="38"/>
      <c r="B4" s="28" t="s">
        <v>269</v>
      </c>
      <c r="C4" s="36">
        <v>2500000</v>
      </c>
      <c r="D4" s="38"/>
    </row>
    <row r="5" spans="1:9" ht="22.2" customHeight="1" x14ac:dyDescent="0.3">
      <c r="A5" s="38"/>
      <c r="B5" s="28" t="s">
        <v>62</v>
      </c>
      <c r="C5" s="36">
        <v>2000000</v>
      </c>
      <c r="D5" s="38"/>
    </row>
    <row r="6" spans="1:9" ht="27" customHeight="1" x14ac:dyDescent="0.3">
      <c r="A6" s="38"/>
      <c r="B6" s="28" t="s">
        <v>141</v>
      </c>
      <c r="C6" s="36">
        <v>1500000</v>
      </c>
      <c r="D6" s="38"/>
    </row>
    <row r="7" spans="1:9" ht="27.6" customHeight="1" x14ac:dyDescent="0.3">
      <c r="A7" s="38"/>
      <c r="B7" s="28" t="s">
        <v>83</v>
      </c>
      <c r="C7" s="36">
        <v>900000</v>
      </c>
      <c r="D7" s="38"/>
    </row>
    <row r="8" spans="1:9" ht="27" customHeight="1" x14ac:dyDescent="0.3">
      <c r="A8" s="38"/>
      <c r="B8" s="28" t="s">
        <v>314</v>
      </c>
      <c r="C8" s="36">
        <v>750000</v>
      </c>
      <c r="D8" s="38"/>
    </row>
    <row r="9" spans="1:9" ht="28.2" customHeight="1" x14ac:dyDescent="0.3">
      <c r="A9" s="38"/>
      <c r="B9" s="28" t="s">
        <v>42</v>
      </c>
      <c r="C9" s="36">
        <v>600000</v>
      </c>
      <c r="D9" s="38"/>
    </row>
    <row r="10" spans="1:9" ht="24.6" customHeight="1" x14ac:dyDescent="0.3">
      <c r="A10" s="38"/>
      <c r="B10" s="28" t="s">
        <v>304</v>
      </c>
      <c r="C10" s="36">
        <v>450000</v>
      </c>
      <c r="D10" s="38"/>
    </row>
    <row r="11" spans="1:9" ht="29.4" customHeight="1" x14ac:dyDescent="0.3">
      <c r="A11" s="38"/>
      <c r="B11" s="28" t="s">
        <v>216</v>
      </c>
      <c r="C11" s="36">
        <v>300000</v>
      </c>
      <c r="D11" s="38"/>
    </row>
    <row r="12" spans="1:9" ht="30" customHeight="1" x14ac:dyDescent="0.3">
      <c r="A12" s="38"/>
      <c r="B12" s="28" t="s">
        <v>103</v>
      </c>
      <c r="C12" s="36">
        <v>150000</v>
      </c>
      <c r="D12" s="38"/>
      <c r="I12" s="33"/>
    </row>
    <row r="13" spans="1:9" ht="10.199999999999999" customHeight="1" x14ac:dyDescent="0.3">
      <c r="A13" s="38"/>
      <c r="B13" s="40"/>
      <c r="C13" s="40"/>
      <c r="D13" s="38"/>
    </row>
    <row r="16" spans="1:9" ht="21" x14ac:dyDescent="0.4">
      <c r="B16" s="134" t="s">
        <v>433</v>
      </c>
      <c r="C16" s="201" t="s">
        <v>432</v>
      </c>
    </row>
  </sheetData>
  <mergeCells count="1">
    <mergeCell ref="B2:C2"/>
  </mergeCells>
  <hyperlinks>
    <hyperlink ref="B16" location="Dashboard!A1" display="GO BACK TO DASHBOARD" xr:uid="{00000000-0004-0000-0200-000000000000}"/>
    <hyperlink ref="C16" location="'Individual Profile Report'!A1" display="GO TO PROFILE REPORT" xr:uid="{00000000-0004-0000-0200-000001000000}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2:I33"/>
  <sheetViews>
    <sheetView topLeftCell="A14" zoomScale="60" zoomScaleNormal="60" workbookViewId="0">
      <selection activeCell="D28" sqref="D28"/>
    </sheetView>
  </sheetViews>
  <sheetFormatPr defaultColWidth="8.88671875" defaultRowHeight="20.399999999999999" x14ac:dyDescent="0.35"/>
  <cols>
    <col min="1" max="1" width="6.44140625" style="41" customWidth="1"/>
    <col min="2" max="2" width="1.6640625" style="41" customWidth="1"/>
    <col min="3" max="3" width="41.44140625" style="41" customWidth="1"/>
    <col min="4" max="4" width="56.21875" style="41" customWidth="1"/>
    <col min="5" max="5" width="17.109375" style="41" customWidth="1"/>
    <col min="6" max="6" width="33.109375" style="41" customWidth="1"/>
    <col min="7" max="7" width="28.21875" style="41" bestFit="1" customWidth="1"/>
    <col min="8" max="8" width="34.109375" style="41" customWidth="1"/>
    <col min="9" max="9" width="2.88671875" style="41" customWidth="1"/>
    <col min="10" max="10" width="6.88671875" style="41" customWidth="1"/>
    <col min="11" max="16384" width="8.88671875" style="41"/>
  </cols>
  <sheetData>
    <row r="2" spans="2:9" ht="21" customHeight="1" x14ac:dyDescent="0.35"/>
    <row r="3" spans="2:9" ht="12" customHeight="1" x14ac:dyDescent="0.35">
      <c r="B3" s="43"/>
      <c r="C3" s="43"/>
      <c r="D3" s="43"/>
      <c r="E3" s="43"/>
      <c r="F3" s="43"/>
      <c r="G3" s="43"/>
      <c r="H3" s="43"/>
      <c r="I3" s="43"/>
    </row>
    <row r="4" spans="2:9" ht="6.6" hidden="1" customHeight="1" x14ac:dyDescent="0.35">
      <c r="B4" s="43"/>
      <c r="C4" s="42"/>
      <c r="D4" s="42"/>
      <c r="E4" s="42"/>
      <c r="F4" s="42"/>
      <c r="G4" s="42"/>
      <c r="H4" s="42"/>
      <c r="I4" s="43"/>
    </row>
    <row r="5" spans="2:9" ht="33" customHeight="1" x14ac:dyDescent="0.35">
      <c r="B5" s="43"/>
      <c r="C5" s="206" t="s">
        <v>315</v>
      </c>
      <c r="D5" s="207"/>
      <c r="E5" s="207"/>
      <c r="F5" s="207"/>
      <c r="G5" s="42"/>
      <c r="H5" s="42"/>
      <c r="I5" s="43"/>
    </row>
    <row r="6" spans="2:9" ht="28.8" customHeight="1" x14ac:dyDescent="0.35">
      <c r="B6" s="43"/>
      <c r="C6" s="44" t="s">
        <v>5</v>
      </c>
      <c r="D6" s="228" t="s">
        <v>187</v>
      </c>
      <c r="E6" s="229"/>
      <c r="F6" s="230"/>
      <c r="G6" s="42"/>
      <c r="H6" s="42"/>
      <c r="I6" s="43"/>
    </row>
    <row r="7" spans="2:9" ht="30.6" customHeight="1" x14ac:dyDescent="0.35">
      <c r="B7" s="43"/>
      <c r="C7" s="45" t="s">
        <v>6</v>
      </c>
      <c r="D7" s="208" t="s">
        <v>7</v>
      </c>
      <c r="E7" s="209"/>
      <c r="F7" s="45" t="s">
        <v>316</v>
      </c>
      <c r="G7" s="42"/>
      <c r="H7" s="42"/>
      <c r="I7" s="43"/>
    </row>
    <row r="8" spans="2:9" ht="36" customHeight="1" x14ac:dyDescent="0.35">
      <c r="B8" s="43"/>
      <c r="C8" s="46" t="str">
        <f>VLOOKUP(D6,'Account Information'!B:Z,2,FALSE)</f>
        <v>Mercado</v>
      </c>
      <c r="D8" s="212" t="str">
        <f>VLOOKUP(D6,'Account Information'!B:Z,3,FALSE)</f>
        <v>Diego</v>
      </c>
      <c r="E8" s="213"/>
      <c r="F8" s="46" t="str">
        <f>VLOOKUP(D6,'Account Information'!B:Z,4,FALSE)</f>
        <v>M.</v>
      </c>
      <c r="G8" s="42"/>
      <c r="H8" s="42"/>
      <c r="I8" s="43"/>
    </row>
    <row r="9" spans="2:9" ht="45" customHeight="1" x14ac:dyDescent="0.35">
      <c r="B9" s="43"/>
      <c r="C9" s="45" t="s">
        <v>9</v>
      </c>
      <c r="D9" s="45" t="s">
        <v>317</v>
      </c>
      <c r="E9" s="208" t="s">
        <v>313</v>
      </c>
      <c r="F9" s="209"/>
      <c r="G9" s="47" t="s">
        <v>318</v>
      </c>
      <c r="H9" s="47" t="s">
        <v>319</v>
      </c>
      <c r="I9" s="62"/>
    </row>
    <row r="10" spans="2:9" ht="49.2" customHeight="1" x14ac:dyDescent="0.35">
      <c r="B10" s="43"/>
      <c r="C10" s="48" t="str">
        <f>VLOOKUP(D6,'Account Information'!B:Z,5,FALSE)</f>
        <v>M</v>
      </c>
      <c r="D10" s="46" t="str">
        <f>VLOOKUP(D6,'Account Information'!B:Z,14,FALSE)</f>
        <v>Mastercard Classic</v>
      </c>
      <c r="E10" s="210">
        <f>VLOOKUP(D10,'Card Info'!B:C,2,FALSE)</f>
        <v>600000</v>
      </c>
      <c r="F10" s="211"/>
      <c r="G10" s="49">
        <f>VLOOKUP(D6,'Account Information'!B:Z,15,FALSE)</f>
        <v>45276</v>
      </c>
      <c r="H10" s="49">
        <f>VLOOKUP(D6,'Account Information'!B:Z,16,FALSE)</f>
        <v>47118</v>
      </c>
      <c r="I10" s="62"/>
    </row>
    <row r="11" spans="2:9" ht="18.600000000000001" customHeight="1" x14ac:dyDescent="0.35">
      <c r="B11" s="43"/>
      <c r="C11" s="50"/>
      <c r="D11" s="50"/>
      <c r="E11" s="51"/>
      <c r="F11" s="51"/>
      <c r="G11" s="52"/>
      <c r="H11" s="52"/>
      <c r="I11" s="62"/>
    </row>
    <row r="12" spans="2:9" ht="21" customHeight="1" x14ac:dyDescent="0.35">
      <c r="B12" s="61"/>
      <c r="C12" s="61"/>
      <c r="D12" s="61"/>
      <c r="E12" s="61"/>
      <c r="F12" s="61"/>
      <c r="G12" s="61"/>
      <c r="H12" s="61"/>
      <c r="I12" s="63"/>
    </row>
    <row r="13" spans="2:9" ht="12" customHeight="1" x14ac:dyDescent="0.35">
      <c r="B13" s="43"/>
      <c r="C13" s="43"/>
      <c r="D13" s="43"/>
      <c r="E13" s="43"/>
      <c r="F13" s="43"/>
      <c r="G13" s="43"/>
      <c r="H13" s="43"/>
      <c r="I13" s="62"/>
    </row>
    <row r="14" spans="2:9" ht="40.799999999999997" customHeight="1" x14ac:dyDescent="0.35">
      <c r="B14" s="43"/>
      <c r="C14" s="238" t="s">
        <v>320</v>
      </c>
      <c r="D14" s="239"/>
      <c r="E14" s="239"/>
      <c r="F14" s="239"/>
      <c r="G14" s="239"/>
      <c r="H14" s="240"/>
      <c r="I14" s="62"/>
    </row>
    <row r="15" spans="2:9" ht="49.2" customHeight="1" x14ac:dyDescent="0.35">
      <c r="B15" s="43"/>
      <c r="C15" s="53" t="s">
        <v>321</v>
      </c>
      <c r="D15" s="225" t="str">
        <f>VLOOKUP(D6,'Account Information'!B:Z,6,FALSE)</f>
        <v>103 A. Villegas Street, Barangay 671, Manila, Metro Manila, Philippines</v>
      </c>
      <c r="E15" s="226"/>
      <c r="F15" s="226"/>
      <c r="G15" s="226"/>
      <c r="H15" s="227"/>
      <c r="I15" s="62"/>
    </row>
    <row r="16" spans="2:9" ht="57.6" customHeight="1" thickBot="1" x14ac:dyDescent="0.4">
      <c r="B16" s="43"/>
      <c r="C16" s="54" t="s">
        <v>322</v>
      </c>
      <c r="D16" s="217" t="str">
        <f>VLOOKUP(D6,'Account Information'!B:Z,7,FALSE)</f>
        <v>8 Rizal Street, Barangay Poblacion, Nasugbu, Batangas, Philippines</v>
      </c>
      <c r="E16" s="218"/>
      <c r="F16" s="218"/>
      <c r="G16" s="218"/>
      <c r="H16" s="219"/>
      <c r="I16" s="62"/>
    </row>
    <row r="17" spans="2:9" ht="44.4" customHeight="1" x14ac:dyDescent="0.35">
      <c r="B17" s="43"/>
      <c r="C17" s="55" t="s">
        <v>323</v>
      </c>
      <c r="D17" s="56" t="s">
        <v>324</v>
      </c>
      <c r="E17" s="235" t="s">
        <v>325</v>
      </c>
      <c r="F17" s="234"/>
      <c r="G17" s="235" t="s">
        <v>326</v>
      </c>
      <c r="H17" s="236"/>
      <c r="I17" s="62"/>
    </row>
    <row r="18" spans="2:9" ht="43.8" customHeight="1" thickBot="1" x14ac:dyDescent="0.4">
      <c r="B18" s="43"/>
      <c r="C18" s="57">
        <f>VLOOKUP(D6,'Account Information'!B:Z,8,FALSE)</f>
        <v>1004</v>
      </c>
      <c r="D18" s="58" t="str">
        <f>VLOOKUP(D6,'Account Information'!B:Z,10,FALSE)</f>
        <v>(02) 8998-9902</v>
      </c>
      <c r="E18" s="217" t="str">
        <f>VLOOKUP(D6,'Account Information'!B:Z,11,FALSE)</f>
        <v>(02) 7394-1333</v>
      </c>
      <c r="F18" s="216"/>
      <c r="G18" s="217" t="str">
        <f>VLOOKUP(D6,'Account Information'!B:Z,12,FALSE)</f>
        <v>(02) 7982-4433</v>
      </c>
      <c r="H18" s="219"/>
      <c r="I18" s="62"/>
    </row>
    <row r="19" spans="2:9" ht="49.2" customHeight="1" x14ac:dyDescent="0.35">
      <c r="B19" s="43"/>
      <c r="C19" s="233" t="s">
        <v>327</v>
      </c>
      <c r="D19" s="234"/>
      <c r="E19" s="235" t="s">
        <v>328</v>
      </c>
      <c r="F19" s="237"/>
      <c r="G19" s="237"/>
      <c r="H19" s="236"/>
      <c r="I19" s="62"/>
    </row>
    <row r="20" spans="2:9" ht="37.200000000000003" customHeight="1" thickBot="1" x14ac:dyDescent="0.4">
      <c r="B20" s="43"/>
      <c r="C20" s="215" t="str">
        <f>VLOOKUP(D6,'Account Information'!B:Z,13,FALSE)</f>
        <v>0989-215-4344</v>
      </c>
      <c r="D20" s="216"/>
      <c r="E20" s="217" t="str">
        <f>VLOOKUP(D6,'Account Information'!B:Z,9,FALSE)</f>
        <v>diegomercado@gmail.com</v>
      </c>
      <c r="F20" s="218"/>
      <c r="G20" s="218"/>
      <c r="H20" s="219"/>
      <c r="I20" s="62"/>
    </row>
    <row r="21" spans="2:9" ht="12" customHeight="1" x14ac:dyDescent="0.35">
      <c r="B21" s="43"/>
      <c r="C21" s="50"/>
      <c r="D21" s="50"/>
      <c r="E21" s="50"/>
      <c r="F21" s="50"/>
      <c r="G21" s="50"/>
      <c r="H21" s="50"/>
      <c r="I21" s="62"/>
    </row>
    <row r="22" spans="2:9" ht="19.2" customHeight="1" x14ac:dyDescent="0.35">
      <c r="B22" s="61"/>
      <c r="C22" s="64"/>
      <c r="D22" s="64"/>
      <c r="E22" s="64"/>
      <c r="F22" s="64"/>
      <c r="G22" s="64"/>
      <c r="H22" s="64"/>
      <c r="I22" s="63"/>
    </row>
    <row r="23" spans="2:9" ht="8.4" customHeight="1" x14ac:dyDescent="0.35">
      <c r="B23" s="61"/>
      <c r="C23" s="64"/>
      <c r="D23" s="64"/>
      <c r="E23" s="64"/>
      <c r="F23" s="64"/>
      <c r="G23" s="64"/>
      <c r="H23" s="64"/>
      <c r="I23" s="63"/>
    </row>
    <row r="24" spans="2:9" ht="11.4" customHeight="1" thickBot="1" x14ac:dyDescent="0.4">
      <c r="B24" s="43"/>
      <c r="C24" s="43"/>
      <c r="D24" s="43"/>
      <c r="E24" s="43"/>
      <c r="F24" s="43"/>
      <c r="G24" s="43"/>
      <c r="H24" s="43"/>
      <c r="I24" s="62"/>
    </row>
    <row r="25" spans="2:9" ht="45.6" customHeight="1" x14ac:dyDescent="0.35">
      <c r="B25" s="43"/>
      <c r="C25" s="220" t="s">
        <v>329</v>
      </c>
      <c r="D25" s="221"/>
      <c r="E25" s="220" t="s">
        <v>330</v>
      </c>
      <c r="F25" s="222"/>
      <c r="G25" s="222"/>
      <c r="H25" s="221"/>
      <c r="I25" s="62"/>
    </row>
    <row r="26" spans="2:9" ht="38.4" customHeight="1" x14ac:dyDescent="0.35">
      <c r="B26" s="43"/>
      <c r="C26" s="53" t="s">
        <v>331</v>
      </c>
      <c r="D26" s="59" t="str">
        <f>VLOOKUP(D6,'Account Information'!B:Z,17,FALSE)</f>
        <v>Samsung Electronics</v>
      </c>
      <c r="E26" s="223" t="s">
        <v>331</v>
      </c>
      <c r="F26" s="224"/>
      <c r="G26" s="225" t="str">
        <f>VLOOKUP(D6,'Account Information'!B:AA,22,FALSE)</f>
        <v>G-Cash</v>
      </c>
      <c r="H26" s="227"/>
      <c r="I26" s="62"/>
    </row>
    <row r="27" spans="2:9" ht="34.200000000000003" customHeight="1" x14ac:dyDescent="0.35">
      <c r="B27" s="43"/>
      <c r="C27" s="53" t="s">
        <v>332</v>
      </c>
      <c r="D27" s="59" t="str">
        <f>VLOOKUP(D6,'Account Information'!B:Z,19,FALSE)</f>
        <v>(02) 7028-9999</v>
      </c>
      <c r="E27" s="223" t="s">
        <v>332</v>
      </c>
      <c r="F27" s="224"/>
      <c r="G27" s="225" t="str">
        <f>VLOOKUP(D6,'Account Information'!B:AA,23,FALSE)</f>
        <v>(02) 5647-3829</v>
      </c>
      <c r="H27" s="227"/>
      <c r="I27" s="62"/>
    </row>
    <row r="28" spans="2:9" ht="46.8" customHeight="1" thickBot="1" x14ac:dyDescent="0.4">
      <c r="B28" s="43"/>
      <c r="C28" s="54" t="s">
        <v>333</v>
      </c>
      <c r="D28" s="60" t="str">
        <f>VLOOKUP(D6,'Account Information'!B:Z,20,FALSE)</f>
        <v>Firmware Engineer</v>
      </c>
      <c r="E28" s="231" t="s">
        <v>334</v>
      </c>
      <c r="F28" s="232"/>
      <c r="G28" s="217" t="str">
        <f>VLOOKUP(D6,'Account Information'!B:AA,24,FALSE)</f>
        <v>Firmware Engineer</v>
      </c>
      <c r="H28" s="219"/>
      <c r="I28" s="62"/>
    </row>
    <row r="29" spans="2:9" ht="12" customHeight="1" x14ac:dyDescent="0.35">
      <c r="B29" s="43"/>
      <c r="C29" s="43"/>
      <c r="D29" s="43"/>
      <c r="E29" s="43"/>
      <c r="F29" s="43"/>
      <c r="G29" s="43"/>
      <c r="H29" s="43"/>
      <c r="I29" s="62"/>
    </row>
    <row r="30" spans="2:9" ht="68.400000000000006" customHeight="1" x14ac:dyDescent="0.35">
      <c r="B30" s="61"/>
      <c r="C30" s="214" t="s">
        <v>417</v>
      </c>
      <c r="D30" s="214"/>
      <c r="E30" s="61"/>
      <c r="F30" s="214" t="s">
        <v>339</v>
      </c>
      <c r="G30" s="214"/>
      <c r="H30" s="61"/>
      <c r="I30" s="63"/>
    </row>
    <row r="31" spans="2:9" ht="22.8" x14ac:dyDescent="0.35">
      <c r="B31" s="61"/>
      <c r="C31" s="214"/>
      <c r="D31" s="214"/>
      <c r="E31" s="61"/>
      <c r="F31" s="214" t="s">
        <v>3</v>
      </c>
      <c r="G31" s="214"/>
      <c r="H31" s="61"/>
      <c r="I31" s="63"/>
    </row>
    <row r="32" spans="2:9" x14ac:dyDescent="0.35">
      <c r="B32" s="61"/>
      <c r="C32" s="61"/>
      <c r="D32" s="61"/>
      <c r="E32" s="61"/>
      <c r="F32" s="61"/>
      <c r="G32" s="61"/>
      <c r="H32" s="61"/>
      <c r="I32" s="63"/>
    </row>
    <row r="33" spans="2:9" x14ac:dyDescent="0.35">
      <c r="B33" s="61"/>
      <c r="C33" s="61"/>
      <c r="D33" s="61"/>
      <c r="E33" s="61"/>
      <c r="F33" s="61"/>
      <c r="G33" s="61"/>
      <c r="H33" s="61"/>
      <c r="I33" s="63"/>
    </row>
  </sheetData>
  <mergeCells count="28">
    <mergeCell ref="D15:H15"/>
    <mergeCell ref="D16:H16"/>
    <mergeCell ref="D6:F6"/>
    <mergeCell ref="E28:F28"/>
    <mergeCell ref="G26:H26"/>
    <mergeCell ref="G27:H27"/>
    <mergeCell ref="G28:H28"/>
    <mergeCell ref="C19:D19"/>
    <mergeCell ref="E17:F17"/>
    <mergeCell ref="E18:F18"/>
    <mergeCell ref="G17:H17"/>
    <mergeCell ref="G18:H18"/>
    <mergeCell ref="E19:H19"/>
    <mergeCell ref="C14:H14"/>
    <mergeCell ref="C30:D31"/>
    <mergeCell ref="F30:G30"/>
    <mergeCell ref="F31:G31"/>
    <mergeCell ref="C20:D20"/>
    <mergeCell ref="E20:H20"/>
    <mergeCell ref="C25:D25"/>
    <mergeCell ref="E25:H25"/>
    <mergeCell ref="E26:F26"/>
    <mergeCell ref="E27:F27"/>
    <mergeCell ref="C5:F5"/>
    <mergeCell ref="E9:F9"/>
    <mergeCell ref="E10:F10"/>
    <mergeCell ref="D7:E7"/>
    <mergeCell ref="D8:E8"/>
  </mergeCells>
  <hyperlinks>
    <hyperlink ref="C30:D31" location="Dashboard!A1" display="[Go Back To Dashboard]" xr:uid="{00000000-0004-0000-0300-000000000000}"/>
    <hyperlink ref="F30:G30" location="'Amount Purchased'!A1" display="[Amount Purchased:]" xr:uid="{00000000-0004-0000-0300-000001000000}"/>
    <hyperlink ref="F31:G31" location="'Confirmation Letter'!A1" display="[Confirmation Letter]" xr:uid="{00000000-0004-0000-0300-000002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'Account Information'!$B$2:$B$17</xm:f>
          </x14:formula1>
          <xm:sqref>D6:F6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G24"/>
  <sheetViews>
    <sheetView zoomScale="76" zoomScaleNormal="76" workbookViewId="0">
      <selection activeCell="E11" sqref="E11"/>
    </sheetView>
  </sheetViews>
  <sheetFormatPr defaultColWidth="8.88671875" defaultRowHeight="15" x14ac:dyDescent="0.25"/>
  <cols>
    <col min="1" max="1" width="2.88671875" style="68" customWidth="1"/>
    <col min="2" max="2" width="33.44140625" style="68" customWidth="1"/>
    <col min="3" max="3" width="31.5546875" style="70" bestFit="1" customWidth="1"/>
    <col min="4" max="4" width="37.44140625" style="68" bestFit="1" customWidth="1"/>
    <col min="5" max="5" width="90.109375" style="68" customWidth="1"/>
    <col min="6" max="6" width="28.88671875" style="68" customWidth="1"/>
    <col min="7" max="7" width="2.44140625" style="68" customWidth="1"/>
    <col min="8" max="16384" width="8.88671875" style="68"/>
  </cols>
  <sheetData>
    <row r="1" spans="1:7" x14ac:dyDescent="0.25">
      <c r="A1" s="119"/>
      <c r="B1" s="119"/>
      <c r="C1" s="120"/>
      <c r="D1" s="119"/>
      <c r="E1" s="119"/>
      <c r="F1" s="119"/>
      <c r="G1" s="119"/>
    </row>
    <row r="2" spans="1:7" ht="37.799999999999997" customHeight="1" x14ac:dyDescent="0.25">
      <c r="A2" s="119"/>
      <c r="B2" s="241" t="s">
        <v>339</v>
      </c>
      <c r="C2" s="242"/>
      <c r="D2" s="242"/>
      <c r="E2" s="242"/>
      <c r="F2" s="242"/>
      <c r="G2" s="119"/>
    </row>
    <row r="3" spans="1:7" ht="36.6" customHeight="1" x14ac:dyDescent="0.25">
      <c r="A3" s="119"/>
      <c r="B3" s="66" t="s">
        <v>5</v>
      </c>
      <c r="C3" s="66" t="s">
        <v>336</v>
      </c>
      <c r="D3" s="66" t="s">
        <v>337</v>
      </c>
      <c r="E3" s="66" t="s">
        <v>340</v>
      </c>
      <c r="F3" s="66" t="s">
        <v>341</v>
      </c>
      <c r="G3" s="119"/>
    </row>
    <row r="4" spans="1:7" ht="25.35" customHeight="1" x14ac:dyDescent="0.25">
      <c r="A4" s="119"/>
      <c r="B4" s="130" t="s">
        <v>30</v>
      </c>
      <c r="C4" s="131">
        <v>45570</v>
      </c>
      <c r="D4" s="131">
        <f t="shared" ref="D4:D18" si="0">C4+1</f>
        <v>45571</v>
      </c>
      <c r="E4" s="130" t="s">
        <v>342</v>
      </c>
      <c r="F4" s="132">
        <v>25000</v>
      </c>
      <c r="G4" s="119"/>
    </row>
    <row r="5" spans="1:7" ht="28.65" customHeight="1" x14ac:dyDescent="0.25">
      <c r="A5" s="119"/>
      <c r="B5" s="20" t="s">
        <v>51</v>
      </c>
      <c r="C5" s="67">
        <v>45332</v>
      </c>
      <c r="D5" s="67">
        <f t="shared" si="0"/>
        <v>45333</v>
      </c>
      <c r="E5" s="20" t="s">
        <v>343</v>
      </c>
      <c r="F5" s="21">
        <v>1800</v>
      </c>
      <c r="G5" s="119"/>
    </row>
    <row r="6" spans="1:7" ht="28.35" customHeight="1" x14ac:dyDescent="0.25">
      <c r="A6" s="119"/>
      <c r="B6" s="130" t="s">
        <v>71</v>
      </c>
      <c r="C6" s="131">
        <v>45294</v>
      </c>
      <c r="D6" s="131">
        <f t="shared" si="0"/>
        <v>45295</v>
      </c>
      <c r="E6" s="130" t="s">
        <v>344</v>
      </c>
      <c r="F6" s="132">
        <v>3500</v>
      </c>
      <c r="G6" s="119"/>
    </row>
    <row r="7" spans="1:7" ht="26.4" customHeight="1" x14ac:dyDescent="0.25">
      <c r="A7" s="119"/>
      <c r="B7" s="20" t="s">
        <v>92</v>
      </c>
      <c r="C7" s="67">
        <v>45552</v>
      </c>
      <c r="D7" s="67">
        <f t="shared" si="0"/>
        <v>45553</v>
      </c>
      <c r="E7" s="20" t="s">
        <v>345</v>
      </c>
      <c r="F7" s="21">
        <v>2200</v>
      </c>
      <c r="G7" s="119"/>
    </row>
    <row r="8" spans="1:7" ht="27" customHeight="1" x14ac:dyDescent="0.25">
      <c r="A8" s="119"/>
      <c r="B8" s="130" t="s">
        <v>112</v>
      </c>
      <c r="C8" s="131">
        <v>45584</v>
      </c>
      <c r="D8" s="131">
        <f t="shared" si="0"/>
        <v>45585</v>
      </c>
      <c r="E8" s="130" t="s">
        <v>346</v>
      </c>
      <c r="F8" s="132">
        <v>1500</v>
      </c>
      <c r="G8" s="119"/>
    </row>
    <row r="9" spans="1:7" ht="27.6" customHeight="1" x14ac:dyDescent="0.25">
      <c r="A9" s="119"/>
      <c r="B9" s="20" t="s">
        <v>130</v>
      </c>
      <c r="C9" s="67">
        <v>45575</v>
      </c>
      <c r="D9" s="67">
        <f t="shared" si="0"/>
        <v>45576</v>
      </c>
      <c r="E9" s="20" t="s">
        <v>347</v>
      </c>
      <c r="F9" s="21">
        <v>600</v>
      </c>
      <c r="G9" s="119"/>
    </row>
    <row r="10" spans="1:7" ht="27.6" customHeight="1" x14ac:dyDescent="0.25">
      <c r="A10" s="119"/>
      <c r="B10" s="130" t="s">
        <v>149</v>
      </c>
      <c r="C10" s="131">
        <v>45481</v>
      </c>
      <c r="D10" s="131">
        <f t="shared" si="0"/>
        <v>45482</v>
      </c>
      <c r="E10" s="130" t="s">
        <v>348</v>
      </c>
      <c r="F10" s="132">
        <v>50000</v>
      </c>
      <c r="G10" s="119"/>
    </row>
    <row r="11" spans="1:7" ht="27" customHeight="1" x14ac:dyDescent="0.25">
      <c r="A11" s="119"/>
      <c r="B11" s="20" t="s">
        <v>167</v>
      </c>
      <c r="C11" s="67">
        <v>45442</v>
      </c>
      <c r="D11" s="67">
        <f t="shared" si="0"/>
        <v>45443</v>
      </c>
      <c r="E11" s="20" t="s">
        <v>349</v>
      </c>
      <c r="F11" s="21">
        <v>250</v>
      </c>
      <c r="G11" s="119"/>
    </row>
    <row r="12" spans="1:7" ht="24.6" customHeight="1" x14ac:dyDescent="0.25">
      <c r="A12" s="119"/>
      <c r="B12" s="130" t="s">
        <v>187</v>
      </c>
      <c r="C12" s="131">
        <v>45496</v>
      </c>
      <c r="D12" s="131">
        <f t="shared" si="0"/>
        <v>45497</v>
      </c>
      <c r="E12" s="130" t="s">
        <v>350</v>
      </c>
      <c r="F12" s="132">
        <v>1000</v>
      </c>
      <c r="G12" s="119"/>
    </row>
    <row r="13" spans="1:7" ht="26.4" customHeight="1" x14ac:dyDescent="0.25">
      <c r="A13" s="119"/>
      <c r="B13" s="20" t="s">
        <v>205</v>
      </c>
      <c r="C13" s="67">
        <v>45532</v>
      </c>
      <c r="D13" s="67">
        <f t="shared" si="0"/>
        <v>45533</v>
      </c>
      <c r="E13" s="20" t="s">
        <v>351</v>
      </c>
      <c r="F13" s="21">
        <v>3000</v>
      </c>
      <c r="G13" s="119"/>
    </row>
    <row r="14" spans="1:7" ht="27.6" customHeight="1" x14ac:dyDescent="0.25">
      <c r="A14" s="119"/>
      <c r="B14" s="130" t="s">
        <v>224</v>
      </c>
      <c r="C14" s="131">
        <v>45564</v>
      </c>
      <c r="D14" s="131">
        <f t="shared" si="0"/>
        <v>45565</v>
      </c>
      <c r="E14" s="130" t="s">
        <v>352</v>
      </c>
      <c r="F14" s="132">
        <v>1200</v>
      </c>
      <c r="G14" s="119"/>
    </row>
    <row r="15" spans="1:7" ht="24.6" customHeight="1" x14ac:dyDescent="0.25">
      <c r="A15" s="119"/>
      <c r="B15" s="20" t="s">
        <v>130</v>
      </c>
      <c r="C15" s="67">
        <v>45370</v>
      </c>
      <c r="D15" s="67">
        <f t="shared" si="0"/>
        <v>45371</v>
      </c>
      <c r="E15" s="20" t="s">
        <v>353</v>
      </c>
      <c r="F15" s="21">
        <v>3500</v>
      </c>
      <c r="G15" s="119"/>
    </row>
    <row r="16" spans="1:7" ht="25.35" customHeight="1" x14ac:dyDescent="0.25">
      <c r="A16" s="119"/>
      <c r="B16" s="130" t="s">
        <v>260</v>
      </c>
      <c r="C16" s="131">
        <v>45398</v>
      </c>
      <c r="D16" s="131">
        <f t="shared" si="0"/>
        <v>45399</v>
      </c>
      <c r="E16" s="130" t="s">
        <v>354</v>
      </c>
      <c r="F16" s="132">
        <v>200</v>
      </c>
      <c r="G16" s="119"/>
    </row>
    <row r="17" spans="1:7" ht="27" customHeight="1" x14ac:dyDescent="0.25">
      <c r="A17" s="119"/>
      <c r="B17" s="20" t="s">
        <v>276</v>
      </c>
      <c r="C17" s="67">
        <v>45448</v>
      </c>
      <c r="D17" s="67">
        <f t="shared" si="0"/>
        <v>45449</v>
      </c>
      <c r="E17" s="20" t="s">
        <v>355</v>
      </c>
      <c r="F17" s="21">
        <v>5000</v>
      </c>
      <c r="G17" s="119"/>
    </row>
    <row r="18" spans="1:7" ht="34.200000000000003" customHeight="1" x14ac:dyDescent="0.25">
      <c r="A18" s="119"/>
      <c r="B18" s="130" t="s">
        <v>294</v>
      </c>
      <c r="C18" s="131">
        <v>45586</v>
      </c>
      <c r="D18" s="131">
        <f t="shared" si="0"/>
        <v>45587</v>
      </c>
      <c r="E18" s="130" t="s">
        <v>356</v>
      </c>
      <c r="F18" s="132">
        <v>4000</v>
      </c>
      <c r="G18" s="119"/>
    </row>
    <row r="19" spans="1:7" x14ac:dyDescent="0.25">
      <c r="A19" s="119"/>
      <c r="B19" s="121"/>
      <c r="C19" s="122"/>
      <c r="D19" s="123"/>
      <c r="E19" s="123"/>
      <c r="F19" s="123"/>
      <c r="G19" s="119"/>
    </row>
    <row r="20" spans="1:7" x14ac:dyDescent="0.25">
      <c r="B20" s="128"/>
      <c r="C20" s="129"/>
      <c r="D20" s="69"/>
      <c r="E20" s="69"/>
      <c r="F20" s="69"/>
    </row>
    <row r="21" spans="1:7" ht="21" x14ac:dyDescent="0.4">
      <c r="B21" s="89" t="s">
        <v>427</v>
      </c>
      <c r="C21" s="124"/>
      <c r="D21" s="134" t="s">
        <v>1</v>
      </c>
    </row>
    <row r="22" spans="1:7" ht="15.6" x14ac:dyDescent="0.3">
      <c r="B22" s="126"/>
      <c r="C22" s="126"/>
      <c r="D22" s="127"/>
      <c r="E22" s="127"/>
    </row>
    <row r="23" spans="1:7" ht="31.35" customHeight="1" x14ac:dyDescent="0.25"/>
    <row r="24" spans="1:7" ht="36.6" customHeight="1" x14ac:dyDescent="0.25"/>
  </sheetData>
  <mergeCells count="1">
    <mergeCell ref="B2:F2"/>
  </mergeCells>
  <hyperlinks>
    <hyperlink ref="D21" location="'Cash Advance Transactions'!A1" display="[Cash Advance Transactions]" xr:uid="{00000000-0004-0000-0400-000000000000}"/>
    <hyperlink ref="B21" location="Dashboard!A1" display="[Go Back to Dashboard]" xr:uid="{00000000-0004-0000-0400-000001000000}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N33"/>
  <sheetViews>
    <sheetView zoomScale="66" zoomScaleNormal="66" workbookViewId="0">
      <selection activeCell="D9" sqref="D9"/>
    </sheetView>
  </sheetViews>
  <sheetFormatPr defaultColWidth="8.88671875" defaultRowHeight="17.399999999999999" x14ac:dyDescent="0.3"/>
  <cols>
    <col min="1" max="1" width="2" style="71" customWidth="1"/>
    <col min="2" max="2" width="48" style="71" customWidth="1"/>
    <col min="3" max="3" width="37.21875" style="71" customWidth="1"/>
    <col min="4" max="4" width="43.6640625" style="78" customWidth="1"/>
    <col min="5" max="5" width="43.44140625" style="71" customWidth="1"/>
    <col min="6" max="6" width="2.109375" style="71" customWidth="1"/>
    <col min="7" max="7" width="2.44140625" style="71" customWidth="1"/>
    <col min="8" max="16384" width="8.88671875" style="71"/>
  </cols>
  <sheetData>
    <row r="1" spans="1:14" x14ac:dyDescent="0.3">
      <c r="A1" s="82"/>
      <c r="B1" s="82"/>
      <c r="C1" s="82"/>
      <c r="D1" s="83"/>
      <c r="E1" s="82"/>
      <c r="F1" s="82"/>
    </row>
    <row r="2" spans="1:14" ht="54.6" customHeight="1" x14ac:dyDescent="0.3">
      <c r="A2" s="82"/>
      <c r="B2" s="243" t="s">
        <v>1</v>
      </c>
      <c r="C2" s="244"/>
      <c r="D2" s="244"/>
      <c r="E2" s="244"/>
      <c r="F2" s="82"/>
    </row>
    <row r="3" spans="1:14" ht="28.8" customHeight="1" x14ac:dyDescent="0.3">
      <c r="A3" s="82"/>
      <c r="B3" s="72" t="s">
        <v>5</v>
      </c>
      <c r="C3" s="72" t="s">
        <v>335</v>
      </c>
      <c r="D3" s="72" t="s">
        <v>336</v>
      </c>
      <c r="E3" s="72" t="s">
        <v>337</v>
      </c>
      <c r="F3" s="84"/>
      <c r="G3" s="73"/>
      <c r="H3" s="73"/>
      <c r="I3" s="73"/>
      <c r="J3" s="73"/>
      <c r="K3" s="73"/>
      <c r="L3" s="73"/>
      <c r="M3" s="73"/>
      <c r="N3" s="73"/>
    </row>
    <row r="4" spans="1:14" ht="31.2" customHeight="1" x14ac:dyDescent="0.3">
      <c r="A4" s="82"/>
      <c r="B4" s="79" t="s">
        <v>30</v>
      </c>
      <c r="C4" s="80">
        <v>5000</v>
      </c>
      <c r="D4" s="81">
        <v>45569</v>
      </c>
      <c r="E4" s="81">
        <f t="shared" ref="E4:E18" si="0">D4+1</f>
        <v>45570</v>
      </c>
      <c r="F4" s="82"/>
    </row>
    <row r="5" spans="1:14" ht="40.799999999999997" customHeight="1" x14ac:dyDescent="0.3">
      <c r="A5" s="82"/>
      <c r="B5" s="74" t="s">
        <v>51</v>
      </c>
      <c r="C5" s="75">
        <v>1000</v>
      </c>
      <c r="D5" s="76">
        <v>45542</v>
      </c>
      <c r="E5" s="76">
        <f t="shared" si="0"/>
        <v>45543</v>
      </c>
      <c r="F5" s="82"/>
    </row>
    <row r="6" spans="1:14" ht="37.799999999999997" customHeight="1" x14ac:dyDescent="0.3">
      <c r="A6" s="82"/>
      <c r="B6" s="79" t="s">
        <v>71</v>
      </c>
      <c r="C6" s="80">
        <v>1500</v>
      </c>
      <c r="D6" s="81">
        <v>45384</v>
      </c>
      <c r="E6" s="81">
        <f t="shared" si="0"/>
        <v>45385</v>
      </c>
      <c r="F6" s="82"/>
    </row>
    <row r="7" spans="1:14" ht="37.200000000000003" customHeight="1" x14ac:dyDescent="0.3">
      <c r="A7" s="82"/>
      <c r="B7" s="74" t="s">
        <v>92</v>
      </c>
      <c r="C7" s="75">
        <v>1200</v>
      </c>
      <c r="D7" s="76">
        <v>45477</v>
      </c>
      <c r="E7" s="76">
        <f t="shared" si="0"/>
        <v>45478</v>
      </c>
      <c r="F7" s="82"/>
    </row>
    <row r="8" spans="1:14" ht="34.200000000000003" customHeight="1" x14ac:dyDescent="0.3">
      <c r="A8" s="82"/>
      <c r="B8" s="79" t="s">
        <v>112</v>
      </c>
      <c r="C8" s="80">
        <v>750</v>
      </c>
      <c r="D8" s="81">
        <v>45536</v>
      </c>
      <c r="E8" s="81">
        <f t="shared" si="0"/>
        <v>45537</v>
      </c>
      <c r="F8" s="82"/>
    </row>
    <row r="9" spans="1:14" ht="40.799999999999997" customHeight="1" x14ac:dyDescent="0.3">
      <c r="A9" s="82"/>
      <c r="B9" s="74" t="s">
        <v>130</v>
      </c>
      <c r="C9" s="75">
        <v>400</v>
      </c>
      <c r="D9" s="76">
        <v>45328</v>
      </c>
      <c r="E9" s="76">
        <f t="shared" si="0"/>
        <v>45329</v>
      </c>
      <c r="F9" s="82"/>
    </row>
    <row r="10" spans="1:14" ht="36" customHeight="1" x14ac:dyDescent="0.3">
      <c r="A10" s="82"/>
      <c r="B10" s="79" t="s">
        <v>149</v>
      </c>
      <c r="C10" s="80">
        <v>10000</v>
      </c>
      <c r="D10" s="81">
        <v>45433</v>
      </c>
      <c r="E10" s="81">
        <f t="shared" si="0"/>
        <v>45434</v>
      </c>
      <c r="F10" s="82"/>
    </row>
    <row r="11" spans="1:14" ht="36.6" customHeight="1" x14ac:dyDescent="0.3">
      <c r="A11" s="82"/>
      <c r="B11" s="74" t="s">
        <v>167</v>
      </c>
      <c r="C11" s="75">
        <v>100</v>
      </c>
      <c r="D11" s="76">
        <v>45575</v>
      </c>
      <c r="E11" s="76">
        <f t="shared" si="0"/>
        <v>45576</v>
      </c>
      <c r="F11" s="82"/>
    </row>
    <row r="12" spans="1:14" ht="39" customHeight="1" x14ac:dyDescent="0.3">
      <c r="A12" s="82"/>
      <c r="B12" s="79" t="s">
        <v>187</v>
      </c>
      <c r="C12" s="80">
        <v>500</v>
      </c>
      <c r="D12" s="81">
        <v>45584</v>
      </c>
      <c r="E12" s="81">
        <f t="shared" si="0"/>
        <v>45585</v>
      </c>
      <c r="F12" s="82"/>
    </row>
    <row r="13" spans="1:14" ht="39.6" customHeight="1" x14ac:dyDescent="0.3">
      <c r="A13" s="82"/>
      <c r="B13" s="74" t="s">
        <v>205</v>
      </c>
      <c r="C13" s="75">
        <v>1500</v>
      </c>
      <c r="D13" s="76">
        <v>45471</v>
      </c>
      <c r="E13" s="76">
        <f t="shared" si="0"/>
        <v>45472</v>
      </c>
      <c r="F13" s="82"/>
    </row>
    <row r="14" spans="1:14" ht="43.2" customHeight="1" x14ac:dyDescent="0.3">
      <c r="A14" s="82"/>
      <c r="B14" s="79" t="s">
        <v>224</v>
      </c>
      <c r="C14" s="80">
        <v>750</v>
      </c>
      <c r="D14" s="81">
        <v>45502</v>
      </c>
      <c r="E14" s="81">
        <f t="shared" si="0"/>
        <v>45503</v>
      </c>
      <c r="F14" s="82"/>
    </row>
    <row r="15" spans="1:14" ht="36" customHeight="1" x14ac:dyDescent="0.3">
      <c r="A15" s="82"/>
      <c r="B15" s="74" t="s">
        <v>130</v>
      </c>
      <c r="C15" s="75">
        <v>1250</v>
      </c>
      <c r="D15" s="76">
        <v>45296</v>
      </c>
      <c r="E15" s="76">
        <f t="shared" si="0"/>
        <v>45297</v>
      </c>
      <c r="F15" s="82"/>
    </row>
    <row r="16" spans="1:14" ht="40.799999999999997" customHeight="1" x14ac:dyDescent="0.3">
      <c r="A16" s="82"/>
      <c r="B16" s="79" t="s">
        <v>260</v>
      </c>
      <c r="C16" s="80">
        <v>100</v>
      </c>
      <c r="D16" s="81">
        <v>45551</v>
      </c>
      <c r="E16" s="81">
        <f t="shared" si="0"/>
        <v>45552</v>
      </c>
      <c r="F16" s="82"/>
    </row>
    <row r="17" spans="1:14" ht="39.6" customHeight="1" x14ac:dyDescent="0.3">
      <c r="A17" s="82"/>
      <c r="B17" s="74" t="s">
        <v>276</v>
      </c>
      <c r="C17" s="75">
        <v>2500</v>
      </c>
      <c r="D17" s="76">
        <v>45516</v>
      </c>
      <c r="E17" s="76">
        <f t="shared" si="0"/>
        <v>45517</v>
      </c>
      <c r="F17" s="82"/>
    </row>
    <row r="18" spans="1:14" ht="39.6" customHeight="1" x14ac:dyDescent="0.3">
      <c r="A18" s="82"/>
      <c r="B18" s="79" t="s">
        <v>294</v>
      </c>
      <c r="C18" s="80">
        <v>2000</v>
      </c>
      <c r="D18" s="81">
        <v>45324</v>
      </c>
      <c r="E18" s="81">
        <f t="shared" si="0"/>
        <v>45325</v>
      </c>
      <c r="F18" s="82"/>
    </row>
    <row r="19" spans="1:14" ht="15" customHeight="1" x14ac:dyDescent="0.3">
      <c r="A19" s="82"/>
      <c r="B19" s="85"/>
      <c r="C19" s="85"/>
      <c r="D19" s="86"/>
      <c r="E19" s="85"/>
      <c r="F19" s="85"/>
      <c r="G19" s="77"/>
      <c r="H19" s="77"/>
      <c r="I19" s="77"/>
      <c r="J19" s="77"/>
      <c r="K19" s="77"/>
      <c r="L19" s="77"/>
      <c r="M19" s="77"/>
      <c r="N19" s="77"/>
    </row>
    <row r="20" spans="1:14" ht="67.8" customHeight="1" x14ac:dyDescent="0.3">
      <c r="B20" s="88" t="s">
        <v>419</v>
      </c>
      <c r="D20" s="90" t="s">
        <v>420</v>
      </c>
    </row>
    <row r="21" spans="1:14" ht="23.4" customHeight="1" x14ac:dyDescent="0.4">
      <c r="B21" s="134" t="s">
        <v>428</v>
      </c>
    </row>
    <row r="22" spans="1:14" ht="25.65" customHeight="1" x14ac:dyDescent="0.3"/>
    <row r="23" spans="1:14" ht="26.4" customHeight="1" x14ac:dyDescent="0.3"/>
    <row r="24" spans="1:14" ht="23.4" customHeight="1" x14ac:dyDescent="0.3"/>
    <row r="25" spans="1:14" ht="24.6" customHeight="1" x14ac:dyDescent="0.3"/>
    <row r="26" spans="1:14" ht="24" customHeight="1" x14ac:dyDescent="0.3"/>
    <row r="27" spans="1:14" ht="25.65" customHeight="1" x14ac:dyDescent="0.3"/>
    <row r="28" spans="1:14" ht="24.6" customHeight="1" x14ac:dyDescent="0.3"/>
    <row r="29" spans="1:14" ht="23.4" customHeight="1" x14ac:dyDescent="0.3"/>
    <row r="30" spans="1:14" ht="24" customHeight="1" x14ac:dyDescent="0.3"/>
    <row r="31" spans="1:14" ht="24.6" customHeight="1" x14ac:dyDescent="0.3"/>
    <row r="32" spans="1:14" ht="22.35" customHeight="1" x14ac:dyDescent="0.3"/>
    <row r="33" ht="24" customHeight="1" x14ac:dyDescent="0.3"/>
  </sheetData>
  <mergeCells count="1">
    <mergeCell ref="B2:E2"/>
  </mergeCells>
  <hyperlinks>
    <hyperlink ref="B20" location="Dashboard!A1" display="[Go Back to Dashboard]" xr:uid="{00000000-0004-0000-0500-000000000000}"/>
    <hyperlink ref="D20" location="'Confirmation Letter'!A1" display="GO TO CONFIRMATION LETTER" xr:uid="{00000000-0004-0000-0500-000001000000}"/>
    <hyperlink ref="B21" location="Payments!A1" display="GO TO PAYMENTS" xr:uid="{00000000-0004-0000-0500-000002000000}"/>
  </hyperlink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B1:G21"/>
  <sheetViews>
    <sheetView topLeftCell="A4" zoomScale="73" zoomScaleNormal="73" workbookViewId="0">
      <selection activeCell="F30" sqref="F30"/>
    </sheetView>
  </sheetViews>
  <sheetFormatPr defaultColWidth="8.88671875" defaultRowHeight="15" x14ac:dyDescent="0.25"/>
  <cols>
    <col min="1" max="1" width="4" style="68" customWidth="1"/>
    <col min="2" max="2" width="1.88671875" style="68" customWidth="1"/>
    <col min="3" max="3" width="44.109375" style="68" customWidth="1"/>
    <col min="4" max="4" width="41.44140625" style="68" customWidth="1"/>
    <col min="5" max="5" width="48.5546875" style="68" customWidth="1"/>
    <col min="6" max="6" width="55.33203125" style="68" customWidth="1"/>
    <col min="7" max="7" width="1.88671875" style="68" customWidth="1"/>
    <col min="8" max="16384" width="8.88671875" style="68"/>
  </cols>
  <sheetData>
    <row r="1" spans="2:7" ht="21" customHeight="1" x14ac:dyDescent="0.25">
      <c r="B1" s="119"/>
      <c r="C1" s="119"/>
      <c r="D1" s="119"/>
      <c r="E1" s="119"/>
      <c r="F1" s="119"/>
      <c r="G1" s="119"/>
    </row>
    <row r="2" spans="2:7" ht="36" customHeight="1" x14ac:dyDescent="0.25">
      <c r="B2" s="119"/>
      <c r="C2" s="245" t="s">
        <v>2</v>
      </c>
      <c r="D2" s="245"/>
      <c r="E2" s="245"/>
      <c r="F2" s="245"/>
      <c r="G2" s="119"/>
    </row>
    <row r="3" spans="2:7" ht="37.200000000000003" customHeight="1" x14ac:dyDescent="0.25">
      <c r="B3" s="119"/>
      <c r="C3" s="136" t="s">
        <v>5</v>
      </c>
      <c r="D3" s="136" t="s">
        <v>338</v>
      </c>
      <c r="E3" s="136" t="s">
        <v>337</v>
      </c>
      <c r="F3" s="136" t="s">
        <v>336</v>
      </c>
      <c r="G3" s="119"/>
    </row>
    <row r="4" spans="2:7" ht="24" customHeight="1" x14ac:dyDescent="0.25">
      <c r="B4" s="119"/>
      <c r="C4" s="140" t="s">
        <v>30</v>
      </c>
      <c r="D4" s="141">
        <v>4000</v>
      </c>
      <c r="E4" s="142">
        <f>VLOOKUP(Table3[[#This Row],[Credit Card Number]],'Cash Advance Transactions'!B:E,4,FALSE)</f>
        <v>45570</v>
      </c>
      <c r="F4" s="142">
        <f>E4-1</f>
        <v>45569</v>
      </c>
      <c r="G4" s="119"/>
    </row>
    <row r="5" spans="2:7" ht="31.2" customHeight="1" x14ac:dyDescent="0.25">
      <c r="B5" s="119"/>
      <c r="C5" s="137" t="s">
        <v>51</v>
      </c>
      <c r="D5" s="138">
        <v>900</v>
      </c>
      <c r="E5" s="139">
        <f>VLOOKUP(Table3[[#This Row],[Credit Card Number]],'Cash Advance Transactions'!B:E,4,FALSE)</f>
        <v>45543</v>
      </c>
      <c r="F5" s="139">
        <f t="shared" ref="F5:F18" si="0">E5-1</f>
        <v>45542</v>
      </c>
      <c r="G5" s="119"/>
    </row>
    <row r="6" spans="2:7" ht="28.2" customHeight="1" x14ac:dyDescent="0.25">
      <c r="B6" s="119"/>
      <c r="C6" s="140" t="s">
        <v>71</v>
      </c>
      <c r="D6" s="141">
        <v>1450</v>
      </c>
      <c r="E6" s="142">
        <f>VLOOKUP(Table3[[#This Row],[Credit Card Number]],'Cash Advance Transactions'!B:E,4,FALSE)</f>
        <v>45385</v>
      </c>
      <c r="F6" s="142">
        <f t="shared" si="0"/>
        <v>45384</v>
      </c>
      <c r="G6" s="119"/>
    </row>
    <row r="7" spans="2:7" ht="34.799999999999997" customHeight="1" x14ac:dyDescent="0.25">
      <c r="B7" s="119"/>
      <c r="C7" s="137" t="s">
        <v>92</v>
      </c>
      <c r="D7" s="138">
        <v>1100</v>
      </c>
      <c r="E7" s="139">
        <f>VLOOKUP(Table3[[#This Row],[Credit Card Number]],'Cash Advance Transactions'!B:E,4,FALSE)</f>
        <v>45478</v>
      </c>
      <c r="F7" s="139">
        <f t="shared" si="0"/>
        <v>45477</v>
      </c>
      <c r="G7" s="119"/>
    </row>
    <row r="8" spans="2:7" ht="34.200000000000003" customHeight="1" x14ac:dyDescent="0.25">
      <c r="B8" s="119"/>
      <c r="C8" s="140" t="s">
        <v>112</v>
      </c>
      <c r="D8" s="141">
        <v>700</v>
      </c>
      <c r="E8" s="142">
        <f>VLOOKUP(Table3[[#This Row],[Credit Card Number]],'Cash Advance Transactions'!B:E,4,FALSE)</f>
        <v>45537</v>
      </c>
      <c r="F8" s="142">
        <f t="shared" si="0"/>
        <v>45536</v>
      </c>
      <c r="G8" s="119"/>
    </row>
    <row r="9" spans="2:7" ht="27.6" customHeight="1" x14ac:dyDescent="0.25">
      <c r="B9" s="119"/>
      <c r="C9" s="137" t="s">
        <v>130</v>
      </c>
      <c r="D9" s="138">
        <v>350</v>
      </c>
      <c r="E9" s="139">
        <f>VLOOKUP(Table3[[#This Row],[Credit Card Number]],'Cash Advance Transactions'!B:E,4,FALSE)</f>
        <v>45329</v>
      </c>
      <c r="F9" s="139">
        <f t="shared" si="0"/>
        <v>45328</v>
      </c>
      <c r="G9" s="119"/>
    </row>
    <row r="10" spans="2:7" ht="33.6" customHeight="1" x14ac:dyDescent="0.25">
      <c r="B10" s="119"/>
      <c r="C10" s="140" t="s">
        <v>149</v>
      </c>
      <c r="D10" s="141">
        <v>8000</v>
      </c>
      <c r="E10" s="142">
        <f>VLOOKUP(Table3[[#This Row],[Credit Card Number]],'Cash Advance Transactions'!B:E,4,FALSE)</f>
        <v>45434</v>
      </c>
      <c r="F10" s="142">
        <f t="shared" si="0"/>
        <v>45433</v>
      </c>
      <c r="G10" s="119"/>
    </row>
    <row r="11" spans="2:7" ht="34.200000000000003" customHeight="1" x14ac:dyDescent="0.25">
      <c r="B11" s="119"/>
      <c r="C11" s="137" t="s">
        <v>167</v>
      </c>
      <c r="D11" s="138">
        <v>100</v>
      </c>
      <c r="E11" s="139">
        <f>VLOOKUP(Table3[[#This Row],[Credit Card Number]],'Cash Advance Transactions'!B:E,4,FALSE)</f>
        <v>45576</v>
      </c>
      <c r="F11" s="139">
        <f t="shared" si="0"/>
        <v>45575</v>
      </c>
      <c r="G11" s="119"/>
    </row>
    <row r="12" spans="2:7" ht="33.6" customHeight="1" x14ac:dyDescent="0.25">
      <c r="B12" s="119"/>
      <c r="C12" s="140" t="s">
        <v>187</v>
      </c>
      <c r="D12" s="141">
        <v>450</v>
      </c>
      <c r="E12" s="142">
        <f>VLOOKUP(Table3[[#This Row],[Credit Card Number]],'Cash Advance Transactions'!B:E,4,FALSE)</f>
        <v>45585</v>
      </c>
      <c r="F12" s="142">
        <f t="shared" si="0"/>
        <v>45584</v>
      </c>
      <c r="G12" s="119"/>
    </row>
    <row r="13" spans="2:7" ht="31.2" customHeight="1" x14ac:dyDescent="0.25">
      <c r="B13" s="119"/>
      <c r="C13" s="137" t="s">
        <v>205</v>
      </c>
      <c r="D13" s="138">
        <v>1250</v>
      </c>
      <c r="E13" s="139">
        <f>VLOOKUP(Table3[[#This Row],[Credit Card Number]],'Cash Advance Transactions'!B:E,4,FALSE)</f>
        <v>45472</v>
      </c>
      <c r="F13" s="139">
        <f t="shared" si="0"/>
        <v>45471</v>
      </c>
      <c r="G13" s="119"/>
    </row>
    <row r="14" spans="2:7" ht="32.4" customHeight="1" x14ac:dyDescent="0.25">
      <c r="B14" s="119"/>
      <c r="C14" s="140" t="s">
        <v>224</v>
      </c>
      <c r="D14" s="141">
        <v>700</v>
      </c>
      <c r="E14" s="142">
        <f>VLOOKUP(Table3[[#This Row],[Credit Card Number]],'Cash Advance Transactions'!B:E,4,FALSE)</f>
        <v>45503</v>
      </c>
      <c r="F14" s="142">
        <f t="shared" si="0"/>
        <v>45502</v>
      </c>
      <c r="G14" s="119"/>
    </row>
    <row r="15" spans="2:7" ht="29.4" customHeight="1" x14ac:dyDescent="0.25">
      <c r="B15" s="119"/>
      <c r="C15" s="137" t="s">
        <v>130</v>
      </c>
      <c r="D15" s="138">
        <v>1200</v>
      </c>
      <c r="E15" s="139">
        <f>VLOOKUP(Table3[[#This Row],[Credit Card Number]],'Cash Advance Transactions'!B:E,4,FALSE)</f>
        <v>45329</v>
      </c>
      <c r="F15" s="139">
        <f t="shared" si="0"/>
        <v>45328</v>
      </c>
      <c r="G15" s="119"/>
    </row>
    <row r="16" spans="2:7" ht="31.2" customHeight="1" x14ac:dyDescent="0.25">
      <c r="B16" s="119"/>
      <c r="C16" s="140" t="s">
        <v>260</v>
      </c>
      <c r="D16" s="141">
        <v>100</v>
      </c>
      <c r="E16" s="142">
        <f>VLOOKUP(Table3[[#This Row],[Credit Card Number]],'Cash Advance Transactions'!B:E,4,FALSE)</f>
        <v>45552</v>
      </c>
      <c r="F16" s="142">
        <f t="shared" si="0"/>
        <v>45551</v>
      </c>
      <c r="G16" s="119"/>
    </row>
    <row r="17" spans="2:7" ht="30" customHeight="1" x14ac:dyDescent="0.25">
      <c r="B17" s="119"/>
      <c r="C17" s="137" t="s">
        <v>276</v>
      </c>
      <c r="D17" s="138">
        <v>2300</v>
      </c>
      <c r="E17" s="139">
        <f>VLOOKUP(Table3[[#This Row],[Credit Card Number]],'Cash Advance Transactions'!B:E,4,FALSE)</f>
        <v>45517</v>
      </c>
      <c r="F17" s="139">
        <f t="shared" si="0"/>
        <v>45516</v>
      </c>
      <c r="G17" s="119"/>
    </row>
    <row r="18" spans="2:7" ht="30" customHeight="1" x14ac:dyDescent="0.25">
      <c r="B18" s="119"/>
      <c r="C18" s="140" t="s">
        <v>294</v>
      </c>
      <c r="D18" s="141">
        <v>1900</v>
      </c>
      <c r="E18" s="142">
        <f>VLOOKUP(Table3[[#This Row],[Credit Card Number]],'Cash Advance Transactions'!B:E,4,FALSE)</f>
        <v>45325</v>
      </c>
      <c r="F18" s="142">
        <f t="shared" si="0"/>
        <v>45324</v>
      </c>
      <c r="G18" s="119"/>
    </row>
    <row r="19" spans="2:7" ht="12" customHeight="1" x14ac:dyDescent="0.25">
      <c r="B19" s="119"/>
      <c r="C19" s="119"/>
      <c r="D19" s="119"/>
      <c r="E19" s="119"/>
      <c r="F19" s="119"/>
      <c r="G19" s="119"/>
    </row>
    <row r="20" spans="2:7" ht="9" customHeight="1" x14ac:dyDescent="0.25"/>
    <row r="21" spans="2:7" ht="17.399999999999999" x14ac:dyDescent="0.3">
      <c r="C21" s="133" t="s">
        <v>417</v>
      </c>
      <c r="D21" s="125"/>
      <c r="E21" s="133" t="s">
        <v>430</v>
      </c>
      <c r="F21" s="125"/>
    </row>
  </sheetData>
  <mergeCells count="1">
    <mergeCell ref="C2:F2"/>
  </mergeCells>
  <hyperlinks>
    <hyperlink ref="C21" location="Dashboard!A1" display="[Go Back to Dashboard]" xr:uid="{00000000-0004-0000-0600-000000000000}"/>
    <hyperlink ref="E21" location="'Confirmation Letter'!A1" display="[Go to Confirmation Letter]" xr:uid="{00000000-0004-0000-0600-000001000000}"/>
  </hyperlink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B1:L35"/>
  <sheetViews>
    <sheetView showGridLines="0" topLeftCell="A5" zoomScale="85" zoomScaleNormal="85" workbookViewId="0">
      <selection activeCell="G20" sqref="G20:H20"/>
    </sheetView>
  </sheetViews>
  <sheetFormatPr defaultColWidth="8.88671875" defaultRowHeight="15" x14ac:dyDescent="0.25"/>
  <cols>
    <col min="1" max="1" width="13.21875" style="68" customWidth="1"/>
    <col min="2" max="2" width="2" style="68" customWidth="1"/>
    <col min="3" max="3" width="23.88671875" style="68" bestFit="1" customWidth="1"/>
    <col min="4" max="4" width="5.44140625" style="68" customWidth="1"/>
    <col min="5" max="5" width="3.88671875" style="68" customWidth="1"/>
    <col min="6" max="6" width="22.88671875" style="68" customWidth="1"/>
    <col min="7" max="7" width="20.21875" style="68" customWidth="1"/>
    <col min="8" max="8" width="22" style="68" customWidth="1"/>
    <col min="9" max="9" width="8.88671875" style="68" customWidth="1"/>
    <col min="10" max="10" width="8.88671875" style="68"/>
    <col min="11" max="11" width="21.88671875" style="68" customWidth="1"/>
    <col min="12" max="12" width="1.6640625" style="68" customWidth="1"/>
    <col min="13" max="16384" width="8.88671875" style="68"/>
  </cols>
  <sheetData>
    <row r="1" spans="2:12" ht="42" customHeight="1" x14ac:dyDescent="0.25"/>
    <row r="2" spans="2:12" ht="9" customHeight="1" thickBot="1" x14ac:dyDescent="0.3"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2:12" ht="15.6" x14ac:dyDescent="0.3">
      <c r="B3" s="119"/>
      <c r="C3" s="117">
        <f ca="1">TODAY()</f>
        <v>45836</v>
      </c>
      <c r="D3" s="91"/>
      <c r="E3" s="91"/>
      <c r="F3" s="91"/>
      <c r="G3" s="92"/>
      <c r="H3" s="91"/>
      <c r="I3" s="91"/>
      <c r="J3" s="91"/>
      <c r="K3" s="93"/>
      <c r="L3" s="119"/>
    </row>
    <row r="4" spans="2:12" ht="15.6" x14ac:dyDescent="0.3">
      <c r="B4" s="119"/>
      <c r="C4" s="94" t="str">
        <f>CONCATENATE('Individual Profile Report'!D8," ",'Individual Profile Report'!F8," ",'Individual Profile Report'!C8)</f>
        <v>Diego M. Mercado</v>
      </c>
      <c r="D4" s="95"/>
      <c r="E4" s="95"/>
      <c r="F4" s="95"/>
      <c r="G4" s="96"/>
      <c r="H4" s="95"/>
      <c r="I4" s="95"/>
      <c r="J4" s="95"/>
      <c r="K4" s="97"/>
      <c r="L4" s="119"/>
    </row>
    <row r="5" spans="2:12" ht="62.4" x14ac:dyDescent="0.25">
      <c r="B5" s="119"/>
      <c r="C5" s="116" t="str">
        <f>'Individual Profile Report'!D15</f>
        <v>103 A. Villegas Street, Barangay 671, Manila, Metro Manila, Philippines</v>
      </c>
      <c r="D5" s="95"/>
      <c r="E5" s="95"/>
      <c r="F5" s="95"/>
      <c r="G5" s="96"/>
      <c r="H5" s="95"/>
      <c r="I5" s="95"/>
      <c r="J5" s="95"/>
      <c r="K5" s="97"/>
      <c r="L5" s="119"/>
    </row>
    <row r="6" spans="2:12" x14ac:dyDescent="0.25">
      <c r="B6" s="119"/>
      <c r="C6" s="98"/>
      <c r="D6" s="95"/>
      <c r="E6" s="95"/>
      <c r="F6" s="95"/>
      <c r="G6" s="96"/>
      <c r="H6" s="95"/>
      <c r="I6" s="95"/>
      <c r="J6" s="95"/>
      <c r="K6" s="97"/>
      <c r="L6" s="119"/>
    </row>
    <row r="7" spans="2:12" ht="22.2" customHeight="1" x14ac:dyDescent="0.3">
      <c r="B7" s="119"/>
      <c r="C7" s="98"/>
      <c r="D7" s="99" t="s">
        <v>357</v>
      </c>
      <c r="E7" s="99" t="str">
        <f>IF(VLOOKUP(F7,'Account Information'!C:F,4,FALSE)="M","Mr.","Ms.")</f>
        <v>Mr.</v>
      </c>
      <c r="F7" s="99" t="str">
        <f>VLOOKUP('Individual Profile Report'!C8,'Account Information'!C:D,1,FALSE)</f>
        <v>Mercado</v>
      </c>
      <c r="G7" s="96"/>
      <c r="H7" s="95"/>
      <c r="I7" s="95"/>
      <c r="J7" s="95"/>
      <c r="K7" s="97"/>
      <c r="L7" s="119"/>
    </row>
    <row r="8" spans="2:12" ht="27.6" customHeight="1" x14ac:dyDescent="0.3">
      <c r="B8" s="119"/>
      <c r="C8" s="98"/>
      <c r="D8" s="95"/>
      <c r="E8" s="100" t="s">
        <v>358</v>
      </c>
      <c r="F8" s="100"/>
      <c r="G8" s="101" t="str">
        <f>VLOOKUP('Individual Profile Report'!D10,'Account Information'!O:P,1,FALSE)</f>
        <v>Mastercard Classic</v>
      </c>
      <c r="H8" s="100" t="s">
        <v>359</v>
      </c>
      <c r="I8" s="95"/>
      <c r="J8" s="95"/>
      <c r="K8" s="97"/>
      <c r="L8" s="119"/>
    </row>
    <row r="9" spans="2:12" ht="2.4" customHeight="1" x14ac:dyDescent="0.25">
      <c r="B9" s="119"/>
      <c r="C9" s="98"/>
      <c r="D9" s="95"/>
      <c r="E9" s="95"/>
      <c r="F9" s="95"/>
      <c r="G9" s="96"/>
      <c r="H9" s="95"/>
      <c r="I9" s="95"/>
      <c r="J9" s="95"/>
      <c r="K9" s="97"/>
      <c r="L9" s="119"/>
    </row>
    <row r="10" spans="2:12" ht="29.4" customHeight="1" x14ac:dyDescent="0.3">
      <c r="B10" s="119"/>
      <c r="C10" s="98"/>
      <c r="D10" s="95"/>
      <c r="E10" s="100" t="s">
        <v>421</v>
      </c>
      <c r="F10" s="100"/>
      <c r="G10" s="102"/>
      <c r="H10" s="100"/>
      <c r="I10" s="100"/>
      <c r="J10" s="95"/>
      <c r="K10" s="97"/>
      <c r="L10" s="119"/>
    </row>
    <row r="11" spans="2:12" ht="18.600000000000001" customHeight="1" x14ac:dyDescent="0.3">
      <c r="B11" s="119"/>
      <c r="C11" s="98"/>
      <c r="D11" s="95"/>
      <c r="E11" s="100" t="s">
        <v>422</v>
      </c>
      <c r="F11" s="100"/>
      <c r="G11" s="103"/>
      <c r="H11" s="100"/>
      <c r="I11" s="100"/>
      <c r="J11" s="95"/>
      <c r="K11" s="97"/>
      <c r="L11" s="119"/>
    </row>
    <row r="12" spans="2:12" ht="19.2" customHeight="1" x14ac:dyDescent="0.25">
      <c r="B12" s="119"/>
      <c r="C12" s="98"/>
      <c r="D12" s="95"/>
      <c r="E12" s="100" t="s">
        <v>360</v>
      </c>
      <c r="F12" s="100"/>
      <c r="G12" s="103"/>
      <c r="H12" s="100"/>
      <c r="I12" s="100"/>
      <c r="J12" s="95"/>
      <c r="K12" s="97"/>
      <c r="L12" s="119"/>
    </row>
    <row r="13" spans="2:12" x14ac:dyDescent="0.25">
      <c r="B13" s="119"/>
      <c r="C13" s="98"/>
      <c r="D13" s="95"/>
      <c r="E13" s="100"/>
      <c r="F13" s="100"/>
      <c r="G13" s="103"/>
      <c r="H13" s="100"/>
      <c r="I13" s="100"/>
      <c r="J13" s="95"/>
      <c r="K13" s="97"/>
      <c r="L13" s="119"/>
    </row>
    <row r="14" spans="2:12" ht="15.6" x14ac:dyDescent="0.3">
      <c r="B14" s="119"/>
      <c r="C14" s="98"/>
      <c r="D14" s="95"/>
      <c r="E14" s="100" t="s">
        <v>361</v>
      </c>
      <c r="F14" s="99"/>
      <c r="G14" s="104"/>
      <c r="H14" s="99"/>
      <c r="I14" s="99"/>
      <c r="J14" s="95"/>
      <c r="K14" s="97"/>
      <c r="L14" s="119"/>
    </row>
    <row r="15" spans="2:12" x14ac:dyDescent="0.25">
      <c r="B15" s="119"/>
      <c r="C15" s="98"/>
      <c r="D15" s="95"/>
      <c r="E15" s="100"/>
      <c r="F15" s="100"/>
      <c r="G15" s="103"/>
      <c r="H15" s="100"/>
      <c r="I15" s="100"/>
      <c r="J15" s="95"/>
      <c r="K15" s="97"/>
      <c r="L15" s="119"/>
    </row>
    <row r="16" spans="2:12" ht="15.6" x14ac:dyDescent="0.3">
      <c r="B16" s="119"/>
      <c r="C16" s="98"/>
      <c r="D16" s="95"/>
      <c r="E16" s="100"/>
      <c r="F16" s="105" t="s">
        <v>362</v>
      </c>
      <c r="G16" s="104"/>
      <c r="H16" s="100"/>
      <c r="I16" s="100"/>
      <c r="J16" s="95"/>
      <c r="K16" s="97"/>
      <c r="L16" s="119"/>
    </row>
    <row r="17" spans="2:12" ht="15.6" thickBot="1" x14ac:dyDescent="0.3">
      <c r="B17" s="119"/>
      <c r="C17" s="98"/>
      <c r="D17" s="95"/>
      <c r="E17" s="95"/>
      <c r="F17" s="95"/>
      <c r="G17" s="96"/>
      <c r="H17" s="95"/>
      <c r="I17" s="95"/>
      <c r="J17" s="95"/>
      <c r="K17" s="97"/>
      <c r="L17" s="119"/>
    </row>
    <row r="18" spans="2:12" ht="20.399999999999999" customHeight="1" thickBot="1" x14ac:dyDescent="0.3">
      <c r="B18" s="119"/>
      <c r="C18" s="98"/>
      <c r="D18" s="95"/>
      <c r="E18" s="95"/>
      <c r="F18" s="110" t="s">
        <v>363</v>
      </c>
      <c r="G18" s="250" t="str">
        <f>VLOOKUP('Individual Profile Report'!D6,'Account Information'!B:C,1,FALSE)</f>
        <v>5165-8989-1015-1702</v>
      </c>
      <c r="H18" s="251"/>
      <c r="I18" s="95"/>
      <c r="J18" s="95"/>
      <c r="K18" s="97"/>
      <c r="L18" s="119"/>
    </row>
    <row r="19" spans="2:12" ht="24.6" customHeight="1" thickBot="1" x14ac:dyDescent="0.3">
      <c r="B19" s="119"/>
      <c r="C19" s="98"/>
      <c r="D19" s="95"/>
      <c r="E19" s="95"/>
      <c r="F19" s="111" t="s">
        <v>364</v>
      </c>
      <c r="G19" s="252" t="str">
        <f>VLOOKUP('Individual Profile Report'!D10,'Card Info'!B:C,1,FALSE)</f>
        <v>Mastercard Classic</v>
      </c>
      <c r="H19" s="253"/>
      <c r="I19" s="95"/>
      <c r="J19" s="95"/>
      <c r="K19" s="97"/>
      <c r="L19" s="119"/>
    </row>
    <row r="20" spans="2:12" ht="22.2" customHeight="1" thickBot="1" x14ac:dyDescent="0.3">
      <c r="B20" s="119"/>
      <c r="C20" s="98"/>
      <c r="D20" s="95"/>
      <c r="E20" s="95"/>
      <c r="F20" s="112" t="s">
        <v>365</v>
      </c>
      <c r="G20" s="254">
        <f>VLOOKUP('Individual Profile Report'!D10,'Card Info'!B:C,2,FALSE)</f>
        <v>600000</v>
      </c>
      <c r="H20" s="255"/>
      <c r="I20" s="95"/>
      <c r="J20" s="95"/>
      <c r="K20" s="97"/>
      <c r="L20" s="119"/>
    </row>
    <row r="21" spans="2:12" ht="24.6" customHeight="1" thickBot="1" x14ac:dyDescent="0.3">
      <c r="B21" s="119"/>
      <c r="C21" s="98"/>
      <c r="D21" s="95"/>
      <c r="E21" s="95"/>
      <c r="F21" s="113" t="s">
        <v>366</v>
      </c>
      <c r="G21" s="256">
        <f ca="1">TODAY()</f>
        <v>45836</v>
      </c>
      <c r="H21" s="257"/>
      <c r="I21" s="95"/>
      <c r="J21" s="95"/>
      <c r="K21" s="97"/>
      <c r="L21" s="119"/>
    </row>
    <row r="22" spans="2:12" ht="25.2" customHeight="1" thickBot="1" x14ac:dyDescent="0.3">
      <c r="B22" s="119"/>
      <c r="C22" s="98"/>
      <c r="D22" s="95"/>
      <c r="E22" s="95"/>
      <c r="F22" s="114" t="s">
        <v>367</v>
      </c>
      <c r="G22" s="258">
        <f>VLOOKUP('Individual Profile Report'!D6,'Account Information'!B:Z,15,FALSE)</f>
        <v>45276</v>
      </c>
      <c r="H22" s="259"/>
      <c r="I22" s="95"/>
      <c r="J22" s="95"/>
      <c r="K22" s="97"/>
      <c r="L22" s="119"/>
    </row>
    <row r="23" spans="2:12" ht="23.4" customHeight="1" thickBot="1" x14ac:dyDescent="0.3">
      <c r="B23" s="119"/>
      <c r="C23" s="98"/>
      <c r="D23" s="95"/>
      <c r="E23" s="95"/>
      <c r="F23" s="115" t="s">
        <v>368</v>
      </c>
      <c r="G23" s="248">
        <f>VLOOKUP('Individual Profile Report'!D6,'Account Information'!B:Z,16,FALSE)</f>
        <v>47118</v>
      </c>
      <c r="H23" s="249"/>
      <c r="I23" s="95"/>
      <c r="J23" s="95"/>
      <c r="K23" s="97"/>
      <c r="L23" s="119"/>
    </row>
    <row r="24" spans="2:12" x14ac:dyDescent="0.25">
      <c r="B24" s="119"/>
      <c r="C24" s="98"/>
      <c r="D24" s="95"/>
      <c r="E24" s="95"/>
      <c r="F24" s="95"/>
      <c r="G24" s="96"/>
      <c r="H24" s="95"/>
      <c r="I24" s="95"/>
      <c r="J24" s="95"/>
      <c r="K24" s="97"/>
      <c r="L24" s="119"/>
    </row>
    <row r="25" spans="2:12" x14ac:dyDescent="0.25">
      <c r="B25" s="119"/>
      <c r="C25" s="98"/>
      <c r="D25" s="95"/>
      <c r="E25" s="95"/>
      <c r="F25" s="95"/>
      <c r="G25" s="96"/>
      <c r="H25" s="95"/>
      <c r="I25" s="95"/>
      <c r="J25" s="95"/>
      <c r="K25" s="97"/>
      <c r="L25" s="119"/>
    </row>
    <row r="26" spans="2:12" ht="15.6" x14ac:dyDescent="0.3">
      <c r="B26" s="119"/>
      <c r="C26" s="98"/>
      <c r="D26" s="118" t="s">
        <v>369</v>
      </c>
      <c r="E26" s="95"/>
      <c r="F26" s="99"/>
      <c r="G26" s="103"/>
      <c r="H26" s="100"/>
      <c r="I26" s="95"/>
      <c r="J26" s="95"/>
      <c r="K26" s="97"/>
      <c r="L26" s="119"/>
    </row>
    <row r="27" spans="2:12" ht="27.6" customHeight="1" x14ac:dyDescent="0.3">
      <c r="B27" s="119"/>
      <c r="C27" s="98"/>
      <c r="D27" s="118" t="s">
        <v>424</v>
      </c>
      <c r="E27" s="95"/>
      <c r="F27" s="100"/>
      <c r="G27" s="104" t="s">
        <v>423</v>
      </c>
      <c r="H27" s="103"/>
      <c r="I27" s="96"/>
      <c r="J27" s="95"/>
      <c r="K27" s="97"/>
      <c r="L27" s="119"/>
    </row>
    <row r="28" spans="2:12" ht="18.600000000000001" customHeight="1" x14ac:dyDescent="0.3">
      <c r="B28" s="119"/>
      <c r="C28" s="98"/>
      <c r="D28" s="118" t="s">
        <v>426</v>
      </c>
      <c r="E28" s="95"/>
      <c r="F28" s="100"/>
      <c r="G28" s="104" t="s">
        <v>425</v>
      </c>
      <c r="H28" s="103"/>
      <c r="I28" s="96"/>
      <c r="J28" s="95"/>
      <c r="K28" s="97"/>
      <c r="L28" s="119"/>
    </row>
    <row r="29" spans="2:12" ht="38.4" customHeight="1" thickBot="1" x14ac:dyDescent="0.3">
      <c r="B29" s="119"/>
      <c r="C29" s="106"/>
      <c r="D29" s="107"/>
      <c r="E29" s="107"/>
      <c r="F29" s="107"/>
      <c r="G29" s="108"/>
      <c r="H29" s="107"/>
      <c r="I29" s="107"/>
      <c r="J29" s="107"/>
      <c r="K29" s="109"/>
      <c r="L29" s="119"/>
    </row>
    <row r="30" spans="2:12" ht="10.8" customHeight="1" x14ac:dyDescent="0.25"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</row>
    <row r="32" spans="2:12" x14ac:dyDescent="0.25">
      <c r="C32" s="246" t="s">
        <v>427</v>
      </c>
      <c r="D32" s="247"/>
    </row>
    <row r="33" spans="3:4" x14ac:dyDescent="0.25">
      <c r="C33" s="247"/>
      <c r="D33" s="247"/>
    </row>
    <row r="35" spans="3:4" x14ac:dyDescent="0.25">
      <c r="C35" s="135" t="s">
        <v>429</v>
      </c>
    </row>
  </sheetData>
  <mergeCells count="7">
    <mergeCell ref="C32:D33"/>
    <mergeCell ref="G23:H23"/>
    <mergeCell ref="G18:H18"/>
    <mergeCell ref="G19:H19"/>
    <mergeCell ref="G20:H20"/>
    <mergeCell ref="G21:H21"/>
    <mergeCell ref="G22:H22"/>
  </mergeCells>
  <hyperlinks>
    <hyperlink ref="C32:D33" location="Dashboard!A1" display="[Go Back to Dashboard]" xr:uid="{00000000-0004-0000-0700-000000000000}"/>
    <hyperlink ref="C35" location="'Statement of Account'!A1" display="GO TO STATEMENT OF ACCOUNT" xr:uid="{00000000-0004-0000-0700-000001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B3:J52"/>
  <sheetViews>
    <sheetView topLeftCell="A22" zoomScale="74" zoomScaleNormal="74" workbookViewId="0">
      <selection activeCell="L34" sqref="L34"/>
    </sheetView>
  </sheetViews>
  <sheetFormatPr defaultColWidth="8.88671875" defaultRowHeight="13.8" x14ac:dyDescent="0.25"/>
  <cols>
    <col min="1" max="1" width="8.88671875" style="8"/>
    <col min="2" max="2" width="2.21875" style="8" customWidth="1"/>
    <col min="3" max="3" width="8.109375" style="8" customWidth="1"/>
    <col min="4" max="4" width="33.33203125" style="8" customWidth="1"/>
    <col min="5" max="5" width="24.88671875" style="8" customWidth="1"/>
    <col min="6" max="6" width="33.5546875" style="8" customWidth="1"/>
    <col min="7" max="7" width="30.109375" style="8" customWidth="1"/>
    <col min="8" max="8" width="30.88671875" style="8" customWidth="1"/>
    <col min="9" max="9" width="8.88671875" style="8"/>
    <col min="10" max="10" width="2.6640625" style="8" customWidth="1"/>
    <col min="11" max="12" width="8.88671875" style="8"/>
    <col min="13" max="13" width="20.88671875" style="8" customWidth="1"/>
    <col min="14" max="14" width="11.109375" style="8" customWidth="1"/>
    <col min="15" max="23" width="8.88671875" style="8"/>
    <col min="24" max="24" width="11.5546875" style="8" customWidth="1"/>
    <col min="25" max="27" width="8.88671875" style="8"/>
    <col min="28" max="28" width="11.109375" style="8" customWidth="1"/>
    <col min="29" max="16384" width="8.88671875" style="8"/>
  </cols>
  <sheetData>
    <row r="3" spans="2:10" ht="14.4" customHeight="1" thickBot="1" x14ac:dyDescent="0.3">
      <c r="B3" s="143"/>
      <c r="C3" s="144"/>
      <c r="D3" s="144"/>
      <c r="E3" s="144"/>
      <c r="F3" s="144"/>
      <c r="G3" s="144"/>
      <c r="H3" s="144"/>
      <c r="I3" s="144"/>
      <c r="J3" s="143"/>
    </row>
    <row r="4" spans="2:10" ht="14.4" customHeight="1" x14ac:dyDescent="0.25">
      <c r="B4" s="143"/>
      <c r="C4" s="145"/>
      <c r="D4" s="146"/>
      <c r="E4" s="146"/>
      <c r="F4" s="146"/>
      <c r="G4" s="146"/>
      <c r="H4" s="146"/>
      <c r="I4" s="147"/>
      <c r="J4" s="143"/>
    </row>
    <row r="5" spans="2:10" ht="14.4" customHeight="1" x14ac:dyDescent="0.25">
      <c r="B5" s="143"/>
      <c r="C5" s="148"/>
      <c r="D5" s="149"/>
      <c r="E5" s="149"/>
      <c r="F5" s="149"/>
      <c r="G5" s="149"/>
      <c r="H5" s="149"/>
      <c r="I5" s="150"/>
      <c r="J5" s="143"/>
    </row>
    <row r="6" spans="2:10" x14ac:dyDescent="0.25">
      <c r="B6" s="143"/>
      <c r="C6" s="148"/>
      <c r="D6" s="149"/>
      <c r="E6" s="149"/>
      <c r="F6" s="149"/>
      <c r="G6" s="260" t="s">
        <v>370</v>
      </c>
      <c r="H6" s="260"/>
      <c r="I6" s="150"/>
      <c r="J6" s="143"/>
    </row>
    <row r="7" spans="2:10" ht="13.35" customHeight="1" x14ac:dyDescent="0.25">
      <c r="B7" s="143"/>
      <c r="C7" s="148"/>
      <c r="D7" s="149"/>
      <c r="E7" s="149"/>
      <c r="F7" s="149"/>
      <c r="G7" s="149"/>
      <c r="H7" s="149"/>
      <c r="I7" s="150"/>
      <c r="J7" s="143"/>
    </row>
    <row r="8" spans="2:10" ht="14.4" thickBot="1" x14ac:dyDescent="0.3">
      <c r="B8" s="143"/>
      <c r="C8" s="148"/>
      <c r="D8" s="149"/>
      <c r="E8" s="149"/>
      <c r="F8" s="149"/>
      <c r="G8" s="149"/>
      <c r="H8" s="149"/>
      <c r="I8" s="150"/>
      <c r="J8" s="143"/>
    </row>
    <row r="9" spans="2:10" ht="18.75" customHeight="1" x14ac:dyDescent="0.25">
      <c r="B9" s="143"/>
      <c r="C9" s="148"/>
      <c r="D9" s="149"/>
      <c r="E9" s="149"/>
      <c r="F9" s="149"/>
      <c r="G9" s="266" t="s">
        <v>371</v>
      </c>
      <c r="H9" s="267"/>
      <c r="I9" s="150"/>
      <c r="J9" s="143"/>
    </row>
    <row r="10" spans="2:10" ht="17.25" customHeight="1" x14ac:dyDescent="0.25">
      <c r="B10" s="143"/>
      <c r="C10" s="148"/>
      <c r="D10" s="149" t="str">
        <f>CONCATENATE('Individual Profile Report'!D8," ",'Individual Profile Report'!F8," ",'Individual Profile Report'!C8)</f>
        <v>Diego M. Mercado</v>
      </c>
      <c r="E10" s="149"/>
      <c r="F10" s="149"/>
      <c r="G10" s="181" t="s">
        <v>372</v>
      </c>
      <c r="H10" s="151">
        <f ca="1">EDATE(H20,1)</f>
        <v>45866</v>
      </c>
      <c r="I10" s="150"/>
      <c r="J10" s="143"/>
    </row>
    <row r="11" spans="2:10" ht="16.5" customHeight="1" thickBot="1" x14ac:dyDescent="0.3">
      <c r="B11" s="143"/>
      <c r="C11" s="148"/>
      <c r="D11" s="152" t="str">
        <f>'Individual Profile Report'!D15</f>
        <v>103 A. Villegas Street, Barangay 671, Manila, Metro Manila, Philippines</v>
      </c>
      <c r="E11" s="152"/>
      <c r="F11" s="152"/>
      <c r="G11" s="182" t="s">
        <v>373</v>
      </c>
      <c r="H11" s="180">
        <f>E20</f>
        <v>85</v>
      </c>
      <c r="I11" s="150"/>
      <c r="J11" s="143"/>
    </row>
    <row r="12" spans="2:10" x14ac:dyDescent="0.25">
      <c r="B12" s="143"/>
      <c r="C12" s="148"/>
      <c r="D12" s="149"/>
      <c r="E12" s="149"/>
      <c r="F12" s="149"/>
      <c r="G12" s="149"/>
      <c r="H12" s="149"/>
      <c r="I12" s="150"/>
      <c r="J12" s="143"/>
    </row>
    <row r="13" spans="2:10" ht="14.4" thickBot="1" x14ac:dyDescent="0.3">
      <c r="B13" s="143"/>
      <c r="C13" s="148"/>
      <c r="D13" s="149"/>
      <c r="E13" s="149"/>
      <c r="F13" s="149"/>
      <c r="G13" s="149"/>
      <c r="H13" s="149"/>
      <c r="I13" s="150"/>
      <c r="J13" s="143"/>
    </row>
    <row r="14" spans="2:10" x14ac:dyDescent="0.25">
      <c r="B14" s="143"/>
      <c r="C14" s="148"/>
      <c r="D14" s="266" t="s">
        <v>374</v>
      </c>
      <c r="E14" s="267"/>
      <c r="F14" s="149"/>
      <c r="G14" s="266" t="s">
        <v>375</v>
      </c>
      <c r="H14" s="270"/>
      <c r="I14" s="150"/>
      <c r="J14" s="143"/>
    </row>
    <row r="15" spans="2:10" x14ac:dyDescent="0.25">
      <c r="B15" s="143"/>
      <c r="C15" s="148"/>
      <c r="D15" s="183" t="s">
        <v>376</v>
      </c>
      <c r="E15" s="153">
        <f>VLOOKUP(H16,'Amount Purchased'!B:F,5,FALSE)</f>
        <v>1000</v>
      </c>
      <c r="F15" s="149"/>
      <c r="G15" s="183" t="s">
        <v>377</v>
      </c>
      <c r="H15" s="154" t="str">
        <f>'Confirmation Letter'!G8</f>
        <v>Mastercard Classic</v>
      </c>
      <c r="I15" s="150"/>
      <c r="J15" s="143"/>
    </row>
    <row r="16" spans="2:10" x14ac:dyDescent="0.25">
      <c r="B16" s="143"/>
      <c r="C16" s="148"/>
      <c r="D16" s="183" t="s">
        <v>378</v>
      </c>
      <c r="E16" s="153">
        <f>VLOOKUP(H16,'Cash Advance Transactions'!B:E,2,FALSE)</f>
        <v>500</v>
      </c>
      <c r="F16" s="149"/>
      <c r="G16" s="183" t="s">
        <v>5</v>
      </c>
      <c r="H16" s="154" t="str">
        <f>'Confirmation Letter'!G18</f>
        <v>5165-8989-1015-1702</v>
      </c>
      <c r="I16" s="150"/>
      <c r="J16" s="143"/>
    </row>
    <row r="17" spans="2:10" x14ac:dyDescent="0.25">
      <c r="B17" s="143"/>
      <c r="C17" s="148"/>
      <c r="D17" s="183" t="s">
        <v>379</v>
      </c>
      <c r="E17" s="153">
        <f>VLOOKUP(H16,Payments!C:F,2,FALSE)</f>
        <v>450</v>
      </c>
      <c r="F17" s="149"/>
      <c r="G17" s="183" t="s">
        <v>380</v>
      </c>
      <c r="H17" s="155">
        <v>3.5000000000000003E-2</v>
      </c>
      <c r="I17" s="150"/>
      <c r="J17" s="143"/>
    </row>
    <row r="18" spans="2:10" ht="14.4" thickBot="1" x14ac:dyDescent="0.3">
      <c r="B18" s="143"/>
      <c r="C18" s="148"/>
      <c r="D18" s="184" t="s">
        <v>381</v>
      </c>
      <c r="E18" s="156">
        <f>E15*H17</f>
        <v>35</v>
      </c>
      <c r="F18" s="149"/>
      <c r="G18" s="183" t="s">
        <v>382</v>
      </c>
      <c r="H18" s="157">
        <f>VLOOKUP(H15,'Card Info'!B:C,2,FALSE)</f>
        <v>600000</v>
      </c>
      <c r="I18" s="150"/>
      <c r="J18" s="143"/>
    </row>
    <row r="19" spans="2:10" ht="14.4" thickBot="1" x14ac:dyDescent="0.3">
      <c r="B19" s="143"/>
      <c r="C19" s="148"/>
      <c r="D19" s="268"/>
      <c r="E19" s="268"/>
      <c r="F19" s="149"/>
      <c r="G19" s="183" t="s">
        <v>383</v>
      </c>
      <c r="H19" s="158">
        <f>H18/4</f>
        <v>150000</v>
      </c>
      <c r="I19" s="150"/>
      <c r="J19" s="143"/>
    </row>
    <row r="20" spans="2:10" ht="14.4" thickBot="1" x14ac:dyDescent="0.3">
      <c r="B20" s="143"/>
      <c r="C20" s="148"/>
      <c r="D20" s="185" t="s">
        <v>373</v>
      </c>
      <c r="E20" s="159">
        <f>SUM(E15,E18)-SUM(E16,E17)</f>
        <v>85</v>
      </c>
      <c r="F20" s="149"/>
      <c r="G20" s="184" t="s">
        <v>384</v>
      </c>
      <c r="H20" s="160">
        <f ca="1">TODAY()</f>
        <v>45836</v>
      </c>
      <c r="I20" s="150"/>
      <c r="J20" s="143"/>
    </row>
    <row r="21" spans="2:10" x14ac:dyDescent="0.25">
      <c r="B21" s="143"/>
      <c r="C21" s="148"/>
      <c r="D21" s="149"/>
      <c r="E21" s="149"/>
      <c r="F21" s="149"/>
      <c r="G21" s="149"/>
      <c r="H21" s="149"/>
      <c r="I21" s="150"/>
      <c r="J21" s="143"/>
    </row>
    <row r="22" spans="2:10" x14ac:dyDescent="0.25">
      <c r="B22" s="143"/>
      <c r="C22" s="148"/>
      <c r="D22" s="269" t="s">
        <v>385</v>
      </c>
      <c r="E22" s="269"/>
      <c r="F22" s="269"/>
      <c r="G22" s="269"/>
      <c r="H22" s="149"/>
      <c r="I22" s="150"/>
      <c r="J22" s="143"/>
    </row>
    <row r="23" spans="2:10" x14ac:dyDescent="0.25">
      <c r="B23" s="143"/>
      <c r="C23" s="148"/>
      <c r="D23" s="186" t="s">
        <v>337</v>
      </c>
      <c r="E23" s="187" t="s">
        <v>336</v>
      </c>
      <c r="F23" s="187" t="s">
        <v>386</v>
      </c>
      <c r="G23" s="188" t="s">
        <v>387</v>
      </c>
      <c r="H23" s="161"/>
      <c r="I23" s="162"/>
      <c r="J23" s="143"/>
    </row>
    <row r="24" spans="2:10" ht="54.6" customHeight="1" x14ac:dyDescent="0.25">
      <c r="B24" s="143"/>
      <c r="C24" s="148"/>
      <c r="D24" s="172">
        <f>VLOOKUP($H$16,'Amount Purchased'!B:F,3,FALSE)</f>
        <v>45497</v>
      </c>
      <c r="E24" s="173">
        <f>VLOOKUP($H$16,'Amount Purchased'!B:F,2,FALSE)</f>
        <v>45496</v>
      </c>
      <c r="F24" s="174" t="str">
        <f>VLOOKUP($H$16,'Amount Purchased'!B:F,4,FALSE)</f>
        <v>National Book Store – Upper Ground Floor, SM Megamall Building A, Mandaluyong City</v>
      </c>
      <c r="G24" s="175">
        <f>VLOOKUP($H$16,'Amount Purchased'!B:F,5,FALSE)</f>
        <v>1000</v>
      </c>
      <c r="H24" s="149"/>
      <c r="I24" s="150"/>
      <c r="J24" s="143"/>
    </row>
    <row r="25" spans="2:10" ht="47.4" customHeight="1" x14ac:dyDescent="0.25">
      <c r="B25" s="143"/>
      <c r="C25" s="148"/>
      <c r="D25" s="172">
        <f>VLOOKUP($H$16,'Amount Purchased'!B:F,3,FALSE)</f>
        <v>45497</v>
      </c>
      <c r="E25" s="173">
        <f>VLOOKUP($H$16,'Amount Purchased'!B:F,2,FALSE)</f>
        <v>45496</v>
      </c>
      <c r="F25" s="174" t="str">
        <f>VLOOKUP($H$16,'Amount Purchased'!B:F,4,FALSE)</f>
        <v>National Book Store – Upper Ground Floor, SM Megamall Building A, Mandaluyong City</v>
      </c>
      <c r="G25" s="175">
        <f>VLOOKUP($H$16,'Amount Purchased'!B:F,5,FALSE)</f>
        <v>1000</v>
      </c>
      <c r="H25" s="149"/>
      <c r="I25" s="150"/>
      <c r="J25" s="143"/>
    </row>
    <row r="26" spans="2:10" ht="54" customHeight="1" thickBot="1" x14ac:dyDescent="0.3">
      <c r="B26" s="143"/>
      <c r="C26" s="148"/>
      <c r="D26" s="176">
        <f>VLOOKUP($H$16,'Amount Purchased'!B:F,3,FALSE)</f>
        <v>45497</v>
      </c>
      <c r="E26" s="177">
        <f>VLOOKUP($H$16,'Amount Purchased'!B:F,2,FALSE)</f>
        <v>45496</v>
      </c>
      <c r="F26" s="178" t="str">
        <f>VLOOKUP($H$16,'Amount Purchased'!B:F,4,FALSE)</f>
        <v>National Book Store – Upper Ground Floor, SM Megamall Building A, Mandaluyong City</v>
      </c>
      <c r="G26" s="179">
        <f>VLOOKUP($H$16,'Amount Purchased'!B:F,5,FALSE)</f>
        <v>1000</v>
      </c>
      <c r="H26" s="149"/>
      <c r="I26" s="150"/>
      <c r="J26" s="143"/>
    </row>
    <row r="27" spans="2:10" x14ac:dyDescent="0.25">
      <c r="B27" s="143"/>
      <c r="C27" s="148"/>
      <c r="D27" s="149"/>
      <c r="E27" s="149"/>
      <c r="F27" s="149"/>
      <c r="G27" s="149"/>
      <c r="H27" s="149"/>
      <c r="I27" s="150"/>
      <c r="J27" s="143"/>
    </row>
    <row r="28" spans="2:10" x14ac:dyDescent="0.25">
      <c r="B28" s="143"/>
      <c r="C28" s="148"/>
      <c r="D28" s="262" t="s">
        <v>388</v>
      </c>
      <c r="E28" s="262"/>
      <c r="F28" s="149"/>
      <c r="G28" s="149"/>
      <c r="H28" s="149"/>
      <c r="I28" s="150"/>
      <c r="J28" s="143"/>
    </row>
    <row r="29" spans="2:10" x14ac:dyDescent="0.25">
      <c r="B29" s="143"/>
      <c r="C29" s="148"/>
      <c r="D29" s="149"/>
      <c r="E29" s="149"/>
      <c r="F29" s="149"/>
      <c r="G29" s="149"/>
      <c r="H29" s="149"/>
      <c r="I29" s="150"/>
      <c r="J29" s="143"/>
    </row>
    <row r="30" spans="2:10" x14ac:dyDescent="0.25">
      <c r="B30" s="143"/>
      <c r="C30" s="148"/>
      <c r="D30" s="149" t="s">
        <v>389</v>
      </c>
      <c r="E30" s="149"/>
      <c r="F30" s="149"/>
      <c r="G30" s="149"/>
      <c r="H30" s="149"/>
      <c r="I30" s="150"/>
      <c r="J30" s="143"/>
    </row>
    <row r="31" spans="2:10" x14ac:dyDescent="0.25">
      <c r="B31" s="143"/>
      <c r="C31" s="148"/>
      <c r="D31" s="149" t="s">
        <v>390</v>
      </c>
      <c r="E31" s="149"/>
      <c r="F31" s="149"/>
      <c r="G31" s="149"/>
      <c r="H31" s="149"/>
      <c r="I31" s="150"/>
      <c r="J31" s="143"/>
    </row>
    <row r="32" spans="2:10" ht="14.4" thickBot="1" x14ac:dyDescent="0.3">
      <c r="B32" s="143"/>
      <c r="C32" s="163"/>
      <c r="D32" s="164"/>
      <c r="E32" s="164"/>
      <c r="F32" s="164"/>
      <c r="G32" s="164"/>
      <c r="H32" s="164"/>
      <c r="I32" s="165"/>
      <c r="J32" s="143"/>
    </row>
    <row r="33" spans="2:10" ht="23.4" customHeight="1" x14ac:dyDescent="0.25">
      <c r="B33" s="143"/>
      <c r="C33" s="148"/>
      <c r="D33" s="149"/>
      <c r="E33" s="261" t="s">
        <v>391</v>
      </c>
      <c r="F33" s="261"/>
      <c r="G33" s="261"/>
      <c r="H33" s="149"/>
      <c r="I33" s="150"/>
      <c r="J33" s="143"/>
    </row>
    <row r="34" spans="2:10" x14ac:dyDescent="0.25">
      <c r="B34" s="143"/>
      <c r="C34" s="148"/>
      <c r="D34" s="149"/>
      <c r="E34" s="149"/>
      <c r="F34" s="149"/>
      <c r="G34" s="149"/>
      <c r="H34" s="149"/>
      <c r="I34" s="150"/>
      <c r="J34" s="143"/>
    </row>
    <row r="35" spans="2:10" x14ac:dyDescent="0.25">
      <c r="B35" s="143"/>
      <c r="C35" s="148"/>
      <c r="D35" s="149"/>
      <c r="E35" s="262" t="s">
        <v>392</v>
      </c>
      <c r="F35" s="262"/>
      <c r="G35" s="262"/>
      <c r="H35" s="149"/>
      <c r="I35" s="150"/>
      <c r="J35" s="143"/>
    </row>
    <row r="36" spans="2:10" x14ac:dyDescent="0.25">
      <c r="B36" s="143"/>
      <c r="C36" s="148"/>
      <c r="D36" s="149" t="str">
        <f>D10</f>
        <v>Diego M. Mercado</v>
      </c>
      <c r="E36" s="161"/>
      <c r="F36" s="161"/>
      <c r="G36" s="262" t="str">
        <f>CONCATENATE('Individual Profile Report'!D6," - ",'Individual Profile Report'!D10)</f>
        <v>5165-8989-1015-1702 - Mastercard Classic</v>
      </c>
      <c r="H36" s="262"/>
      <c r="I36" s="150"/>
      <c r="J36" s="143"/>
    </row>
    <row r="37" spans="2:10" x14ac:dyDescent="0.25">
      <c r="B37" s="143"/>
      <c r="C37" s="148"/>
      <c r="D37" s="149"/>
      <c r="E37" s="161"/>
      <c r="F37" s="161"/>
      <c r="G37" s="149"/>
      <c r="H37" s="149"/>
      <c r="I37" s="150"/>
      <c r="J37" s="143"/>
    </row>
    <row r="38" spans="2:10" x14ac:dyDescent="0.25">
      <c r="B38" s="143"/>
      <c r="C38" s="148"/>
      <c r="D38" s="189" t="s">
        <v>372</v>
      </c>
      <c r="E38" s="149"/>
      <c r="F38" s="189" t="s">
        <v>373</v>
      </c>
      <c r="G38" s="161"/>
      <c r="H38" s="149"/>
      <c r="I38" s="150"/>
      <c r="J38" s="143"/>
    </row>
    <row r="39" spans="2:10" ht="21.9" customHeight="1" x14ac:dyDescent="0.25">
      <c r="B39" s="143"/>
      <c r="C39" s="148"/>
      <c r="D39" s="166">
        <f ca="1">H10</f>
        <v>45866</v>
      </c>
      <c r="E39" s="149"/>
      <c r="F39" s="167">
        <f>H11</f>
        <v>85</v>
      </c>
      <c r="G39" s="149"/>
      <c r="H39" s="149"/>
      <c r="I39" s="150"/>
      <c r="J39" s="143"/>
    </row>
    <row r="40" spans="2:10" x14ac:dyDescent="0.25">
      <c r="B40" s="143"/>
      <c r="C40" s="148"/>
      <c r="D40" s="149"/>
      <c r="E40" s="149"/>
      <c r="F40" s="149"/>
      <c r="G40" s="149"/>
      <c r="H40" s="149"/>
      <c r="I40" s="150"/>
      <c r="J40" s="143"/>
    </row>
    <row r="41" spans="2:10" x14ac:dyDescent="0.25">
      <c r="B41" s="143"/>
      <c r="C41" s="148"/>
      <c r="D41" s="149" t="s">
        <v>393</v>
      </c>
      <c r="E41" s="149"/>
      <c r="F41" s="149"/>
      <c r="G41" s="149"/>
      <c r="H41" s="149"/>
      <c r="I41" s="150"/>
      <c r="J41" s="143"/>
    </row>
    <row r="42" spans="2:10" x14ac:dyDescent="0.25">
      <c r="B42" s="143"/>
      <c r="C42" s="148"/>
      <c r="D42" s="149" t="s">
        <v>394</v>
      </c>
      <c r="E42" s="149"/>
      <c r="F42" s="149"/>
      <c r="G42" s="149"/>
      <c r="H42" s="149"/>
      <c r="I42" s="150"/>
      <c r="J42" s="143"/>
    </row>
    <row r="43" spans="2:10" x14ac:dyDescent="0.25">
      <c r="B43" s="143"/>
      <c r="C43" s="148"/>
      <c r="D43" s="149" t="s">
        <v>395</v>
      </c>
      <c r="E43" s="149"/>
      <c r="F43" s="149"/>
      <c r="G43" s="149"/>
      <c r="H43" s="149"/>
      <c r="I43" s="150"/>
      <c r="J43" s="143"/>
    </row>
    <row r="44" spans="2:10" x14ac:dyDescent="0.25">
      <c r="B44" s="143"/>
      <c r="C44" s="148"/>
      <c r="D44" s="149"/>
      <c r="E44" s="149"/>
      <c r="F44" s="149"/>
      <c r="G44" s="149"/>
      <c r="H44" s="149"/>
      <c r="I44" s="150"/>
      <c r="J44" s="143"/>
    </row>
    <row r="45" spans="2:10" x14ac:dyDescent="0.25">
      <c r="B45" s="143"/>
      <c r="C45" s="148"/>
      <c r="D45" s="149"/>
      <c r="E45" s="149"/>
      <c r="F45" s="149"/>
      <c r="G45" s="149"/>
      <c r="H45" s="149"/>
      <c r="I45" s="150"/>
      <c r="J45" s="143"/>
    </row>
    <row r="46" spans="2:10" x14ac:dyDescent="0.25">
      <c r="B46" s="143"/>
      <c r="C46" s="148"/>
      <c r="D46" s="149" t="s">
        <v>396</v>
      </c>
      <c r="E46" s="149"/>
      <c r="F46" s="149"/>
      <c r="G46" s="149"/>
      <c r="H46" s="149"/>
      <c r="I46" s="150"/>
      <c r="J46" s="143"/>
    </row>
    <row r="47" spans="2:10" x14ac:dyDescent="0.25">
      <c r="B47" s="143"/>
      <c r="C47" s="148"/>
      <c r="D47" s="149" t="s">
        <v>397</v>
      </c>
      <c r="E47" s="149"/>
      <c r="F47" s="149"/>
      <c r="G47" s="149"/>
      <c r="H47" s="149"/>
      <c r="I47" s="150"/>
      <c r="J47" s="143"/>
    </row>
    <row r="48" spans="2:10" ht="14.4" thickBot="1" x14ac:dyDescent="0.3">
      <c r="B48" s="143"/>
      <c r="C48" s="168"/>
      <c r="D48" s="169"/>
      <c r="E48" s="169"/>
      <c r="F48" s="169"/>
      <c r="G48" s="169"/>
      <c r="H48" s="169"/>
      <c r="I48" s="170"/>
      <c r="J48" s="143"/>
    </row>
    <row r="49" spans="2:10" x14ac:dyDescent="0.25">
      <c r="B49" s="143"/>
      <c r="C49" s="143"/>
      <c r="D49" s="143"/>
      <c r="E49" s="143"/>
      <c r="F49" s="143"/>
      <c r="G49" s="143"/>
      <c r="H49" s="143"/>
      <c r="I49" s="143"/>
      <c r="J49" s="143"/>
    </row>
    <row r="50" spans="2:10" x14ac:dyDescent="0.25">
      <c r="B50" s="171"/>
      <c r="C50" s="171"/>
      <c r="D50" s="171"/>
      <c r="E50" s="171"/>
      <c r="F50" s="171"/>
      <c r="G50" s="171"/>
      <c r="H50" s="171"/>
      <c r="I50" s="171"/>
      <c r="J50" s="171"/>
    </row>
    <row r="51" spans="2:10" ht="21" x14ac:dyDescent="0.25">
      <c r="B51" s="171"/>
      <c r="C51" s="171"/>
      <c r="D51" s="263" t="s">
        <v>427</v>
      </c>
      <c r="E51" s="264"/>
      <c r="F51" s="171"/>
      <c r="G51" s="265" t="s">
        <v>431</v>
      </c>
      <c r="H51" s="265"/>
      <c r="I51" s="171"/>
      <c r="J51" s="171"/>
    </row>
    <row r="52" spans="2:10" x14ac:dyDescent="0.25">
      <c r="B52" s="171"/>
      <c r="C52" s="171"/>
      <c r="D52" s="171"/>
      <c r="E52" s="171"/>
      <c r="F52" s="171"/>
      <c r="G52" s="171"/>
      <c r="H52" s="171"/>
      <c r="I52" s="171"/>
      <c r="J52" s="171"/>
    </row>
  </sheetData>
  <mergeCells count="12">
    <mergeCell ref="G6:H6"/>
    <mergeCell ref="E33:G33"/>
    <mergeCell ref="G36:H36"/>
    <mergeCell ref="D51:E51"/>
    <mergeCell ref="G51:H51"/>
    <mergeCell ref="D14:E14"/>
    <mergeCell ref="D19:E19"/>
    <mergeCell ref="D22:G22"/>
    <mergeCell ref="G14:H14"/>
    <mergeCell ref="G9:H9"/>
    <mergeCell ref="D28:E28"/>
    <mergeCell ref="E35:G35"/>
  </mergeCells>
  <hyperlinks>
    <hyperlink ref="D51:E51" location="Dashboard!A1" display="[Go Back to Dashboard]" xr:uid="{00000000-0004-0000-0800-000000000000}"/>
  </hyperlinks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a2f7ad-3b5d-4391-be0f-38fa38a33ce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68719DBD5D947B03655EC9C22E29C" ma:contentTypeVersion="6" ma:contentTypeDescription="Create a new document." ma:contentTypeScope="" ma:versionID="9f67abd462b9e499d93eee3f83f3f631">
  <xsd:schema xmlns:xsd="http://www.w3.org/2001/XMLSchema" xmlns:xs="http://www.w3.org/2001/XMLSchema" xmlns:p="http://schemas.microsoft.com/office/2006/metadata/properties" xmlns:ns3="7da2f7ad-3b5d-4391-be0f-38fa38a33ce3" targetNamespace="http://schemas.microsoft.com/office/2006/metadata/properties" ma:root="true" ma:fieldsID="157988912cf582199d6e5034c0b25c72" ns3:_="">
    <xsd:import namespace="7da2f7ad-3b5d-4391-be0f-38fa38a33ce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a2f7ad-3b5d-4391-be0f-38fa38a33ce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44093F-91C1-4E10-B50F-EFF22F1F9B96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7da2f7ad-3b5d-4391-be0f-38fa38a33ce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3F844A3-F03D-40C7-9D81-A535985B59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E24D6B-A90D-44BF-BC41-5EA4E6EE4E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a2f7ad-3b5d-4391-be0f-38fa38a33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Account Information</vt:lpstr>
      <vt:lpstr>Card Info</vt:lpstr>
      <vt:lpstr>Individual Profile Report</vt:lpstr>
      <vt:lpstr>Amount Purchased</vt:lpstr>
      <vt:lpstr>Cash Advance Transactions</vt:lpstr>
      <vt:lpstr>Payments</vt:lpstr>
      <vt:lpstr>Confirmation Letter</vt:lpstr>
      <vt:lpstr>Statement of Account</vt:lpstr>
      <vt:lpstr>Payment System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Jel Enriquez</dc:creator>
  <cp:keywords/>
  <dc:description/>
  <cp:lastModifiedBy>Fajardo, Volex Amorc P.</cp:lastModifiedBy>
  <cp:revision/>
  <cp:lastPrinted>2025-06-27T17:30:54Z</cp:lastPrinted>
  <dcterms:created xsi:type="dcterms:W3CDTF">2014-07-12T08:54:20Z</dcterms:created>
  <dcterms:modified xsi:type="dcterms:W3CDTF">2025-06-27T18:01:01Z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0x01010025568719DBD5D947B03655EC9C22E29C</vt:lpwstr>
  </property>
</Properties>
</file>