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62913"/>
</workbook>
</file>

<file path=xl/calcChain.xml><?xml version="1.0" encoding="utf-8"?>
<calcChain xmlns="http://schemas.openxmlformats.org/spreadsheetml/2006/main">
  <c r="B70" i="1" l="1"/>
  <c r="B80" i="1" s="1"/>
  <c r="L70" i="1"/>
  <c r="D27" i="1"/>
  <c r="F80" i="1"/>
  <c r="F71" i="1"/>
  <c r="F72" i="1"/>
  <c r="F73" i="1"/>
  <c r="F74" i="1"/>
  <c r="F75" i="1"/>
  <c r="F76" i="1"/>
  <c r="F77" i="1"/>
  <c r="F78" i="1"/>
  <c r="F79" i="1"/>
  <c r="F70" i="1"/>
  <c r="E71" i="1"/>
  <c r="E72" i="1"/>
  <c r="E73" i="1"/>
  <c r="E74" i="1"/>
  <c r="E75" i="1"/>
  <c r="E76" i="1"/>
  <c r="E77" i="1"/>
  <c r="E78" i="1"/>
  <c r="E79" i="1"/>
  <c r="C80" i="1"/>
  <c r="D71" i="1"/>
  <c r="D72" i="1"/>
  <c r="D73" i="1"/>
  <c r="D74" i="1"/>
  <c r="D75" i="1"/>
  <c r="D76" i="1"/>
  <c r="D77" i="1"/>
  <c r="D78" i="1"/>
  <c r="D79" i="1"/>
  <c r="C71" i="1"/>
  <c r="C72" i="1"/>
  <c r="C73" i="1"/>
  <c r="C74" i="1"/>
  <c r="C75" i="1"/>
  <c r="C76" i="1"/>
  <c r="C77" i="1"/>
  <c r="C78" i="1"/>
  <c r="C79" i="1"/>
  <c r="C70" i="1"/>
  <c r="C48" i="1"/>
  <c r="B71" i="1"/>
  <c r="B72" i="1"/>
  <c r="B73" i="1"/>
  <c r="B74" i="1"/>
  <c r="B75" i="1"/>
  <c r="B76" i="1"/>
  <c r="B77" i="1"/>
  <c r="B78" i="1"/>
  <c r="B79" i="1"/>
  <c r="B48" i="1"/>
  <c r="C49" i="1"/>
  <c r="F49" i="1" s="1"/>
  <c r="C50" i="1"/>
  <c r="F50" i="1" s="1"/>
  <c r="C51" i="1"/>
  <c r="F51" i="1" s="1"/>
  <c r="C52" i="1"/>
  <c r="C53" i="1"/>
  <c r="F53" i="1" s="1"/>
  <c r="C54" i="1"/>
  <c r="F54" i="1" s="1"/>
  <c r="C55" i="1"/>
  <c r="F55" i="1" s="1"/>
  <c r="C56" i="1"/>
  <c r="C57" i="1"/>
  <c r="F57" i="1" s="1"/>
  <c r="F48" i="1"/>
  <c r="B49" i="1"/>
  <c r="B50" i="1"/>
  <c r="D50" i="1" s="1"/>
  <c r="B51" i="1"/>
  <c r="D51" i="1" s="1"/>
  <c r="B52" i="1"/>
  <c r="B53" i="1"/>
  <c r="B54" i="1"/>
  <c r="D54" i="1" s="1"/>
  <c r="B55" i="1"/>
  <c r="D55" i="1" s="1"/>
  <c r="B56" i="1"/>
  <c r="B57" i="1"/>
  <c r="D48" i="1"/>
  <c r="D49" i="1"/>
  <c r="D52" i="1"/>
  <c r="D53" i="1"/>
  <c r="D56" i="1"/>
  <c r="D57" i="1"/>
  <c r="E57" i="1"/>
  <c r="E49" i="1"/>
  <c r="E50" i="1"/>
  <c r="E51" i="1"/>
  <c r="E52" i="1"/>
  <c r="E53" i="1"/>
  <c r="E54" i="1"/>
  <c r="E55" i="1"/>
  <c r="E56" i="1"/>
  <c r="E48" i="1"/>
  <c r="F52" i="1"/>
  <c r="F56" i="1"/>
  <c r="G49" i="1"/>
  <c r="G50" i="1"/>
  <c r="G51" i="1"/>
  <c r="G52" i="1"/>
  <c r="G53" i="1"/>
  <c r="G54" i="1"/>
  <c r="G55" i="1"/>
  <c r="G56" i="1"/>
  <c r="G57" i="1"/>
  <c r="G48" i="1"/>
  <c r="L41" i="1"/>
  <c r="L33" i="1"/>
  <c r="L34" i="1"/>
  <c r="L35" i="1"/>
  <c r="L36" i="1"/>
  <c r="L37" i="1"/>
  <c r="L38" i="1"/>
  <c r="L39" i="1"/>
  <c r="L40" i="1"/>
  <c r="L32" i="1"/>
  <c r="E70" i="1" l="1"/>
  <c r="E80" i="1" s="1"/>
  <c r="D70" i="1"/>
  <c r="D80" i="1" s="1"/>
  <c r="I70" i="1" s="1"/>
  <c r="K70" i="1" s="1"/>
  <c r="M70" i="1" s="1"/>
  <c r="I71" i="1"/>
  <c r="P42" i="1"/>
  <c r="O42" i="1"/>
  <c r="R33" i="1"/>
  <c r="R34" i="1"/>
  <c r="R35" i="1"/>
  <c r="R36" i="1"/>
  <c r="R37" i="1"/>
  <c r="R38" i="1"/>
  <c r="R39" i="1"/>
  <c r="R40" i="1"/>
  <c r="R41" i="1"/>
  <c r="R32" i="1"/>
  <c r="N42" i="1"/>
  <c r="G27" i="1"/>
  <c r="M33" i="1"/>
  <c r="M34" i="1"/>
  <c r="M35" i="1"/>
  <c r="M36" i="1"/>
  <c r="M37" i="1"/>
  <c r="M38" i="1"/>
  <c r="M39" i="1"/>
  <c r="M40" i="1"/>
  <c r="M41" i="1"/>
  <c r="M32" i="1"/>
  <c r="J33" i="1"/>
  <c r="J34" i="1"/>
  <c r="J35" i="1"/>
  <c r="J36" i="1"/>
  <c r="J37" i="1"/>
  <c r="J38" i="1"/>
  <c r="J39" i="1"/>
  <c r="J40" i="1"/>
  <c r="J41" i="1"/>
  <c r="J32" i="1"/>
  <c r="I32" i="1"/>
  <c r="I33" i="1"/>
  <c r="I34" i="1"/>
  <c r="I35" i="1"/>
  <c r="I36" i="1"/>
  <c r="I37" i="1"/>
  <c r="I38" i="1"/>
  <c r="I39" i="1"/>
  <c r="I40" i="1"/>
  <c r="I41" i="1"/>
  <c r="N7" i="1"/>
  <c r="F9" i="1"/>
  <c r="G33" i="1"/>
  <c r="G34" i="1"/>
  <c r="G35" i="1"/>
  <c r="G36" i="1"/>
  <c r="G37" i="1"/>
  <c r="G38" i="1"/>
  <c r="G39" i="1"/>
  <c r="G40" i="1"/>
  <c r="G41" i="1"/>
  <c r="G32" i="1"/>
  <c r="F33" i="1"/>
  <c r="F34" i="1"/>
  <c r="F35" i="1"/>
  <c r="F36" i="1"/>
  <c r="F37" i="1"/>
  <c r="F38" i="1"/>
  <c r="F39" i="1"/>
  <c r="F40" i="1"/>
  <c r="F41" i="1"/>
  <c r="F32" i="1"/>
  <c r="D33" i="1"/>
  <c r="D34" i="1"/>
  <c r="D35" i="1"/>
  <c r="D36" i="1"/>
  <c r="D37" i="1"/>
  <c r="D38" i="1"/>
  <c r="D39" i="1"/>
  <c r="D40" i="1"/>
  <c r="D41" i="1"/>
  <c r="D32" i="1"/>
  <c r="C33" i="1"/>
  <c r="C34" i="1"/>
  <c r="C35" i="1"/>
  <c r="C36" i="1"/>
  <c r="C37" i="1"/>
  <c r="C38" i="1"/>
  <c r="C39" i="1"/>
  <c r="C40" i="1"/>
  <c r="C41" i="1"/>
  <c r="C32" i="1"/>
  <c r="E33" i="1"/>
  <c r="E34" i="1"/>
  <c r="E35" i="1"/>
  <c r="E36" i="1"/>
  <c r="E37" i="1"/>
  <c r="E38" i="1"/>
  <c r="E39" i="1"/>
  <c r="E40" i="1"/>
  <c r="E41" i="1"/>
  <c r="E32" i="1"/>
  <c r="B33" i="1"/>
  <c r="B34" i="1"/>
  <c r="B35" i="1"/>
  <c r="B36" i="1"/>
  <c r="B37" i="1"/>
  <c r="B38" i="1"/>
  <c r="B39" i="1"/>
  <c r="B40" i="1"/>
  <c r="B41" i="1"/>
  <c r="B32" i="1"/>
  <c r="E26" i="1"/>
  <c r="E27" i="1"/>
  <c r="G26" i="1" s="1"/>
  <c r="P36" i="1" s="1"/>
  <c r="O36" i="1" s="1"/>
  <c r="E25" i="1"/>
  <c r="D26" i="1"/>
  <c r="D25" i="1"/>
  <c r="B27" i="1"/>
  <c r="B26" i="1"/>
  <c r="I72" i="1" l="1"/>
  <c r="I73" i="1" s="1"/>
  <c r="P37" i="1"/>
  <c r="O37" i="1" s="1"/>
  <c r="P35" i="1"/>
  <c r="O35" i="1" s="1"/>
  <c r="P32" i="1"/>
  <c r="O32" i="1" s="1"/>
  <c r="P41" i="1"/>
  <c r="O41" i="1" s="1"/>
  <c r="P33" i="1"/>
  <c r="O33" i="1" s="1"/>
  <c r="P39" i="1"/>
  <c r="O39" i="1" s="1"/>
  <c r="P34" i="1"/>
  <c r="O34" i="1" s="1"/>
  <c r="P40" i="1"/>
  <c r="O40" i="1" s="1"/>
  <c r="P38" i="1"/>
  <c r="O38" i="1" s="1"/>
  <c r="G9" i="1"/>
  <c r="G11" i="1"/>
  <c r="G14" i="1"/>
  <c r="F11" i="1"/>
  <c r="F14" i="1"/>
  <c r="F15" i="1"/>
  <c r="G15" i="1" s="1"/>
  <c r="F17" i="1"/>
  <c r="G17" i="1" s="1"/>
  <c r="E12" i="1"/>
  <c r="F12" i="1" s="1"/>
  <c r="G12" i="1" s="1"/>
  <c r="E13" i="1"/>
  <c r="F13" i="1" s="1"/>
  <c r="G13" i="1" s="1"/>
  <c r="E14" i="1"/>
  <c r="E15" i="1"/>
  <c r="E16" i="1"/>
  <c r="F16" i="1" s="1"/>
  <c r="G16" i="1" s="1"/>
  <c r="E17" i="1"/>
  <c r="E18" i="1"/>
  <c r="F18" i="1" s="1"/>
  <c r="G18" i="1" s="1"/>
  <c r="E11" i="1"/>
  <c r="D7" i="2"/>
  <c r="D6" i="2"/>
  <c r="D4" i="2"/>
  <c r="D5" i="2"/>
  <c r="D3" i="2"/>
  <c r="D2" i="2"/>
  <c r="I74" i="1" l="1"/>
  <c r="I75" i="1" s="1"/>
  <c r="G10" i="1"/>
  <c r="F10" i="1"/>
  <c r="S5" i="1"/>
  <c r="N2" i="1"/>
  <c r="F4" i="1" s="1"/>
  <c r="E4" i="1" l="1"/>
  <c r="B4" i="1"/>
  <c r="D4" i="1"/>
  <c r="K4" i="1"/>
  <c r="C4" i="1"/>
  <c r="J4" i="1"/>
  <c r="I4" i="1"/>
  <c r="H4" i="1"/>
  <c r="G4" i="1"/>
  <c r="N4" i="1" l="1"/>
</calcChain>
</file>

<file path=xl/sharedStrings.xml><?xml version="1.0" encoding="utf-8"?>
<sst xmlns="http://schemas.openxmlformats.org/spreadsheetml/2006/main" count="91" uniqueCount="76">
  <si>
    <t>tср</t>
  </si>
  <si>
    <t>сигма случ</t>
  </si>
  <si>
    <t>сигма сист</t>
  </si>
  <si>
    <t>N, оп</t>
  </si>
  <si>
    <t>a, мм</t>
  </si>
  <si>
    <t>xц, мм</t>
  </si>
  <si>
    <t>n</t>
  </si>
  <si>
    <t>tn,с</t>
  </si>
  <si>
    <t>T, с</t>
  </si>
  <si>
    <t>g</t>
  </si>
  <si>
    <t>ti-tср</t>
  </si>
  <si>
    <t>l</t>
  </si>
  <si>
    <t>mпр</t>
  </si>
  <si>
    <t>mст</t>
  </si>
  <si>
    <t>г</t>
  </si>
  <si>
    <t>бетта</t>
  </si>
  <si>
    <t>pi</t>
  </si>
  <si>
    <t>м</t>
  </si>
  <si>
    <t>измерение</t>
  </si>
  <si>
    <t>σ</t>
  </si>
  <si>
    <t>ε, %</t>
  </si>
  <si>
    <t>длина стержня l, мм</t>
  </si>
  <si>
    <t>положение ЦМ lцм, мм</t>
  </si>
  <si>
    <t>масса стержня mст, г</t>
  </si>
  <si>
    <t>масса призмы mпр, г</t>
  </si>
  <si>
    <t>N опыта</t>
  </si>
  <si>
    <t>t, с</t>
  </si>
  <si>
    <t>t для n = 12</t>
  </si>
  <si>
    <t>расчет погрешности g</t>
  </si>
  <si>
    <t>δ</t>
  </si>
  <si>
    <t>ε</t>
  </si>
  <si>
    <t>значение</t>
  </si>
  <si>
    <t>единица измерения</t>
  </si>
  <si>
    <t>кг</t>
  </si>
  <si>
    <t>a, м</t>
  </si>
  <si>
    <t>δa</t>
  </si>
  <si>
    <t>εа</t>
  </si>
  <si>
    <t>δ xц</t>
  </si>
  <si>
    <t>ε xц</t>
  </si>
  <si>
    <t>δ T</t>
  </si>
  <si>
    <t>ε T</t>
  </si>
  <si>
    <t>xц, м</t>
  </si>
  <si>
    <t>сигма полн</t>
  </si>
  <si>
    <t>g, м/с^2</t>
  </si>
  <si>
    <t>δ g</t>
  </si>
  <si>
    <t>ε g</t>
  </si>
  <si>
    <t>(на листочке в журнале)</t>
  </si>
  <si>
    <t>ε t</t>
  </si>
  <si>
    <t>δ tn</t>
  </si>
  <si>
    <t>ε tn</t>
  </si>
  <si>
    <t>\= ε tn</t>
  </si>
  <si>
    <t>на листочке</t>
  </si>
  <si>
    <t>ε (mпр/mст)</t>
  </si>
  <si>
    <t>ε (…)</t>
  </si>
  <si>
    <t>среднее</t>
  </si>
  <si>
    <t>для δ ср</t>
  </si>
  <si>
    <t>(по формуле 1.20 стр.26 лабник)</t>
  </si>
  <si>
    <t>15. график</t>
  </si>
  <si>
    <t>u</t>
  </si>
  <si>
    <t>v</t>
  </si>
  <si>
    <t>δ u</t>
  </si>
  <si>
    <t>ε u</t>
  </si>
  <si>
    <t>δ v</t>
  </si>
  <si>
    <t>ε v</t>
  </si>
  <si>
    <t>N</t>
  </si>
  <si>
    <t>16. вычисление коэфф. k и b</t>
  </si>
  <si>
    <t>uv</t>
  </si>
  <si>
    <t>&lt;среднее&gt;</t>
  </si>
  <si>
    <t>u^2</t>
  </si>
  <si>
    <t>k</t>
  </si>
  <si>
    <t>b</t>
  </si>
  <si>
    <t>δ k</t>
  </si>
  <si>
    <t>δ b</t>
  </si>
  <si>
    <t>ε k</t>
  </si>
  <si>
    <t>ε b</t>
  </si>
  <si>
    <t>v^2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</si>
</sst>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/>
    <xf numFmtId="166" fontId="0" fillId="0" borderId="1" xfId="0" applyNumberFormat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0" fontId="2" fillId="0" borderId="7" xfId="0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периода колебаний от расстояния подвеса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4473305340649211E-2"/>
          <c:y val="0.14841936774709885"/>
          <c:w val="0.70714428826167719"/>
          <c:h val="0.67389633018561756"/>
        </c:manualLayout>
      </c:layout>
      <c:scatterChart>
        <c:scatterStyle val="lineMarker"/>
        <c:varyColors val="0"/>
        <c:ser>
          <c:idx val="0"/>
          <c:order val="0"/>
          <c:tx>
            <c:v>T, с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3.0000000000000009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Лист1!$B$9:$B$18</c:f>
              <c:numCache>
                <c:formatCode>General</c:formatCode>
                <c:ptCount val="10"/>
                <c:pt idx="0">
                  <c:v>410</c:v>
                </c:pt>
                <c:pt idx="1">
                  <c:v>371</c:v>
                </c:pt>
                <c:pt idx="2">
                  <c:v>331</c:v>
                </c:pt>
                <c:pt idx="3">
                  <c:v>290</c:v>
                </c:pt>
                <c:pt idx="4">
                  <c:v>301</c:v>
                </c:pt>
                <c:pt idx="5">
                  <c:v>310</c:v>
                </c:pt>
                <c:pt idx="6">
                  <c:v>280</c:v>
                </c:pt>
                <c:pt idx="7">
                  <c:v>270</c:v>
                </c:pt>
                <c:pt idx="8">
                  <c:v>230</c:v>
                </c:pt>
                <c:pt idx="9">
                  <c:v>180</c:v>
                </c:pt>
              </c:numCache>
            </c:numRef>
          </c:xVal>
          <c:yVal>
            <c:numRef>
              <c:f>Лист1!$F$9:$F$18</c:f>
              <c:numCache>
                <c:formatCode>0.00</c:formatCode>
                <c:ptCount val="10"/>
                <c:pt idx="0">
                  <c:v>1.57</c:v>
                </c:pt>
                <c:pt idx="1">
                  <c:v>1.5493750000000002</c:v>
                </c:pt>
                <c:pt idx="2">
                  <c:v>1.5306249999999999</c:v>
                </c:pt>
                <c:pt idx="3">
                  <c:v>1.5385416666666665</c:v>
                </c:pt>
                <c:pt idx="4">
                  <c:v>1.5337500000000002</c:v>
                </c:pt>
                <c:pt idx="5">
                  <c:v>1.5274999999999999</c:v>
                </c:pt>
                <c:pt idx="6">
                  <c:v>1.5220833333333335</c:v>
                </c:pt>
                <c:pt idx="7">
                  <c:v>1.5272916666666667</c:v>
                </c:pt>
                <c:pt idx="8">
                  <c:v>1.5427083333333329</c:v>
                </c:pt>
                <c:pt idx="9">
                  <c:v>1.6089583333333335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1F-4BEA-B597-75225A7B2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336328"/>
        <c:axId val="433341248"/>
      </c:scatterChart>
      <c:valAx>
        <c:axId val="433336328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a,</a:t>
                </a:r>
                <a:r>
                  <a:rPr lang="en-US" baseline="0"/>
                  <a:t> </a:t>
                </a:r>
                <a:r>
                  <a:rPr lang="ru-RU" baseline="0"/>
                  <a:t>мм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341248"/>
        <c:crosses val="autoZero"/>
        <c:crossBetween val="midCat"/>
        <c:minorUnit val="10"/>
      </c:valAx>
      <c:valAx>
        <c:axId val="43334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336328"/>
        <c:crosses val="autoZero"/>
        <c:crossBetween val="midCat"/>
        <c:minorUnit val="5.000000000000001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7935296255909"/>
          <c:y val="0.16054358751374564"/>
          <c:w val="0.18231552162849873"/>
          <c:h val="0.283114190558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v </a:t>
            </a:r>
            <a:r>
              <a:rPr lang="ru-RU" baseline="0"/>
              <a:t>от </a:t>
            </a:r>
            <a:r>
              <a:rPr lang="en-US" baseline="0"/>
              <a:t>u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от u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Лист1!$B$48:$B$57</c:f>
              <c:numCache>
                <c:formatCode>General</c:formatCode>
                <c:ptCount val="10"/>
                <c:pt idx="0">
                  <c:v>939.37339000000009</c:v>
                </c:pt>
                <c:pt idx="1">
                  <c:v>827.95414097656271</c:v>
                </c:pt>
                <c:pt idx="2">
                  <c:v>720.88352644531244</c:v>
                </c:pt>
                <c:pt idx="3">
                  <c:v>637.93626898871503</c:v>
                </c:pt>
                <c:pt idx="4">
                  <c:v>657.25750406250006</c:v>
                </c:pt>
                <c:pt idx="5">
                  <c:v>671.51114874999985</c:v>
                </c:pt>
                <c:pt idx="6">
                  <c:v>602.35179513888897</c:v>
                </c:pt>
                <c:pt idx="7">
                  <c:v>585.95410256944444</c:v>
                </c:pt>
                <c:pt idx="8">
                  <c:v>508.11911187065942</c:v>
                </c:pt>
                <c:pt idx="9">
                  <c:v>432.32073537326397</c:v>
                </c:pt>
              </c:numCache>
            </c:numRef>
          </c:xVal>
          <c:yVal>
            <c:numRef>
              <c:f>Лист1!$C$48:$C$57</c:f>
              <c:numCache>
                <c:formatCode>General</c:formatCode>
                <c:ptCount val="10"/>
                <c:pt idx="0">
                  <c:v>168100</c:v>
                </c:pt>
                <c:pt idx="1">
                  <c:v>137641</c:v>
                </c:pt>
                <c:pt idx="2">
                  <c:v>109561</c:v>
                </c:pt>
                <c:pt idx="3">
                  <c:v>84100</c:v>
                </c:pt>
                <c:pt idx="4">
                  <c:v>90601</c:v>
                </c:pt>
                <c:pt idx="5">
                  <c:v>96100</c:v>
                </c:pt>
                <c:pt idx="6">
                  <c:v>78400</c:v>
                </c:pt>
                <c:pt idx="7">
                  <c:v>72900</c:v>
                </c:pt>
                <c:pt idx="8">
                  <c:v>52900</c:v>
                </c:pt>
                <c:pt idx="9">
                  <c:v>32400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7-4802-A301-2800FC862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06280"/>
        <c:axId val="482106608"/>
      </c:scatterChart>
      <c:valAx>
        <c:axId val="482106280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 = x</a:t>
                </a:r>
                <a:r>
                  <a:rPr lang="ru-RU"/>
                  <a:t>ц*</a:t>
                </a:r>
                <a:r>
                  <a:rPr lang="en-US"/>
                  <a:t>T^2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06608"/>
        <c:crosses val="autoZero"/>
        <c:crossBetween val="midCat"/>
      </c:valAx>
      <c:valAx>
        <c:axId val="482106608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= a^2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0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v </a:t>
            </a:r>
            <a:r>
              <a:rPr lang="ru-RU" baseline="0"/>
              <a:t>от </a:t>
            </a:r>
            <a:r>
              <a:rPr lang="en-US" baseline="0"/>
              <a:t>u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от u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0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Лист1!$B$48:$B$57</c:f>
              <c:numCache>
                <c:formatCode>General</c:formatCode>
                <c:ptCount val="10"/>
                <c:pt idx="0">
                  <c:v>939.37339000000009</c:v>
                </c:pt>
                <c:pt idx="1">
                  <c:v>827.95414097656271</c:v>
                </c:pt>
                <c:pt idx="2">
                  <c:v>720.88352644531244</c:v>
                </c:pt>
                <c:pt idx="3">
                  <c:v>637.93626898871503</c:v>
                </c:pt>
                <c:pt idx="4">
                  <c:v>657.25750406250006</c:v>
                </c:pt>
                <c:pt idx="5">
                  <c:v>671.51114874999985</c:v>
                </c:pt>
                <c:pt idx="6">
                  <c:v>602.35179513888897</c:v>
                </c:pt>
                <c:pt idx="7">
                  <c:v>585.95410256944444</c:v>
                </c:pt>
                <c:pt idx="8">
                  <c:v>508.11911187065942</c:v>
                </c:pt>
                <c:pt idx="9">
                  <c:v>432.32073537326397</c:v>
                </c:pt>
              </c:numCache>
            </c:numRef>
          </c:xVal>
          <c:yVal>
            <c:numRef>
              <c:f>Лист1!$C$48:$C$57</c:f>
              <c:numCache>
                <c:formatCode>General</c:formatCode>
                <c:ptCount val="10"/>
                <c:pt idx="0">
                  <c:v>168100</c:v>
                </c:pt>
                <c:pt idx="1">
                  <c:v>137641</c:v>
                </c:pt>
                <c:pt idx="2">
                  <c:v>109561</c:v>
                </c:pt>
                <c:pt idx="3">
                  <c:v>84100</c:v>
                </c:pt>
                <c:pt idx="4">
                  <c:v>90601</c:v>
                </c:pt>
                <c:pt idx="5">
                  <c:v>96100</c:v>
                </c:pt>
                <c:pt idx="6">
                  <c:v>78400</c:v>
                </c:pt>
                <c:pt idx="7">
                  <c:v>72900</c:v>
                </c:pt>
                <c:pt idx="8">
                  <c:v>52900</c:v>
                </c:pt>
                <c:pt idx="9">
                  <c:v>32400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A-4028-BFE4-9E28D65F6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06280"/>
        <c:axId val="482106608"/>
      </c:scatterChart>
      <c:valAx>
        <c:axId val="4821062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 = x</a:t>
                </a:r>
                <a:r>
                  <a:rPr lang="ru-RU"/>
                  <a:t>ц*</a:t>
                </a:r>
                <a:r>
                  <a:rPr lang="en-US"/>
                  <a:t>T^2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06608"/>
        <c:crosses val="autoZero"/>
        <c:crossBetween val="midCat"/>
      </c:valAx>
      <c:valAx>
        <c:axId val="482106608"/>
        <c:scaling>
          <c:orientation val="minMax"/>
          <c:min val="-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= a^2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0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8</xdr:row>
      <xdr:rowOff>19050</xdr:rowOff>
    </xdr:from>
    <xdr:to>
      <xdr:col>23</xdr:col>
      <xdr:colOff>594360</xdr:colOff>
      <xdr:row>23</xdr:row>
      <xdr:rowOff>449580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449580</xdr:colOff>
      <xdr:row>46</xdr:row>
      <xdr:rowOff>3810</xdr:rowOff>
    </xdr:from>
    <xdr:to>
      <xdr:col>15</xdr:col>
      <xdr:colOff>441960</xdr:colOff>
      <xdr:row>64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</xdr:colOff>
      <xdr:row>46</xdr:row>
      <xdr:rowOff>22860</xdr:rowOff>
    </xdr:from>
    <xdr:to>
      <xdr:col>25</xdr:col>
      <xdr:colOff>281940</xdr:colOff>
      <xdr:row>64</xdr:row>
      <xdr:rowOff>95250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topLeftCell="A45" zoomScale="80" zoomScaleNormal="80" workbookViewId="0">
      <selection activeCell="B70" sqref="B70"/>
    </sheetView>
  </sheetViews>
  <sheetFormatPr defaultRowHeight="14.4" x14ac:dyDescent="0.3"/>
  <cols>
    <col min="1" max="1" width="10.109375" customWidth="1"/>
    <col min="2" max="2" width="10.33203125" customWidth="1"/>
    <col min="3" max="3" width="10.44140625" customWidth="1"/>
    <col min="4" max="4" width="9" customWidth="1"/>
    <col min="5" max="5" width="11.6640625" customWidth="1"/>
    <col min="6" max="6" width="9" customWidth="1"/>
    <col min="7" max="7" width="12" bestFit="1" customWidth="1"/>
    <col min="8" max="8" width="6.77734375" customWidth="1"/>
    <col min="9" max="9" width="15.109375" customWidth="1"/>
    <col min="10" max="10" width="6.77734375" customWidth="1"/>
    <col min="11" max="11" width="8" customWidth="1"/>
    <col min="12" max="12" width="26.88671875" bestFit="1" customWidth="1"/>
    <col min="13" max="13" width="11" customWidth="1"/>
  </cols>
  <sheetData>
    <row r="1" spans="1:20" x14ac:dyDescent="0.3">
      <c r="A1" s="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20" x14ac:dyDescent="0.3">
      <c r="A2" s="1" t="s">
        <v>26</v>
      </c>
      <c r="B2" s="1">
        <v>15.34</v>
      </c>
      <c r="C2" s="1">
        <v>15</v>
      </c>
      <c r="D2" s="1">
        <v>15.41</v>
      </c>
      <c r="E2" s="1">
        <v>15.52</v>
      </c>
      <c r="F2" s="1">
        <v>15.08</v>
      </c>
      <c r="G2" s="1">
        <v>15.33</v>
      </c>
      <c r="H2" s="1">
        <v>15.23</v>
      </c>
      <c r="I2" s="1">
        <v>15.34</v>
      </c>
      <c r="J2" s="1">
        <v>15.45</v>
      </c>
      <c r="K2" s="1">
        <v>15.34</v>
      </c>
      <c r="M2" t="s">
        <v>0</v>
      </c>
      <c r="N2">
        <f>AVERAGE(B2:K2)</f>
        <v>15.303999999999998</v>
      </c>
      <c r="R2" s="1" t="s">
        <v>11</v>
      </c>
      <c r="S2" s="1">
        <v>1</v>
      </c>
      <c r="T2" t="s">
        <v>17</v>
      </c>
    </row>
    <row r="3" spans="1:20" x14ac:dyDescent="0.3">
      <c r="R3" s="1" t="s">
        <v>12</v>
      </c>
      <c r="S3" s="1">
        <v>74</v>
      </c>
      <c r="T3" t="s">
        <v>14</v>
      </c>
    </row>
    <row r="4" spans="1:20" x14ac:dyDescent="0.3">
      <c r="A4" t="s">
        <v>10</v>
      </c>
      <c r="B4">
        <f>POWER(B2-$N$2,2)</f>
        <v>1.2960000000000983E-3</v>
      </c>
      <c r="C4">
        <f t="shared" ref="C4:K4" si="0">POWER(C2-$N$2,2)</f>
        <v>9.2415999999999082E-2</v>
      </c>
      <c r="D4">
        <f t="shared" si="0"/>
        <v>1.123600000000035E-2</v>
      </c>
      <c r="E4">
        <f t="shared" si="0"/>
        <v>4.6656000000000468E-2</v>
      </c>
      <c r="F4">
        <f t="shared" si="0"/>
        <v>5.0175999999999291E-2</v>
      </c>
      <c r="G4">
        <f t="shared" si="0"/>
        <v>6.7600000000008203E-4</v>
      </c>
      <c r="H4">
        <f t="shared" si="0"/>
        <v>5.4759999999997137E-3</v>
      </c>
      <c r="I4">
        <f t="shared" si="0"/>
        <v>1.2960000000000983E-3</v>
      </c>
      <c r="J4">
        <f t="shared" si="0"/>
        <v>2.1316000000000234E-2</v>
      </c>
      <c r="K4">
        <f t="shared" si="0"/>
        <v>1.2960000000000983E-3</v>
      </c>
      <c r="M4" s="1" t="s">
        <v>1</v>
      </c>
      <c r="N4" s="8">
        <f>SQRT(SUM(B4:K4)/9)</f>
        <v>0.16049922118191087</v>
      </c>
      <c r="R4" s="1" t="s">
        <v>13</v>
      </c>
      <c r="S4" s="1">
        <v>1022.4</v>
      </c>
      <c r="T4" t="s">
        <v>14</v>
      </c>
    </row>
    <row r="5" spans="1:20" x14ac:dyDescent="0.3">
      <c r="M5" s="1" t="s">
        <v>2</v>
      </c>
      <c r="N5" s="8">
        <v>5.0000000000000001E-3</v>
      </c>
      <c r="R5" s="1" t="s">
        <v>15</v>
      </c>
      <c r="S5" s="1">
        <f>1+(S3/S4)</f>
        <v>1.0723787167449139</v>
      </c>
    </row>
    <row r="6" spans="1:20" x14ac:dyDescent="0.3">
      <c r="M6" s="1" t="s">
        <v>42</v>
      </c>
      <c r="N6" s="8">
        <v>0.16</v>
      </c>
      <c r="R6" s="1" t="s">
        <v>16</v>
      </c>
      <c r="S6" s="1">
        <v>3.1415899999999999</v>
      </c>
    </row>
    <row r="7" spans="1:20" x14ac:dyDescent="0.3">
      <c r="M7" s="1" t="s">
        <v>47</v>
      </c>
      <c r="N7" s="1">
        <f>N6/N2</f>
        <v>1.0454783063251439E-2</v>
      </c>
    </row>
    <row r="8" spans="1:20" x14ac:dyDescent="0.3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20" x14ac:dyDescent="0.3">
      <c r="A9" s="1">
        <v>1</v>
      </c>
      <c r="B9" s="1">
        <v>410</v>
      </c>
      <c r="C9" s="1">
        <v>381.1</v>
      </c>
      <c r="D9" s="1">
        <v>48</v>
      </c>
      <c r="E9" s="1">
        <v>75.36</v>
      </c>
      <c r="F9" s="3">
        <f>E9/D9</f>
        <v>1.57</v>
      </c>
      <c r="G9" s="3">
        <f>4*$S$6*$S$6*(($S$2*$S$2/12 + POWER(B9*0.001,2))/(POWER(F9,2)*$S$5*C9*0.001))</f>
        <v>9.8536110718164132</v>
      </c>
    </row>
    <row r="10" spans="1:20" x14ac:dyDescent="0.3">
      <c r="A10" s="1">
        <v>2</v>
      </c>
      <c r="B10" s="1">
        <v>371</v>
      </c>
      <c r="C10" s="1">
        <v>344.9</v>
      </c>
      <c r="D10" s="1">
        <v>48</v>
      </c>
      <c r="E10" s="1">
        <v>74.37</v>
      </c>
      <c r="F10" s="3">
        <f>E10/D10</f>
        <v>1.5493750000000002</v>
      </c>
      <c r="G10" s="3">
        <f>4*$S$6*$S$6*(($S$2*$S$2/12 + POWER(B10*0.001,2))/(POWER(F10,2)*$S$5*C10*0.001))</f>
        <v>9.8253123749444171</v>
      </c>
      <c r="H10" s="16" t="s">
        <v>27</v>
      </c>
      <c r="I10" s="17"/>
      <c r="J10" s="17"/>
      <c r="K10" s="17"/>
    </row>
    <row r="11" spans="1:20" x14ac:dyDescent="0.3">
      <c r="A11" s="1">
        <v>3</v>
      </c>
      <c r="B11" s="1">
        <v>331</v>
      </c>
      <c r="C11" s="1">
        <v>307.7</v>
      </c>
      <c r="D11" s="1">
        <v>48</v>
      </c>
      <c r="E11" s="1">
        <f>SUM(H11:K11)</f>
        <v>73.47</v>
      </c>
      <c r="F11" s="3">
        <f t="shared" ref="F11:F18" si="1">E11/D11</f>
        <v>1.5306249999999999</v>
      </c>
      <c r="G11" s="3">
        <f t="shared" ref="G11:G18" si="2">4*$S$6*$S$6*(($S$2*$S$2/12 + POWER(B11*0.001,2))/(POWER(F11,2)*$S$5*C11*0.001))</f>
        <v>9.850656731404662</v>
      </c>
      <c r="H11">
        <v>18.39</v>
      </c>
      <c r="I11">
        <v>18.43</v>
      </c>
      <c r="J11">
        <v>18.399999999999999</v>
      </c>
      <c r="K11">
        <v>18.25</v>
      </c>
    </row>
    <row r="12" spans="1:20" x14ac:dyDescent="0.3">
      <c r="A12" s="1">
        <v>4</v>
      </c>
      <c r="B12" s="1">
        <v>290</v>
      </c>
      <c r="C12" s="1">
        <v>269.5</v>
      </c>
      <c r="D12" s="1">
        <v>48</v>
      </c>
      <c r="E12" s="1">
        <f t="shared" ref="E12:E18" si="3">SUM(H12:K12)</f>
        <v>73.849999999999994</v>
      </c>
      <c r="F12" s="3">
        <f>E12/D12</f>
        <v>1.5385416666666665</v>
      </c>
      <c r="G12" s="3">
        <f>4*$S$6*$S$6*(($S$2*$S$2/12 + POWER(B12*0.001,2))/(POWER(F12,2)*$S$5*C12*0.001))</f>
        <v>9.6621871755505797</v>
      </c>
      <c r="H12">
        <v>18.13</v>
      </c>
      <c r="I12">
        <v>18.55</v>
      </c>
      <c r="J12">
        <v>18.420000000000002</v>
      </c>
      <c r="K12">
        <v>18.75</v>
      </c>
    </row>
    <row r="13" spans="1:20" x14ac:dyDescent="0.3">
      <c r="A13" s="1">
        <v>5</v>
      </c>
      <c r="B13" s="1">
        <v>301</v>
      </c>
      <c r="C13" s="1">
        <v>279.39999999999998</v>
      </c>
      <c r="D13" s="1">
        <v>48</v>
      </c>
      <c r="E13" s="1">
        <f t="shared" si="3"/>
        <v>73.62</v>
      </c>
      <c r="F13" s="3">
        <f t="shared" si="1"/>
        <v>1.5337500000000002</v>
      </c>
      <c r="G13" s="3">
        <f t="shared" si="2"/>
        <v>9.7422794020233408</v>
      </c>
      <c r="H13">
        <v>18.37</v>
      </c>
      <c r="I13">
        <v>18.399999999999999</v>
      </c>
      <c r="J13">
        <v>18.25</v>
      </c>
      <c r="K13">
        <v>18.600000000000001</v>
      </c>
    </row>
    <row r="14" spans="1:20" x14ac:dyDescent="0.3">
      <c r="A14" s="1">
        <v>6</v>
      </c>
      <c r="B14" s="1">
        <v>310</v>
      </c>
      <c r="C14" s="1">
        <v>287.8</v>
      </c>
      <c r="D14" s="1">
        <v>48</v>
      </c>
      <c r="E14" s="1">
        <f t="shared" si="3"/>
        <v>73.319999999999993</v>
      </c>
      <c r="F14" s="3">
        <f t="shared" si="1"/>
        <v>1.5274999999999999</v>
      </c>
      <c r="G14" s="3">
        <f t="shared" si="2"/>
        <v>9.8369556792265573</v>
      </c>
      <c r="H14">
        <v>18.23</v>
      </c>
      <c r="I14">
        <v>18.350000000000001</v>
      </c>
      <c r="J14">
        <v>18.32</v>
      </c>
      <c r="K14">
        <v>18.420000000000002</v>
      </c>
    </row>
    <row r="15" spans="1:20" x14ac:dyDescent="0.3">
      <c r="A15" s="1">
        <v>7</v>
      </c>
      <c r="B15" s="1">
        <v>280</v>
      </c>
      <c r="C15" s="1">
        <v>260</v>
      </c>
      <c r="D15" s="1">
        <v>48</v>
      </c>
      <c r="E15" s="1">
        <f t="shared" si="3"/>
        <v>73.06</v>
      </c>
      <c r="F15" s="3">
        <f t="shared" si="1"/>
        <v>1.5220833333333335</v>
      </c>
      <c r="G15" s="3">
        <f t="shared" si="2"/>
        <v>9.8846238090682554</v>
      </c>
      <c r="H15">
        <v>18.29</v>
      </c>
      <c r="I15">
        <v>18.37</v>
      </c>
      <c r="J15">
        <v>18.11</v>
      </c>
      <c r="K15">
        <v>18.29</v>
      </c>
    </row>
    <row r="16" spans="1:20" x14ac:dyDescent="0.3">
      <c r="A16" s="1">
        <v>8</v>
      </c>
      <c r="B16" s="1">
        <v>270</v>
      </c>
      <c r="C16" s="1">
        <v>251.2</v>
      </c>
      <c r="D16" s="1">
        <v>48</v>
      </c>
      <c r="E16" s="1">
        <f t="shared" si="3"/>
        <v>73.31</v>
      </c>
      <c r="F16" s="3">
        <f t="shared" si="1"/>
        <v>1.5272916666666667</v>
      </c>
      <c r="G16" s="3">
        <f t="shared" si="2"/>
        <v>9.8156918637873254</v>
      </c>
      <c r="H16">
        <v>18.350000000000001</v>
      </c>
      <c r="I16">
        <v>18.28</v>
      </c>
      <c r="J16">
        <v>18.34</v>
      </c>
      <c r="K16">
        <v>18.34</v>
      </c>
    </row>
    <row r="17" spans="1:19" x14ac:dyDescent="0.3">
      <c r="A17" s="1">
        <v>9</v>
      </c>
      <c r="B17" s="1">
        <v>230</v>
      </c>
      <c r="C17" s="1">
        <v>213.5</v>
      </c>
      <c r="D17" s="1">
        <v>48</v>
      </c>
      <c r="E17" s="1">
        <f t="shared" si="3"/>
        <v>74.049999999999983</v>
      </c>
      <c r="F17" s="3">
        <f t="shared" si="1"/>
        <v>1.5427083333333329</v>
      </c>
      <c r="G17" s="3">
        <f>4*$S$6*$S$6*(($S$2*$S$2/12 + POWER(B17*0.001,2))/(POWER(F17,2)*$S$5*C17*0.001))</f>
        <v>9.870261744629687</v>
      </c>
      <c r="H17">
        <v>18.5</v>
      </c>
      <c r="I17">
        <v>18.52</v>
      </c>
      <c r="J17">
        <v>18.489999999999998</v>
      </c>
      <c r="K17">
        <v>18.54</v>
      </c>
    </row>
    <row r="18" spans="1:19" x14ac:dyDescent="0.3">
      <c r="A18" s="1">
        <v>10</v>
      </c>
      <c r="B18" s="1">
        <v>180</v>
      </c>
      <c r="C18" s="1">
        <v>167</v>
      </c>
      <c r="D18" s="1">
        <v>48</v>
      </c>
      <c r="E18" s="1">
        <f t="shared" si="3"/>
        <v>77.23</v>
      </c>
      <c r="F18" s="3">
        <f t="shared" si="1"/>
        <v>1.6089583333333335</v>
      </c>
      <c r="G18" s="3">
        <f t="shared" si="2"/>
        <v>9.8551494072191677</v>
      </c>
      <c r="H18">
        <v>19.28</v>
      </c>
      <c r="I18">
        <v>19.170000000000002</v>
      </c>
      <c r="J18">
        <v>19.48</v>
      </c>
      <c r="K18">
        <v>19.3</v>
      </c>
    </row>
    <row r="22" spans="1:19" x14ac:dyDescent="0.3">
      <c r="A22" s="18" t="s">
        <v>28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9" x14ac:dyDescent="0.3">
      <c r="A23" s="21"/>
      <c r="B23" s="19" t="s">
        <v>18</v>
      </c>
      <c r="C23" s="20"/>
      <c r="D23" s="23" t="s">
        <v>29</v>
      </c>
      <c r="E23" s="25" t="s">
        <v>30</v>
      </c>
    </row>
    <row r="24" spans="1:19" ht="43.2" x14ac:dyDescent="0.3">
      <c r="A24" s="22"/>
      <c r="B24" s="6" t="s">
        <v>31</v>
      </c>
      <c r="C24" s="7" t="s">
        <v>32</v>
      </c>
      <c r="D24" s="24"/>
      <c r="E24" s="25"/>
    </row>
    <row r="25" spans="1:19" x14ac:dyDescent="0.3">
      <c r="A25" s="1" t="s">
        <v>11</v>
      </c>
      <c r="B25" s="1">
        <v>1</v>
      </c>
      <c r="C25" s="1" t="s">
        <v>17</v>
      </c>
      <c r="D25" s="1">
        <f>0.5/1000</f>
        <v>5.0000000000000001E-4</v>
      </c>
      <c r="E25" s="1">
        <f>D25/B25</f>
        <v>5.0000000000000001E-4</v>
      </c>
    </row>
    <row r="26" spans="1:19" x14ac:dyDescent="0.3">
      <c r="A26" s="1" t="s">
        <v>12</v>
      </c>
      <c r="B26" s="1">
        <f>S3/1000</f>
        <v>7.3999999999999996E-2</v>
      </c>
      <c r="C26" s="1" t="s">
        <v>33</v>
      </c>
      <c r="D26" s="1">
        <f>0.1/1000</f>
        <v>1E-4</v>
      </c>
      <c r="E26" s="1">
        <f t="shared" ref="E26:E27" si="4">D26/B26</f>
        <v>1.3513513513513514E-3</v>
      </c>
      <c r="F26" s="12" t="s">
        <v>52</v>
      </c>
      <c r="G26">
        <f>SQRT(E26*E26 + E27*E27)</f>
        <v>1.4371206845061077E-3</v>
      </c>
    </row>
    <row r="27" spans="1:19" x14ac:dyDescent="0.3">
      <c r="A27" s="1" t="s">
        <v>13</v>
      </c>
      <c r="B27" s="1">
        <f>S4/1000</f>
        <v>1.0224</v>
      </c>
      <c r="C27" s="1" t="s">
        <v>33</v>
      </c>
      <c r="D27" s="1">
        <f>0.5/1000</f>
        <v>5.0000000000000001E-4</v>
      </c>
      <c r="E27" s="1">
        <f t="shared" si="4"/>
        <v>4.8904538341158061E-4</v>
      </c>
      <c r="F27" s="12" t="s">
        <v>53</v>
      </c>
      <c r="G27">
        <f>SQRT(4 * (0.0007*0.0007 + 0.003*0.003))</f>
        <v>6.161168720299745E-3</v>
      </c>
    </row>
    <row r="28" spans="1:19" x14ac:dyDescent="0.3">
      <c r="A28" s="5"/>
      <c r="B28" s="5"/>
      <c r="C28" s="5"/>
      <c r="D28" s="5"/>
      <c r="E28" s="5"/>
    </row>
    <row r="29" spans="1:19" x14ac:dyDescent="0.3">
      <c r="A29" s="5"/>
      <c r="B29" s="5"/>
      <c r="C29" s="5"/>
      <c r="D29" s="5"/>
    </row>
    <row r="30" spans="1:19" x14ac:dyDescent="0.3">
      <c r="A30" s="5"/>
      <c r="B30" s="5"/>
      <c r="C30" s="5"/>
      <c r="D30" s="5"/>
      <c r="M30" t="s">
        <v>50</v>
      </c>
      <c r="P30" s="11" t="s">
        <v>51</v>
      </c>
      <c r="Q30" t="s">
        <v>46</v>
      </c>
    </row>
    <row r="31" spans="1:19" x14ac:dyDescent="0.3">
      <c r="A31" s="1" t="s">
        <v>3</v>
      </c>
      <c r="B31" s="1" t="s">
        <v>34</v>
      </c>
      <c r="C31" s="1" t="s">
        <v>35</v>
      </c>
      <c r="D31" s="1" t="s">
        <v>36</v>
      </c>
      <c r="E31" s="1" t="s">
        <v>41</v>
      </c>
      <c r="F31" s="1" t="s">
        <v>37</v>
      </c>
      <c r="G31" s="13" t="s">
        <v>38</v>
      </c>
      <c r="H31" s="1" t="s">
        <v>7</v>
      </c>
      <c r="I31" s="8" t="s">
        <v>48</v>
      </c>
      <c r="J31" s="1" t="s">
        <v>49</v>
      </c>
      <c r="K31" s="1" t="s">
        <v>8</v>
      </c>
      <c r="L31" s="1" t="s">
        <v>39</v>
      </c>
      <c r="M31" s="13" t="s">
        <v>40</v>
      </c>
      <c r="N31" s="1" t="s">
        <v>43</v>
      </c>
      <c r="O31" s="1" t="s">
        <v>44</v>
      </c>
      <c r="P31" s="13" t="s">
        <v>45</v>
      </c>
      <c r="R31" t="s">
        <v>55</v>
      </c>
      <c r="S31" t="s">
        <v>56</v>
      </c>
    </row>
    <row r="32" spans="1:19" x14ac:dyDescent="0.3">
      <c r="A32" s="1">
        <v>1</v>
      </c>
      <c r="B32" s="1">
        <f>B9/1000</f>
        <v>0.41</v>
      </c>
      <c r="C32" s="1">
        <f>0.5/1000</f>
        <v>5.0000000000000001E-4</v>
      </c>
      <c r="D32" s="9">
        <f>C32/B32</f>
        <v>1.2195121951219512E-3</v>
      </c>
      <c r="E32" s="1">
        <f>C9/1000</f>
        <v>0.38110000000000005</v>
      </c>
      <c r="F32" s="1">
        <f>0.5/1000</f>
        <v>5.0000000000000001E-4</v>
      </c>
      <c r="G32" s="8">
        <f>F32/E32</f>
        <v>1.311991603253739E-3</v>
      </c>
      <c r="H32" s="1">
        <v>75.36</v>
      </c>
      <c r="I32" s="3">
        <f t="shared" ref="I32:I41" si="5">$N$6</f>
        <v>0.16</v>
      </c>
      <c r="J32" s="8">
        <f>I32/H32</f>
        <v>2.1231422505307855E-3</v>
      </c>
      <c r="K32" s="1">
        <v>1.57</v>
      </c>
      <c r="L32" s="8">
        <f>K32*M32</f>
        <v>3.3333333333333335E-3</v>
      </c>
      <c r="M32" s="9">
        <f>J32</f>
        <v>2.1231422505307855E-3</v>
      </c>
      <c r="N32" s="3">
        <v>9.8536110718164132</v>
      </c>
      <c r="O32" s="1">
        <f>P32*N32</f>
        <v>7.6184135606060091E-2</v>
      </c>
      <c r="P32" s="9">
        <f>SQRT(  4*M32*M32 + $G$26*$G$26 + G32*G32 + $G$27*$G$27  )</f>
        <v>7.7315955593137003E-3</v>
      </c>
      <c r="R32" s="10">
        <f>POWER(N32-$N$42, 2)</f>
        <v>1.1517977436932868E-3</v>
      </c>
    </row>
    <row r="33" spans="1:18" x14ac:dyDescent="0.3">
      <c r="A33" s="1">
        <v>2</v>
      </c>
      <c r="B33" s="1">
        <f t="shared" ref="B33:B41" si="6">B10/1000</f>
        <v>0.371</v>
      </c>
      <c r="C33" s="1">
        <f t="shared" ref="C33:C41" si="7">0.5/1000</f>
        <v>5.0000000000000001E-4</v>
      </c>
      <c r="D33" s="9">
        <f t="shared" ref="D33:D41" si="8">C33/B33</f>
        <v>1.3477088948787063E-3</v>
      </c>
      <c r="E33" s="1">
        <f t="shared" ref="E33:E41" si="9">C10/1000</f>
        <v>0.34489999999999998</v>
      </c>
      <c r="F33" s="1">
        <f t="shared" ref="F33:F41" si="10">0.5/1000</f>
        <v>5.0000000000000001E-4</v>
      </c>
      <c r="G33" s="8">
        <f t="shared" ref="G33:G41" si="11">F33/E33</f>
        <v>1.4496955639315744E-3</v>
      </c>
      <c r="H33" s="1">
        <v>74.37</v>
      </c>
      <c r="I33" s="3">
        <f t="shared" si="5"/>
        <v>0.16</v>
      </c>
      <c r="J33" s="8">
        <f t="shared" ref="J33:J41" si="12">I33/H33</f>
        <v>2.1514051364797632E-3</v>
      </c>
      <c r="K33" s="1">
        <v>1.5493750000000002</v>
      </c>
      <c r="L33" s="8">
        <f t="shared" ref="L33:L41" si="13">K33*M33</f>
        <v>3.3333333333333335E-3</v>
      </c>
      <c r="M33" s="9">
        <f t="shared" ref="M33:M41" si="14">J33</f>
        <v>2.1514051364797632E-3</v>
      </c>
      <c r="N33" s="3">
        <v>9.8253123749444171</v>
      </c>
      <c r="O33" s="1">
        <f t="shared" ref="O33:O41" si="15">P33*N33</f>
        <v>7.6512067126791108E-2</v>
      </c>
      <c r="P33" s="9">
        <f t="shared" ref="P33:P41" si="16">SQRT(  4*M33*M33 + $G$26*$G$26 + G33*G33 + $G$27*$G$27  )</f>
        <v>7.7872401616364845E-3</v>
      </c>
      <c r="R33" s="10">
        <f t="shared" ref="R33:R41" si="17">POWER(N33-$N$42, 2)</f>
        <v>3.1803384768433525E-5</v>
      </c>
    </row>
    <row r="34" spans="1:18" x14ac:dyDescent="0.3">
      <c r="A34" s="1">
        <v>3</v>
      </c>
      <c r="B34" s="1">
        <f t="shared" si="6"/>
        <v>0.33100000000000002</v>
      </c>
      <c r="C34" s="1">
        <f t="shared" si="7"/>
        <v>5.0000000000000001E-4</v>
      </c>
      <c r="D34" s="9">
        <f t="shared" si="8"/>
        <v>1.5105740181268882E-3</v>
      </c>
      <c r="E34" s="1">
        <f t="shared" si="9"/>
        <v>0.30769999999999997</v>
      </c>
      <c r="F34" s="1">
        <f t="shared" si="10"/>
        <v>5.0000000000000001E-4</v>
      </c>
      <c r="G34" s="8">
        <f t="shared" si="11"/>
        <v>1.6249593760155998E-3</v>
      </c>
      <c r="H34" s="1">
        <v>73.47</v>
      </c>
      <c r="I34" s="3">
        <f t="shared" si="5"/>
        <v>0.16</v>
      </c>
      <c r="J34" s="8">
        <f t="shared" si="12"/>
        <v>2.1777596297808629E-3</v>
      </c>
      <c r="K34" s="1">
        <v>1.5306249999999999</v>
      </c>
      <c r="L34" s="8">
        <f t="shared" si="13"/>
        <v>3.3333333333333331E-3</v>
      </c>
      <c r="M34" s="9">
        <f t="shared" si="14"/>
        <v>2.1777596297808629E-3</v>
      </c>
      <c r="N34" s="3">
        <v>9.850656731404662</v>
      </c>
      <c r="O34" s="1">
        <f t="shared" si="15"/>
        <v>7.733634906500847E-2</v>
      </c>
      <c r="P34" s="9">
        <f t="shared" si="16"/>
        <v>7.8508825526783562E-3</v>
      </c>
      <c r="R34" s="10">
        <f t="shared" si="17"/>
        <v>9.5999619939638175E-4</v>
      </c>
    </row>
    <row r="35" spans="1:18" x14ac:dyDescent="0.3">
      <c r="A35" s="1">
        <v>4</v>
      </c>
      <c r="B35" s="1">
        <f t="shared" si="6"/>
        <v>0.28999999999999998</v>
      </c>
      <c r="C35" s="1">
        <f t="shared" si="7"/>
        <v>5.0000000000000001E-4</v>
      </c>
      <c r="D35" s="9">
        <f t="shared" si="8"/>
        <v>1.724137931034483E-3</v>
      </c>
      <c r="E35" s="1">
        <f t="shared" si="9"/>
        <v>0.26950000000000002</v>
      </c>
      <c r="F35" s="1">
        <f t="shared" si="10"/>
        <v>5.0000000000000001E-4</v>
      </c>
      <c r="G35" s="8">
        <f t="shared" si="11"/>
        <v>1.8552875695732837E-3</v>
      </c>
      <c r="H35" s="1">
        <v>73.849999999999994</v>
      </c>
      <c r="I35" s="3">
        <f t="shared" si="5"/>
        <v>0.16</v>
      </c>
      <c r="J35" s="8">
        <f t="shared" si="12"/>
        <v>2.1665538253215978E-3</v>
      </c>
      <c r="K35" s="1">
        <v>1.5385416666666665</v>
      </c>
      <c r="L35" s="8">
        <f t="shared" si="13"/>
        <v>3.3333333333333331E-3</v>
      </c>
      <c r="M35" s="9">
        <f t="shared" si="14"/>
        <v>2.1665538253215978E-3</v>
      </c>
      <c r="N35" s="3">
        <v>9.6621871755505797</v>
      </c>
      <c r="O35" s="1">
        <f t="shared" si="15"/>
        <v>7.6229225308853441E-2</v>
      </c>
      <c r="P35" s="9">
        <f t="shared" si="16"/>
        <v>7.8894378595506433E-3</v>
      </c>
      <c r="R35" s="10">
        <f t="shared" si="17"/>
        <v>2.4801761584235797E-2</v>
      </c>
    </row>
    <row r="36" spans="1:18" x14ac:dyDescent="0.3">
      <c r="A36" s="1">
        <v>5</v>
      </c>
      <c r="B36" s="1">
        <f t="shared" si="6"/>
        <v>0.30099999999999999</v>
      </c>
      <c r="C36" s="1">
        <f t="shared" si="7"/>
        <v>5.0000000000000001E-4</v>
      </c>
      <c r="D36" s="9">
        <f t="shared" si="8"/>
        <v>1.6611295681063123E-3</v>
      </c>
      <c r="E36" s="1">
        <f t="shared" si="9"/>
        <v>0.27939999999999998</v>
      </c>
      <c r="F36" s="1">
        <f t="shared" si="10"/>
        <v>5.0000000000000001E-4</v>
      </c>
      <c r="G36" s="8">
        <f t="shared" si="11"/>
        <v>1.7895490336435221E-3</v>
      </c>
      <c r="H36" s="1">
        <v>73.62</v>
      </c>
      <c r="I36" s="3">
        <f t="shared" si="5"/>
        <v>0.16</v>
      </c>
      <c r="J36" s="8">
        <f t="shared" si="12"/>
        <v>2.1733224667209996E-3</v>
      </c>
      <c r="K36" s="1">
        <v>1.5337500000000002</v>
      </c>
      <c r="L36" s="8">
        <f t="shared" si="13"/>
        <v>3.3333333333333335E-3</v>
      </c>
      <c r="M36" s="9">
        <f t="shared" si="14"/>
        <v>2.1733224667209996E-3</v>
      </c>
      <c r="N36" s="3">
        <v>9.7422794020233408</v>
      </c>
      <c r="O36" s="1">
        <f t="shared" si="15"/>
        <v>7.6785679616582711E-2</v>
      </c>
      <c r="P36" s="9">
        <f t="shared" si="16"/>
        <v>7.8816954891106246E-3</v>
      </c>
      <c r="R36" s="10">
        <f t="shared" si="17"/>
        <v>5.9897575484240346E-3</v>
      </c>
    </row>
    <row r="37" spans="1:18" x14ac:dyDescent="0.3">
      <c r="A37" s="1">
        <v>6</v>
      </c>
      <c r="B37" s="1">
        <f t="shared" si="6"/>
        <v>0.31</v>
      </c>
      <c r="C37" s="1">
        <f t="shared" si="7"/>
        <v>5.0000000000000001E-4</v>
      </c>
      <c r="D37" s="9">
        <f t="shared" si="8"/>
        <v>1.6129032258064516E-3</v>
      </c>
      <c r="E37" s="1">
        <f t="shared" si="9"/>
        <v>0.2878</v>
      </c>
      <c r="F37" s="1">
        <f t="shared" si="10"/>
        <v>5.0000000000000001E-4</v>
      </c>
      <c r="G37" s="8">
        <f t="shared" si="11"/>
        <v>1.7373175816539264E-3</v>
      </c>
      <c r="H37" s="1">
        <v>73.319999999999993</v>
      </c>
      <c r="I37" s="3">
        <f t="shared" si="5"/>
        <v>0.16</v>
      </c>
      <c r="J37" s="8">
        <f t="shared" si="12"/>
        <v>2.1822149481723952E-3</v>
      </c>
      <c r="K37" s="1">
        <v>1.5274999999999999</v>
      </c>
      <c r="L37" s="8">
        <f t="shared" si="13"/>
        <v>3.3333333333333335E-3</v>
      </c>
      <c r="M37" s="9">
        <f t="shared" si="14"/>
        <v>2.1822149481723952E-3</v>
      </c>
      <c r="N37" s="3">
        <v>9.8369556792265573</v>
      </c>
      <c r="O37" s="1">
        <f t="shared" si="15"/>
        <v>7.7513610708429034E-2</v>
      </c>
      <c r="P37" s="9">
        <f t="shared" si="16"/>
        <v>7.8798373435920201E-3</v>
      </c>
      <c r="R37" s="10">
        <f t="shared" si="17"/>
        <v>2.986935602293379E-4</v>
      </c>
    </row>
    <row r="38" spans="1:18" x14ac:dyDescent="0.3">
      <c r="A38" s="1">
        <v>7</v>
      </c>
      <c r="B38" s="1">
        <f t="shared" si="6"/>
        <v>0.28000000000000003</v>
      </c>
      <c r="C38" s="1">
        <f t="shared" si="7"/>
        <v>5.0000000000000001E-4</v>
      </c>
      <c r="D38" s="9">
        <f t="shared" si="8"/>
        <v>1.7857142857142857E-3</v>
      </c>
      <c r="E38" s="1">
        <f t="shared" si="9"/>
        <v>0.26</v>
      </c>
      <c r="F38" s="1">
        <f t="shared" si="10"/>
        <v>5.0000000000000001E-4</v>
      </c>
      <c r="G38" s="8">
        <f t="shared" si="11"/>
        <v>1.923076923076923E-3</v>
      </c>
      <c r="H38" s="1">
        <v>73.06</v>
      </c>
      <c r="I38" s="3">
        <f t="shared" si="5"/>
        <v>0.16</v>
      </c>
      <c r="J38" s="8">
        <f t="shared" si="12"/>
        <v>2.1899808376676703E-3</v>
      </c>
      <c r="K38" s="1">
        <v>1.5220833333333335</v>
      </c>
      <c r="L38" s="8">
        <f t="shared" si="13"/>
        <v>3.3333333333333335E-3</v>
      </c>
      <c r="M38" s="9">
        <f t="shared" si="14"/>
        <v>2.1899808376676703E-3</v>
      </c>
      <c r="N38" s="3">
        <v>9.8846238090682554</v>
      </c>
      <c r="O38" s="1">
        <f t="shared" si="15"/>
        <v>7.8399216241180819E-2</v>
      </c>
      <c r="P38" s="9">
        <f t="shared" si="16"/>
        <v>7.9314314591574613E-3</v>
      </c>
      <c r="R38" s="10">
        <f t="shared" si="17"/>
        <v>4.2186172156276815E-3</v>
      </c>
    </row>
    <row r="39" spans="1:18" x14ac:dyDescent="0.3">
      <c r="A39" s="1">
        <v>8</v>
      </c>
      <c r="B39" s="1">
        <f t="shared" si="6"/>
        <v>0.27</v>
      </c>
      <c r="C39" s="1">
        <f t="shared" si="7"/>
        <v>5.0000000000000001E-4</v>
      </c>
      <c r="D39" s="9">
        <f t="shared" si="8"/>
        <v>1.8518518518518517E-3</v>
      </c>
      <c r="E39" s="1">
        <f t="shared" si="9"/>
        <v>0.25119999999999998</v>
      </c>
      <c r="F39" s="1">
        <f t="shared" si="10"/>
        <v>5.0000000000000001E-4</v>
      </c>
      <c r="G39" s="8">
        <f t="shared" si="11"/>
        <v>1.9904458598726119E-3</v>
      </c>
      <c r="H39" s="1">
        <v>73.31</v>
      </c>
      <c r="I39" s="3">
        <f t="shared" si="5"/>
        <v>0.16</v>
      </c>
      <c r="J39" s="8">
        <f t="shared" si="12"/>
        <v>2.1825126176510706E-3</v>
      </c>
      <c r="K39" s="1">
        <v>1.5272916666666667</v>
      </c>
      <c r="L39" s="8">
        <f t="shared" si="13"/>
        <v>3.3333333333333331E-3</v>
      </c>
      <c r="M39" s="9">
        <f t="shared" si="14"/>
        <v>2.1825126176510706E-3</v>
      </c>
      <c r="N39" s="3">
        <v>9.8156918637873254</v>
      </c>
      <c r="O39" s="1">
        <f t="shared" si="15"/>
        <v>7.7934761209897632E-2</v>
      </c>
      <c r="P39" s="9">
        <f t="shared" si="16"/>
        <v>7.9398133408628592E-3</v>
      </c>
      <c r="R39" s="10">
        <f t="shared" si="17"/>
        <v>1.5848856078758475E-5</v>
      </c>
    </row>
    <row r="40" spans="1:18" x14ac:dyDescent="0.3">
      <c r="A40" s="1">
        <v>9</v>
      </c>
      <c r="B40" s="1">
        <f t="shared" si="6"/>
        <v>0.23</v>
      </c>
      <c r="C40" s="1">
        <f t="shared" si="7"/>
        <v>5.0000000000000001E-4</v>
      </c>
      <c r="D40" s="9">
        <f t="shared" si="8"/>
        <v>2.1739130434782609E-3</v>
      </c>
      <c r="E40" s="1">
        <f t="shared" si="9"/>
        <v>0.2135</v>
      </c>
      <c r="F40" s="1">
        <f t="shared" si="10"/>
        <v>5.0000000000000001E-4</v>
      </c>
      <c r="G40" s="8">
        <f t="shared" si="11"/>
        <v>2.34192037470726E-3</v>
      </c>
      <c r="H40" s="1">
        <v>74.049999999999983</v>
      </c>
      <c r="I40" s="3">
        <f t="shared" si="5"/>
        <v>0.16</v>
      </c>
      <c r="J40" s="8">
        <f t="shared" si="12"/>
        <v>2.1607022282241735E-3</v>
      </c>
      <c r="K40" s="1">
        <v>1.5427083333333329</v>
      </c>
      <c r="L40" s="8">
        <f t="shared" si="13"/>
        <v>3.3333333333333335E-3</v>
      </c>
      <c r="M40" s="9">
        <f t="shared" si="14"/>
        <v>2.1607022282241735E-3</v>
      </c>
      <c r="N40" s="3">
        <v>9.870261744629687</v>
      </c>
      <c r="O40" s="1">
        <f t="shared" si="15"/>
        <v>7.9075793624470578E-2</v>
      </c>
      <c r="P40" s="9">
        <f t="shared" si="16"/>
        <v>8.011519417658295E-3</v>
      </c>
      <c r="R40" s="10">
        <f t="shared" si="17"/>
        <v>2.5592285736821224E-3</v>
      </c>
    </row>
    <row r="41" spans="1:18" x14ac:dyDescent="0.3">
      <c r="A41" s="1">
        <v>10</v>
      </c>
      <c r="B41" s="1">
        <f t="shared" si="6"/>
        <v>0.18</v>
      </c>
      <c r="C41" s="1">
        <f t="shared" si="7"/>
        <v>5.0000000000000001E-4</v>
      </c>
      <c r="D41" s="9">
        <f t="shared" si="8"/>
        <v>2.7777777777777779E-3</v>
      </c>
      <c r="E41" s="1">
        <f t="shared" si="9"/>
        <v>0.16700000000000001</v>
      </c>
      <c r="F41" s="1">
        <f t="shared" si="10"/>
        <v>5.0000000000000001E-4</v>
      </c>
      <c r="G41" s="8">
        <f t="shared" si="11"/>
        <v>2.9940119760479039E-3</v>
      </c>
      <c r="H41" s="1">
        <v>77.23</v>
      </c>
      <c r="I41" s="3">
        <f t="shared" si="5"/>
        <v>0.16</v>
      </c>
      <c r="J41" s="8">
        <f t="shared" si="12"/>
        <v>2.071733782208986E-3</v>
      </c>
      <c r="K41" s="1">
        <v>1.6089583333333335</v>
      </c>
      <c r="L41" s="8">
        <f>K41*M41</f>
        <v>3.3333333333333335E-3</v>
      </c>
      <c r="M41" s="9">
        <f t="shared" si="14"/>
        <v>2.071733782208986E-3</v>
      </c>
      <c r="N41" s="3">
        <v>9.8551494072191677</v>
      </c>
      <c r="O41" s="1">
        <f t="shared" si="15"/>
        <v>8.0159235446206872E-2</v>
      </c>
      <c r="P41" s="9">
        <f t="shared" si="16"/>
        <v>8.1337412690555486E-3</v>
      </c>
      <c r="R41" s="10">
        <f t="shared" si="17"/>
        <v>1.2585807220325256E-3</v>
      </c>
    </row>
    <row r="42" spans="1:18" x14ac:dyDescent="0.3">
      <c r="A42" s="15" t="s">
        <v>54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4">
        <f>AVERAGE(N32:N41)</f>
        <v>9.8196729259670406</v>
      </c>
      <c r="O42" s="13">
        <f>SQRT(SUM(R32:R41)/A41/(A41-1))</f>
        <v>2.141808306293445E-2</v>
      </c>
      <c r="P42" s="13">
        <f>O42/N42</f>
        <v>2.1811401687623112E-3</v>
      </c>
    </row>
    <row r="45" spans="1:18" x14ac:dyDescent="0.3">
      <c r="A45" s="18" t="s">
        <v>57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7" spans="1:18" x14ac:dyDescent="0.3">
      <c r="A47" s="1" t="s">
        <v>64</v>
      </c>
      <c r="B47" s="1" t="s">
        <v>58</v>
      </c>
      <c r="C47" s="1" t="s">
        <v>59</v>
      </c>
      <c r="D47" s="1" t="s">
        <v>60</v>
      </c>
      <c r="E47" s="1" t="s">
        <v>61</v>
      </c>
      <c r="F47" s="1" t="s">
        <v>62</v>
      </c>
      <c r="G47" s="1" t="s">
        <v>63</v>
      </c>
    </row>
    <row r="48" spans="1:18" x14ac:dyDescent="0.3">
      <c r="A48" s="1">
        <v>1</v>
      </c>
      <c r="B48" s="1">
        <f>F9*F9*C9</f>
        <v>939.37339000000009</v>
      </c>
      <c r="C48" s="1">
        <f>B9*B9</f>
        <v>168100</v>
      </c>
      <c r="D48" s="1">
        <f>E48*B48</f>
        <v>4.1749048770813664</v>
      </c>
      <c r="E48" s="1">
        <f>SQRT(  4 * POWER(J32,2) + POWER(G32,2)  )</f>
        <v>4.4443507997191257E-3</v>
      </c>
      <c r="F48" s="1">
        <f>G48*C48</f>
        <v>289.9137802864845</v>
      </c>
      <c r="G48" s="1">
        <f>D32*SQRT(2)</f>
        <v>1.7246506858208477E-3</v>
      </c>
    </row>
    <row r="49" spans="1:7" x14ac:dyDescent="0.3">
      <c r="A49" s="1">
        <v>2</v>
      </c>
      <c r="B49" s="1">
        <f t="shared" ref="B49:B57" si="18">F10*F10*C10</f>
        <v>827.95414097656271</v>
      </c>
      <c r="C49" s="1">
        <f t="shared" ref="C49:C57" si="19">B10*B10</f>
        <v>137641</v>
      </c>
      <c r="D49" s="1">
        <f t="shared" ref="D49:D57" si="20">E49*B49</f>
        <v>3.7592941598239751</v>
      </c>
      <c r="E49" s="1">
        <f t="shared" ref="E49:E56" si="21">SQRT(  4 * POWER(J33,2) + POWER(G33,2)  )</f>
        <v>4.5404618127640852E-3</v>
      </c>
      <c r="F49" s="1">
        <f t="shared" ref="F49:F57" si="22">G49*C49</f>
        <v>262.33661582020915</v>
      </c>
      <c r="G49" s="1">
        <f t="shared" ref="G49:G57" si="23">D33*SQRT(2)</f>
        <v>1.9059481972683223E-3</v>
      </c>
    </row>
    <row r="50" spans="1:7" x14ac:dyDescent="0.3">
      <c r="A50" s="1">
        <v>3</v>
      </c>
      <c r="B50" s="1">
        <f t="shared" si="18"/>
        <v>720.88352644531244</v>
      </c>
      <c r="C50" s="1">
        <f t="shared" si="19"/>
        <v>109561</v>
      </c>
      <c r="D50" s="1">
        <f t="shared" si="20"/>
        <v>3.351220042776561</v>
      </c>
      <c r="E50" s="1">
        <f t="shared" si="21"/>
        <v>4.6487676855392684E-3</v>
      </c>
      <c r="F50" s="1">
        <f t="shared" si="22"/>
        <v>234.05234457274724</v>
      </c>
      <c r="G50" s="1">
        <f t="shared" si="23"/>
        <v>2.1362742634034671E-3</v>
      </c>
    </row>
    <row r="51" spans="1:7" x14ac:dyDescent="0.3">
      <c r="A51" s="1">
        <v>4</v>
      </c>
      <c r="B51" s="1">
        <f t="shared" si="18"/>
        <v>637.93626898871503</v>
      </c>
      <c r="C51" s="1">
        <f t="shared" si="19"/>
        <v>84100</v>
      </c>
      <c r="D51" s="1">
        <f t="shared" si="20"/>
        <v>3.0069688805962125</v>
      </c>
      <c r="E51" s="1">
        <f t="shared" si="21"/>
        <v>4.7135882168339374E-3</v>
      </c>
      <c r="F51" s="1">
        <f t="shared" si="22"/>
        <v>205.06096654409882</v>
      </c>
      <c r="G51" s="1">
        <f t="shared" si="23"/>
        <v>2.4382992454708538E-3</v>
      </c>
    </row>
    <row r="52" spans="1:7" x14ac:dyDescent="0.3">
      <c r="A52" s="1">
        <v>5</v>
      </c>
      <c r="B52" s="1">
        <f t="shared" si="18"/>
        <v>657.25750406250006</v>
      </c>
      <c r="C52" s="1">
        <f t="shared" si="19"/>
        <v>90601</v>
      </c>
      <c r="D52" s="1">
        <f t="shared" si="20"/>
        <v>3.0895163381292239</v>
      </c>
      <c r="E52" s="1">
        <f t="shared" si="21"/>
        <v>4.7006178233538051E-3</v>
      </c>
      <c r="F52" s="1">
        <f t="shared" si="22"/>
        <v>212.83914113715082</v>
      </c>
      <c r="G52" s="1">
        <f t="shared" si="23"/>
        <v>2.3491919640749089E-3</v>
      </c>
    </row>
    <row r="53" spans="1:7" x14ac:dyDescent="0.3">
      <c r="A53" s="1">
        <v>6</v>
      </c>
      <c r="B53" s="1">
        <f t="shared" si="18"/>
        <v>671.51114874999985</v>
      </c>
      <c r="C53" s="1">
        <f t="shared" si="19"/>
        <v>96100</v>
      </c>
      <c r="D53" s="1">
        <f t="shared" si="20"/>
        <v>3.1544246540458252</v>
      </c>
      <c r="E53" s="1">
        <f t="shared" si="21"/>
        <v>4.6975015380127383E-3</v>
      </c>
      <c r="F53" s="1">
        <f t="shared" si="22"/>
        <v>219.20310216782974</v>
      </c>
      <c r="G53" s="1">
        <f t="shared" si="23"/>
        <v>2.2809896167307986E-3</v>
      </c>
    </row>
    <row r="54" spans="1:7" x14ac:dyDescent="0.3">
      <c r="A54" s="1">
        <v>7</v>
      </c>
      <c r="B54" s="1">
        <f t="shared" si="18"/>
        <v>602.35179513888897</v>
      </c>
      <c r="C54" s="1">
        <f t="shared" si="19"/>
        <v>78400</v>
      </c>
      <c r="D54" s="1">
        <f t="shared" si="20"/>
        <v>2.8813760592463984</v>
      </c>
      <c r="E54" s="1">
        <f t="shared" si="21"/>
        <v>4.7835435745352383E-3</v>
      </c>
      <c r="F54" s="1">
        <f t="shared" si="22"/>
        <v>197.98989873223331</v>
      </c>
      <c r="G54" s="1">
        <f t="shared" si="23"/>
        <v>2.5253813613805268E-3</v>
      </c>
    </row>
    <row r="55" spans="1:7" x14ac:dyDescent="0.3">
      <c r="A55" s="1">
        <v>8</v>
      </c>
      <c r="B55" s="1">
        <f t="shared" si="18"/>
        <v>585.95410256944444</v>
      </c>
      <c r="C55" s="1">
        <f t="shared" si="19"/>
        <v>72900</v>
      </c>
      <c r="D55" s="1">
        <f t="shared" si="20"/>
        <v>2.8110728999566543</v>
      </c>
      <c r="E55" s="1">
        <f t="shared" si="21"/>
        <v>4.797428480541272E-3</v>
      </c>
      <c r="F55" s="1">
        <f t="shared" si="22"/>
        <v>190.91883092036784</v>
      </c>
      <c r="G55" s="1">
        <f t="shared" si="23"/>
        <v>2.6189140043946205E-3</v>
      </c>
    </row>
    <row r="56" spans="1:7" x14ac:dyDescent="0.3">
      <c r="A56" s="1">
        <v>9</v>
      </c>
      <c r="B56" s="1">
        <f t="shared" si="18"/>
        <v>508.11911187065942</v>
      </c>
      <c r="C56" s="1">
        <f t="shared" si="19"/>
        <v>52900</v>
      </c>
      <c r="D56" s="1">
        <f t="shared" si="20"/>
        <v>2.4975037752879907</v>
      </c>
      <c r="E56" s="1">
        <f t="shared" si="21"/>
        <v>4.9151935381712714E-3</v>
      </c>
      <c r="F56" s="1">
        <f t="shared" si="22"/>
        <v>162.63455967290594</v>
      </c>
      <c r="G56" s="1">
        <f t="shared" si="23"/>
        <v>3.0743773095067285E-3</v>
      </c>
    </row>
    <row r="57" spans="1:7" x14ac:dyDescent="0.3">
      <c r="A57" s="1">
        <v>10</v>
      </c>
      <c r="B57" s="1">
        <f t="shared" si="18"/>
        <v>432.32073537326397</v>
      </c>
      <c r="C57" s="1">
        <f t="shared" si="19"/>
        <v>32400</v>
      </c>
      <c r="D57" s="1">
        <f t="shared" si="20"/>
        <v>2.2100188282229323</v>
      </c>
      <c r="E57" s="1">
        <f>SQRT(  4 * POWER(J41,2) + POWER(G41,2)  )</f>
        <v>5.1119889641999495E-3</v>
      </c>
      <c r="F57" s="1">
        <f t="shared" si="22"/>
        <v>127.27922061357856</v>
      </c>
      <c r="G57" s="1">
        <f t="shared" si="23"/>
        <v>3.9283710065919309E-3</v>
      </c>
    </row>
    <row r="68" spans="1:13" x14ac:dyDescent="0.3">
      <c r="A68" s="18" t="s">
        <v>65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3" x14ac:dyDescent="0.3">
      <c r="A69" s="1" t="s">
        <v>64</v>
      </c>
      <c r="B69" s="1" t="s">
        <v>58</v>
      </c>
      <c r="C69" s="1" t="s">
        <v>59</v>
      </c>
      <c r="D69" s="27" t="s">
        <v>66</v>
      </c>
      <c r="E69" s="27" t="s">
        <v>68</v>
      </c>
      <c r="F69" s="27" t="s">
        <v>75</v>
      </c>
    </row>
    <row r="70" spans="1:13" x14ac:dyDescent="0.3">
      <c r="A70" s="1">
        <v>1</v>
      </c>
      <c r="B70" s="1">
        <f>F9*F9*C9</f>
        <v>939.37339000000009</v>
      </c>
      <c r="C70" s="1">
        <f>B9*B9</f>
        <v>168100</v>
      </c>
      <c r="D70" s="1">
        <f>B70*C70</f>
        <v>157908666.85900003</v>
      </c>
      <c r="E70" s="1">
        <f>B70*B70</f>
        <v>882422.3658400923</v>
      </c>
      <c r="F70" s="1">
        <f>C70*C70</f>
        <v>28257610000</v>
      </c>
      <c r="G70" s="5"/>
      <c r="H70" s="1" t="s">
        <v>69</v>
      </c>
      <c r="I70" s="1">
        <f>(  D80 - B80*C80  )/(  E80 - B80*B80  )</f>
        <v>267.30602320816467</v>
      </c>
      <c r="K70">
        <f>ATAN(I70/1000)</f>
        <v>0.26119920631215204</v>
      </c>
      <c r="L70">
        <f>4*S6*S6</f>
        <v>39.478350912399996</v>
      </c>
      <c r="M70">
        <f>L70*K70</f>
        <v>10.311713924831503</v>
      </c>
    </row>
    <row r="71" spans="1:13" x14ac:dyDescent="0.3">
      <c r="A71" s="1">
        <v>2</v>
      </c>
      <c r="B71" s="1">
        <f t="shared" ref="B71:B79" si="24">F10*F10*C10</f>
        <v>827.95414097656271</v>
      </c>
      <c r="C71" s="1">
        <f t="shared" ref="C71:C79" si="25">B10*B10</f>
        <v>137641</v>
      </c>
      <c r="D71" s="1">
        <f t="shared" ref="D71:D79" si="26">B71*C71</f>
        <v>113960435.91815507</v>
      </c>
      <c r="E71" s="1">
        <f t="shared" ref="E71:E79" si="27">B71*B71</f>
        <v>685508.05956023792</v>
      </c>
      <c r="F71" s="1">
        <f t="shared" ref="F71:F79" si="28">C71*C71</f>
        <v>18945044881</v>
      </c>
      <c r="G71" s="5"/>
      <c r="H71" s="1" t="s">
        <v>70</v>
      </c>
      <c r="I71" s="1">
        <f>C80 - I70*B80</f>
        <v>-83714.943363712067</v>
      </c>
    </row>
    <row r="72" spans="1:13" x14ac:dyDescent="0.3">
      <c r="A72" s="1">
        <v>3</v>
      </c>
      <c r="B72" s="1">
        <f t="shared" si="24"/>
        <v>720.88352644531244</v>
      </c>
      <c r="C72" s="1">
        <f t="shared" si="25"/>
        <v>109561</v>
      </c>
      <c r="D72" s="1">
        <f t="shared" si="26"/>
        <v>78980720.040874884</v>
      </c>
      <c r="E72" s="1">
        <f t="shared" si="27"/>
        <v>519673.05870022951</v>
      </c>
      <c r="F72" s="1">
        <f t="shared" si="28"/>
        <v>12003612721</v>
      </c>
      <c r="G72" s="5"/>
      <c r="H72" s="1" t="s">
        <v>71</v>
      </c>
      <c r="I72" s="1">
        <f xml:space="preserve"> SQRT(  (F80-C80*C80)/(E80-B80*B80) - I70*I70  ) / SQRT(10)</f>
        <v>2.5184015809461315</v>
      </c>
    </row>
    <row r="73" spans="1:13" x14ac:dyDescent="0.3">
      <c r="A73" s="1">
        <v>4</v>
      </c>
      <c r="B73" s="1">
        <f t="shared" si="24"/>
        <v>637.93626898871503</v>
      </c>
      <c r="C73" s="1">
        <f t="shared" si="25"/>
        <v>84100</v>
      </c>
      <c r="D73" s="1">
        <f t="shared" si="26"/>
        <v>53650440.221950933</v>
      </c>
      <c r="E73" s="1">
        <f t="shared" si="27"/>
        <v>406962.68329124217</v>
      </c>
      <c r="F73" s="1">
        <f t="shared" si="28"/>
        <v>7072810000</v>
      </c>
      <c r="G73" s="5"/>
      <c r="H73" s="1" t="s">
        <v>73</v>
      </c>
      <c r="I73" s="1">
        <f>I72/I70</f>
        <v>9.4214172607136708E-3</v>
      </c>
    </row>
    <row r="74" spans="1:13" x14ac:dyDescent="0.3">
      <c r="A74" s="1">
        <v>5</v>
      </c>
      <c r="B74" s="1">
        <f t="shared" si="24"/>
        <v>657.25750406250006</v>
      </c>
      <c r="C74" s="1">
        <f t="shared" si="25"/>
        <v>90601</v>
      </c>
      <c r="D74" s="1">
        <f t="shared" si="26"/>
        <v>59548187.125566565</v>
      </c>
      <c r="E74" s="1">
        <f t="shared" si="27"/>
        <v>431987.4266464673</v>
      </c>
      <c r="F74" s="1">
        <f t="shared" si="28"/>
        <v>8208541201</v>
      </c>
      <c r="G74" s="5"/>
      <c r="H74" s="1" t="s">
        <v>72</v>
      </c>
      <c r="I74" s="1">
        <f>I72*SQRT( E80 - B80*B80 )</f>
        <v>351.02289669646564</v>
      </c>
    </row>
    <row r="75" spans="1:13" x14ac:dyDescent="0.3">
      <c r="A75" s="1">
        <v>6</v>
      </c>
      <c r="B75" s="1">
        <f t="shared" si="24"/>
        <v>671.51114874999985</v>
      </c>
      <c r="C75" s="1">
        <f t="shared" si="25"/>
        <v>96100</v>
      </c>
      <c r="D75" s="1">
        <f t="shared" si="26"/>
        <v>64532221.394874983</v>
      </c>
      <c r="E75" s="1">
        <f t="shared" si="27"/>
        <v>450927.22289554443</v>
      </c>
      <c r="F75" s="1">
        <f t="shared" si="28"/>
        <v>9235210000</v>
      </c>
      <c r="G75" s="5"/>
      <c r="H75" s="1" t="s">
        <v>74</v>
      </c>
      <c r="I75" s="1">
        <f>I74/I71</f>
        <v>-4.1930733342480358E-3</v>
      </c>
    </row>
    <row r="76" spans="1:13" x14ac:dyDescent="0.3">
      <c r="A76" s="1">
        <v>7</v>
      </c>
      <c r="B76" s="1">
        <f t="shared" si="24"/>
        <v>602.35179513888897</v>
      </c>
      <c r="C76" s="1">
        <f t="shared" si="25"/>
        <v>78400</v>
      </c>
      <c r="D76" s="1">
        <f t="shared" si="26"/>
        <v>47224380.738888897</v>
      </c>
      <c r="E76" s="1">
        <f t="shared" si="27"/>
        <v>362827.68510704208</v>
      </c>
      <c r="F76" s="1">
        <f t="shared" si="28"/>
        <v>6146560000</v>
      </c>
    </row>
    <row r="77" spans="1:13" x14ac:dyDescent="0.3">
      <c r="A77" s="1">
        <v>8</v>
      </c>
      <c r="B77" s="1">
        <f t="shared" si="24"/>
        <v>585.95410256944444</v>
      </c>
      <c r="C77" s="1">
        <f t="shared" si="25"/>
        <v>72900</v>
      </c>
      <c r="D77" s="1">
        <f t="shared" si="26"/>
        <v>42716054.077312499</v>
      </c>
      <c r="E77" s="1">
        <f t="shared" si="27"/>
        <v>343342.21031796304</v>
      </c>
      <c r="F77" s="1">
        <f t="shared" si="28"/>
        <v>5314410000</v>
      </c>
    </row>
    <row r="78" spans="1:13" x14ac:dyDescent="0.3">
      <c r="A78" s="1">
        <v>9</v>
      </c>
      <c r="B78" s="1">
        <f t="shared" si="24"/>
        <v>508.11911187065942</v>
      </c>
      <c r="C78" s="1">
        <f t="shared" si="25"/>
        <v>52900</v>
      </c>
      <c r="D78" s="1">
        <f t="shared" si="26"/>
        <v>26879501.017957885</v>
      </c>
      <c r="E78" s="1">
        <f t="shared" si="27"/>
        <v>258185.03184822769</v>
      </c>
      <c r="F78" s="1">
        <f t="shared" si="28"/>
        <v>2798410000</v>
      </c>
    </row>
    <row r="79" spans="1:13" x14ac:dyDescent="0.3">
      <c r="A79" s="1">
        <v>10</v>
      </c>
      <c r="B79" s="1">
        <f t="shared" si="24"/>
        <v>432.32073537326397</v>
      </c>
      <c r="C79" s="1">
        <f t="shared" si="25"/>
        <v>32400</v>
      </c>
      <c r="D79" s="1">
        <f t="shared" si="26"/>
        <v>14007191.826093752</v>
      </c>
      <c r="E79" s="1">
        <f t="shared" si="27"/>
        <v>186901.21823367974</v>
      </c>
      <c r="F79" s="1">
        <f t="shared" si="28"/>
        <v>1049760000</v>
      </c>
    </row>
    <row r="80" spans="1:13" x14ac:dyDescent="0.3">
      <c r="A80" s="1" t="s">
        <v>67</v>
      </c>
      <c r="B80" s="27">
        <f>AVERAGE(B70:B79)</f>
        <v>658.3661724175347</v>
      </c>
      <c r="C80" s="27">
        <f t="shared" ref="C80:F80" si="29">AVERAGE(C70:C79)</f>
        <v>92270.3</v>
      </c>
      <c r="D80" s="27">
        <f t="shared" si="29"/>
        <v>65940779.92206756</v>
      </c>
      <c r="E80" s="27">
        <f t="shared" si="29"/>
        <v>452873.69624407252</v>
      </c>
      <c r="F80" s="27">
        <f t="shared" si="29"/>
        <v>9903196880.2999992</v>
      </c>
    </row>
    <row r="81" spans="2:6" x14ac:dyDescent="0.3">
      <c r="B81" s="26"/>
      <c r="C81" s="26"/>
      <c r="F81" s="26"/>
    </row>
  </sheetData>
  <mergeCells count="9">
    <mergeCell ref="A45:K45"/>
    <mergeCell ref="A68:K68"/>
    <mergeCell ref="A42:M42"/>
    <mergeCell ref="H10:K10"/>
    <mergeCell ref="A22:N22"/>
    <mergeCell ref="B23:C23"/>
    <mergeCell ref="A23:A24"/>
    <mergeCell ref="D23:D24"/>
    <mergeCell ref="E23:E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RowHeight="14.4" x14ac:dyDescent="0.3"/>
  <cols>
    <col min="1" max="1" width="25" customWidth="1"/>
    <col min="2" max="2" width="11.33203125" customWidth="1"/>
    <col min="3" max="4" width="8.77734375" customWidth="1"/>
  </cols>
  <sheetData>
    <row r="1" spans="1:4" x14ac:dyDescent="0.3">
      <c r="A1" s="1"/>
      <c r="B1" s="1" t="s">
        <v>18</v>
      </c>
      <c r="C1" s="2" t="s">
        <v>19</v>
      </c>
      <c r="D1" s="2" t="s">
        <v>20</v>
      </c>
    </row>
    <row r="2" spans="1:4" x14ac:dyDescent="0.3">
      <c r="A2" s="1" t="s">
        <v>21</v>
      </c>
      <c r="B2" s="1">
        <v>1000</v>
      </c>
      <c r="C2" s="1">
        <v>0.5</v>
      </c>
      <c r="D2" s="3">
        <f>C2/B2*100</f>
        <v>0.05</v>
      </c>
    </row>
    <row r="3" spans="1:4" x14ac:dyDescent="0.3">
      <c r="A3" s="1" t="s">
        <v>22</v>
      </c>
      <c r="B3" s="1">
        <v>500</v>
      </c>
      <c r="C3" s="1">
        <v>0.5</v>
      </c>
      <c r="D3" s="3">
        <f>C3/B3*100</f>
        <v>0.1</v>
      </c>
    </row>
    <row r="4" spans="1:4" x14ac:dyDescent="0.3">
      <c r="A4" s="1" t="s">
        <v>4</v>
      </c>
      <c r="B4" s="1">
        <v>250</v>
      </c>
      <c r="C4" s="1">
        <v>0.5</v>
      </c>
      <c r="D4" s="3">
        <f t="shared" ref="D4:D7" si="0">C4/B4*100</f>
        <v>0.2</v>
      </c>
    </row>
    <row r="5" spans="1:4" x14ac:dyDescent="0.3">
      <c r="A5" s="1" t="s">
        <v>5</v>
      </c>
      <c r="B5" s="1">
        <v>231</v>
      </c>
      <c r="C5" s="1">
        <v>0.5</v>
      </c>
      <c r="D5" s="3">
        <f t="shared" si="0"/>
        <v>0.21645021645021645</v>
      </c>
    </row>
    <row r="6" spans="1:4" x14ac:dyDescent="0.3">
      <c r="A6" s="1" t="s">
        <v>23</v>
      </c>
      <c r="B6" s="4">
        <v>1022.4</v>
      </c>
      <c r="C6" s="1">
        <v>0.1</v>
      </c>
      <c r="D6" s="3">
        <f t="shared" si="0"/>
        <v>9.7809076682316125E-3</v>
      </c>
    </row>
    <row r="7" spans="1:4" x14ac:dyDescent="0.3">
      <c r="A7" s="1" t="s">
        <v>24</v>
      </c>
      <c r="B7" s="4">
        <v>74</v>
      </c>
      <c r="C7" s="1">
        <v>0.1</v>
      </c>
      <c r="D7" s="3">
        <f t="shared" si="0"/>
        <v>0.13513513513513514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2021-10-13T19:12:20Z</dcterms:modified>
</cp:coreProperties>
</file>