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</sheets>
  <calcPr calcId="162913"/>
</workbook>
</file>

<file path=xl/calcChain.xml><?xml version="1.0" encoding="utf-8"?>
<calcChain xmlns="http://schemas.openxmlformats.org/spreadsheetml/2006/main">
  <c r="M70" i="1" l="1"/>
  <c r="Q70" i="1" s="1"/>
  <c r="Q71" i="1" s="1"/>
  <c r="Q72" i="1"/>
  <c r="I73" i="1"/>
  <c r="I72" i="1"/>
  <c r="M72" i="1" s="1"/>
  <c r="I70" i="1"/>
  <c r="E80" i="1"/>
  <c r="D80" i="1"/>
  <c r="B80" i="1"/>
  <c r="C80" i="1"/>
  <c r="F70" i="1"/>
  <c r="E70" i="1"/>
  <c r="D70" i="1"/>
  <c r="C48" i="1"/>
  <c r="B48" i="1"/>
  <c r="E12" i="1"/>
  <c r="G58" i="1" l="1"/>
  <c r="O42" i="1"/>
  <c r="E26" i="1" l="1"/>
  <c r="D27" i="1"/>
  <c r="D26" i="1"/>
  <c r="C57" i="1" l="1"/>
  <c r="C49" i="1"/>
  <c r="C50" i="1"/>
  <c r="C51" i="1"/>
  <c r="C52" i="1"/>
  <c r="C53" i="1"/>
  <c r="C54" i="1"/>
  <c r="C55" i="1"/>
  <c r="C56" i="1"/>
  <c r="B49" i="1"/>
  <c r="B50" i="1"/>
  <c r="B52" i="1"/>
  <c r="B53" i="1"/>
  <c r="B54" i="1"/>
  <c r="B55" i="1"/>
  <c r="B56" i="1"/>
  <c r="B57" i="1"/>
  <c r="C71" i="1"/>
  <c r="C72" i="1"/>
  <c r="C73" i="1"/>
  <c r="C74" i="1"/>
  <c r="C75" i="1"/>
  <c r="C76" i="1"/>
  <c r="C77" i="1"/>
  <c r="C78" i="1"/>
  <c r="C79" i="1"/>
  <c r="C70" i="1"/>
  <c r="B71" i="1"/>
  <c r="B72" i="1"/>
  <c r="B74" i="1"/>
  <c r="B75" i="1"/>
  <c r="B76" i="1"/>
  <c r="B77" i="1"/>
  <c r="B78" i="1"/>
  <c r="B79" i="1"/>
  <c r="B70" i="1"/>
  <c r="L70" i="1" l="1"/>
  <c r="F71" i="1"/>
  <c r="F72" i="1"/>
  <c r="F73" i="1"/>
  <c r="F74" i="1"/>
  <c r="F75" i="1"/>
  <c r="F76" i="1"/>
  <c r="F77" i="1"/>
  <c r="F78" i="1"/>
  <c r="F79" i="1"/>
  <c r="E71" i="1"/>
  <c r="E72" i="1"/>
  <c r="E74" i="1"/>
  <c r="E75" i="1"/>
  <c r="E76" i="1"/>
  <c r="E77" i="1"/>
  <c r="E78" i="1"/>
  <c r="E79" i="1"/>
  <c r="D71" i="1"/>
  <c r="D72" i="1"/>
  <c r="D74" i="1"/>
  <c r="D75" i="1"/>
  <c r="D76" i="1"/>
  <c r="D77" i="1"/>
  <c r="D78" i="1"/>
  <c r="D79" i="1"/>
  <c r="F49" i="1"/>
  <c r="F50" i="1"/>
  <c r="F51" i="1"/>
  <c r="F53" i="1"/>
  <c r="F54" i="1"/>
  <c r="F55" i="1"/>
  <c r="F57" i="1"/>
  <c r="F48" i="1"/>
  <c r="F52" i="1"/>
  <c r="F56" i="1"/>
  <c r="G49" i="1"/>
  <c r="G50" i="1"/>
  <c r="G51" i="1"/>
  <c r="G52" i="1"/>
  <c r="G53" i="1"/>
  <c r="G54" i="1"/>
  <c r="G55" i="1"/>
  <c r="G56" i="1"/>
  <c r="G57" i="1"/>
  <c r="G48" i="1"/>
  <c r="F80" i="1" l="1"/>
  <c r="P42" i="1"/>
  <c r="R33" i="1"/>
  <c r="R34" i="1"/>
  <c r="R35" i="1"/>
  <c r="R36" i="1"/>
  <c r="R37" i="1"/>
  <c r="R38" i="1"/>
  <c r="R39" i="1"/>
  <c r="R40" i="1"/>
  <c r="R41" i="1"/>
  <c r="R32" i="1"/>
  <c r="N42" i="1"/>
  <c r="G27" i="1"/>
  <c r="J33" i="1"/>
  <c r="E49" i="1" s="1"/>
  <c r="D49" i="1" s="1"/>
  <c r="I32" i="1"/>
  <c r="J32" i="1" s="1"/>
  <c r="I33" i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E55" i="1" s="1"/>
  <c r="D55" i="1" s="1"/>
  <c r="I40" i="1"/>
  <c r="J40" i="1" s="1"/>
  <c r="E56" i="1" s="1"/>
  <c r="D56" i="1" s="1"/>
  <c r="I41" i="1"/>
  <c r="J41" i="1" s="1"/>
  <c r="E57" i="1" s="1"/>
  <c r="D57" i="1" s="1"/>
  <c r="N7" i="1"/>
  <c r="F9" i="1"/>
  <c r="G33" i="1"/>
  <c r="G34" i="1"/>
  <c r="G35" i="1"/>
  <c r="G36" i="1"/>
  <c r="G37" i="1"/>
  <c r="G38" i="1"/>
  <c r="G39" i="1"/>
  <c r="G40" i="1"/>
  <c r="G41" i="1"/>
  <c r="G32" i="1"/>
  <c r="F33" i="1"/>
  <c r="F34" i="1"/>
  <c r="F35" i="1"/>
  <c r="F36" i="1"/>
  <c r="F37" i="1"/>
  <c r="F38" i="1"/>
  <c r="F39" i="1"/>
  <c r="F40" i="1"/>
  <c r="F41" i="1"/>
  <c r="F32" i="1"/>
  <c r="D33" i="1"/>
  <c r="D34" i="1"/>
  <c r="D35" i="1"/>
  <c r="D36" i="1"/>
  <c r="D37" i="1"/>
  <c r="D38" i="1"/>
  <c r="D39" i="1"/>
  <c r="D40" i="1"/>
  <c r="D41" i="1"/>
  <c r="D32" i="1"/>
  <c r="C33" i="1"/>
  <c r="C34" i="1"/>
  <c r="C35" i="1"/>
  <c r="C36" i="1"/>
  <c r="C37" i="1"/>
  <c r="C38" i="1"/>
  <c r="C39" i="1"/>
  <c r="C40" i="1"/>
  <c r="C41" i="1"/>
  <c r="C32" i="1"/>
  <c r="E33" i="1"/>
  <c r="E34" i="1"/>
  <c r="E35" i="1"/>
  <c r="E36" i="1"/>
  <c r="E37" i="1"/>
  <c r="E38" i="1"/>
  <c r="E39" i="1"/>
  <c r="E40" i="1"/>
  <c r="E41" i="1"/>
  <c r="E32" i="1"/>
  <c r="B33" i="1"/>
  <c r="B34" i="1"/>
  <c r="B35" i="1"/>
  <c r="B36" i="1"/>
  <c r="B37" i="1"/>
  <c r="B38" i="1"/>
  <c r="B39" i="1"/>
  <c r="B40" i="1"/>
  <c r="B41" i="1"/>
  <c r="B32" i="1"/>
  <c r="E27" i="1"/>
  <c r="E25" i="1"/>
  <c r="D25" i="1"/>
  <c r="B27" i="1"/>
  <c r="B26" i="1"/>
  <c r="E52" i="1" l="1"/>
  <c r="D52" i="1" s="1"/>
  <c r="M36" i="1"/>
  <c r="L36" i="1" s="1"/>
  <c r="E50" i="1"/>
  <c r="D50" i="1" s="1"/>
  <c r="M34" i="1"/>
  <c r="L34" i="1" s="1"/>
  <c r="E53" i="1"/>
  <c r="D53" i="1" s="1"/>
  <c r="M37" i="1"/>
  <c r="L37" i="1" s="1"/>
  <c r="E51" i="1"/>
  <c r="M35" i="1"/>
  <c r="L35" i="1" s="1"/>
  <c r="M32" i="1"/>
  <c r="L32" i="1" s="1"/>
  <c r="E48" i="1"/>
  <c r="E54" i="1"/>
  <c r="D54" i="1" s="1"/>
  <c r="M38" i="1"/>
  <c r="L38" i="1" s="1"/>
  <c r="M33" i="1"/>
  <c r="L33" i="1" s="1"/>
  <c r="M41" i="1"/>
  <c r="L41" i="1" s="1"/>
  <c r="M40" i="1"/>
  <c r="L40" i="1" s="1"/>
  <c r="M39" i="1"/>
  <c r="L39" i="1" s="1"/>
  <c r="G26" i="1"/>
  <c r="P34" i="1"/>
  <c r="O34" i="1" s="1"/>
  <c r="G9" i="1"/>
  <c r="G11" i="1"/>
  <c r="G14" i="1"/>
  <c r="F11" i="1"/>
  <c r="F14" i="1"/>
  <c r="F15" i="1"/>
  <c r="G15" i="1" s="1"/>
  <c r="F17" i="1"/>
  <c r="G17" i="1" s="1"/>
  <c r="F12" i="1"/>
  <c r="E13" i="1"/>
  <c r="F13" i="1" s="1"/>
  <c r="G13" i="1" s="1"/>
  <c r="E14" i="1"/>
  <c r="E15" i="1"/>
  <c r="E16" i="1"/>
  <c r="F16" i="1" s="1"/>
  <c r="G16" i="1" s="1"/>
  <c r="E17" i="1"/>
  <c r="E18" i="1"/>
  <c r="F18" i="1" s="1"/>
  <c r="G18" i="1" s="1"/>
  <c r="E11" i="1"/>
  <c r="D7" i="2"/>
  <c r="D6" i="2"/>
  <c r="D4" i="2"/>
  <c r="D5" i="2"/>
  <c r="D3" i="2"/>
  <c r="D2" i="2"/>
  <c r="P33" i="1" l="1"/>
  <c r="O33" i="1" s="1"/>
  <c r="E58" i="1"/>
  <c r="D48" i="1"/>
  <c r="P36" i="1"/>
  <c r="O36" i="1" s="1"/>
  <c r="P39" i="1"/>
  <c r="O39" i="1" s="1"/>
  <c r="G12" i="1"/>
  <c r="B73" i="1"/>
  <c r="B51" i="1"/>
  <c r="D51" i="1" s="1"/>
  <c r="P41" i="1"/>
  <c r="O41" i="1" s="1"/>
  <c r="P35" i="1"/>
  <c r="O35" i="1" s="1"/>
  <c r="P37" i="1"/>
  <c r="O37" i="1" s="1"/>
  <c r="P32" i="1"/>
  <c r="O32" i="1" s="1"/>
  <c r="P38" i="1"/>
  <c r="O38" i="1" s="1"/>
  <c r="P40" i="1"/>
  <c r="O40" i="1" s="1"/>
  <c r="G10" i="1"/>
  <c r="F10" i="1"/>
  <c r="S5" i="1"/>
  <c r="N2" i="1"/>
  <c r="F4" i="1" s="1"/>
  <c r="K73" i="1" l="1"/>
  <c r="K75" i="1"/>
  <c r="E73" i="1"/>
  <c r="D73" i="1"/>
  <c r="E4" i="1"/>
  <c r="B4" i="1"/>
  <c r="D4" i="1"/>
  <c r="K4" i="1"/>
  <c r="C4" i="1"/>
  <c r="J4" i="1"/>
  <c r="I4" i="1"/>
  <c r="H4" i="1"/>
  <c r="G4" i="1"/>
  <c r="K72" i="1" l="1"/>
  <c r="I71" i="1"/>
  <c r="K74" i="1" s="1"/>
  <c r="N4" i="1"/>
  <c r="I74" i="1" l="1"/>
  <c r="I75" i="1" l="1"/>
  <c r="M74" i="1"/>
</calcChain>
</file>

<file path=xl/sharedStrings.xml><?xml version="1.0" encoding="utf-8"?>
<sst xmlns="http://schemas.openxmlformats.org/spreadsheetml/2006/main" count="117" uniqueCount="79">
  <si>
    <t>tср</t>
  </si>
  <si>
    <t>сигма случ</t>
  </si>
  <si>
    <t>сигма сист</t>
  </si>
  <si>
    <t>N, оп</t>
  </si>
  <si>
    <t>a, мм</t>
  </si>
  <si>
    <t>xц, мм</t>
  </si>
  <si>
    <t>n</t>
  </si>
  <si>
    <t>tn,с</t>
  </si>
  <si>
    <t>T, с</t>
  </si>
  <si>
    <t>g</t>
  </si>
  <si>
    <t>ti-tср</t>
  </si>
  <si>
    <t>l</t>
  </si>
  <si>
    <t>mпр</t>
  </si>
  <si>
    <t>mст</t>
  </si>
  <si>
    <t>г</t>
  </si>
  <si>
    <t>бетта</t>
  </si>
  <si>
    <t>pi</t>
  </si>
  <si>
    <t>м</t>
  </si>
  <si>
    <t>измерение</t>
  </si>
  <si>
    <t>σ</t>
  </si>
  <si>
    <t>ε, %</t>
  </si>
  <si>
    <t>длина стержня l, мм</t>
  </si>
  <si>
    <t>положение ЦМ lцм, мм</t>
  </si>
  <si>
    <t>масса стержня mст, г</t>
  </si>
  <si>
    <t>масса призмы mпр, г</t>
  </si>
  <si>
    <t>N опыта</t>
  </si>
  <si>
    <t>t, с</t>
  </si>
  <si>
    <t>t для n = 12</t>
  </si>
  <si>
    <t>расчет погрешности g</t>
  </si>
  <si>
    <t>δ</t>
  </si>
  <si>
    <t>ε</t>
  </si>
  <si>
    <t>значение</t>
  </si>
  <si>
    <t>единица измерения</t>
  </si>
  <si>
    <t>кг</t>
  </si>
  <si>
    <t>a, м</t>
  </si>
  <si>
    <t>δa</t>
  </si>
  <si>
    <t>εа</t>
  </si>
  <si>
    <t>δ xц</t>
  </si>
  <si>
    <t>ε xц</t>
  </si>
  <si>
    <t>δ T</t>
  </si>
  <si>
    <t>ε T</t>
  </si>
  <si>
    <t>xц, м</t>
  </si>
  <si>
    <t>сигма полн</t>
  </si>
  <si>
    <t>g, м/с^2</t>
  </si>
  <si>
    <t>δ g</t>
  </si>
  <si>
    <t>ε g</t>
  </si>
  <si>
    <t>(на листочке в журнале)</t>
  </si>
  <si>
    <t>ε t</t>
  </si>
  <si>
    <t>δ tn</t>
  </si>
  <si>
    <t>ε tn</t>
  </si>
  <si>
    <t>\= ε tn</t>
  </si>
  <si>
    <t>на листочке</t>
  </si>
  <si>
    <t>ε (mпр/mст)</t>
  </si>
  <si>
    <t>ε (…)</t>
  </si>
  <si>
    <t>среднее</t>
  </si>
  <si>
    <t>для δ ср</t>
  </si>
  <si>
    <t>(по формуле 1.20 стр.26 лабник)</t>
  </si>
  <si>
    <t>15. график</t>
  </si>
  <si>
    <t>u</t>
  </si>
  <si>
    <t>v</t>
  </si>
  <si>
    <t>δ u</t>
  </si>
  <si>
    <t>ε u</t>
  </si>
  <si>
    <t>δ v</t>
  </si>
  <si>
    <t>ε v</t>
  </si>
  <si>
    <t>N</t>
  </si>
  <si>
    <t>16. вычисление коэфф. k и b</t>
  </si>
  <si>
    <t>uv</t>
  </si>
  <si>
    <t>&lt;среднее&gt;</t>
  </si>
  <si>
    <t>u^2</t>
  </si>
  <si>
    <t>k</t>
  </si>
  <si>
    <t>b</t>
  </si>
  <si>
    <t>δ k</t>
  </si>
  <si>
    <t>δ b</t>
  </si>
  <si>
    <t>ε k</t>
  </si>
  <si>
    <t>ε b</t>
  </si>
  <si>
    <t>v^2</t>
  </si>
  <si>
    <t>&lt;-g</t>
  </si>
  <si>
    <t>сист</t>
  </si>
  <si>
    <t>полная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</si>
</sst>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164" fontId="0" fillId="0" borderId="1" xfId="0" applyNumberFormat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65" fontId="0" fillId="0" borderId="1" xfId="0" applyNumberFormat="1" applyBorder="1"/>
    <xf numFmtId="166" fontId="0" fillId="0" borderId="1" xfId="0" applyNumberFormat="1" applyBorder="1"/>
    <xf numFmtId="166" fontId="0" fillId="0" borderId="0" xfId="0" applyNumberFormat="1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2" fontId="0" fillId="2" borderId="1" xfId="0" applyNumberFormat="1" applyFill="1" applyBorder="1"/>
    <xf numFmtId="0" fontId="0" fillId="0" borderId="8" xfId="0" applyFill="1" applyBorder="1"/>
    <xf numFmtId="0" fontId="0" fillId="0" borderId="1" xfId="0" applyFill="1" applyBorder="1"/>
    <xf numFmtId="0" fontId="0" fillId="2" borderId="0" xfId="0" applyFill="1" applyAlignment="1">
      <alignment horizontal="center"/>
    </xf>
    <xf numFmtId="0" fontId="2" fillId="0" borderId="7" xfId="0" applyFont="1" applyBorder="1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периода колебаний от расстояния подвеса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4473305340649211E-2"/>
          <c:y val="0.14841936774709885"/>
          <c:w val="0.70714428826167719"/>
          <c:h val="0.67389633018561756"/>
        </c:manualLayout>
      </c:layout>
      <c:scatterChart>
        <c:scatterStyle val="lineMarker"/>
        <c:varyColors val="0"/>
        <c:ser>
          <c:idx val="0"/>
          <c:order val="0"/>
          <c:tx>
            <c:v>T, с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fixedVal"/>
            <c:noEndCap val="0"/>
            <c:val val="3.0000000000000009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Лист1!$B$9:$B$18</c:f>
              <c:numCache>
                <c:formatCode>General</c:formatCode>
                <c:ptCount val="10"/>
                <c:pt idx="0">
                  <c:v>410</c:v>
                </c:pt>
                <c:pt idx="1">
                  <c:v>371</c:v>
                </c:pt>
                <c:pt idx="2">
                  <c:v>331</c:v>
                </c:pt>
                <c:pt idx="3">
                  <c:v>290</c:v>
                </c:pt>
                <c:pt idx="4">
                  <c:v>301</c:v>
                </c:pt>
                <c:pt idx="5">
                  <c:v>310</c:v>
                </c:pt>
                <c:pt idx="6">
                  <c:v>280</c:v>
                </c:pt>
                <c:pt idx="7">
                  <c:v>270</c:v>
                </c:pt>
                <c:pt idx="8">
                  <c:v>230</c:v>
                </c:pt>
                <c:pt idx="9">
                  <c:v>180</c:v>
                </c:pt>
              </c:numCache>
            </c:numRef>
          </c:xVal>
          <c:yVal>
            <c:numRef>
              <c:f>Лист1!$F$9:$F$18</c:f>
              <c:numCache>
                <c:formatCode>0.00</c:formatCode>
                <c:ptCount val="10"/>
                <c:pt idx="0">
                  <c:v>1.57</c:v>
                </c:pt>
                <c:pt idx="1">
                  <c:v>1.5493750000000002</c:v>
                </c:pt>
                <c:pt idx="2">
                  <c:v>1.5306249999999999</c:v>
                </c:pt>
                <c:pt idx="3">
                  <c:v>1.5385416666666665</c:v>
                </c:pt>
                <c:pt idx="4">
                  <c:v>1.5337500000000002</c:v>
                </c:pt>
                <c:pt idx="5">
                  <c:v>1.5274999999999999</c:v>
                </c:pt>
                <c:pt idx="6">
                  <c:v>1.5220833333333335</c:v>
                </c:pt>
                <c:pt idx="7">
                  <c:v>1.5272916666666667</c:v>
                </c:pt>
                <c:pt idx="8">
                  <c:v>1.5427083333333329</c:v>
                </c:pt>
                <c:pt idx="9">
                  <c:v>1.6089583333333335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F-4BEA-B597-75225A7B2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336328"/>
        <c:axId val="433341248"/>
      </c:scatterChart>
      <c:valAx>
        <c:axId val="433336328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a,</a:t>
                </a:r>
                <a:r>
                  <a:rPr lang="en-US" baseline="0"/>
                  <a:t> </a:t>
                </a:r>
                <a:r>
                  <a:rPr lang="ru-RU" baseline="0"/>
                  <a:t>мм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341248"/>
        <c:crosses val="autoZero"/>
        <c:crossBetween val="midCat"/>
        <c:minorUnit val="10"/>
      </c:valAx>
      <c:valAx>
        <c:axId val="43334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336328"/>
        <c:crosses val="autoZero"/>
        <c:crossBetween val="midCat"/>
        <c:minorUnit val="5.000000000000001E-3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77935296255909"/>
          <c:y val="0.16054358751374564"/>
          <c:w val="0.18231552162849873"/>
          <c:h val="0.283114190558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</a:t>
            </a:r>
            <a:r>
              <a:rPr lang="en-US"/>
              <a:t>u </a:t>
            </a:r>
            <a:r>
              <a:rPr lang="ru-RU"/>
              <a:t>от </a:t>
            </a:r>
            <a:r>
              <a:rPr lang="en-US"/>
              <a:t>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 от v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0.15000000000000002"/>
            <c:dispRSqr val="0"/>
            <c:dispEq val="1"/>
            <c:trendlineLbl>
              <c:layout>
                <c:manualLayout>
                  <c:x val="0.26749224528752086"/>
                  <c:y val="0.44310353129078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Лист1!$B$48:$B$57</c:f>
              <c:numCache>
                <c:formatCode>General</c:formatCode>
                <c:ptCount val="10"/>
                <c:pt idx="0">
                  <c:v>0.93937339000000009</c:v>
                </c:pt>
                <c:pt idx="1">
                  <c:v>0.82795414097656272</c:v>
                </c:pt>
                <c:pt idx="2">
                  <c:v>0.72088352644531239</c:v>
                </c:pt>
                <c:pt idx="3">
                  <c:v>0.63793626898871503</c:v>
                </c:pt>
                <c:pt idx="4">
                  <c:v>0.65725750406250005</c:v>
                </c:pt>
                <c:pt idx="5">
                  <c:v>0.67151114874999984</c:v>
                </c:pt>
                <c:pt idx="6">
                  <c:v>0.60235179513888892</c:v>
                </c:pt>
                <c:pt idx="7">
                  <c:v>0.58595410256944447</c:v>
                </c:pt>
                <c:pt idx="8">
                  <c:v>0.50811911187065939</c:v>
                </c:pt>
                <c:pt idx="9">
                  <c:v>0.43232073537326399</c:v>
                </c:pt>
              </c:numCache>
            </c:numRef>
          </c:xVal>
          <c:yVal>
            <c:numRef>
              <c:f>Лист1!$C$48:$C$57</c:f>
              <c:numCache>
                <c:formatCode>General</c:formatCode>
                <c:ptCount val="10"/>
                <c:pt idx="0">
                  <c:v>0.1681</c:v>
                </c:pt>
                <c:pt idx="1">
                  <c:v>0.13764099999999999</c:v>
                </c:pt>
                <c:pt idx="2">
                  <c:v>0.10956100000000001</c:v>
                </c:pt>
                <c:pt idx="3">
                  <c:v>8.4099999999999994E-2</c:v>
                </c:pt>
                <c:pt idx="4">
                  <c:v>9.0601000000000001E-2</c:v>
                </c:pt>
                <c:pt idx="5">
                  <c:v>9.6099999999999991E-2</c:v>
                </c:pt>
                <c:pt idx="6">
                  <c:v>7.8400000000000011E-2</c:v>
                </c:pt>
                <c:pt idx="7">
                  <c:v>7.2900000000000006E-2</c:v>
                </c:pt>
                <c:pt idx="8">
                  <c:v>5.2899999999999996E-2</c:v>
                </c:pt>
                <c:pt idx="9">
                  <c:v>3.2399999999999998E-2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8A-4102-8A75-3D8AAAB6A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761072"/>
        <c:axId val="358757136"/>
      </c:scatterChart>
      <c:valAx>
        <c:axId val="35876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 = x</a:t>
                </a:r>
                <a:r>
                  <a:rPr lang="ru-RU"/>
                  <a:t>ц</a:t>
                </a:r>
                <a:r>
                  <a:rPr lang="ru-RU" baseline="0"/>
                  <a:t>*</a:t>
                </a:r>
                <a:r>
                  <a:rPr lang="en-US" baseline="0"/>
                  <a:t>T^2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8757136"/>
        <c:crosses val="autoZero"/>
        <c:crossBetween val="midCat"/>
      </c:valAx>
      <c:valAx>
        <c:axId val="3587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 = a^2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876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8</xdr:row>
      <xdr:rowOff>19050</xdr:rowOff>
    </xdr:from>
    <xdr:to>
      <xdr:col>23</xdr:col>
      <xdr:colOff>594360</xdr:colOff>
      <xdr:row>23</xdr:row>
      <xdr:rowOff>449580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45</xdr:row>
      <xdr:rowOff>171450</xdr:rowOff>
    </xdr:from>
    <xdr:to>
      <xdr:col>16</xdr:col>
      <xdr:colOff>38100</xdr:colOff>
      <xdr:row>65</xdr:row>
      <xdr:rowOff>61913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7"/>
  <sheetViews>
    <sheetView tabSelected="1" topLeftCell="A68" zoomScaleNormal="100" workbookViewId="0">
      <selection activeCell="M71" sqref="M71"/>
    </sheetView>
  </sheetViews>
  <sheetFormatPr defaultRowHeight="14.4" x14ac:dyDescent="0.3"/>
  <cols>
    <col min="1" max="1" width="10.109375" customWidth="1"/>
    <col min="2" max="2" width="10.33203125" customWidth="1"/>
    <col min="3" max="3" width="10.44140625" customWidth="1"/>
    <col min="4" max="4" width="9" customWidth="1"/>
    <col min="5" max="5" width="11.6640625" customWidth="1"/>
    <col min="6" max="6" width="9" customWidth="1"/>
    <col min="7" max="7" width="12" bestFit="1" customWidth="1"/>
    <col min="8" max="8" width="7.44140625" customWidth="1"/>
    <col min="9" max="9" width="15.109375" customWidth="1"/>
    <col min="10" max="11" width="8" customWidth="1"/>
    <col min="12" max="12" width="26.88671875" bestFit="1" customWidth="1"/>
    <col min="13" max="13" width="11" customWidth="1"/>
  </cols>
  <sheetData>
    <row r="1" spans="1:20" x14ac:dyDescent="0.3">
      <c r="A1" s="1" t="s">
        <v>25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20" x14ac:dyDescent="0.3">
      <c r="A2" s="1" t="s">
        <v>26</v>
      </c>
      <c r="B2" s="1">
        <v>15.34</v>
      </c>
      <c r="C2" s="1">
        <v>15</v>
      </c>
      <c r="D2" s="1">
        <v>15.41</v>
      </c>
      <c r="E2" s="1">
        <v>15.52</v>
      </c>
      <c r="F2" s="1">
        <v>15.08</v>
      </c>
      <c r="G2" s="1">
        <v>15.33</v>
      </c>
      <c r="H2" s="1">
        <v>15.23</v>
      </c>
      <c r="I2" s="1">
        <v>15.34</v>
      </c>
      <c r="J2" s="1">
        <v>15.45</v>
      </c>
      <c r="K2" s="1">
        <v>15.34</v>
      </c>
      <c r="M2" t="s">
        <v>0</v>
      </c>
      <c r="N2">
        <f>AVERAGE(B2:K2)</f>
        <v>15.303999999999998</v>
      </c>
      <c r="R2" s="1" t="s">
        <v>11</v>
      </c>
      <c r="S2" s="1">
        <v>1</v>
      </c>
      <c r="T2" t="s">
        <v>17</v>
      </c>
    </row>
    <row r="3" spans="1:20" x14ac:dyDescent="0.3">
      <c r="R3" s="1" t="s">
        <v>12</v>
      </c>
      <c r="S3" s="1">
        <v>74</v>
      </c>
      <c r="T3" t="s">
        <v>14</v>
      </c>
    </row>
    <row r="4" spans="1:20" x14ac:dyDescent="0.3">
      <c r="A4" t="s">
        <v>10</v>
      </c>
      <c r="B4">
        <f>POWER(B2-$N$2,2)</f>
        <v>1.2960000000000983E-3</v>
      </c>
      <c r="C4">
        <f t="shared" ref="C4:K4" si="0">POWER(C2-$N$2,2)</f>
        <v>9.2415999999999082E-2</v>
      </c>
      <c r="D4">
        <f t="shared" si="0"/>
        <v>1.123600000000035E-2</v>
      </c>
      <c r="E4">
        <f t="shared" si="0"/>
        <v>4.6656000000000468E-2</v>
      </c>
      <c r="F4">
        <f t="shared" si="0"/>
        <v>5.0175999999999291E-2</v>
      </c>
      <c r="G4">
        <f t="shared" si="0"/>
        <v>6.7600000000008203E-4</v>
      </c>
      <c r="H4">
        <f t="shared" si="0"/>
        <v>5.4759999999997137E-3</v>
      </c>
      <c r="I4">
        <f t="shared" si="0"/>
        <v>1.2960000000000983E-3</v>
      </c>
      <c r="J4">
        <f t="shared" si="0"/>
        <v>2.1316000000000234E-2</v>
      </c>
      <c r="K4">
        <f t="shared" si="0"/>
        <v>1.2960000000000983E-3</v>
      </c>
      <c r="M4" s="1" t="s">
        <v>1</v>
      </c>
      <c r="N4" s="8">
        <f>SQRT(SUM(B4:K4)/9)</f>
        <v>0.16049922118191087</v>
      </c>
      <c r="R4" s="1" t="s">
        <v>13</v>
      </c>
      <c r="S4" s="1">
        <v>1022.4</v>
      </c>
      <c r="T4" t="s">
        <v>14</v>
      </c>
    </row>
    <row r="5" spans="1:20" x14ac:dyDescent="0.3">
      <c r="M5" s="1" t="s">
        <v>2</v>
      </c>
      <c r="N5" s="8">
        <v>5.0000000000000001E-3</v>
      </c>
      <c r="R5" s="1" t="s">
        <v>15</v>
      </c>
      <c r="S5" s="1">
        <f>1+(S3/S4)</f>
        <v>1.0723787167449139</v>
      </c>
    </row>
    <row r="6" spans="1:20" x14ac:dyDescent="0.3">
      <c r="M6" s="1" t="s">
        <v>42</v>
      </c>
      <c r="N6" s="8">
        <v>0.16</v>
      </c>
      <c r="R6" s="1" t="s">
        <v>16</v>
      </c>
      <c r="S6" s="1">
        <v>3.1415899999999999</v>
      </c>
    </row>
    <row r="7" spans="1:20" x14ac:dyDescent="0.3">
      <c r="M7" s="1" t="s">
        <v>47</v>
      </c>
      <c r="N7" s="1">
        <f>N6/N2</f>
        <v>1.0454783063251439E-2</v>
      </c>
    </row>
    <row r="8" spans="1:20" x14ac:dyDescent="0.3">
      <c r="A8" s="1" t="s">
        <v>3</v>
      </c>
      <c r="B8" s="1" t="s">
        <v>4</v>
      </c>
      <c r="C8" s="1" t="s">
        <v>5</v>
      </c>
      <c r="D8" s="1" t="s">
        <v>6</v>
      </c>
      <c r="E8" s="1" t="s">
        <v>7</v>
      </c>
      <c r="F8" s="1" t="s">
        <v>8</v>
      </c>
      <c r="G8" s="1" t="s">
        <v>9</v>
      </c>
    </row>
    <row r="9" spans="1:20" x14ac:dyDescent="0.3">
      <c r="A9" s="1">
        <v>1</v>
      </c>
      <c r="B9" s="1">
        <v>410</v>
      </c>
      <c r="C9" s="1">
        <v>381.1</v>
      </c>
      <c r="D9" s="1">
        <v>48</v>
      </c>
      <c r="E9" s="1">
        <v>75.36</v>
      </c>
      <c r="F9" s="3">
        <f>E9/D9</f>
        <v>1.57</v>
      </c>
      <c r="G9" s="3">
        <f>4*$S$6*$S$6*(($S$2*$S$2/12 + POWER(B9*0.001,2))/(POWER(F9,2)*$S$5*C9*0.001))</f>
        <v>9.8536110718164132</v>
      </c>
    </row>
    <row r="10" spans="1:20" x14ac:dyDescent="0.3">
      <c r="A10" s="1">
        <v>2</v>
      </c>
      <c r="B10" s="1">
        <v>371</v>
      </c>
      <c r="C10" s="1">
        <v>344.9</v>
      </c>
      <c r="D10" s="1">
        <v>48</v>
      </c>
      <c r="E10" s="1">
        <v>74.37</v>
      </c>
      <c r="F10" s="3">
        <f>E10/D10</f>
        <v>1.5493750000000002</v>
      </c>
      <c r="G10" s="3">
        <f>4*$S$6*$S$6*(($S$2*$S$2/12 + POWER(B10*0.001,2))/(POWER(F10,2)*$S$5*C10*0.001))</f>
        <v>9.8253123749444171</v>
      </c>
      <c r="H10" s="19" t="s">
        <v>27</v>
      </c>
      <c r="I10" s="20"/>
      <c r="J10" s="20"/>
      <c r="K10" s="20"/>
    </row>
    <row r="11" spans="1:20" x14ac:dyDescent="0.3">
      <c r="A11" s="1">
        <v>3</v>
      </c>
      <c r="B11" s="1">
        <v>331</v>
      </c>
      <c r="C11" s="1">
        <v>307.7</v>
      </c>
      <c r="D11" s="1">
        <v>48</v>
      </c>
      <c r="E11" s="1">
        <f>SUM(H11:K11)</f>
        <v>73.47</v>
      </c>
      <c r="F11" s="3">
        <f t="shared" ref="F11:F18" si="1">E11/D11</f>
        <v>1.5306249999999999</v>
      </c>
      <c r="G11" s="3">
        <f t="shared" ref="G11:G18" si="2">4*$S$6*$S$6*(($S$2*$S$2/12 + POWER(B11*0.001,2))/(POWER(F11,2)*$S$5*C11*0.001))</f>
        <v>9.850656731404662</v>
      </c>
      <c r="H11">
        <v>18.39</v>
      </c>
      <c r="I11">
        <v>18.43</v>
      </c>
      <c r="J11">
        <v>18.399999999999999</v>
      </c>
      <c r="K11">
        <v>18.25</v>
      </c>
    </row>
    <row r="12" spans="1:20" x14ac:dyDescent="0.3">
      <c r="A12" s="1">
        <v>4</v>
      </c>
      <c r="B12" s="1">
        <v>290</v>
      </c>
      <c r="C12" s="1">
        <v>269.5</v>
      </c>
      <c r="D12" s="1">
        <v>48</v>
      </c>
      <c r="E12" s="1">
        <f>SUM(H12:K12)</f>
        <v>73.849999999999994</v>
      </c>
      <c r="F12" s="3">
        <f>E12/D12</f>
        <v>1.5385416666666665</v>
      </c>
      <c r="G12" s="3">
        <f>4*$S$6*$S$6*(($S$2*$S$2/12 + POWER(B12*0.001,2))/(POWER(F12,2)*$S$5*C12*0.001))</f>
        <v>9.6621871755505797</v>
      </c>
      <c r="H12">
        <v>18.13</v>
      </c>
      <c r="I12">
        <v>18.55</v>
      </c>
      <c r="J12">
        <v>18.420000000000002</v>
      </c>
      <c r="K12">
        <v>18.75</v>
      </c>
    </row>
    <row r="13" spans="1:20" x14ac:dyDescent="0.3">
      <c r="A13" s="1">
        <v>5</v>
      </c>
      <c r="B13" s="1">
        <v>301</v>
      </c>
      <c r="C13" s="1">
        <v>279.39999999999998</v>
      </c>
      <c r="D13" s="1">
        <v>48</v>
      </c>
      <c r="E13" s="1">
        <f t="shared" ref="E12:E18" si="3">SUM(H13:K13)</f>
        <v>73.62</v>
      </c>
      <c r="F13" s="3">
        <f t="shared" si="1"/>
        <v>1.5337500000000002</v>
      </c>
      <c r="G13" s="3">
        <f t="shared" si="2"/>
        <v>9.7422794020233408</v>
      </c>
      <c r="H13">
        <v>18.37</v>
      </c>
      <c r="I13">
        <v>18.399999999999999</v>
      </c>
      <c r="J13">
        <v>18.25</v>
      </c>
      <c r="K13">
        <v>18.600000000000001</v>
      </c>
    </row>
    <row r="14" spans="1:20" x14ac:dyDescent="0.3">
      <c r="A14" s="1">
        <v>6</v>
      </c>
      <c r="B14" s="1">
        <v>310</v>
      </c>
      <c r="C14" s="1">
        <v>287.8</v>
      </c>
      <c r="D14" s="1">
        <v>48</v>
      </c>
      <c r="E14" s="1">
        <f t="shared" si="3"/>
        <v>73.319999999999993</v>
      </c>
      <c r="F14" s="3">
        <f t="shared" si="1"/>
        <v>1.5274999999999999</v>
      </c>
      <c r="G14" s="3">
        <f t="shared" si="2"/>
        <v>9.8369556792265573</v>
      </c>
      <c r="H14">
        <v>18.23</v>
      </c>
      <c r="I14">
        <v>18.350000000000001</v>
      </c>
      <c r="J14">
        <v>18.32</v>
      </c>
      <c r="K14">
        <v>18.420000000000002</v>
      </c>
    </row>
    <row r="15" spans="1:20" x14ac:dyDescent="0.3">
      <c r="A15" s="1">
        <v>7</v>
      </c>
      <c r="B15" s="1">
        <v>280</v>
      </c>
      <c r="C15" s="1">
        <v>260</v>
      </c>
      <c r="D15" s="1">
        <v>48</v>
      </c>
      <c r="E15" s="1">
        <f t="shared" si="3"/>
        <v>73.06</v>
      </c>
      <c r="F15" s="3">
        <f t="shared" si="1"/>
        <v>1.5220833333333335</v>
      </c>
      <c r="G15" s="3">
        <f t="shared" si="2"/>
        <v>9.8846238090682554</v>
      </c>
      <c r="H15">
        <v>18.29</v>
      </c>
      <c r="I15">
        <v>18.37</v>
      </c>
      <c r="J15">
        <v>18.11</v>
      </c>
      <c r="K15">
        <v>18.29</v>
      </c>
    </row>
    <row r="16" spans="1:20" x14ac:dyDescent="0.3">
      <c r="A16" s="1">
        <v>8</v>
      </c>
      <c r="B16" s="1">
        <v>270</v>
      </c>
      <c r="C16" s="1">
        <v>251.2</v>
      </c>
      <c r="D16" s="1">
        <v>48</v>
      </c>
      <c r="E16" s="1">
        <f t="shared" si="3"/>
        <v>73.31</v>
      </c>
      <c r="F16" s="3">
        <f t="shared" si="1"/>
        <v>1.5272916666666667</v>
      </c>
      <c r="G16" s="3">
        <f t="shared" si="2"/>
        <v>9.8156918637873254</v>
      </c>
      <c r="H16">
        <v>18.350000000000001</v>
      </c>
      <c r="I16">
        <v>18.28</v>
      </c>
      <c r="J16">
        <v>18.34</v>
      </c>
      <c r="K16">
        <v>18.34</v>
      </c>
    </row>
    <row r="17" spans="1:19" x14ac:dyDescent="0.3">
      <c r="A17" s="1">
        <v>9</v>
      </c>
      <c r="B17" s="1">
        <v>230</v>
      </c>
      <c r="C17" s="1">
        <v>213.5</v>
      </c>
      <c r="D17" s="1">
        <v>48</v>
      </c>
      <c r="E17" s="1">
        <f t="shared" si="3"/>
        <v>74.049999999999983</v>
      </c>
      <c r="F17" s="3">
        <f t="shared" si="1"/>
        <v>1.5427083333333329</v>
      </c>
      <c r="G17" s="3">
        <f>4*$S$6*$S$6*(($S$2*$S$2/12 + POWER(B17*0.001,2))/(POWER(F17,2)*$S$5*C17*0.001))</f>
        <v>9.870261744629687</v>
      </c>
      <c r="H17">
        <v>18.5</v>
      </c>
      <c r="I17">
        <v>18.52</v>
      </c>
      <c r="J17">
        <v>18.489999999999998</v>
      </c>
      <c r="K17">
        <v>18.54</v>
      </c>
    </row>
    <row r="18" spans="1:19" x14ac:dyDescent="0.3">
      <c r="A18" s="1">
        <v>10</v>
      </c>
      <c r="B18" s="1">
        <v>180</v>
      </c>
      <c r="C18" s="1">
        <v>167</v>
      </c>
      <c r="D18" s="1">
        <v>48</v>
      </c>
      <c r="E18" s="1">
        <f t="shared" si="3"/>
        <v>77.23</v>
      </c>
      <c r="F18" s="3">
        <f t="shared" si="1"/>
        <v>1.6089583333333335</v>
      </c>
      <c r="G18" s="3">
        <f t="shared" si="2"/>
        <v>9.8551494072191677</v>
      </c>
      <c r="H18">
        <v>19.28</v>
      </c>
      <c r="I18">
        <v>19.170000000000002</v>
      </c>
      <c r="J18">
        <v>19.48</v>
      </c>
      <c r="K18">
        <v>19.3</v>
      </c>
    </row>
    <row r="22" spans="1:19" x14ac:dyDescent="0.3">
      <c r="A22" s="17" t="s">
        <v>28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1:19" x14ac:dyDescent="0.3">
      <c r="A23" s="23"/>
      <c r="B23" s="21" t="s">
        <v>18</v>
      </c>
      <c r="C23" s="22"/>
      <c r="D23" s="25" t="s">
        <v>29</v>
      </c>
      <c r="E23" s="27" t="s">
        <v>30</v>
      </c>
    </row>
    <row r="24" spans="1:19" ht="43.2" x14ac:dyDescent="0.3">
      <c r="A24" s="24"/>
      <c r="B24" s="6" t="s">
        <v>31</v>
      </c>
      <c r="C24" s="7" t="s">
        <v>32</v>
      </c>
      <c r="D24" s="26"/>
      <c r="E24" s="27"/>
    </row>
    <row r="25" spans="1:19" x14ac:dyDescent="0.3">
      <c r="A25" s="1" t="s">
        <v>11</v>
      </c>
      <c r="B25" s="1">
        <v>1</v>
      </c>
      <c r="C25" s="1" t="s">
        <v>17</v>
      </c>
      <c r="D25" s="1">
        <f>0.5/1000</f>
        <v>5.0000000000000001E-4</v>
      </c>
      <c r="E25" s="1">
        <f>D25/B25</f>
        <v>5.0000000000000001E-4</v>
      </c>
    </row>
    <row r="26" spans="1:19" x14ac:dyDescent="0.3">
      <c r="A26" s="1" t="s">
        <v>12</v>
      </c>
      <c r="B26" s="1">
        <f>S3/1000</f>
        <v>7.3999999999999996E-2</v>
      </c>
      <c r="C26" s="1" t="s">
        <v>33</v>
      </c>
      <c r="D26" s="1">
        <f>0.5/1000</f>
        <v>5.0000000000000001E-4</v>
      </c>
      <c r="E26" s="1">
        <f>D26/B26</f>
        <v>6.7567567567567571E-3</v>
      </c>
      <c r="F26" s="12" t="s">
        <v>52</v>
      </c>
      <c r="G26">
        <f>SQRT(E26*E26 + E27*E27)</f>
        <v>6.7744318770664655E-3</v>
      </c>
    </row>
    <row r="27" spans="1:19" x14ac:dyDescent="0.3">
      <c r="A27" s="1" t="s">
        <v>13</v>
      </c>
      <c r="B27" s="1">
        <f>S4/1000</f>
        <v>1.0224</v>
      </c>
      <c r="C27" s="1" t="s">
        <v>33</v>
      </c>
      <c r="D27" s="1">
        <f>0.5/1000</f>
        <v>5.0000000000000001E-4</v>
      </c>
      <c r="E27" s="1">
        <f t="shared" ref="E27" si="4">D27/B27</f>
        <v>4.8904538341158061E-4</v>
      </c>
      <c r="F27" s="12" t="s">
        <v>53</v>
      </c>
      <c r="G27">
        <f>SQRT(4 * (0.0007*0.0007 + 0.003*0.003))</f>
        <v>6.161168720299745E-3</v>
      </c>
    </row>
    <row r="28" spans="1:19" x14ac:dyDescent="0.3">
      <c r="A28" s="5"/>
      <c r="B28" s="5"/>
      <c r="C28" s="5"/>
      <c r="D28" s="5"/>
      <c r="E28" s="5"/>
    </row>
    <row r="29" spans="1:19" x14ac:dyDescent="0.3">
      <c r="A29" s="5"/>
      <c r="B29" s="5"/>
      <c r="C29" s="5"/>
      <c r="D29" s="5"/>
    </row>
    <row r="30" spans="1:19" x14ac:dyDescent="0.3">
      <c r="A30" s="5"/>
      <c r="B30" s="5"/>
      <c r="C30" s="5"/>
      <c r="D30" s="5"/>
      <c r="M30" t="s">
        <v>50</v>
      </c>
      <c r="P30" s="11" t="s">
        <v>51</v>
      </c>
      <c r="Q30" t="s">
        <v>46</v>
      </c>
    </row>
    <row r="31" spans="1:19" x14ac:dyDescent="0.3">
      <c r="A31" s="1" t="s">
        <v>3</v>
      </c>
      <c r="B31" s="1" t="s">
        <v>34</v>
      </c>
      <c r="C31" s="1" t="s">
        <v>35</v>
      </c>
      <c r="D31" s="1" t="s">
        <v>36</v>
      </c>
      <c r="E31" s="1" t="s">
        <v>41</v>
      </c>
      <c r="F31" s="1" t="s">
        <v>37</v>
      </c>
      <c r="G31" s="13" t="s">
        <v>38</v>
      </c>
      <c r="H31" s="1" t="s">
        <v>7</v>
      </c>
      <c r="I31" s="8" t="s">
        <v>48</v>
      </c>
      <c r="J31" s="1" t="s">
        <v>49</v>
      </c>
      <c r="K31" s="1" t="s">
        <v>8</v>
      </c>
      <c r="L31" s="1" t="s">
        <v>39</v>
      </c>
      <c r="M31" s="13" t="s">
        <v>40</v>
      </c>
      <c r="N31" s="1" t="s">
        <v>43</v>
      </c>
      <c r="O31" s="1" t="s">
        <v>44</v>
      </c>
      <c r="P31" s="13" t="s">
        <v>45</v>
      </c>
      <c r="R31" t="s">
        <v>55</v>
      </c>
      <c r="S31" t="s">
        <v>56</v>
      </c>
    </row>
    <row r="32" spans="1:19" x14ac:dyDescent="0.3">
      <c r="A32" s="1">
        <v>1</v>
      </c>
      <c r="B32" s="1">
        <f>B9/1000</f>
        <v>0.41</v>
      </c>
      <c r="C32" s="1">
        <f>0.5/1000</f>
        <v>5.0000000000000001E-4</v>
      </c>
      <c r="D32" s="9">
        <f>C32/B32</f>
        <v>1.2195121951219512E-3</v>
      </c>
      <c r="E32" s="1">
        <f>C9/1000</f>
        <v>0.38110000000000005</v>
      </c>
      <c r="F32" s="1">
        <f>0.5/1000</f>
        <v>5.0000000000000001E-4</v>
      </c>
      <c r="G32" s="8">
        <f>F32/E32</f>
        <v>1.311991603253739E-3</v>
      </c>
      <c r="H32" s="1">
        <v>75.36</v>
      </c>
      <c r="I32" s="3">
        <f t="shared" ref="I32:I41" si="5">$N$6</f>
        <v>0.16</v>
      </c>
      <c r="J32" s="8">
        <f>I32/H32</f>
        <v>2.1231422505307855E-3</v>
      </c>
      <c r="K32" s="1">
        <v>1.57</v>
      </c>
      <c r="L32" s="8">
        <f>K32*M32</f>
        <v>3.3333333333333335E-3</v>
      </c>
      <c r="M32" s="9">
        <f>J32</f>
        <v>2.1231422505307855E-3</v>
      </c>
      <c r="N32" s="3">
        <v>9.8536110718164132</v>
      </c>
      <c r="O32" s="1">
        <f>P32*N32</f>
        <v>0.10029658683019298</v>
      </c>
      <c r="P32" s="9">
        <f>SQRT(  4*M32*M32 + $G$26*$G$26 + G32*G32 + $G$27*$G$27  )</f>
        <v>1.0178663040300445E-2</v>
      </c>
      <c r="R32" s="10">
        <f>POWER(N32-$N$42, 2)</f>
        <v>1.1517977436932868E-3</v>
      </c>
    </row>
    <row r="33" spans="1:18" x14ac:dyDescent="0.3">
      <c r="A33" s="1">
        <v>2</v>
      </c>
      <c r="B33" s="1">
        <f t="shared" ref="B33:B41" si="6">B10/1000</f>
        <v>0.371</v>
      </c>
      <c r="C33" s="1">
        <f t="shared" ref="C33:C41" si="7">0.5/1000</f>
        <v>5.0000000000000001E-4</v>
      </c>
      <c r="D33" s="9">
        <f t="shared" ref="D33:D41" si="8">C33/B33</f>
        <v>1.3477088948787063E-3</v>
      </c>
      <c r="E33" s="1">
        <f t="shared" ref="E33:E41" si="9">C10/1000</f>
        <v>0.34489999999999998</v>
      </c>
      <c r="F33" s="1">
        <f t="shared" ref="F33:F41" si="10">0.5/1000</f>
        <v>5.0000000000000001E-4</v>
      </c>
      <c r="G33" s="8">
        <f t="shared" ref="G33:G41" si="11">F33/E33</f>
        <v>1.4496955639315744E-3</v>
      </c>
      <c r="H33" s="1">
        <v>74.37</v>
      </c>
      <c r="I33" s="3">
        <f t="shared" si="5"/>
        <v>0.16</v>
      </c>
      <c r="J33" s="8">
        <f t="shared" ref="J33:J41" si="12">I33/H33</f>
        <v>2.1514051364797632E-3</v>
      </c>
      <c r="K33" s="1">
        <v>1.5493750000000002</v>
      </c>
      <c r="L33" s="8">
        <f t="shared" ref="L33:L40" si="13">K33*M33</f>
        <v>3.3333333333333335E-3</v>
      </c>
      <c r="M33" s="9">
        <f t="shared" ref="M33:M41" si="14">J33</f>
        <v>2.1514051364797632E-3</v>
      </c>
      <c r="N33" s="3">
        <v>9.8253123749444171</v>
      </c>
      <c r="O33" s="1">
        <f t="shared" ref="O33:O41" si="15">P33*N33</f>
        <v>0.10042445997739662</v>
      </c>
      <c r="P33" s="9">
        <f t="shared" ref="P33:P41" si="16">SQRT(  4*M33*M33 + $G$26*$G$26 + G33*G33 + $G$27*$G$27  )</f>
        <v>1.0220994116532069E-2</v>
      </c>
      <c r="R33" s="10">
        <f t="shared" ref="R33:R41" si="17">POWER(N33-$N$42, 2)</f>
        <v>3.1803384768433525E-5</v>
      </c>
    </row>
    <row r="34" spans="1:18" x14ac:dyDescent="0.3">
      <c r="A34" s="1">
        <v>3</v>
      </c>
      <c r="B34" s="1">
        <f t="shared" si="6"/>
        <v>0.33100000000000002</v>
      </c>
      <c r="C34" s="1">
        <f t="shared" si="7"/>
        <v>5.0000000000000001E-4</v>
      </c>
      <c r="D34" s="9">
        <f t="shared" si="8"/>
        <v>1.5105740181268882E-3</v>
      </c>
      <c r="E34" s="1">
        <f t="shared" si="9"/>
        <v>0.30769999999999997</v>
      </c>
      <c r="F34" s="1">
        <f t="shared" si="10"/>
        <v>5.0000000000000001E-4</v>
      </c>
      <c r="G34" s="8">
        <f t="shared" si="11"/>
        <v>1.6249593760155998E-3</v>
      </c>
      <c r="H34" s="1">
        <v>73.47</v>
      </c>
      <c r="I34" s="3">
        <f t="shared" si="5"/>
        <v>0.16</v>
      </c>
      <c r="J34" s="8">
        <f t="shared" si="12"/>
        <v>2.1777596297808629E-3</v>
      </c>
      <c r="K34" s="1">
        <v>1.5306249999999999</v>
      </c>
      <c r="L34" s="8">
        <f t="shared" si="13"/>
        <v>3.3333333333333331E-3</v>
      </c>
      <c r="M34" s="9">
        <f t="shared" si="14"/>
        <v>2.1777596297808629E-3</v>
      </c>
      <c r="N34" s="3">
        <v>9.850656731404662</v>
      </c>
      <c r="O34" s="1">
        <f t="shared" si="15"/>
        <v>0.10116196101638956</v>
      </c>
      <c r="P34" s="9">
        <f t="shared" si="16"/>
        <v>1.0269565144207831E-2</v>
      </c>
      <c r="R34" s="10">
        <f t="shared" si="17"/>
        <v>9.5999619939638175E-4</v>
      </c>
    </row>
    <row r="35" spans="1:18" x14ac:dyDescent="0.3">
      <c r="A35" s="1">
        <v>4</v>
      </c>
      <c r="B35" s="1">
        <f t="shared" si="6"/>
        <v>0.28999999999999998</v>
      </c>
      <c r="C35" s="1">
        <f t="shared" si="7"/>
        <v>5.0000000000000001E-4</v>
      </c>
      <c r="D35" s="9">
        <f t="shared" si="8"/>
        <v>1.724137931034483E-3</v>
      </c>
      <c r="E35" s="1">
        <f t="shared" si="9"/>
        <v>0.26950000000000002</v>
      </c>
      <c r="F35" s="1">
        <f t="shared" si="10"/>
        <v>5.0000000000000001E-4</v>
      </c>
      <c r="G35" s="8">
        <f t="shared" si="11"/>
        <v>1.8552875695732837E-3</v>
      </c>
      <c r="H35" s="1">
        <v>73.849999999999994</v>
      </c>
      <c r="I35" s="3">
        <f t="shared" si="5"/>
        <v>0.16</v>
      </c>
      <c r="J35" s="8">
        <f t="shared" si="12"/>
        <v>2.1665538253215978E-3</v>
      </c>
      <c r="K35" s="1">
        <v>1.5385416666666665</v>
      </c>
      <c r="L35" s="8">
        <f t="shared" si="13"/>
        <v>3.3333333333333331E-3</v>
      </c>
      <c r="M35" s="9">
        <f t="shared" si="14"/>
        <v>2.1665538253215978E-3</v>
      </c>
      <c r="N35" s="3">
        <v>9.6621871755505797</v>
      </c>
      <c r="O35" s="1">
        <f t="shared" si="15"/>
        <v>9.951154126258363E-2</v>
      </c>
      <c r="P35" s="9">
        <f t="shared" si="16"/>
        <v>1.0299069916011348E-2</v>
      </c>
      <c r="R35" s="10">
        <f t="shared" si="17"/>
        <v>2.4801761584235797E-2</v>
      </c>
    </row>
    <row r="36" spans="1:18" x14ac:dyDescent="0.3">
      <c r="A36" s="1">
        <v>5</v>
      </c>
      <c r="B36" s="1">
        <f t="shared" si="6"/>
        <v>0.30099999999999999</v>
      </c>
      <c r="C36" s="1">
        <f t="shared" si="7"/>
        <v>5.0000000000000001E-4</v>
      </c>
      <c r="D36" s="9">
        <f t="shared" si="8"/>
        <v>1.6611295681063123E-3</v>
      </c>
      <c r="E36" s="1">
        <f t="shared" si="9"/>
        <v>0.27939999999999998</v>
      </c>
      <c r="F36" s="1">
        <f t="shared" si="10"/>
        <v>5.0000000000000001E-4</v>
      </c>
      <c r="G36" s="8">
        <f t="shared" si="11"/>
        <v>1.7895490336435221E-3</v>
      </c>
      <c r="H36" s="1">
        <v>73.62</v>
      </c>
      <c r="I36" s="3">
        <f t="shared" si="5"/>
        <v>0.16</v>
      </c>
      <c r="J36" s="8">
        <f t="shared" si="12"/>
        <v>2.1733224667209996E-3</v>
      </c>
      <c r="K36" s="1">
        <v>1.5337500000000002</v>
      </c>
      <c r="L36" s="8">
        <f t="shared" si="13"/>
        <v>3.3333333333333335E-3</v>
      </c>
      <c r="M36" s="9">
        <f t="shared" si="14"/>
        <v>2.1733224667209996E-3</v>
      </c>
      <c r="N36" s="3">
        <v>9.7422794020233408</v>
      </c>
      <c r="O36" s="1">
        <f t="shared" si="15"/>
        <v>0.10027864775325607</v>
      </c>
      <c r="P36" s="9">
        <f t="shared" si="16"/>
        <v>1.0293140200067505E-2</v>
      </c>
      <c r="R36" s="10">
        <f t="shared" si="17"/>
        <v>5.9897575484240346E-3</v>
      </c>
    </row>
    <row r="37" spans="1:18" x14ac:dyDescent="0.3">
      <c r="A37" s="1">
        <v>6</v>
      </c>
      <c r="B37" s="1">
        <f t="shared" si="6"/>
        <v>0.31</v>
      </c>
      <c r="C37" s="1">
        <f t="shared" si="7"/>
        <v>5.0000000000000001E-4</v>
      </c>
      <c r="D37" s="9">
        <f t="shared" si="8"/>
        <v>1.6129032258064516E-3</v>
      </c>
      <c r="E37" s="1">
        <f t="shared" si="9"/>
        <v>0.2878</v>
      </c>
      <c r="F37" s="1">
        <f t="shared" si="10"/>
        <v>5.0000000000000001E-4</v>
      </c>
      <c r="G37" s="8">
        <f t="shared" si="11"/>
        <v>1.7373175816539264E-3</v>
      </c>
      <c r="H37" s="1">
        <v>73.319999999999993</v>
      </c>
      <c r="I37" s="3">
        <f t="shared" si="5"/>
        <v>0.16</v>
      </c>
      <c r="J37" s="8">
        <f t="shared" si="12"/>
        <v>2.1822149481723952E-3</v>
      </c>
      <c r="K37" s="1">
        <v>1.5274999999999999</v>
      </c>
      <c r="L37" s="8">
        <f t="shared" si="13"/>
        <v>3.3333333333333335E-3</v>
      </c>
      <c r="M37" s="9">
        <f t="shared" si="14"/>
        <v>2.1822149481723952E-3</v>
      </c>
      <c r="N37" s="3">
        <v>9.8369556792265573</v>
      </c>
      <c r="O37" s="1">
        <f t="shared" si="15"/>
        <v>0.10123916836429687</v>
      </c>
      <c r="P37" s="9">
        <f t="shared" si="16"/>
        <v>1.029171744446214E-2</v>
      </c>
      <c r="R37" s="10">
        <f t="shared" si="17"/>
        <v>2.986935602293379E-4</v>
      </c>
    </row>
    <row r="38" spans="1:18" x14ac:dyDescent="0.3">
      <c r="A38" s="1">
        <v>7</v>
      </c>
      <c r="B38" s="1">
        <f t="shared" si="6"/>
        <v>0.28000000000000003</v>
      </c>
      <c r="C38" s="1">
        <f t="shared" si="7"/>
        <v>5.0000000000000001E-4</v>
      </c>
      <c r="D38" s="9">
        <f t="shared" si="8"/>
        <v>1.7857142857142857E-3</v>
      </c>
      <c r="E38" s="1">
        <f t="shared" si="9"/>
        <v>0.26</v>
      </c>
      <c r="F38" s="1">
        <f t="shared" si="10"/>
        <v>5.0000000000000001E-4</v>
      </c>
      <c r="G38" s="8">
        <f t="shared" si="11"/>
        <v>1.923076923076923E-3</v>
      </c>
      <c r="H38" s="1">
        <v>73.06</v>
      </c>
      <c r="I38" s="3">
        <f t="shared" si="5"/>
        <v>0.16</v>
      </c>
      <c r="J38" s="8">
        <f t="shared" si="12"/>
        <v>2.1899808376676703E-3</v>
      </c>
      <c r="K38" s="1">
        <v>1.5220833333333335</v>
      </c>
      <c r="L38" s="8">
        <f t="shared" si="13"/>
        <v>3.3333333333333335E-3</v>
      </c>
      <c r="M38" s="9">
        <f t="shared" si="14"/>
        <v>2.1899808376676703E-3</v>
      </c>
      <c r="N38" s="3">
        <v>9.8846238090682554</v>
      </c>
      <c r="O38" s="1">
        <f t="shared" si="15"/>
        <v>0.10212075405146957</v>
      </c>
      <c r="P38" s="9">
        <f t="shared" si="16"/>
        <v>1.0331273705913111E-2</v>
      </c>
      <c r="R38" s="10">
        <f t="shared" si="17"/>
        <v>4.2186172156276815E-3</v>
      </c>
    </row>
    <row r="39" spans="1:18" x14ac:dyDescent="0.3">
      <c r="A39" s="1">
        <v>8</v>
      </c>
      <c r="B39" s="1">
        <f t="shared" si="6"/>
        <v>0.27</v>
      </c>
      <c r="C39" s="1">
        <f t="shared" si="7"/>
        <v>5.0000000000000001E-4</v>
      </c>
      <c r="D39" s="9">
        <f t="shared" si="8"/>
        <v>1.8518518518518517E-3</v>
      </c>
      <c r="E39" s="1">
        <f t="shared" si="9"/>
        <v>0.25119999999999998</v>
      </c>
      <c r="F39" s="1">
        <f t="shared" si="10"/>
        <v>5.0000000000000001E-4</v>
      </c>
      <c r="G39" s="8">
        <f t="shared" si="11"/>
        <v>1.9904458598726119E-3</v>
      </c>
      <c r="H39" s="1">
        <v>73.31</v>
      </c>
      <c r="I39" s="3">
        <f t="shared" si="5"/>
        <v>0.16</v>
      </c>
      <c r="J39" s="8">
        <f t="shared" si="12"/>
        <v>2.1825126176510706E-3</v>
      </c>
      <c r="K39" s="1">
        <v>1.5272916666666667</v>
      </c>
      <c r="L39" s="8">
        <f t="shared" si="13"/>
        <v>3.3333333333333331E-3</v>
      </c>
      <c r="M39" s="9">
        <f t="shared" si="14"/>
        <v>2.1825126176510706E-3</v>
      </c>
      <c r="N39" s="3">
        <v>9.8156918637873254</v>
      </c>
      <c r="O39" s="1">
        <f t="shared" si="15"/>
        <v>0.10147177557582267</v>
      </c>
      <c r="P39" s="9">
        <f t="shared" si="16"/>
        <v>1.0337709963184439E-2</v>
      </c>
      <c r="R39" s="10">
        <f t="shared" si="17"/>
        <v>1.5848856078758475E-5</v>
      </c>
    </row>
    <row r="40" spans="1:18" x14ac:dyDescent="0.3">
      <c r="A40" s="1">
        <v>9</v>
      </c>
      <c r="B40" s="1">
        <f t="shared" si="6"/>
        <v>0.23</v>
      </c>
      <c r="C40" s="1">
        <f t="shared" si="7"/>
        <v>5.0000000000000001E-4</v>
      </c>
      <c r="D40" s="9">
        <f t="shared" si="8"/>
        <v>2.1739130434782609E-3</v>
      </c>
      <c r="E40" s="1">
        <f t="shared" si="9"/>
        <v>0.2135</v>
      </c>
      <c r="F40" s="1">
        <f t="shared" si="10"/>
        <v>5.0000000000000001E-4</v>
      </c>
      <c r="G40" s="8">
        <f t="shared" si="11"/>
        <v>2.34192037470726E-3</v>
      </c>
      <c r="H40" s="1">
        <v>74.049999999999983</v>
      </c>
      <c r="I40" s="3">
        <f t="shared" si="5"/>
        <v>0.16</v>
      </c>
      <c r="J40" s="8">
        <f t="shared" si="12"/>
        <v>2.1607022282241735E-3</v>
      </c>
      <c r="K40" s="1">
        <v>1.5427083333333329</v>
      </c>
      <c r="L40" s="8">
        <f t="shared" si="13"/>
        <v>3.3333333333333335E-3</v>
      </c>
      <c r="M40" s="9">
        <f t="shared" si="14"/>
        <v>2.1607022282241735E-3</v>
      </c>
      <c r="N40" s="3">
        <v>9.870261744629687</v>
      </c>
      <c r="O40" s="1">
        <f t="shared" si="15"/>
        <v>0.10258049340433546</v>
      </c>
      <c r="P40" s="9">
        <f t="shared" si="16"/>
        <v>1.0392884814847844E-2</v>
      </c>
      <c r="R40" s="10">
        <f t="shared" si="17"/>
        <v>2.5592285736821224E-3</v>
      </c>
    </row>
    <row r="41" spans="1:18" x14ac:dyDescent="0.3">
      <c r="A41" s="1">
        <v>10</v>
      </c>
      <c r="B41" s="1">
        <f t="shared" si="6"/>
        <v>0.18</v>
      </c>
      <c r="C41" s="1">
        <f t="shared" si="7"/>
        <v>5.0000000000000001E-4</v>
      </c>
      <c r="D41" s="9">
        <f t="shared" si="8"/>
        <v>2.7777777777777779E-3</v>
      </c>
      <c r="E41" s="1">
        <f t="shared" si="9"/>
        <v>0.16700000000000001</v>
      </c>
      <c r="F41" s="1">
        <f t="shared" si="10"/>
        <v>5.0000000000000001E-4</v>
      </c>
      <c r="G41" s="8">
        <f t="shared" si="11"/>
        <v>2.9940119760479039E-3</v>
      </c>
      <c r="H41" s="1">
        <v>77.23</v>
      </c>
      <c r="I41" s="3">
        <f t="shared" si="5"/>
        <v>0.16</v>
      </c>
      <c r="J41" s="8">
        <f t="shared" si="12"/>
        <v>2.071733782208986E-3</v>
      </c>
      <c r="K41" s="1">
        <v>1.6089583333333335</v>
      </c>
      <c r="L41" s="8">
        <f>K41*M41</f>
        <v>3.3333333333333335E-3</v>
      </c>
      <c r="M41" s="9">
        <f t="shared" si="14"/>
        <v>2.071733782208986E-3</v>
      </c>
      <c r="N41" s="3">
        <v>9.8551494072191677</v>
      </c>
      <c r="O41" s="1">
        <f t="shared" si="15"/>
        <v>0.10335479976548846</v>
      </c>
      <c r="P41" s="9">
        <f t="shared" si="16"/>
        <v>1.0487390448873177E-2</v>
      </c>
      <c r="R41" s="10">
        <f t="shared" si="17"/>
        <v>1.2585807220325256E-3</v>
      </c>
    </row>
    <row r="42" spans="1:18" x14ac:dyDescent="0.3">
      <c r="A42" s="18" t="s">
        <v>54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4">
        <f>AVERAGE(N32:N41)</f>
        <v>9.8196729259670406</v>
      </c>
      <c r="O42" s="13">
        <f>SQRT(SUM(R32:R41)/A41/(A41-1))</f>
        <v>2.141808306293445E-2</v>
      </c>
      <c r="P42" s="13">
        <f>O42/N42</f>
        <v>2.1811401687623112E-3</v>
      </c>
    </row>
    <row r="45" spans="1:18" x14ac:dyDescent="0.3">
      <c r="A45" s="17" t="s">
        <v>57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</row>
    <row r="47" spans="1:18" x14ac:dyDescent="0.3">
      <c r="A47" s="1" t="s">
        <v>64</v>
      </c>
      <c r="B47" s="1" t="s">
        <v>58</v>
      </c>
      <c r="C47" s="1" t="s">
        <v>59</v>
      </c>
      <c r="D47" s="1" t="s">
        <v>60</v>
      </c>
      <c r="E47" s="1" t="s">
        <v>61</v>
      </c>
      <c r="F47" s="1" t="s">
        <v>62</v>
      </c>
      <c r="G47" s="1" t="s">
        <v>63</v>
      </c>
    </row>
    <row r="48" spans="1:18" x14ac:dyDescent="0.3">
      <c r="A48" s="1">
        <v>1</v>
      </c>
      <c r="B48" s="1">
        <f>F9*F9*C9/1000</f>
        <v>0.93937339000000009</v>
      </c>
      <c r="C48" s="1">
        <f>B9*B9/1000/1000</f>
        <v>0.1681</v>
      </c>
      <c r="D48" s="1">
        <f>E48*B48</f>
        <v>4.1749048770813669E-3</v>
      </c>
      <c r="E48" s="1">
        <f>SQRT(  4 * POWER(J32,2) + POWER(G32,2)  )</f>
        <v>4.4443507997191257E-3</v>
      </c>
      <c r="F48" s="1">
        <f>G48*C48</f>
        <v>2.899137802864845E-4</v>
      </c>
      <c r="G48" s="1">
        <f>D32*SQRT(2)</f>
        <v>1.7246506858208477E-3</v>
      </c>
    </row>
    <row r="49" spans="1:7" x14ac:dyDescent="0.3">
      <c r="A49" s="1">
        <v>2</v>
      </c>
      <c r="B49" s="1">
        <f t="shared" ref="B49:B57" si="18">F10*F10*C10/1000</f>
        <v>0.82795414097656272</v>
      </c>
      <c r="C49" s="1">
        <f t="shared" ref="C49:C56" si="19">B10*B10/1000/1000</f>
        <v>0.13764099999999999</v>
      </c>
      <c r="D49" s="1">
        <f t="shared" ref="D49:D57" si="20">E49*B49</f>
        <v>3.7592941598239751E-3</v>
      </c>
      <c r="E49" s="1">
        <f t="shared" ref="E49:E56" si="21">SQRT(  4 * POWER(J33,2) + POWER(G33,2)  )</f>
        <v>4.5404618127640852E-3</v>
      </c>
      <c r="F49" s="1">
        <f t="shared" ref="F49:F57" si="22">G49*C49</f>
        <v>2.6233661582020912E-4</v>
      </c>
      <c r="G49" s="1">
        <f t="shared" ref="G49:G57" si="23">D33*SQRT(2)</f>
        <v>1.9059481972683223E-3</v>
      </c>
    </row>
    <row r="50" spans="1:7" x14ac:dyDescent="0.3">
      <c r="A50" s="1">
        <v>3</v>
      </c>
      <c r="B50" s="1">
        <f t="shared" si="18"/>
        <v>0.72088352644531239</v>
      </c>
      <c r="C50" s="1">
        <f t="shared" si="19"/>
        <v>0.10956100000000001</v>
      </c>
      <c r="D50" s="1">
        <f t="shared" si="20"/>
        <v>3.3512200427765607E-3</v>
      </c>
      <c r="E50" s="1">
        <f t="shared" si="21"/>
        <v>4.6487676855392684E-3</v>
      </c>
      <c r="F50" s="1">
        <f t="shared" si="22"/>
        <v>2.3405234457274726E-4</v>
      </c>
      <c r="G50" s="1">
        <f t="shared" si="23"/>
        <v>2.1362742634034671E-3</v>
      </c>
    </row>
    <row r="51" spans="1:7" x14ac:dyDescent="0.3">
      <c r="A51" s="1">
        <v>4</v>
      </c>
      <c r="B51" s="1">
        <f t="shared" si="18"/>
        <v>0.63793626898871503</v>
      </c>
      <c r="C51" s="1">
        <f t="shared" si="19"/>
        <v>8.4099999999999994E-2</v>
      </c>
      <c r="D51" s="1">
        <f t="shared" si="20"/>
        <v>3.0069688805962123E-3</v>
      </c>
      <c r="E51" s="1">
        <f t="shared" si="21"/>
        <v>4.7135882168339374E-3</v>
      </c>
      <c r="F51" s="1">
        <f t="shared" si="22"/>
        <v>2.0506096654409879E-4</v>
      </c>
      <c r="G51" s="1">
        <f t="shared" si="23"/>
        <v>2.4382992454708538E-3</v>
      </c>
    </row>
    <row r="52" spans="1:7" x14ac:dyDescent="0.3">
      <c r="A52" s="1">
        <v>5</v>
      </c>
      <c r="B52" s="1">
        <f t="shared" si="18"/>
        <v>0.65725750406250005</v>
      </c>
      <c r="C52" s="1">
        <f t="shared" si="19"/>
        <v>9.0601000000000001E-2</v>
      </c>
      <c r="D52" s="1">
        <f t="shared" si="20"/>
        <v>3.0895163381292239E-3</v>
      </c>
      <c r="E52" s="1">
        <f t="shared" si="21"/>
        <v>4.7006178233538051E-3</v>
      </c>
      <c r="F52" s="1">
        <f t="shared" si="22"/>
        <v>2.1283914113715083E-4</v>
      </c>
      <c r="G52" s="1">
        <f t="shared" si="23"/>
        <v>2.3491919640749089E-3</v>
      </c>
    </row>
    <row r="53" spans="1:7" x14ac:dyDescent="0.3">
      <c r="A53" s="1">
        <v>6</v>
      </c>
      <c r="B53" s="1">
        <f t="shared" si="18"/>
        <v>0.67151114874999984</v>
      </c>
      <c r="C53" s="1">
        <f t="shared" si="19"/>
        <v>9.6099999999999991E-2</v>
      </c>
      <c r="D53" s="1">
        <f t="shared" si="20"/>
        <v>3.1544246540458247E-3</v>
      </c>
      <c r="E53" s="1">
        <f t="shared" si="21"/>
        <v>4.6975015380127383E-3</v>
      </c>
      <c r="F53" s="1">
        <f t="shared" si="22"/>
        <v>2.1920310216782973E-4</v>
      </c>
      <c r="G53" s="1">
        <f t="shared" si="23"/>
        <v>2.2809896167307986E-3</v>
      </c>
    </row>
    <row r="54" spans="1:7" x14ac:dyDescent="0.3">
      <c r="A54" s="1">
        <v>7</v>
      </c>
      <c r="B54" s="1">
        <f t="shared" si="18"/>
        <v>0.60235179513888892</v>
      </c>
      <c r="C54" s="1">
        <f t="shared" si="19"/>
        <v>7.8400000000000011E-2</v>
      </c>
      <c r="D54" s="1">
        <f t="shared" si="20"/>
        <v>2.8813760592463983E-3</v>
      </c>
      <c r="E54" s="1">
        <f t="shared" si="21"/>
        <v>4.7835435745352383E-3</v>
      </c>
      <c r="F54" s="1">
        <f t="shared" si="22"/>
        <v>1.9798989873223333E-4</v>
      </c>
      <c r="G54" s="1">
        <f t="shared" si="23"/>
        <v>2.5253813613805268E-3</v>
      </c>
    </row>
    <row r="55" spans="1:7" x14ac:dyDescent="0.3">
      <c r="A55" s="1">
        <v>8</v>
      </c>
      <c r="B55" s="1">
        <f t="shared" si="18"/>
        <v>0.58595410256944447</v>
      </c>
      <c r="C55" s="1">
        <f t="shared" si="19"/>
        <v>7.2900000000000006E-2</v>
      </c>
      <c r="D55" s="1">
        <f t="shared" si="20"/>
        <v>2.8110728999566547E-3</v>
      </c>
      <c r="E55" s="1">
        <f t="shared" si="21"/>
        <v>4.797428480541272E-3</v>
      </c>
      <c r="F55" s="1">
        <f t="shared" si="22"/>
        <v>1.9091883092036785E-4</v>
      </c>
      <c r="G55" s="1">
        <f t="shared" si="23"/>
        <v>2.6189140043946205E-3</v>
      </c>
    </row>
    <row r="56" spans="1:7" x14ac:dyDescent="0.3">
      <c r="A56" s="1">
        <v>9</v>
      </c>
      <c r="B56" s="1">
        <f t="shared" si="18"/>
        <v>0.50811911187065939</v>
      </c>
      <c r="C56" s="1">
        <f t="shared" si="19"/>
        <v>5.2899999999999996E-2</v>
      </c>
      <c r="D56" s="1">
        <f t="shared" si="20"/>
        <v>2.4975037752879904E-3</v>
      </c>
      <c r="E56" s="1">
        <f t="shared" si="21"/>
        <v>4.9151935381712714E-3</v>
      </c>
      <c r="F56" s="1">
        <f t="shared" si="22"/>
        <v>1.6263455967290594E-4</v>
      </c>
      <c r="G56" s="1">
        <f t="shared" si="23"/>
        <v>3.0743773095067285E-3</v>
      </c>
    </row>
    <row r="57" spans="1:7" x14ac:dyDescent="0.3">
      <c r="A57" s="1">
        <v>10</v>
      </c>
      <c r="B57" s="1">
        <f t="shared" si="18"/>
        <v>0.43232073537326399</v>
      </c>
      <c r="C57" s="1">
        <f>B18*B18/1000/1000</f>
        <v>3.2399999999999998E-2</v>
      </c>
      <c r="D57" s="1">
        <f t="shared" si="20"/>
        <v>2.2100188282229323E-3</v>
      </c>
      <c r="E57" s="1">
        <f>SQRT(  4 * POWER(J41,2) + POWER(G41,2)  )</f>
        <v>5.1119889641999495E-3</v>
      </c>
      <c r="F57" s="1">
        <f t="shared" si="22"/>
        <v>1.2727922061357857E-4</v>
      </c>
      <c r="G57" s="1">
        <f t="shared" si="23"/>
        <v>3.9283710065919309E-3</v>
      </c>
    </row>
    <row r="58" spans="1:7" x14ac:dyDescent="0.3">
      <c r="E58" s="15">
        <f>AVERAGE(E48:E57)</f>
        <v>4.7353442433670694E-3</v>
      </c>
      <c r="F58" s="15"/>
      <c r="G58" s="15">
        <f t="shared" ref="G58" si="24">AVERAGE(G48:G57)</f>
        <v>2.4982397654643006E-3</v>
      </c>
    </row>
    <row r="68" spans="1:17" x14ac:dyDescent="0.3">
      <c r="A68" s="17" t="s">
        <v>65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</row>
    <row r="69" spans="1:17" x14ac:dyDescent="0.3">
      <c r="A69" s="1" t="s">
        <v>64</v>
      </c>
      <c r="B69" s="1" t="s">
        <v>58</v>
      </c>
      <c r="C69" s="1" t="s">
        <v>59</v>
      </c>
      <c r="D69" s="16" t="s">
        <v>66</v>
      </c>
      <c r="E69" s="16" t="s">
        <v>68</v>
      </c>
      <c r="F69" s="16" t="s">
        <v>75</v>
      </c>
    </row>
    <row r="70" spans="1:17" x14ac:dyDescent="0.3">
      <c r="A70" s="1">
        <v>1</v>
      </c>
      <c r="B70" s="1">
        <f>F9*F9*C9/1000</f>
        <v>0.93937339000000009</v>
      </c>
      <c r="C70" s="1">
        <f>B9*B9/1000/1000</f>
        <v>0.1681</v>
      </c>
      <c r="D70" s="1">
        <f>B70*C70</f>
        <v>0.15790866685900001</v>
      </c>
      <c r="E70" s="1">
        <f>B70*B70</f>
        <v>0.88242236584009226</v>
      </c>
      <c r="F70" s="1">
        <f>C70*C70</f>
        <v>2.8257609999999999E-2</v>
      </c>
      <c r="G70" s="5"/>
      <c r="H70" s="1" t="s">
        <v>69</v>
      </c>
      <c r="I70" s="1">
        <f>(  D80 - B80*C80  )/(  E80 - B80*B80  )</f>
        <v>0.2673060232081641</v>
      </c>
      <c r="L70">
        <f>4*S6*S6</f>
        <v>39.478350912399996</v>
      </c>
      <c r="M70" s="12">
        <f>L70*I70/S5</f>
        <v>9.8405542933954244</v>
      </c>
      <c r="N70" s="12" t="s">
        <v>76</v>
      </c>
      <c r="P70" s="1" t="s">
        <v>9</v>
      </c>
      <c r="Q70" s="1">
        <f>M70</f>
        <v>9.8405542933954244</v>
      </c>
    </row>
    <row r="71" spans="1:17" x14ac:dyDescent="0.3">
      <c r="A71" s="1">
        <v>2</v>
      </c>
      <c r="B71" s="1">
        <f t="shared" ref="B71:B79" si="25">F10*F10*C10/1000</f>
        <v>0.82795414097656272</v>
      </c>
      <c r="C71" s="1">
        <f t="shared" ref="C71:C79" si="26">B10*B10/1000/1000</f>
        <v>0.13764099999999999</v>
      </c>
      <c r="D71" s="1">
        <f t="shared" ref="D71:D79" si="27">B71*C71</f>
        <v>0.11396043591815506</v>
      </c>
      <c r="E71" s="1">
        <f t="shared" ref="E71:E79" si="28">B71*B71</f>
        <v>0.68550805956023786</v>
      </c>
      <c r="F71" s="1">
        <f t="shared" ref="F71:F79" si="29">C71*C71</f>
        <v>1.8945044880999996E-2</v>
      </c>
      <c r="G71" s="5"/>
      <c r="H71" s="1" t="s">
        <v>70</v>
      </c>
      <c r="I71" s="1">
        <f>C80 - I70*B80</f>
        <v>-8.3714943363711686E-2</v>
      </c>
      <c r="P71" s="1" t="s">
        <v>44</v>
      </c>
      <c r="Q71" s="1">
        <f>Q72*Q70</f>
        <v>5.2685749665000378E-2</v>
      </c>
    </row>
    <row r="72" spans="1:17" x14ac:dyDescent="0.3">
      <c r="A72" s="1">
        <v>3</v>
      </c>
      <c r="B72" s="1">
        <f t="shared" si="25"/>
        <v>0.72088352644531239</v>
      </c>
      <c r="C72" s="1">
        <f t="shared" si="26"/>
        <v>0.10956100000000001</v>
      </c>
      <c r="D72" s="1">
        <f t="shared" si="27"/>
        <v>7.8980720040874877E-2</v>
      </c>
      <c r="E72" s="1">
        <f t="shared" si="28"/>
        <v>0.5196730587002294</v>
      </c>
      <c r="F72" s="1">
        <f t="shared" si="29"/>
        <v>1.2003612721000001E-2</v>
      </c>
      <c r="G72" s="5"/>
      <c r="H72" s="1" t="s">
        <v>71</v>
      </c>
      <c r="I72" s="1">
        <f xml:space="preserve"> SQRT(  (F80-C80*C80)/(E80-B80*B80) - I70*I70  ) / SQRT(10)</f>
        <v>2.5184015809498377E-3</v>
      </c>
      <c r="J72" t="s">
        <v>77</v>
      </c>
      <c r="K72">
        <f>I70*SQRT(E58*E58+G58*G58)</f>
        <v>1.4311407470353772E-3</v>
      </c>
      <c r="L72" t="s">
        <v>78</v>
      </c>
      <c r="M72">
        <f>SQRT(  I72*I72 + K72*K72  )</f>
        <v>2.8966377683023502E-3</v>
      </c>
      <c r="P72" s="1" t="s">
        <v>45</v>
      </c>
      <c r="Q72" s="1">
        <f>K73</f>
        <v>5.3539412612520097E-3</v>
      </c>
    </row>
    <row r="73" spans="1:17" x14ac:dyDescent="0.3">
      <c r="A73" s="1">
        <v>4</v>
      </c>
      <c r="B73" s="1">
        <f t="shared" si="25"/>
        <v>0.63793626898871503</v>
      </c>
      <c r="C73" s="1">
        <f t="shared" si="26"/>
        <v>8.4099999999999994E-2</v>
      </c>
      <c r="D73" s="1">
        <f t="shared" si="27"/>
        <v>5.365044022195093E-2</v>
      </c>
      <c r="E73" s="1">
        <f t="shared" si="28"/>
        <v>0.40696268329124219</v>
      </c>
      <c r="F73" s="1">
        <f t="shared" si="29"/>
        <v>7.0728099999999988E-3</v>
      </c>
      <c r="G73" s="5"/>
      <c r="H73" s="1" t="s">
        <v>73</v>
      </c>
      <c r="I73" s="1">
        <f>I72/I70</f>
        <v>9.4214172607275555E-3</v>
      </c>
      <c r="J73" t="s">
        <v>77</v>
      </c>
      <c r="K73">
        <f>SQRT(E58*E58+G58*G58)</f>
        <v>5.3539412612520097E-3</v>
      </c>
    </row>
    <row r="74" spans="1:17" x14ac:dyDescent="0.3">
      <c r="A74" s="1">
        <v>5</v>
      </c>
      <c r="B74" s="1">
        <f t="shared" si="25"/>
        <v>0.65725750406250005</v>
      </c>
      <c r="C74" s="1">
        <f t="shared" si="26"/>
        <v>9.0601000000000001E-2</v>
      </c>
      <c r="D74" s="1">
        <f t="shared" si="27"/>
        <v>5.9548187125566567E-2</v>
      </c>
      <c r="E74" s="1">
        <f t="shared" si="28"/>
        <v>0.43198742664646728</v>
      </c>
      <c r="F74" s="1">
        <f t="shared" si="29"/>
        <v>8.2085412009999994E-3</v>
      </c>
      <c r="G74" s="5"/>
      <c r="H74" s="1" t="s">
        <v>72</v>
      </c>
      <c r="I74" s="1">
        <f>I72*SQRT( E80 - B80*B80 )</f>
        <v>3.5102289669698244E-4</v>
      </c>
      <c r="J74" t="s">
        <v>77</v>
      </c>
      <c r="K74" s="10">
        <f>I71*K73</f>
        <v>-4.4820488945835111E-4</v>
      </c>
      <c r="L74" t="s">
        <v>78</v>
      </c>
      <c r="M74">
        <f t="shared" ref="M74" si="30">SQRT(  I74*I74 + K74*K74  )</f>
        <v>5.6930193828926413E-4</v>
      </c>
    </row>
    <row r="75" spans="1:17" x14ac:dyDescent="0.3">
      <c r="A75" s="1">
        <v>6</v>
      </c>
      <c r="B75" s="1">
        <f t="shared" si="25"/>
        <v>0.67151114874999984</v>
      </c>
      <c r="C75" s="1">
        <f t="shared" si="26"/>
        <v>9.6099999999999991E-2</v>
      </c>
      <c r="D75" s="1">
        <f t="shared" si="27"/>
        <v>6.4532221394874981E-2</v>
      </c>
      <c r="E75" s="1">
        <f t="shared" si="28"/>
        <v>0.45092722289554443</v>
      </c>
      <c r="F75" s="1">
        <f t="shared" si="29"/>
        <v>9.2352099999999989E-3</v>
      </c>
      <c r="G75" s="5"/>
      <c r="H75" s="1" t="s">
        <v>74</v>
      </c>
      <c r="I75" s="1">
        <f>I74/I71</f>
        <v>-4.1930733342542287E-3</v>
      </c>
      <c r="J75" t="s">
        <v>77</v>
      </c>
      <c r="K75">
        <f>SQRT(E58*E58+G58*G58)</f>
        <v>5.3539412612520097E-3</v>
      </c>
    </row>
    <row r="76" spans="1:17" x14ac:dyDescent="0.3">
      <c r="A76" s="1">
        <v>7</v>
      </c>
      <c r="B76" s="1">
        <f t="shared" si="25"/>
        <v>0.60235179513888892</v>
      </c>
      <c r="C76" s="1">
        <f t="shared" si="26"/>
        <v>7.8400000000000011E-2</v>
      </c>
      <c r="D76" s="1">
        <f t="shared" si="27"/>
        <v>4.7224380738888898E-2</v>
      </c>
      <c r="E76" s="1">
        <f t="shared" si="28"/>
        <v>0.362827685107042</v>
      </c>
      <c r="F76" s="1">
        <f t="shared" si="29"/>
        <v>6.1465600000000014E-3</v>
      </c>
    </row>
    <row r="77" spans="1:17" x14ac:dyDescent="0.3">
      <c r="A77" s="1">
        <v>8</v>
      </c>
      <c r="B77" s="1">
        <f t="shared" si="25"/>
        <v>0.58595410256944447</v>
      </c>
      <c r="C77" s="1">
        <f t="shared" si="26"/>
        <v>7.2900000000000006E-2</v>
      </c>
      <c r="D77" s="1">
        <f t="shared" si="27"/>
        <v>4.2716054077312507E-2</v>
      </c>
      <c r="E77" s="1">
        <f t="shared" si="28"/>
        <v>0.34334221031796303</v>
      </c>
      <c r="F77" s="1">
        <f t="shared" si="29"/>
        <v>5.3144100000000012E-3</v>
      </c>
    </row>
    <row r="78" spans="1:17" x14ac:dyDescent="0.3">
      <c r="A78" s="1">
        <v>9</v>
      </c>
      <c r="B78" s="1">
        <f t="shared" si="25"/>
        <v>0.50811911187065939</v>
      </c>
      <c r="C78" s="1">
        <f t="shared" si="26"/>
        <v>5.2899999999999996E-2</v>
      </c>
      <c r="D78" s="1">
        <f t="shared" si="27"/>
        <v>2.6879501017957878E-2</v>
      </c>
      <c r="E78" s="1">
        <f t="shared" si="28"/>
        <v>0.25818503184822766</v>
      </c>
      <c r="F78" s="1">
        <f t="shared" si="29"/>
        <v>2.7984099999999994E-3</v>
      </c>
    </row>
    <row r="79" spans="1:17" x14ac:dyDescent="0.3">
      <c r="A79" s="1">
        <v>10</v>
      </c>
      <c r="B79" s="1">
        <f t="shared" si="25"/>
        <v>0.43232073537326399</v>
      </c>
      <c r="C79" s="1">
        <f t="shared" si="26"/>
        <v>3.2399999999999998E-2</v>
      </c>
      <c r="D79" s="1">
        <f t="shared" si="27"/>
        <v>1.4007191826093753E-2</v>
      </c>
      <c r="E79" s="1">
        <f t="shared" si="28"/>
        <v>0.18690121823367975</v>
      </c>
      <c r="F79" s="1">
        <f t="shared" si="29"/>
        <v>1.0497599999999998E-3</v>
      </c>
    </row>
    <row r="80" spans="1:17" x14ac:dyDescent="0.3">
      <c r="A80" s="1" t="s">
        <v>67</v>
      </c>
      <c r="B80" s="16">
        <f>AVERAGE(B70:B79)</f>
        <v>0.6583661724175347</v>
      </c>
      <c r="C80" s="16">
        <f>AVERAGE(C70:C79)</f>
        <v>9.22703E-2</v>
      </c>
      <c r="D80" s="16">
        <f>AVERAGE(D70:D79)</f>
        <v>6.5940779922067552E-2</v>
      </c>
      <c r="E80" s="16">
        <f>AVERAGE(E70:E79)</f>
        <v>0.45287369624407259</v>
      </c>
      <c r="F80" s="16">
        <f t="shared" ref="C80:F80" si="31">AVERAGE(F70:F79)</f>
        <v>9.9031968802999991E-3</v>
      </c>
    </row>
    <row r="81" spans="2:6" x14ac:dyDescent="0.3">
      <c r="B81" s="15"/>
      <c r="C81" s="15"/>
      <c r="F81" s="15"/>
    </row>
    <row r="102" spans="1:11" x14ac:dyDescent="0.3">
      <c r="A102" s="1" t="s">
        <v>3</v>
      </c>
      <c r="B102" s="1">
        <v>1</v>
      </c>
      <c r="C102" s="1">
        <v>2</v>
      </c>
      <c r="D102" s="1">
        <v>3</v>
      </c>
      <c r="E102" s="1">
        <v>4</v>
      </c>
      <c r="F102" s="1">
        <v>5</v>
      </c>
      <c r="G102" s="1">
        <v>6</v>
      </c>
      <c r="H102" s="1">
        <v>7</v>
      </c>
      <c r="I102" s="1">
        <v>8</v>
      </c>
      <c r="J102" s="1">
        <v>9</v>
      </c>
      <c r="K102" s="1">
        <v>10</v>
      </c>
    </row>
    <row r="103" spans="1:11" x14ac:dyDescent="0.3">
      <c r="A103" s="1" t="s">
        <v>34</v>
      </c>
      <c r="B103" s="8">
        <v>0.41</v>
      </c>
      <c r="C103" s="8">
        <v>0.371</v>
      </c>
      <c r="D103" s="8">
        <v>0.33100000000000002</v>
      </c>
      <c r="E103" s="8">
        <v>0.28999999999999998</v>
      </c>
      <c r="F103" s="8">
        <v>0.30099999999999999</v>
      </c>
      <c r="G103" s="8">
        <v>0.31</v>
      </c>
      <c r="H103" s="8">
        <v>0.28000000000000003</v>
      </c>
      <c r="I103" s="8">
        <v>0.27</v>
      </c>
      <c r="J103" s="8">
        <v>0.23</v>
      </c>
      <c r="K103" s="8">
        <v>0.18</v>
      </c>
    </row>
    <row r="104" spans="1:11" x14ac:dyDescent="0.3">
      <c r="A104" s="1" t="s">
        <v>35</v>
      </c>
      <c r="B104" s="1">
        <v>5.0000000000000001E-4</v>
      </c>
      <c r="C104" s="1">
        <v>5.0000000000000001E-4</v>
      </c>
      <c r="D104" s="1">
        <v>5.0000000000000001E-4</v>
      </c>
      <c r="E104" s="1">
        <v>5.0000000000000001E-4</v>
      </c>
      <c r="F104" s="1">
        <v>5.0000000000000001E-4</v>
      </c>
      <c r="G104" s="1">
        <v>5.0000000000000001E-4</v>
      </c>
      <c r="H104" s="1">
        <v>5.0000000000000001E-4</v>
      </c>
      <c r="I104" s="1">
        <v>5.0000000000000001E-4</v>
      </c>
      <c r="J104" s="1">
        <v>5.0000000000000001E-4</v>
      </c>
      <c r="K104" s="1">
        <v>5.0000000000000001E-4</v>
      </c>
    </row>
    <row r="105" spans="1:11" x14ac:dyDescent="0.3">
      <c r="A105" s="1" t="s">
        <v>36</v>
      </c>
      <c r="B105" s="9">
        <v>1.2195121951219512E-3</v>
      </c>
      <c r="C105" s="9">
        <v>1.3477088948787063E-3</v>
      </c>
      <c r="D105" s="9">
        <v>1.5105740181268882E-3</v>
      </c>
      <c r="E105" s="9">
        <v>1.724137931034483E-3</v>
      </c>
      <c r="F105" s="9">
        <v>1.6611295681063123E-3</v>
      </c>
      <c r="G105" s="9">
        <v>1.6129032258064516E-3</v>
      </c>
      <c r="H105" s="9">
        <v>1.7857142857142857E-3</v>
      </c>
      <c r="I105" s="9">
        <v>1.8518518518518517E-3</v>
      </c>
      <c r="J105" s="9">
        <v>2.1739130434782609E-3</v>
      </c>
      <c r="K105" s="9">
        <v>2.7777777777777779E-3</v>
      </c>
    </row>
    <row r="106" spans="1:11" x14ac:dyDescent="0.3">
      <c r="A106" s="1" t="s">
        <v>41</v>
      </c>
      <c r="B106" s="8">
        <v>0.38110000000000005</v>
      </c>
      <c r="C106" s="8">
        <v>0.34489999999999998</v>
      </c>
      <c r="D106" s="8">
        <v>0.30769999999999997</v>
      </c>
      <c r="E106" s="8">
        <v>0.26950000000000002</v>
      </c>
      <c r="F106" s="8">
        <v>0.27939999999999998</v>
      </c>
      <c r="G106" s="8">
        <v>0.2878</v>
      </c>
      <c r="H106" s="8">
        <v>0.26</v>
      </c>
      <c r="I106" s="8">
        <v>0.25119999999999998</v>
      </c>
      <c r="J106" s="8">
        <v>0.2135</v>
      </c>
      <c r="K106" s="8">
        <v>0.16700000000000001</v>
      </c>
    </row>
    <row r="107" spans="1:11" x14ac:dyDescent="0.3">
      <c r="A107" s="1" t="s">
        <v>37</v>
      </c>
      <c r="B107" s="1">
        <v>5.0000000000000001E-4</v>
      </c>
      <c r="C107" s="1">
        <v>5.0000000000000001E-4</v>
      </c>
      <c r="D107" s="1">
        <v>5.0000000000000001E-4</v>
      </c>
      <c r="E107" s="1">
        <v>5.0000000000000001E-4</v>
      </c>
      <c r="F107" s="1">
        <v>5.0000000000000001E-4</v>
      </c>
      <c r="G107" s="1">
        <v>5.0000000000000001E-4</v>
      </c>
      <c r="H107" s="1">
        <v>5.0000000000000001E-4</v>
      </c>
      <c r="I107" s="1">
        <v>5.0000000000000001E-4</v>
      </c>
      <c r="J107" s="1">
        <v>5.0000000000000001E-4</v>
      </c>
      <c r="K107" s="1">
        <v>5.0000000000000001E-4</v>
      </c>
    </row>
    <row r="108" spans="1:11" x14ac:dyDescent="0.3">
      <c r="A108" s="1" t="s">
        <v>38</v>
      </c>
      <c r="B108" s="9">
        <v>1.311991603253739E-3</v>
      </c>
      <c r="C108" s="9">
        <v>1.4496955639315744E-3</v>
      </c>
      <c r="D108" s="9">
        <v>1.6249593760155998E-3</v>
      </c>
      <c r="E108" s="9">
        <v>1.8552875695732837E-3</v>
      </c>
      <c r="F108" s="9">
        <v>1.7895490336435221E-3</v>
      </c>
      <c r="G108" s="9">
        <v>1.7373175816539264E-3</v>
      </c>
      <c r="H108" s="9">
        <v>1.923076923076923E-3</v>
      </c>
      <c r="I108" s="9">
        <v>1.9904458598726119E-3</v>
      </c>
      <c r="J108" s="9">
        <v>2.34192037470726E-3</v>
      </c>
      <c r="K108" s="9">
        <v>2.9940119760479039E-3</v>
      </c>
    </row>
    <row r="109" spans="1:11" x14ac:dyDescent="0.3">
      <c r="A109" s="1" t="s">
        <v>7</v>
      </c>
      <c r="B109" s="1">
        <v>75.36</v>
      </c>
      <c r="C109" s="1">
        <v>74.37</v>
      </c>
      <c r="D109" s="1">
        <v>73.47</v>
      </c>
      <c r="E109" s="1">
        <v>73.849999999999994</v>
      </c>
      <c r="F109" s="1">
        <v>73.62</v>
      </c>
      <c r="G109" s="1">
        <v>73.319999999999993</v>
      </c>
      <c r="H109" s="1">
        <v>73.06</v>
      </c>
      <c r="I109" s="1">
        <v>73.31</v>
      </c>
      <c r="J109" s="1">
        <v>74.049999999999983</v>
      </c>
      <c r="K109" s="1">
        <v>77.23</v>
      </c>
    </row>
    <row r="110" spans="1:11" x14ac:dyDescent="0.3">
      <c r="A110" s="1" t="s">
        <v>48</v>
      </c>
      <c r="B110" s="1">
        <v>0.16</v>
      </c>
      <c r="C110" s="1">
        <v>0.16</v>
      </c>
      <c r="D110" s="1">
        <v>0.16</v>
      </c>
      <c r="E110" s="1">
        <v>0.16</v>
      </c>
      <c r="F110" s="1">
        <v>0.16</v>
      </c>
      <c r="G110" s="1">
        <v>0.16</v>
      </c>
      <c r="H110" s="1">
        <v>0.16</v>
      </c>
      <c r="I110" s="1">
        <v>0.16</v>
      </c>
      <c r="J110" s="1">
        <v>0.16</v>
      </c>
      <c r="K110" s="1">
        <v>0.16</v>
      </c>
    </row>
    <row r="111" spans="1:11" x14ac:dyDescent="0.3">
      <c r="A111" s="1" t="s">
        <v>49</v>
      </c>
      <c r="B111" s="9">
        <v>2.1231422505307855E-3</v>
      </c>
      <c r="C111" s="9">
        <v>2.1514051364797632E-3</v>
      </c>
      <c r="D111" s="9">
        <v>2.1777596297808629E-3</v>
      </c>
      <c r="E111" s="9">
        <v>2.1665538253215978E-3</v>
      </c>
      <c r="F111" s="9">
        <v>2.1733224667209996E-3</v>
      </c>
      <c r="G111" s="9">
        <v>2.1822149481723952E-3</v>
      </c>
      <c r="H111" s="9">
        <v>2.1899808376676703E-3</v>
      </c>
      <c r="I111" s="9">
        <v>2.1825126176510706E-3</v>
      </c>
      <c r="J111" s="9">
        <v>2.1607022282241735E-3</v>
      </c>
      <c r="K111" s="9">
        <v>2.071733782208986E-3</v>
      </c>
    </row>
    <row r="112" spans="1:11" x14ac:dyDescent="0.3">
      <c r="A112" s="1" t="s">
        <v>8</v>
      </c>
      <c r="B112" s="3">
        <v>1.57</v>
      </c>
      <c r="C112" s="3">
        <v>1.5493750000000002</v>
      </c>
      <c r="D112" s="3">
        <v>1.5306249999999999</v>
      </c>
      <c r="E112" s="3">
        <v>1.5385416666666665</v>
      </c>
      <c r="F112" s="3">
        <v>1.5337500000000002</v>
      </c>
      <c r="G112" s="3">
        <v>1.5274999999999999</v>
      </c>
      <c r="H112" s="3">
        <v>1.5220833333333335</v>
      </c>
      <c r="I112" s="3">
        <v>1.5272916666666667</v>
      </c>
      <c r="J112" s="3">
        <v>1.5427083333333329</v>
      </c>
      <c r="K112" s="3">
        <v>1.6089583333333335</v>
      </c>
    </row>
    <row r="113" spans="1:11" x14ac:dyDescent="0.3">
      <c r="A113" s="1" t="s">
        <v>39</v>
      </c>
      <c r="B113" s="9">
        <v>3.3333333333333335E-3</v>
      </c>
      <c r="C113" s="9">
        <v>3.3333333333333335E-3</v>
      </c>
      <c r="D113" s="9">
        <v>3.3333333333333331E-3</v>
      </c>
      <c r="E113" s="9">
        <v>3.3333333333333331E-3</v>
      </c>
      <c r="F113" s="9">
        <v>3.3333333333333335E-3</v>
      </c>
      <c r="G113" s="9">
        <v>3.3333333333333335E-3</v>
      </c>
      <c r="H113" s="9">
        <v>3.3333333333333335E-3</v>
      </c>
      <c r="I113" s="9">
        <v>3.3333333333333331E-3</v>
      </c>
      <c r="J113" s="9">
        <v>3.3333333333333335E-3</v>
      </c>
      <c r="K113" s="9">
        <v>3.3333333333333335E-3</v>
      </c>
    </row>
    <row r="114" spans="1:11" x14ac:dyDescent="0.3">
      <c r="A114" s="1" t="s">
        <v>40</v>
      </c>
      <c r="B114" s="9">
        <v>2.1231422505307855E-3</v>
      </c>
      <c r="C114" s="9">
        <v>2.1514051364797632E-3</v>
      </c>
      <c r="D114" s="9">
        <v>2.1777596297808629E-3</v>
      </c>
      <c r="E114" s="9">
        <v>2.1665538253215978E-3</v>
      </c>
      <c r="F114" s="9">
        <v>2.1733224667209996E-3</v>
      </c>
      <c r="G114" s="9">
        <v>2.1822149481723952E-3</v>
      </c>
      <c r="H114" s="9">
        <v>2.1899808376676703E-3</v>
      </c>
      <c r="I114" s="9">
        <v>2.1825126176510706E-3</v>
      </c>
      <c r="J114" s="9">
        <v>2.1607022282241735E-3</v>
      </c>
      <c r="K114" s="9">
        <v>2.071733782208986E-3</v>
      </c>
    </row>
    <row r="115" spans="1:11" x14ac:dyDescent="0.3">
      <c r="A115" s="1" t="s">
        <v>43</v>
      </c>
      <c r="B115" s="3">
        <v>9.8536110718164132</v>
      </c>
      <c r="C115" s="3">
        <v>9.8253123749444171</v>
      </c>
      <c r="D115" s="3">
        <v>9.850656731404662</v>
      </c>
      <c r="E115" s="3">
        <v>9.6621871755505797</v>
      </c>
      <c r="F115" s="3">
        <v>9.7422794020233408</v>
      </c>
      <c r="G115" s="3">
        <v>9.8369556792265573</v>
      </c>
      <c r="H115" s="3">
        <v>9.8846238090682554</v>
      </c>
      <c r="I115" s="3">
        <v>9.8156918637873254</v>
      </c>
      <c r="J115" s="3">
        <v>9.870261744629687</v>
      </c>
      <c r="K115" s="3">
        <v>9.8551494072191677</v>
      </c>
    </row>
    <row r="116" spans="1:11" x14ac:dyDescent="0.3">
      <c r="A116" s="1" t="s">
        <v>44</v>
      </c>
      <c r="B116" s="9">
        <v>7.6184135606060091E-2</v>
      </c>
      <c r="C116" s="9">
        <v>7.6512067126791108E-2</v>
      </c>
      <c r="D116" s="9">
        <v>7.733634906500847E-2</v>
      </c>
      <c r="E116" s="9">
        <v>7.6229225308853441E-2</v>
      </c>
      <c r="F116" s="9">
        <v>7.6785679616582711E-2</v>
      </c>
      <c r="G116" s="9">
        <v>7.7513610708429034E-2</v>
      </c>
      <c r="H116" s="9">
        <v>7.8399216241180819E-2</v>
      </c>
      <c r="I116" s="9">
        <v>7.7934761209897632E-2</v>
      </c>
      <c r="J116" s="9">
        <v>7.9075793624470578E-2</v>
      </c>
      <c r="K116" s="9">
        <v>8.0159235446206872E-2</v>
      </c>
    </row>
    <row r="117" spans="1:11" x14ac:dyDescent="0.3">
      <c r="A117" s="1" t="s">
        <v>45</v>
      </c>
      <c r="B117" s="9">
        <v>7.7315955593137003E-3</v>
      </c>
      <c r="C117" s="9">
        <v>7.7872401616364845E-3</v>
      </c>
      <c r="D117" s="9">
        <v>7.8508825526783562E-3</v>
      </c>
      <c r="E117" s="9">
        <v>7.8894378595506433E-3</v>
      </c>
      <c r="F117" s="9">
        <v>7.8816954891106246E-3</v>
      </c>
      <c r="G117" s="9">
        <v>7.8798373435920201E-3</v>
      </c>
      <c r="H117" s="9">
        <v>7.9314314591574613E-3</v>
      </c>
      <c r="I117" s="9">
        <v>7.9398133408628592E-3</v>
      </c>
      <c r="J117" s="9">
        <v>8.011519417658295E-3</v>
      </c>
      <c r="K117" s="9">
        <v>8.1337412690555486E-3</v>
      </c>
    </row>
  </sheetData>
  <mergeCells count="9">
    <mergeCell ref="A45:K45"/>
    <mergeCell ref="A68:K68"/>
    <mergeCell ref="A42:M42"/>
    <mergeCell ref="H10:K10"/>
    <mergeCell ref="A22:N22"/>
    <mergeCell ref="B23:C23"/>
    <mergeCell ref="A23:A24"/>
    <mergeCell ref="D23:D24"/>
    <mergeCell ref="E23:E2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20" sqref="E20"/>
    </sheetView>
  </sheetViews>
  <sheetFormatPr defaultRowHeight="14.4" x14ac:dyDescent="0.3"/>
  <cols>
    <col min="1" max="1" width="25" customWidth="1"/>
    <col min="2" max="2" width="11.33203125" customWidth="1"/>
    <col min="3" max="4" width="8.77734375" customWidth="1"/>
  </cols>
  <sheetData>
    <row r="1" spans="1:4" x14ac:dyDescent="0.3">
      <c r="A1" s="1"/>
      <c r="B1" s="1" t="s">
        <v>18</v>
      </c>
      <c r="C1" s="2" t="s">
        <v>19</v>
      </c>
      <c r="D1" s="2" t="s">
        <v>20</v>
      </c>
    </row>
    <row r="2" spans="1:4" x14ac:dyDescent="0.3">
      <c r="A2" s="1" t="s">
        <v>21</v>
      </c>
      <c r="B2" s="1">
        <v>1000</v>
      </c>
      <c r="C2" s="1">
        <v>0.5</v>
      </c>
      <c r="D2" s="3">
        <f>C2/B2*100</f>
        <v>0.05</v>
      </c>
    </row>
    <row r="3" spans="1:4" x14ac:dyDescent="0.3">
      <c r="A3" s="1" t="s">
        <v>22</v>
      </c>
      <c r="B3" s="1">
        <v>500</v>
      </c>
      <c r="C3" s="1">
        <v>0.5</v>
      </c>
      <c r="D3" s="3">
        <f>C3/B3*100</f>
        <v>0.1</v>
      </c>
    </row>
    <row r="4" spans="1:4" x14ac:dyDescent="0.3">
      <c r="A4" s="1" t="s">
        <v>4</v>
      </c>
      <c r="B4" s="1">
        <v>250</v>
      </c>
      <c r="C4" s="1">
        <v>0.5</v>
      </c>
      <c r="D4" s="3">
        <f t="shared" ref="D4:D7" si="0">C4/B4*100</f>
        <v>0.2</v>
      </c>
    </row>
    <row r="5" spans="1:4" x14ac:dyDescent="0.3">
      <c r="A5" s="1" t="s">
        <v>5</v>
      </c>
      <c r="B5" s="1">
        <v>231</v>
      </c>
      <c r="C5" s="1">
        <v>0.5</v>
      </c>
      <c r="D5" s="3">
        <f t="shared" si="0"/>
        <v>0.21645021645021645</v>
      </c>
    </row>
    <row r="6" spans="1:4" x14ac:dyDescent="0.3">
      <c r="A6" s="1" t="s">
        <v>23</v>
      </c>
      <c r="B6" s="4">
        <v>1022.4</v>
      </c>
      <c r="C6" s="1">
        <v>0.1</v>
      </c>
      <c r="D6" s="3">
        <f t="shared" si="0"/>
        <v>9.7809076682316125E-3</v>
      </c>
    </row>
    <row r="7" spans="1:4" x14ac:dyDescent="0.3">
      <c r="A7" s="1" t="s">
        <v>24</v>
      </c>
      <c r="B7" s="4">
        <v>74</v>
      </c>
      <c r="C7" s="1">
        <v>0.1</v>
      </c>
      <c r="D7" s="3">
        <f t="shared" si="0"/>
        <v>0.13513513513513514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2021-10-14T10:46:23Z</dcterms:modified>
</cp:coreProperties>
</file>