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3.xml" ContentType="application/vnd.openxmlformats-officedocument.spreadsheetml.table+xml"/>
  <Override PartName="/xl/comments2.xml" ContentType="application/vnd.openxmlformats-officedocument.spreadsheetml.comments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51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queryTables/queryTable2.xml" ContentType="application/vnd.openxmlformats-officedocument.spreadsheetml.queryTable+xml"/>
  <Override PartName="/xl/tables/table59.xml" ContentType="application/vnd.openxmlformats-officedocument.spreadsheetml.table+xml"/>
  <Override PartName="/xl/queryTables/queryTable3.xml" ContentType="application/vnd.openxmlformats-officedocument.spreadsheetml.query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queryTables/queryTable4.xml" ContentType="application/vnd.openxmlformats-officedocument.spreadsheetml.queryTable+xml"/>
  <Override PartName="/xl/tables/table63.xml" ContentType="application/vnd.openxmlformats-officedocument.spreadsheetml.table+xml"/>
  <Override PartName="/xl/queryTables/queryTable5.xml" ContentType="application/vnd.openxmlformats-officedocument.spreadsheetml.queryTable+xml"/>
  <Override PartName="/xl/tables/table64.xml" ContentType="application/vnd.openxmlformats-officedocument.spreadsheetml.table+xml"/>
  <Override PartName="/xl/queryTables/queryTable6.xml" ContentType="application/vnd.openxmlformats-officedocument.spreadsheetml.queryTable+xml"/>
  <Override PartName="/xl/tables/table65.xml" ContentType="application/vnd.openxmlformats-officedocument.spreadsheetml.table+xml"/>
  <Override PartName="/xl/queryTables/queryTable7.xml" ContentType="application/vnd.openxmlformats-officedocument.spreadsheetml.queryTable+xml"/>
  <Override PartName="/xl/tables/table66.xml" ContentType="application/vnd.openxmlformats-officedocument.spreadsheetml.table+xml"/>
  <Override PartName="/xl/queryTables/queryTable8.xml" ContentType="application/vnd.openxmlformats-officedocument.spreadsheetml.queryTable+xml"/>
  <Override PartName="/xl/tables/table67.xml" ContentType="application/vnd.openxmlformats-officedocument.spreadsheetml.table+xml"/>
  <Override PartName="/xl/queryTables/queryTable9.xml" ContentType="application/vnd.openxmlformats-officedocument.spreadsheetml.queryTable+xml"/>
  <Override PartName="/xl/tables/table68.xml" ContentType="application/vnd.openxmlformats-officedocument.spreadsheetml.table+xml"/>
  <Override PartName="/xl/queryTables/queryTable10.xml" ContentType="application/vnd.openxmlformats-officedocument.spreadsheetml.queryTable+xml"/>
  <Override PartName="/xl/tables/table69.xml" ContentType="application/vnd.openxmlformats-officedocument.spreadsheetml.table+xml"/>
  <Override PartName="/xl/queryTables/queryTable1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70.xml" ContentType="application/vnd.openxmlformats-officedocument.spreadsheetml.table+xml"/>
  <Override PartName="/xl/queryTables/queryTable1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prj\"/>
    </mc:Choice>
  </mc:AlternateContent>
  <bookViews>
    <workbookView xWindow="0" yWindow="0" windowWidth="24000" windowHeight="9000" firstSheet="18" activeTab="19"/>
  </bookViews>
  <sheets>
    <sheet name="ЗД" sheetId="45" state="hidden" r:id="rId1"/>
    <sheet name="ЗГ" sheetId="44" state="hidden" r:id="rId2"/>
    <sheet name="ЗС" sheetId="43" state="hidden" r:id="rId3"/>
    <sheet name="РХ_1" sheetId="42" state="hidden" r:id="rId4"/>
    <sheet name="РХ_3" sheetId="41" state="hidden" r:id="rId5"/>
    <sheet name="ЗР" sheetId="40" state="hidden" r:id="rId6"/>
    <sheet name="породи" sheetId="26" state="hidden" r:id="rId7"/>
    <sheet name="Коєфициент" sheetId="14" state="hidden" r:id="rId8"/>
    <sheet name="Путь" sheetId="55" state="hidden" r:id="rId9"/>
    <sheet name="Мастера" sheetId="56" state="hidden" r:id="rId10"/>
    <sheet name="NameControlsForm" sheetId="75" state="hidden" r:id="rId11"/>
    <sheet name="РеестрЛКЕОД" sheetId="9" state="hidden" r:id="rId12"/>
    <sheet name="Расчет" sheetId="57" r:id="rId13"/>
    <sheet name="Молодняки" sheetId="5" r:id="rId14"/>
    <sheet name="Молодняки_кошторис" sheetId="79" r:id="rId15"/>
    <sheet name="Форма" sheetId="6" r:id="rId16"/>
    <sheet name="Шаблоны" sheetId="74" r:id="rId17"/>
    <sheet name="КоэфРГК" sheetId="17" state="hidden" r:id="rId18"/>
    <sheet name="РГК" sheetId="2" r:id="rId19"/>
    <sheet name="РГК_кошторис" sheetId="73" r:id="rId20"/>
    <sheet name="РД" sheetId="3" r:id="rId21"/>
    <sheet name="Тарифи" sheetId="16" state="hidden" r:id="rId22"/>
    <sheet name="Реестр договорів" sheetId="49" state="hidden" r:id="rId23"/>
    <sheet name="Виконавец" sheetId="15" state="hidden" r:id="rId24"/>
    <sheet name="РД_кошторис" sheetId="78" r:id="rId25"/>
    <sheet name="Техкарта" sheetId="48" r:id="rId26"/>
    <sheet name="Именованые диапазоны" sheetId="80" r:id="rId27"/>
    <sheet name="Лист15" sheetId="82" r:id="rId28"/>
    <sheet name="Настройки" sheetId="76" state="hidden" r:id="rId29"/>
    <sheet name="Лист6" sheetId="38" state="hidden" r:id="rId30"/>
    <sheet name="Лист10" sheetId="20" state="hidden" r:id="rId31"/>
    <sheet name="Лист7" sheetId="71" state="hidden" r:id="rId32"/>
    <sheet name="Лист11" sheetId="29" state="hidden" r:id="rId33"/>
    <sheet name="Лісництва" sheetId="33" state="hidden" r:id="rId34"/>
    <sheet name="Тендер" sheetId="58" state="hidden" r:id="rId35"/>
    <sheet name="Лист12" sheetId="30" state="hidden" r:id="rId36"/>
    <sheet name="Лист13" sheetId="31" state="hidden" r:id="rId37"/>
    <sheet name="Лист14" sheetId="32" state="hidden" r:id="rId38"/>
    <sheet name="Лист3" sheetId="60" state="hidden" r:id="rId39"/>
    <sheet name="Лист9" sheetId="64" state="hidden" r:id="rId40"/>
    <sheet name="Лист4" sheetId="61" state="hidden" r:id="rId41"/>
    <sheet name="ДілянкаПоЛК" sheetId="34" state="hidden" r:id="rId42"/>
    <sheet name="РеестрЛКЕОДConect" sheetId="35" state="hidden" r:id="rId43"/>
    <sheet name="ДоговораПодрядаЕОД" sheetId="12" state="hidden" r:id="rId44"/>
    <sheet name="SheetNAme" sheetId="53" state="hidden" r:id="rId45"/>
    <sheet name="Лист2" sheetId="59" state="hidden" r:id="rId46"/>
    <sheet name="ЛК" sheetId="63" state="hidden" r:id="rId47"/>
    <sheet name="Лист16" sheetId="68" state="hidden" r:id="rId48"/>
    <sheet name="Лист5" sheetId="70" state="hidden" r:id="rId49"/>
  </sheets>
  <functionGroups builtInGroupCount="18">
    <functionGroup name="Analysis"/>
    <functionGroup name="Информационные"/>
    <functionGroup name="Мат. и тригонометрия"/>
    <functionGroup name="Commands"/>
    <functionGroup name="MulTEx"/>
  </functionGroups>
  <externalReferences>
    <externalReference r:id="rId50"/>
  </externalReferences>
  <definedNames>
    <definedName name="_xlnm._FilterDatabase" localSheetId="11">РеестрЛКЕОД!$A$4:$J$591</definedName>
    <definedName name="cLicVa">Форма!$J$6</definedName>
    <definedName name="d">"d"</definedName>
    <definedName name="dCKR">РД!$H$1</definedName>
    <definedName name="dCrHl">РД!$I$7</definedName>
    <definedName name="dCZ">РД!$I$8</definedName>
    <definedName name="dDataDog">РД!$I$13</definedName>
    <definedName name="dDataS">РД!$P$9</definedName>
    <definedName name="dDil">РД!$P$12</definedName>
    <definedName name="dFooter">РД!$A$58:$R$59</definedName>
    <definedName name="dGp">РД!$B$13</definedName>
    <definedName name="dHeader">РД!$A$1:$R$13</definedName>
    <definedName name="dKd">РД!$I$2</definedName>
    <definedName name="dKS">РД!$I$9</definedName>
    <definedName name="dKV">РД!$B$3</definedName>
    <definedName name="dKZ">РД!$I$11</definedName>
    <definedName name="dLisVo">РД!$B$2</definedName>
    <definedName name="dMain">РД!$A$14:$R$56</definedName>
    <definedName name="dMas">РД!$I$5</definedName>
    <definedName name="dMas1Ga">РД!$I$6</definedName>
    <definedName name="dMD">РД!$G$1</definedName>
    <definedName name="dMLK">РД!$J$1</definedName>
    <definedName name="dNel">РД!$I$4</definedName>
    <definedName name="dNLK">РД!$I$12</definedName>
    <definedName name="dNr">РД!$B$6</definedName>
    <definedName name="dNTK">РД!$X$11</definedName>
    <definedName name="dPl">РД!$B$5</definedName>
    <definedName name="dPND">РД!$I$1</definedName>
    <definedName name="DROV">КоэфРГК!$A$103:$M$112</definedName>
    <definedName name="DROV_HL">КоэфРГК!$E$103:$E$112</definedName>
    <definedName name="dRV">РД!$I$10</definedName>
    <definedName name="DRV_VM">КоэфРГК!$B$100:$M$100</definedName>
    <definedName name="dShablon">РД!$X$1</definedName>
    <definedName name="dSumDog">РД!$L$60</definedName>
    <definedName name="dT_11">РД!$F$29</definedName>
    <definedName name="dT_12">РД!$F$30</definedName>
    <definedName name="dT_13">РД!$F$31</definedName>
    <definedName name="dT_21">РД!$F$32</definedName>
    <definedName name="dT_22">РД!$F$33</definedName>
    <definedName name="dT_23">РД!$F$34</definedName>
    <definedName name="dT_31">РД!$F$35</definedName>
    <definedName name="dT_32">РД!$F$36</definedName>
    <definedName name="dT_33">РД!$F$37</definedName>
    <definedName name="dT_41">РД!$F$38</definedName>
    <definedName name="dT_42">РД!$F$39</definedName>
    <definedName name="dT_43">РД!$F$40</definedName>
    <definedName name="dTender">РД!$O$1</definedName>
    <definedName name="dUmRab">РД!$B$7</definedName>
    <definedName name="dV">РД!$B$4</definedName>
    <definedName name="dVidpMayster">РД!$P$11</definedName>
    <definedName name="dVukon">РД!$B$9</definedName>
    <definedName name="dZzap">РД!$I$3</definedName>
    <definedName name="dККЗ">ККЗ</definedName>
    <definedName name="dРД_кошторис">РД_кошторис!$A$4:$K$18</definedName>
    <definedName name="dРДПРОТОКОЛ">РД_кошторис!$A$28:$I$36</definedName>
    <definedName name="dРДТЕХНІЧНЕ_ЗАВДАННЯ">РД_кошторис!$A$42:$I$49</definedName>
    <definedName name="dумДатаТарифы">РД!$B$8</definedName>
    <definedName name="EVALUATE">EVALUATE(Шаблоны!E1048553)</definedName>
    <definedName name="ExternalData_1" localSheetId="44">SheetNAme!$A$1:$A$3</definedName>
    <definedName name="ExternalData_1" localSheetId="41">ДілянкаПоЛК!$A$1:$L$2</definedName>
    <definedName name="ExternalData_1" localSheetId="43">ДоговораПодрядаЕОД!$A$1:$G$430</definedName>
    <definedName name="ExternalData_1" localSheetId="30">Лист10!$A$1:$A$2</definedName>
    <definedName name="ExternalData_1" localSheetId="32">Лист11!$A$1:$B$4</definedName>
    <definedName name="ExternalData_1" localSheetId="35">Лист12!$A$1:$B$4</definedName>
    <definedName name="ExternalData_1" localSheetId="36">Лист13!$A$1:$C$2</definedName>
    <definedName name="ExternalData_1" localSheetId="37">Лист14!$A$1:$G$2</definedName>
    <definedName name="ExternalData_1" localSheetId="45">Лист2!$A$1:$A$2</definedName>
    <definedName name="ExternalData_1" localSheetId="46">ЛК!$A$1:$B$106</definedName>
    <definedName name="ExternalData_1" localSheetId="11">РеестрЛКЕОД!$A$4:$R$591</definedName>
    <definedName name="ExternalData_1" localSheetId="42">РеестрЛКЕОДConect!$A$1:$K$836</definedName>
    <definedName name="FAN">КоэфРГК!$A$71:$M$81</definedName>
    <definedName name="FAN_HL">КоэфРГК!$A$71:$A$80</definedName>
    <definedName name="g">"g"</definedName>
    <definedName name="gbPribiranny">РГК!$P$6</definedName>
    <definedName name="gbSpaluvanny">РГК!$P$10</definedName>
    <definedName name="gbSpiluvanny">РГК!$P$8</definedName>
    <definedName name="gbZrizuvanny">РГК!$P$7</definedName>
    <definedName name="gCKR">РГК!$H$1</definedName>
    <definedName name="gCrHl">РГК!$I$7</definedName>
    <definedName name="gCZ">РГК!$I$8</definedName>
    <definedName name="gDataDog">РГК!$I$13</definedName>
    <definedName name="gDataS">РГК!$P$9</definedName>
    <definedName name="gDil">РГК!$P$12</definedName>
    <definedName name="gDovginaVerh">РГК!$U$1</definedName>
    <definedName name="gFooter">РГК!$A$68:$R$71</definedName>
    <definedName name="gGp">РГК!$B$13</definedName>
    <definedName name="gGPGP" comment="Группа порыд по головной породе">РГК!$Q$13</definedName>
    <definedName name="gHeader">РГК!$A$1:$R$13</definedName>
    <definedName name="gK_Skladanny">РГК!$U$10</definedName>
    <definedName name="gKd">РГК!$I$2</definedName>
    <definedName name="gKS">РГК!$I$9</definedName>
    <definedName name="gKV">РГК!$B$3</definedName>
    <definedName name="gKZ">РГК!$I$11</definedName>
    <definedName name="gLisVo">РГК!$B$2</definedName>
    <definedName name="gMain">РГК!$A$14:$R$66</definedName>
    <definedName name="gMas">РГК!$I$5</definedName>
    <definedName name="gMas1Ga">РГК!$I$6</definedName>
    <definedName name="gMD">РГК!$G$1</definedName>
    <definedName name="gMLK">РГК!$J$1</definedName>
    <definedName name="gNel">РГК!$I$4</definedName>
    <definedName name="gNLK">РГК!$I$12</definedName>
    <definedName name="gNr">РГК!$B$6</definedName>
    <definedName name="gNTK">РГК!$Z$2</definedName>
    <definedName name="gPidrist">РГК!$B$12</definedName>
    <definedName name="gPl">РГК!$B$5</definedName>
    <definedName name="gPND">РГК!$I$1</definedName>
    <definedName name="gRV">РГК!$I$10</definedName>
    <definedName name="gShablon">РГК!$Z$1</definedName>
    <definedName name="gSOP">РГК!$B$11</definedName>
    <definedName name="gSumDog">РГК!$O$75</definedName>
    <definedName name="gSvedeno">РГК!$Z$3</definedName>
    <definedName name="gT_11">РГК!$F$39</definedName>
    <definedName name="gT_12">РГК!$F$40</definedName>
    <definedName name="gT_13">РГК!$F$41</definedName>
    <definedName name="gT_21">РГК!$F$42</definedName>
    <definedName name="gT_22">РГК!$F$43</definedName>
    <definedName name="gT_23">РГК!$F$44</definedName>
    <definedName name="gT_31">РГК!$F$45</definedName>
    <definedName name="gT_32">РГК!$F$46</definedName>
    <definedName name="gT_33">РГК!$F$47</definedName>
    <definedName name="gT_41">РГК!$F$48</definedName>
    <definedName name="gT_42">РГК!$F$49</definedName>
    <definedName name="gT_43">РГК!$F$50</definedName>
    <definedName name="gT_51">РГК!$F$60</definedName>
    <definedName name="gT_52">РГК!$F$61</definedName>
    <definedName name="gT_53">РГК!$F$62</definedName>
    <definedName name="gTender">РГК!$O$1</definedName>
    <definedName name="gUmRab">РГК!$B$7</definedName>
    <definedName name="gV">РГК!$B$4</definedName>
    <definedName name="gVidpMayster">РГК!$P$11</definedName>
    <definedName name="gVitratuSort">РГК!$F$69</definedName>
    <definedName name="gVitratuXlist">РГК!$F$71</definedName>
    <definedName name="gVMP">РГК!$B$10</definedName>
    <definedName name="gVukon">РГК!$B$9</definedName>
    <definedName name="gZah">РГК!$P$13</definedName>
    <definedName name="gZzap">РГК!$I$3</definedName>
    <definedName name="gДерГраб">gT_11+gT_21+gT_31+gT_41</definedName>
    <definedName name="gДерКлA">gT_21+gT_22+gT_23</definedName>
    <definedName name="gДерКлBCD">gT_11+gT_12+gT_13</definedName>
    <definedName name="gДерМЛ">gT_12+gT_22+gT_32+gT_42</definedName>
    <definedName name="gДерПал">gT_41+gT_42+gT_43</definedName>
    <definedName name="gДерПрПр">gT_31+gT_32+gT_33</definedName>
    <definedName name="gДерТВ">gT_13+gT_23+gT_33+gT_43</definedName>
    <definedName name="gККЗ">ККЗ</definedName>
    <definedName name="gРГК_кошторис">РГК_кошторис!$A$4:$J$16</definedName>
    <definedName name="gумДатаТарифы">РГК!$B$8</definedName>
    <definedName name="k">"k"</definedName>
    <definedName name="KOL">КоэфРГК!$A$195:$E$195</definedName>
    <definedName name="KOL_N_TV">КоэфРГК!$C$195</definedName>
    <definedName name="KOL_N_XM">КоэфРГК!$B$195</definedName>
    <definedName name="KOL_V_TV">КоэфРГК!$E$195</definedName>
    <definedName name="KOL_V_XM">КоэфРГК!$D$195</definedName>
    <definedName name="lТабЛісва">OFFSET(Лісництва!$A$1,0,0,COUNTA(Лісництва!$A$1:$A$65535),COUNTA(Лісництва!$A$1:$IU$1))</definedName>
    <definedName name="m">"m"</definedName>
    <definedName name="maВіл">OFFSET(Мастера!$C$1,0,0,COUNTA(Мастера!$C$1:$C$65535),1)</definedName>
    <definedName name="maКат">OFFSET(Мастера!$A$1,0,0,COUNTA(Мастера!$A$1:$A$65535),1)</definedName>
    <definedName name="maКоз">OFFSET(Мастера!$B$1,0,0,COUNTA(Мастера!$B$1:$B$65535),1)</definedName>
    <definedName name="maПех">OFFSET(Мастера!$D$1,0,0,COUNTA(Мастера!$D$1:$D$65535),1)</definedName>
    <definedName name="maХл">OFFSET(Мастера!$E$1,0,0,COUNTA(Мастера!$E$1:$E$65535),1)</definedName>
    <definedName name="maШп">OFFSET(Мастера!$F$1,0,0,COUNTA(Мастера!$F$1:$F$65535),1)</definedName>
    <definedName name="mCKR">Молодняки!$H$1</definedName>
    <definedName name="mCZ">Молодняки!$I$8</definedName>
    <definedName name="mDataDog">Молодняки!$I$13</definedName>
    <definedName name="mDataS">Молодняки!$P$9</definedName>
    <definedName name="mDil">Молодняки!$P$12</definedName>
    <definedName name="mDovginaVerh">Молодняки!$P$10</definedName>
    <definedName name="mFooter">Молодняки!$A$42:$P$44</definedName>
    <definedName name="mGp">Молодняки!$B$13</definedName>
    <definedName name="mHeader">Молодняки!$A$1:$P$13</definedName>
    <definedName name="mK_Skladanny">Молодняки!$Q$13</definedName>
    <definedName name="mKP">Молодняки!$I$9</definedName>
    <definedName name="mKV">Молодняки!$B$3</definedName>
    <definedName name="mKZ">Молодняки!$I$11</definedName>
    <definedName name="mLisVo">Молодняки!$B$2</definedName>
    <definedName name="mMain">Молодняки!$A$14:$P$41</definedName>
    <definedName name="mMas1Ga">Молодняки!$I$6</definedName>
    <definedName name="mMD">Молодняки!$G$1</definedName>
    <definedName name="mMLK">Молодняки!$J$1</definedName>
    <definedName name="mNLK">Молодняки!$I$12</definedName>
    <definedName name="mNr">Молодняки!$B$6</definedName>
    <definedName name="mNTK">Молодняки!$U$12</definedName>
    <definedName name="mPl">Молодняки!$B$5</definedName>
    <definedName name="mPND">Молодняки!$I$1</definedName>
    <definedName name="mT_11">Молодняки!$E$20</definedName>
    <definedName name="mT_12">Молодняки!$E$21</definedName>
    <definedName name="mT_13">Молодняки!$E$22</definedName>
    <definedName name="mT_21">Молодняки!$E$23</definedName>
    <definedName name="mT_22">Молодняки!$E$24</definedName>
    <definedName name="mT_23">Молодняки!$E$25</definedName>
    <definedName name="mT_31">Молодняки!$E$26</definedName>
    <definedName name="mT_32">Молодняки!$E$27</definedName>
    <definedName name="mT_33">Молодняки!$E$28</definedName>
    <definedName name="mT_41">Молодняки!$E$29</definedName>
    <definedName name="mT_42">Молодняки!$E$30</definedName>
    <definedName name="mT_43">Молодняки!$E$31</definedName>
    <definedName name="mTender">Молодняки!$K$1</definedName>
    <definedName name="mUmRab">Молодняки!$B$7</definedName>
    <definedName name="mV">Молодняки!$B$4</definedName>
    <definedName name="mVidpMayster">Молодняки!$P$11</definedName>
    <definedName name="mVukon">Молодняки!$B$9</definedName>
    <definedName name="mZzap">Молодняки!$I$3</definedName>
    <definedName name="mККЗ">ККЗ</definedName>
    <definedName name="mМолодняки_кошторис">Молодняки_кошторис!$A$4:$K$10</definedName>
    <definedName name="mМолодняки_протокол">Молодняки_кошторис!$A$20:$I$24</definedName>
    <definedName name="mМолодняки_тех">Молодняки_кошторис!$A$30:$I$32</definedName>
    <definedName name="mумДатаТарифы">Молодняки!$B$8</definedName>
    <definedName name="OBR">КоэфРГК!$A$23:$M$32</definedName>
    <definedName name="OBR_HL">КоэфРГК!$A$23:$A$32</definedName>
    <definedName name="OBRU">КоэфРГК!$A$39:$M$48</definedName>
    <definedName name="OBRU_HL">КоэфРГК!$A$39:$A$48</definedName>
    <definedName name="OMRM">КоэфРГК!$A$214:$D$219</definedName>
    <definedName name="OMRM_NS">КоэфРГК!$A$213:$B$213</definedName>
    <definedName name="Param">РГК!$AD$22</definedName>
    <definedName name="Pidg">"Кнопка 2"</definedName>
    <definedName name="PIL">КоэфРГК!$A$55:$M$64</definedName>
    <definedName name="PIL_HL">КоэфРГК!$A$55:$A$64</definedName>
    <definedName name="PND">КоэфРГК!$A$160:$G$169</definedName>
    <definedName name="PND_HL">КоэфРГК!$A$160:$A$169</definedName>
    <definedName name="RDNAME">ЗР!$B$1:$F$1</definedName>
    <definedName name="rKV">Расчет!$M$3</definedName>
    <definedName name="rLisVo">Расчет!$J$3</definedName>
    <definedName name="rPl">Расчет!$Q$3</definedName>
    <definedName name="rV">Расчет!$O$3</definedName>
    <definedName name="SPILP">КоэфРГК!$A$140:$E$153</definedName>
    <definedName name="SPILP_HL">КоэфРГК!$A$140:$A$153</definedName>
    <definedName name="SPLG">КоэфРГК!$A$119:$M$128</definedName>
    <definedName name="SPLG_HL">КоэфРГК!$A$119:$A$128</definedName>
    <definedName name="T_">"T_"</definedName>
    <definedName name="testRange">Лист15!$A$2:$K$16</definedName>
    <definedName name="testRange1">Лист15!$O$2:$Y$2</definedName>
    <definedName name="TEX">КоэфРГК!$A$87:$M$96</definedName>
    <definedName name="TEX_HL">КоэфРГК!$A$87:$A$96</definedName>
    <definedName name="ZACH">КоэфРГК!$A$180:$E$189</definedName>
    <definedName name="ZACH_HL">КоэфРГК!$A$180:$A$189</definedName>
    <definedName name="ZKK">КоэфРГК!$A$201:$G$206</definedName>
    <definedName name="ZKK_NS">КоэфРГК!$A$200:$C$200</definedName>
    <definedName name="ZVZP">КоэфРГК!$A$7:$M$16</definedName>
    <definedName name="ZVZP_HL" localSheetId="17">КоэфРГК!$A$7:$A$16</definedName>
    <definedName name="ZVZP_HL">КоэфРГК!$A$7:$A$16</definedName>
    <definedName name="ZVZP_VM">КоэфРГК!$B$4:$M$4</definedName>
    <definedName name="АДДРЕССИМЯ" comment="Возвращает адресс именованного диапазон переданого в ячейке слева">ADDRESS(ROW(INDIRECT(РГК_кошторис!XEI1048576)),COLUMN(INDIRECT(РГК_кошторис!XEI1048576)))&amp;":"&amp;ADDRESS(ROW(INDIRECT(РГК_кошторис!XEI1048576))+ROW(INDIRECT(РГК_кошторис!XEI1048576))-1,COLUMN(INDIRECT(РГК_кошторис!XEI1048576))+COLUMN(INDIRECT(РГК_кошторис!XEI1048576))-1)</definedName>
    <definedName name="Вирубування">КоэфРГК!$I$231:$I$232</definedName>
    <definedName name="Зона">Коєфициент!$F$2:$F$6</definedName>
    <definedName name="ККЗ">1.215</definedName>
    <definedName name="_xlnm.Criteria" localSheetId="11">РеестрЛКЕОД!$A$1:$J$2</definedName>
    <definedName name="ЛісВа">OFFSET(Лісництва!$B$2,0,0,COUNTA(Лісництва!$B$2:$B$65535),1)</definedName>
    <definedName name="ЛісВаНумерация">OFFSET(Лісництва!$C$2,0,0,COUNTA(Лісництва!$C$2:$C$65535),1)</definedName>
    <definedName name="ЛК">OFFSET(ЛК!E1,0,0,COUNTA(ЛК!E1:E96),1)</definedName>
    <definedName name="_xlnm.Print_Area" localSheetId="13">Молодняки!$A$1:$P$44</definedName>
    <definedName name="_xlnm.Print_Area" localSheetId="12">Расчет!$A$1:$U$40</definedName>
    <definedName name="_xlnm.Print_Area" localSheetId="18">РГК!$A$1:$N$17</definedName>
    <definedName name="_xlnm.Print_Area" localSheetId="20">РД!$A$1:$N$61</definedName>
    <definedName name="ОбщСтажТекст" localSheetId="34">INT(ОбщСтаж/365) &amp; " р " &amp; INT((ОбщСтаж-INT(ОбщСтаж/365)*365)/30) &amp; " м "&amp; ОбщСтаж-INT(ОбщСтаж/365)*365-INT((ОбщСтаж-INT(ОбщСтаж/365)*365)/30)*30 &amp; " дн "</definedName>
    <definedName name="Підріст">КоэфРГК!$H$231:$H$233</definedName>
    <definedName name="Розряд_высот">Коєфициент!$A$2:$A$6</definedName>
    <definedName name="РядТемп" localSheetId="34">{1,1,1,1,1,1,1,1,1,1,1,1,1,1,1,1}</definedName>
    <definedName name="сокрЛісВа">Лісництва!$B$2:$D$7</definedName>
    <definedName name="табКоефРоз">Коєфициент!$C$2:$C$16</definedName>
    <definedName name="табКоефЧерн">Коєфициент!$F$2:$G$6</definedName>
    <definedName name="табНормаВироб">Коєфициент!$B$2:$B$16</definedName>
    <definedName name="табРозВисот">Коєфициент!$A$2:$A$16</definedName>
    <definedName name="ТЕХНІЧНЕ_ЗАВДАННЯ">РГК_кошторис!$A$48:$H$61</definedName>
    <definedName name="Ч_б">0.36</definedName>
  </definedNames>
  <calcPr calcId="162913" calcMode="manual"/>
  <pivotCaches>
    <pivotCache cacheId="0" r:id="rId5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" i="79" l="1"/>
  <c r="H9" i="73" l="1"/>
  <c r="Q63" i="6"/>
  <c r="H63" i="6"/>
  <c r="J4" i="82" l="1"/>
  <c r="K4" i="82"/>
  <c r="I9" i="82" l="1"/>
  <c r="I8" i="82"/>
  <c r="I7" i="82"/>
  <c r="I6" i="82"/>
  <c r="I5" i="82"/>
  <c r="B450" i="80"/>
  <c r="B449" i="80"/>
  <c r="B448" i="80"/>
  <c r="B447" i="80"/>
  <c r="B446" i="80"/>
  <c r="B445" i="80"/>
  <c r="B444" i="80"/>
  <c r="B443" i="80"/>
  <c r="B442" i="80"/>
  <c r="B441" i="80"/>
  <c r="B440" i="80"/>
  <c r="B439" i="80"/>
  <c r="B240" i="80"/>
  <c r="B438" i="80"/>
  <c r="B437" i="80"/>
  <c r="B436" i="80"/>
  <c r="B435" i="80"/>
  <c r="B433" i="80"/>
  <c r="B432" i="80"/>
  <c r="B431" i="80"/>
  <c r="B430" i="80"/>
  <c r="B428" i="80"/>
  <c r="B427" i="80"/>
  <c r="B426" i="80"/>
  <c r="B425" i="80"/>
  <c r="B424" i="80"/>
  <c r="B423" i="80"/>
  <c r="B422" i="80"/>
  <c r="B421" i="80"/>
  <c r="B420" i="80"/>
  <c r="B419" i="80"/>
  <c r="B418" i="80"/>
  <c r="B417" i="80"/>
  <c r="B416" i="80"/>
  <c r="B415" i="80"/>
  <c r="B414" i="80"/>
  <c r="B409" i="80"/>
  <c r="B408" i="80"/>
  <c r="B407" i="80"/>
  <c r="B406" i="80"/>
  <c r="B405" i="80"/>
  <c r="B404" i="80"/>
  <c r="B204" i="80"/>
  <c r="B403" i="80"/>
  <c r="B402" i="80"/>
  <c r="B401" i="80"/>
  <c r="B400" i="80"/>
  <c r="B399" i="80"/>
  <c r="B398" i="80"/>
  <c r="B396" i="80"/>
  <c r="B395" i="80"/>
  <c r="B394" i="80"/>
  <c r="B393" i="80"/>
  <c r="B392" i="80"/>
  <c r="B391" i="80"/>
  <c r="B390" i="80"/>
  <c r="B389" i="80"/>
  <c r="B388" i="80"/>
  <c r="B387" i="80"/>
  <c r="B386" i="80"/>
  <c r="B385" i="80"/>
  <c r="B384" i="80"/>
  <c r="B383" i="80"/>
  <c r="B382" i="80"/>
  <c r="B381" i="80"/>
  <c r="B380" i="80"/>
  <c r="B379" i="80"/>
  <c r="B378" i="80"/>
  <c r="B377" i="80"/>
  <c r="B376" i="80"/>
  <c r="B375" i="80"/>
  <c r="B374" i="80"/>
  <c r="B373" i="80"/>
  <c r="B372" i="80"/>
  <c r="B371" i="80"/>
  <c r="B370" i="80"/>
  <c r="B369" i="80"/>
  <c r="B368" i="80"/>
  <c r="B367" i="80"/>
  <c r="B366" i="80"/>
  <c r="B365" i="80"/>
  <c r="B364" i="80"/>
  <c r="B363" i="80"/>
  <c r="B362" i="80"/>
  <c r="B361" i="80"/>
  <c r="B360" i="80"/>
  <c r="B359" i="80"/>
  <c r="B358" i="80"/>
  <c r="B357" i="80"/>
  <c r="B355" i="80"/>
  <c r="B354" i="80"/>
  <c r="B353" i="80"/>
  <c r="B352" i="80"/>
  <c r="B351" i="80"/>
  <c r="B350" i="80"/>
  <c r="B349" i="80"/>
  <c r="B348" i="80"/>
  <c r="B347" i="80"/>
  <c r="B346" i="80"/>
  <c r="B345" i="80"/>
  <c r="B344" i="80"/>
  <c r="B343" i="80"/>
  <c r="B342" i="80"/>
  <c r="B341" i="80"/>
  <c r="B340" i="80"/>
  <c r="B339" i="80"/>
  <c r="B338" i="80"/>
  <c r="B140" i="80"/>
  <c r="B337" i="80"/>
  <c r="B336" i="80"/>
  <c r="B335" i="80"/>
  <c r="B334" i="80"/>
  <c r="B333" i="80"/>
  <c r="B332" i="80"/>
  <c r="B331" i="80"/>
  <c r="B330" i="80"/>
  <c r="B329" i="80"/>
  <c r="B129" i="80"/>
  <c r="B128" i="80"/>
  <c r="B127" i="80"/>
  <c r="B124" i="80"/>
  <c r="B123" i="80"/>
  <c r="B122" i="80"/>
  <c r="B120" i="80"/>
  <c r="B119" i="80"/>
  <c r="B118" i="80"/>
  <c r="B117" i="80"/>
  <c r="B116" i="80"/>
  <c r="B115" i="80"/>
  <c r="B114" i="80"/>
  <c r="B113" i="80"/>
  <c r="B112" i="80"/>
  <c r="B111" i="80"/>
  <c r="B110" i="80"/>
  <c r="B109" i="80"/>
  <c r="B108" i="80"/>
  <c r="B107" i="80"/>
  <c r="B106" i="80"/>
  <c r="B103" i="80"/>
  <c r="B102" i="80"/>
  <c r="B101" i="80"/>
  <c r="B100" i="80"/>
  <c r="B99" i="80"/>
  <c r="B98" i="80"/>
  <c r="B96" i="80"/>
  <c r="B95" i="80"/>
  <c r="B93" i="80"/>
  <c r="B91" i="80"/>
  <c r="B90" i="80"/>
  <c r="B328" i="80"/>
  <c r="B89" i="80"/>
  <c r="B88" i="80"/>
  <c r="B87" i="80"/>
  <c r="B86" i="80"/>
  <c r="B85" i="80"/>
  <c r="B84" i="80"/>
  <c r="B327" i="80"/>
  <c r="B82" i="80"/>
  <c r="B326" i="80"/>
  <c r="B80" i="80"/>
  <c r="B79" i="80"/>
  <c r="B78" i="80"/>
  <c r="B77" i="80"/>
  <c r="B75" i="80"/>
  <c r="B74" i="80"/>
  <c r="B73" i="80"/>
  <c r="B72" i="80"/>
  <c r="B325" i="80"/>
  <c r="B324" i="80"/>
  <c r="B323" i="80"/>
  <c r="B322" i="80"/>
  <c r="B321" i="80"/>
  <c r="B320" i="80"/>
  <c r="B319" i="80"/>
  <c r="B318" i="80"/>
  <c r="B317" i="80"/>
  <c r="B316" i="80"/>
  <c r="B315" i="80"/>
  <c r="B314" i="80"/>
  <c r="B313" i="80"/>
  <c r="B312" i="80"/>
  <c r="B311" i="80"/>
  <c r="B310" i="80"/>
  <c r="B308" i="80"/>
  <c r="B307" i="80"/>
  <c r="B306" i="80"/>
  <c r="B305" i="80"/>
  <c r="B304" i="80"/>
  <c r="B303" i="80"/>
  <c r="B302" i="80"/>
  <c r="B301" i="80"/>
  <c r="B300" i="80"/>
  <c r="B299" i="80"/>
  <c r="B298" i="80"/>
  <c r="B297" i="80"/>
  <c r="B296" i="80"/>
  <c r="B295" i="80"/>
  <c r="B294" i="80"/>
  <c r="B293" i="80"/>
  <c r="B292" i="80"/>
  <c r="B291" i="80"/>
  <c r="B290" i="80"/>
  <c r="B289" i="80"/>
  <c r="B288" i="80"/>
  <c r="B287" i="80"/>
  <c r="B285" i="80"/>
  <c r="B284" i="80"/>
  <c r="B283" i="80"/>
  <c r="B282" i="80"/>
  <c r="B281" i="80"/>
  <c r="B280" i="80"/>
  <c r="B279" i="80"/>
  <c r="B278" i="80"/>
  <c r="B277" i="80"/>
  <c r="B276" i="80"/>
  <c r="B275" i="80"/>
  <c r="B274" i="80"/>
  <c r="B273" i="80"/>
  <c r="B272" i="80"/>
  <c r="B271" i="80"/>
  <c r="B270" i="80"/>
  <c r="B269" i="80"/>
  <c r="B267" i="80"/>
  <c r="B266" i="80"/>
  <c r="B265" i="80"/>
  <c r="B264" i="80"/>
  <c r="B263" i="80"/>
  <c r="B262" i="80"/>
  <c r="B260" i="80"/>
  <c r="B259" i="80"/>
  <c r="B258" i="80"/>
  <c r="B257" i="80"/>
  <c r="B256" i="80"/>
  <c r="B255" i="80"/>
  <c r="B253" i="80"/>
  <c r="B252" i="80"/>
  <c r="B251" i="80"/>
  <c r="B250" i="80"/>
  <c r="B249" i="80"/>
  <c r="B248" i="80"/>
  <c r="B247" i="80"/>
  <c r="B246" i="80"/>
  <c r="B245" i="80"/>
  <c r="B244" i="80"/>
  <c r="B243" i="80"/>
  <c r="B242" i="80"/>
  <c r="B241" i="80"/>
  <c r="B239" i="80"/>
  <c r="B238" i="80"/>
  <c r="B237" i="80"/>
  <c r="B236" i="80"/>
  <c r="B234" i="80"/>
  <c r="B233" i="80"/>
  <c r="B232" i="80"/>
  <c r="B231" i="80"/>
  <c r="B229" i="80"/>
  <c r="B228" i="80"/>
  <c r="B227" i="80"/>
  <c r="B226" i="80"/>
  <c r="B225" i="80"/>
  <c r="B224" i="80"/>
  <c r="B223" i="80"/>
  <c r="B222" i="80"/>
  <c r="B221" i="80"/>
  <c r="B220" i="80"/>
  <c r="B219" i="80"/>
  <c r="B218" i="80"/>
  <c r="B217" i="80"/>
  <c r="B216" i="80"/>
  <c r="B215" i="80"/>
  <c r="B210" i="80"/>
  <c r="B209" i="80"/>
  <c r="B208" i="80"/>
  <c r="B207" i="80"/>
  <c r="B206" i="80"/>
  <c r="B205" i="80"/>
  <c r="B203" i="80"/>
  <c r="B202" i="80"/>
  <c r="B201" i="80"/>
  <c r="B200" i="80"/>
  <c r="B199" i="80"/>
  <c r="B198" i="80"/>
  <c r="B196" i="80"/>
  <c r="B195" i="80"/>
  <c r="B194" i="80"/>
  <c r="B193" i="80"/>
  <c r="B192" i="80"/>
  <c r="B191" i="80"/>
  <c r="B190" i="80"/>
  <c r="B189" i="80"/>
  <c r="B188" i="80"/>
  <c r="B187" i="80"/>
  <c r="B186" i="80"/>
  <c r="B185" i="80"/>
  <c r="B184" i="80"/>
  <c r="B183" i="80"/>
  <c r="B182" i="80"/>
  <c r="B181" i="80"/>
  <c r="B180" i="80"/>
  <c r="B179" i="80"/>
  <c r="B178" i="80"/>
  <c r="B177" i="80"/>
  <c r="B176" i="80"/>
  <c r="B175" i="80"/>
  <c r="B174" i="80"/>
  <c r="B173" i="80"/>
  <c r="B172" i="80"/>
  <c r="B171" i="80"/>
  <c r="B170" i="80"/>
  <c r="B169" i="80"/>
  <c r="B168" i="80"/>
  <c r="B167" i="80"/>
  <c r="B166" i="80"/>
  <c r="B165" i="80"/>
  <c r="B164" i="80"/>
  <c r="B163" i="80"/>
  <c r="B162" i="80"/>
  <c r="B161" i="80"/>
  <c r="B160" i="80"/>
  <c r="B158" i="80"/>
  <c r="B157" i="80"/>
  <c r="B156" i="80"/>
  <c r="B155" i="80"/>
  <c r="B154" i="80"/>
  <c r="B153" i="80"/>
  <c r="B152" i="80"/>
  <c r="B151" i="80"/>
  <c r="B150" i="80"/>
  <c r="B149" i="80"/>
  <c r="B148" i="80"/>
  <c r="B147" i="80"/>
  <c r="B146" i="80"/>
  <c r="B145" i="80"/>
  <c r="B144" i="80"/>
  <c r="B143" i="80"/>
  <c r="B142" i="80"/>
  <c r="B141" i="80"/>
  <c r="B139" i="80"/>
  <c r="B138" i="80"/>
  <c r="B137" i="80"/>
  <c r="B136" i="80"/>
  <c r="B135" i="80"/>
  <c r="B134" i="80"/>
  <c r="B133" i="80"/>
  <c r="B132" i="80"/>
  <c r="B131" i="80"/>
  <c r="B71" i="80"/>
  <c r="B70" i="80"/>
  <c r="B69" i="80"/>
  <c r="B68" i="80"/>
  <c r="B67" i="80"/>
  <c r="B66" i="80"/>
  <c r="B65" i="80"/>
  <c r="B64" i="80"/>
  <c r="B63" i="80"/>
  <c r="B62" i="80"/>
  <c r="B61" i="80"/>
  <c r="B60" i="80"/>
  <c r="B59" i="80"/>
  <c r="B58" i="80"/>
  <c r="B57" i="80"/>
  <c r="B54" i="80"/>
  <c r="B53" i="80"/>
  <c r="B52" i="80"/>
  <c r="B51" i="80"/>
  <c r="B48" i="80"/>
  <c r="B47" i="80"/>
  <c r="B46" i="80"/>
  <c r="B44" i="80"/>
  <c r="B43" i="80"/>
  <c r="B42" i="80"/>
  <c r="B41" i="80"/>
  <c r="B40" i="80"/>
  <c r="B39" i="80"/>
  <c r="B38" i="80"/>
  <c r="B37" i="80"/>
  <c r="B36" i="80"/>
  <c r="B35" i="80"/>
  <c r="B34" i="80"/>
  <c r="B33" i="80"/>
  <c r="B31" i="80"/>
  <c r="B30" i="80"/>
  <c r="B29" i="80"/>
  <c r="B28" i="80"/>
  <c r="B27" i="80"/>
  <c r="B26" i="80"/>
  <c r="B25" i="80"/>
  <c r="B24" i="80"/>
  <c r="B23" i="80"/>
  <c r="B22" i="80"/>
  <c r="B21" i="80"/>
  <c r="B15" i="80"/>
  <c r="B13" i="80"/>
  <c r="B12" i="80"/>
  <c r="B11" i="80"/>
  <c r="B10" i="80"/>
  <c r="B8" i="80"/>
  <c r="B7" i="80"/>
  <c r="B6" i="80"/>
  <c r="B3" i="80"/>
  <c r="B17" i="80"/>
  <c r="B56" i="80"/>
  <c r="E40" i="5" l="1"/>
  <c r="E36" i="5"/>
  <c r="N1" i="79"/>
  <c r="XFD39" i="5"/>
  <c r="XEY39" i="5"/>
  <c r="XEX39" i="5"/>
  <c r="XEW39" i="5"/>
  <c r="XEN39" i="5"/>
  <c r="XEI39" i="5"/>
  <c r="XEH39" i="5"/>
  <c r="XEG39" i="5"/>
  <c r="XDX39" i="5"/>
  <c r="XDS39" i="5"/>
  <c r="XDR39" i="5"/>
  <c r="XDQ39" i="5"/>
  <c r="XDH39" i="5"/>
  <c r="XDC39" i="5"/>
  <c r="XDB39" i="5"/>
  <c r="XDA39" i="5"/>
  <c r="XCR39" i="5"/>
  <c r="XCM39" i="5"/>
  <c r="XCL39" i="5"/>
  <c r="XCK39" i="5"/>
  <c r="XCB39" i="5"/>
  <c r="XBW39" i="5"/>
  <c r="XBV39" i="5"/>
  <c r="XBU39" i="5"/>
  <c r="XBL39" i="5"/>
  <c r="XBG39" i="5"/>
  <c r="XBF39" i="5"/>
  <c r="XBE39" i="5"/>
  <c r="XAV39" i="5"/>
  <c r="XAQ39" i="5"/>
  <c r="XAP39" i="5"/>
  <c r="XAO39" i="5"/>
  <c r="XAF39" i="5"/>
  <c r="XAA39" i="5"/>
  <c r="WZZ39" i="5"/>
  <c r="WZY39" i="5"/>
  <c r="WZP39" i="5"/>
  <c r="WZK39" i="5"/>
  <c r="WZJ39" i="5"/>
  <c r="WZI39" i="5"/>
  <c r="WYZ39" i="5"/>
  <c r="WYU39" i="5"/>
  <c r="WYT39" i="5"/>
  <c r="WYS39" i="5"/>
  <c r="WYJ39" i="5"/>
  <c r="WYE39" i="5"/>
  <c r="WYD39" i="5"/>
  <c r="WYC39" i="5"/>
  <c r="WXT39" i="5"/>
  <c r="WXO39" i="5"/>
  <c r="WXN39" i="5"/>
  <c r="WXM39" i="5"/>
  <c r="WXD39" i="5"/>
  <c r="WWY39" i="5"/>
  <c r="WWX39" i="5"/>
  <c r="WWW39" i="5"/>
  <c r="WWN39" i="5"/>
  <c r="WWI39" i="5"/>
  <c r="WWH39" i="5"/>
  <c r="WWG39" i="5"/>
  <c r="WVX39" i="5"/>
  <c r="WVS39" i="5"/>
  <c r="WVR39" i="5"/>
  <c r="WVQ39" i="5"/>
  <c r="WVH39" i="5"/>
  <c r="WVC39" i="5"/>
  <c r="WVB39" i="5"/>
  <c r="WVA39" i="5"/>
  <c r="WUR39" i="5"/>
  <c r="WUM39" i="5"/>
  <c r="WUL39" i="5"/>
  <c r="WUK39" i="5"/>
  <c r="WUB39" i="5"/>
  <c r="WTW39" i="5"/>
  <c r="WTV39" i="5"/>
  <c r="WTU39" i="5"/>
  <c r="WTL39" i="5"/>
  <c r="WTG39" i="5"/>
  <c r="WTF39" i="5"/>
  <c r="WTE39" i="5"/>
  <c r="WSV39" i="5"/>
  <c r="WSQ39" i="5"/>
  <c r="WSP39" i="5"/>
  <c r="WSO39" i="5"/>
  <c r="WSF39" i="5"/>
  <c r="WSA39" i="5"/>
  <c r="WRZ39" i="5"/>
  <c r="WRY39" i="5"/>
  <c r="WRP39" i="5"/>
  <c r="WRK39" i="5"/>
  <c r="WRJ39" i="5"/>
  <c r="WRI39" i="5"/>
  <c r="WQZ39" i="5"/>
  <c r="WQU39" i="5"/>
  <c r="WQT39" i="5"/>
  <c r="WQS39" i="5"/>
  <c r="WQJ39" i="5"/>
  <c r="WQE39" i="5"/>
  <c r="WQD39" i="5"/>
  <c r="WQC39" i="5"/>
  <c r="WPT39" i="5"/>
  <c r="WPO39" i="5"/>
  <c r="WPN39" i="5"/>
  <c r="WPM39" i="5"/>
  <c r="WPD39" i="5"/>
  <c r="WOY39" i="5"/>
  <c r="WOX39" i="5"/>
  <c r="WOW39" i="5"/>
  <c r="WON39" i="5"/>
  <c r="WOI39" i="5"/>
  <c r="WOH39" i="5"/>
  <c r="WOG39" i="5"/>
  <c r="WNX39" i="5"/>
  <c r="WNS39" i="5"/>
  <c r="WNR39" i="5"/>
  <c r="WNQ39" i="5"/>
  <c r="WNH39" i="5"/>
  <c r="WNC39" i="5"/>
  <c r="WNB39" i="5"/>
  <c r="WNA39" i="5"/>
  <c r="WMR39" i="5"/>
  <c r="WMM39" i="5"/>
  <c r="WML39" i="5"/>
  <c r="WMK39" i="5"/>
  <c r="WMB39" i="5"/>
  <c r="WLW39" i="5"/>
  <c r="WLV39" i="5"/>
  <c r="WLU39" i="5"/>
  <c r="WLL39" i="5"/>
  <c r="WLG39" i="5"/>
  <c r="WLF39" i="5"/>
  <c r="WLE39" i="5"/>
  <c r="WKV39" i="5"/>
  <c r="WKQ39" i="5"/>
  <c r="WKP39" i="5"/>
  <c r="WKO39" i="5"/>
  <c r="WKF39" i="5"/>
  <c r="WKA39" i="5"/>
  <c r="WJZ39" i="5"/>
  <c r="WJY39" i="5"/>
  <c r="WJP39" i="5"/>
  <c r="WJK39" i="5"/>
  <c r="WJJ39" i="5"/>
  <c r="WJI39" i="5"/>
  <c r="WIZ39" i="5"/>
  <c r="WIU39" i="5"/>
  <c r="WIT39" i="5"/>
  <c r="WIS39" i="5"/>
  <c r="WIJ39" i="5"/>
  <c r="WIE39" i="5"/>
  <c r="WID39" i="5"/>
  <c r="WIC39" i="5"/>
  <c r="WHT39" i="5"/>
  <c r="WHO39" i="5"/>
  <c r="WHN39" i="5"/>
  <c r="WHM39" i="5"/>
  <c r="WHD39" i="5"/>
  <c r="WGY39" i="5"/>
  <c r="WGX39" i="5"/>
  <c r="WGW39" i="5"/>
  <c r="WGN39" i="5"/>
  <c r="WGI39" i="5"/>
  <c r="WGH39" i="5"/>
  <c r="WGG39" i="5"/>
  <c r="WFX39" i="5"/>
  <c r="WFS39" i="5"/>
  <c r="WFR39" i="5"/>
  <c r="WFQ39" i="5"/>
  <c r="WFH39" i="5"/>
  <c r="WFC39" i="5"/>
  <c r="WFB39" i="5"/>
  <c r="WFA39" i="5"/>
  <c r="WER39" i="5"/>
  <c r="WEM39" i="5"/>
  <c r="WEL39" i="5"/>
  <c r="WEK39" i="5"/>
  <c r="WEB39" i="5"/>
  <c r="WDW39" i="5"/>
  <c r="WDV39" i="5"/>
  <c r="WDU39" i="5"/>
  <c r="WDL39" i="5"/>
  <c r="WDG39" i="5"/>
  <c r="WDF39" i="5"/>
  <c r="WDE39" i="5"/>
  <c r="WCV39" i="5"/>
  <c r="WCQ39" i="5"/>
  <c r="WCP39" i="5"/>
  <c r="WCO39" i="5"/>
  <c r="WCF39" i="5"/>
  <c r="WCA39" i="5"/>
  <c r="WBZ39" i="5"/>
  <c r="WBY39" i="5"/>
  <c r="WBP39" i="5"/>
  <c r="WBK39" i="5"/>
  <c r="WBJ39" i="5"/>
  <c r="WBI39" i="5"/>
  <c r="WAZ39" i="5"/>
  <c r="WAU39" i="5"/>
  <c r="WAT39" i="5"/>
  <c r="WAS39" i="5"/>
  <c r="WAJ39" i="5"/>
  <c r="WAE39" i="5"/>
  <c r="WAD39" i="5"/>
  <c r="WAC39" i="5"/>
  <c r="VZT39" i="5"/>
  <c r="VZO39" i="5"/>
  <c r="VZN39" i="5"/>
  <c r="VZM39" i="5"/>
  <c r="VZD39" i="5"/>
  <c r="VYY39" i="5"/>
  <c r="VYX39" i="5"/>
  <c r="VYW39" i="5"/>
  <c r="VYN39" i="5"/>
  <c r="VYI39" i="5"/>
  <c r="VYH39" i="5"/>
  <c r="VYG39" i="5"/>
  <c r="VXX39" i="5"/>
  <c r="VXS39" i="5"/>
  <c r="VXR39" i="5"/>
  <c r="VXQ39" i="5"/>
  <c r="VXH39" i="5"/>
  <c r="VXC39" i="5"/>
  <c r="VXB39" i="5"/>
  <c r="VXA39" i="5"/>
  <c r="VWR39" i="5"/>
  <c r="VWM39" i="5"/>
  <c r="VWL39" i="5"/>
  <c r="VWK39" i="5"/>
  <c r="VWB39" i="5"/>
  <c r="VVW39" i="5"/>
  <c r="VVV39" i="5"/>
  <c r="VVU39" i="5"/>
  <c r="VVL39" i="5"/>
  <c r="VVG39" i="5"/>
  <c r="VVF39" i="5"/>
  <c r="VVE39" i="5"/>
  <c r="VUV39" i="5"/>
  <c r="VUQ39" i="5"/>
  <c r="VUP39" i="5"/>
  <c r="VUO39" i="5"/>
  <c r="VUF39" i="5"/>
  <c r="VUA39" i="5"/>
  <c r="VTZ39" i="5"/>
  <c r="VTY39" i="5"/>
  <c r="VTP39" i="5"/>
  <c r="VTK39" i="5"/>
  <c r="VTJ39" i="5"/>
  <c r="VTI39" i="5"/>
  <c r="VSZ39" i="5"/>
  <c r="VSU39" i="5"/>
  <c r="VST39" i="5"/>
  <c r="VSS39" i="5"/>
  <c r="VSJ39" i="5"/>
  <c r="VSE39" i="5"/>
  <c r="VSD39" i="5"/>
  <c r="VSC39" i="5"/>
  <c r="VRT39" i="5"/>
  <c r="VRO39" i="5"/>
  <c r="VRN39" i="5"/>
  <c r="VRM39" i="5"/>
  <c r="VRD39" i="5"/>
  <c r="VQY39" i="5"/>
  <c r="VQX39" i="5"/>
  <c r="VQW39" i="5"/>
  <c r="VQN39" i="5"/>
  <c r="VQI39" i="5"/>
  <c r="VQH39" i="5"/>
  <c r="VQG39" i="5"/>
  <c r="VPX39" i="5"/>
  <c r="VPS39" i="5"/>
  <c r="VPR39" i="5"/>
  <c r="VPQ39" i="5"/>
  <c r="VPH39" i="5"/>
  <c r="VPC39" i="5"/>
  <c r="VPB39" i="5"/>
  <c r="VPA39" i="5"/>
  <c r="VOR39" i="5"/>
  <c r="VOM39" i="5"/>
  <c r="VOL39" i="5"/>
  <c r="VOK39" i="5"/>
  <c r="VOB39" i="5"/>
  <c r="VNW39" i="5"/>
  <c r="VNV39" i="5"/>
  <c r="VNU39" i="5"/>
  <c r="VNL39" i="5"/>
  <c r="VNG39" i="5"/>
  <c r="VNF39" i="5"/>
  <c r="VNE39" i="5"/>
  <c r="VMV39" i="5"/>
  <c r="VMQ39" i="5"/>
  <c r="VMP39" i="5"/>
  <c r="VMO39" i="5"/>
  <c r="VMF39" i="5"/>
  <c r="VMA39" i="5"/>
  <c r="VLZ39" i="5"/>
  <c r="VLY39" i="5"/>
  <c r="VLP39" i="5"/>
  <c r="VLK39" i="5"/>
  <c r="VLJ39" i="5"/>
  <c r="VLI39" i="5"/>
  <c r="VKZ39" i="5"/>
  <c r="VKU39" i="5"/>
  <c r="VKT39" i="5"/>
  <c r="VKS39" i="5"/>
  <c r="VKJ39" i="5"/>
  <c r="VKE39" i="5"/>
  <c r="VKD39" i="5"/>
  <c r="VKC39" i="5"/>
  <c r="VJT39" i="5"/>
  <c r="VJO39" i="5"/>
  <c r="VJN39" i="5"/>
  <c r="VJM39" i="5"/>
  <c r="VJD39" i="5"/>
  <c r="VIY39" i="5"/>
  <c r="VIX39" i="5"/>
  <c r="VIW39" i="5"/>
  <c r="VIN39" i="5"/>
  <c r="VII39" i="5"/>
  <c r="VIH39" i="5"/>
  <c r="VIG39" i="5"/>
  <c r="VHX39" i="5"/>
  <c r="VHS39" i="5"/>
  <c r="VHR39" i="5"/>
  <c r="VHQ39" i="5"/>
  <c r="VHH39" i="5"/>
  <c r="VHC39" i="5"/>
  <c r="VHB39" i="5"/>
  <c r="VHA39" i="5"/>
  <c r="VGR39" i="5"/>
  <c r="VGM39" i="5"/>
  <c r="VGL39" i="5"/>
  <c r="VGK39" i="5"/>
  <c r="VGB39" i="5"/>
  <c r="VFW39" i="5"/>
  <c r="VFV39" i="5"/>
  <c r="VFU39" i="5"/>
  <c r="VFL39" i="5"/>
  <c r="VFG39" i="5"/>
  <c r="VFF39" i="5"/>
  <c r="VFE39" i="5"/>
  <c r="VEV39" i="5"/>
  <c r="VEQ39" i="5"/>
  <c r="VEP39" i="5"/>
  <c r="VEO39" i="5"/>
  <c r="VEF39" i="5"/>
  <c r="VEA39" i="5"/>
  <c r="VDZ39" i="5"/>
  <c r="VDY39" i="5"/>
  <c r="VDP39" i="5"/>
  <c r="VDK39" i="5"/>
  <c r="VDJ39" i="5"/>
  <c r="VDI39" i="5"/>
  <c r="VCZ39" i="5"/>
  <c r="VCU39" i="5"/>
  <c r="VCT39" i="5"/>
  <c r="VCS39" i="5"/>
  <c r="VCJ39" i="5"/>
  <c r="VCE39" i="5"/>
  <c r="VCD39" i="5"/>
  <c r="VCC39" i="5"/>
  <c r="VBT39" i="5"/>
  <c r="VBO39" i="5"/>
  <c r="VBN39" i="5"/>
  <c r="VBM39" i="5"/>
  <c r="VBD39" i="5"/>
  <c r="VAY39" i="5"/>
  <c r="VAX39" i="5"/>
  <c r="VAW39" i="5"/>
  <c r="VAN39" i="5"/>
  <c r="VAI39" i="5"/>
  <c r="VAH39" i="5"/>
  <c r="VAG39" i="5"/>
  <c r="UZX39" i="5"/>
  <c r="UZS39" i="5"/>
  <c r="UZR39" i="5"/>
  <c r="UZQ39" i="5"/>
  <c r="UZH39" i="5"/>
  <c r="UZC39" i="5"/>
  <c r="UZB39" i="5"/>
  <c r="UZA39" i="5"/>
  <c r="UYR39" i="5"/>
  <c r="UYM39" i="5"/>
  <c r="UYL39" i="5"/>
  <c r="UYK39" i="5"/>
  <c r="UYB39" i="5"/>
  <c r="UXW39" i="5"/>
  <c r="UXV39" i="5"/>
  <c r="UXU39" i="5"/>
  <c r="UXL39" i="5"/>
  <c r="UXG39" i="5"/>
  <c r="UXF39" i="5"/>
  <c r="UXE39" i="5"/>
  <c r="UWV39" i="5"/>
  <c r="UWQ39" i="5"/>
  <c r="UWP39" i="5"/>
  <c r="UWO39" i="5"/>
  <c r="UWF39" i="5"/>
  <c r="UWA39" i="5"/>
  <c r="UVZ39" i="5"/>
  <c r="UVY39" i="5"/>
  <c r="UVP39" i="5"/>
  <c r="UVK39" i="5"/>
  <c r="UVJ39" i="5"/>
  <c r="UVI39" i="5"/>
  <c r="UUZ39" i="5"/>
  <c r="UUU39" i="5"/>
  <c r="UUT39" i="5"/>
  <c r="UUS39" i="5"/>
  <c r="UUJ39" i="5"/>
  <c r="UUE39" i="5"/>
  <c r="UUD39" i="5"/>
  <c r="UUC39" i="5"/>
  <c r="UTT39" i="5"/>
  <c r="UTO39" i="5"/>
  <c r="UTN39" i="5"/>
  <c r="UTM39" i="5"/>
  <c r="UTD39" i="5"/>
  <c r="USY39" i="5"/>
  <c r="USX39" i="5"/>
  <c r="USW39" i="5"/>
  <c r="USN39" i="5"/>
  <c r="USI39" i="5"/>
  <c r="USH39" i="5"/>
  <c r="USG39" i="5"/>
  <c r="URX39" i="5"/>
  <c r="URS39" i="5"/>
  <c r="URR39" i="5"/>
  <c r="URQ39" i="5"/>
  <c r="URH39" i="5"/>
  <c r="URC39" i="5"/>
  <c r="URB39" i="5"/>
  <c r="URA39" i="5"/>
  <c r="UQR39" i="5"/>
  <c r="UQM39" i="5"/>
  <c r="UQL39" i="5"/>
  <c r="UQK39" i="5"/>
  <c r="UQB39" i="5"/>
  <c r="UPW39" i="5"/>
  <c r="UPV39" i="5"/>
  <c r="UPU39" i="5"/>
  <c r="UPL39" i="5"/>
  <c r="UPG39" i="5"/>
  <c r="UPF39" i="5"/>
  <c r="UPE39" i="5"/>
  <c r="UOV39" i="5"/>
  <c r="UOQ39" i="5"/>
  <c r="UOP39" i="5"/>
  <c r="UOO39" i="5"/>
  <c r="UOF39" i="5"/>
  <c r="UOA39" i="5"/>
  <c r="UNZ39" i="5"/>
  <c r="UNY39" i="5"/>
  <c r="UNP39" i="5"/>
  <c r="UNK39" i="5"/>
  <c r="UNJ39" i="5"/>
  <c r="UNI39" i="5"/>
  <c r="UMZ39" i="5"/>
  <c r="UMU39" i="5"/>
  <c r="UMT39" i="5"/>
  <c r="UMS39" i="5"/>
  <c r="UMJ39" i="5"/>
  <c r="UME39" i="5"/>
  <c r="UMD39" i="5"/>
  <c r="UMC39" i="5"/>
  <c r="ULT39" i="5"/>
  <c r="ULO39" i="5"/>
  <c r="ULN39" i="5"/>
  <c r="ULM39" i="5"/>
  <c r="ULD39" i="5"/>
  <c r="UKY39" i="5"/>
  <c r="UKX39" i="5"/>
  <c r="UKW39" i="5"/>
  <c r="UKN39" i="5"/>
  <c r="UKI39" i="5"/>
  <c r="UKH39" i="5"/>
  <c r="UKG39" i="5"/>
  <c r="UJX39" i="5"/>
  <c r="UJS39" i="5"/>
  <c r="UJR39" i="5"/>
  <c r="UJQ39" i="5"/>
  <c r="UJH39" i="5"/>
  <c r="UJC39" i="5"/>
  <c r="UJB39" i="5"/>
  <c r="UJA39" i="5"/>
  <c r="UIR39" i="5"/>
  <c r="UIM39" i="5"/>
  <c r="UIL39" i="5"/>
  <c r="UIK39" i="5"/>
  <c r="UIB39" i="5"/>
  <c r="UHW39" i="5"/>
  <c r="UHV39" i="5"/>
  <c r="UHU39" i="5"/>
  <c r="UHL39" i="5"/>
  <c r="UHG39" i="5"/>
  <c r="UHF39" i="5"/>
  <c r="UHE39" i="5"/>
  <c r="UGV39" i="5"/>
  <c r="UGQ39" i="5"/>
  <c r="UGP39" i="5"/>
  <c r="UGO39" i="5"/>
  <c r="UGF39" i="5"/>
  <c r="UGA39" i="5"/>
  <c r="UFZ39" i="5"/>
  <c r="UFY39" i="5"/>
  <c r="UFP39" i="5"/>
  <c r="UFK39" i="5"/>
  <c r="UFJ39" i="5"/>
  <c r="UFI39" i="5"/>
  <c r="UEZ39" i="5"/>
  <c r="UEU39" i="5"/>
  <c r="UET39" i="5"/>
  <c r="UES39" i="5"/>
  <c r="UEJ39" i="5"/>
  <c r="UEE39" i="5"/>
  <c r="UED39" i="5"/>
  <c r="UEC39" i="5"/>
  <c r="UDT39" i="5"/>
  <c r="UDO39" i="5"/>
  <c r="UDN39" i="5"/>
  <c r="UDM39" i="5"/>
  <c r="UDD39" i="5"/>
  <c r="UCY39" i="5"/>
  <c r="UCX39" i="5"/>
  <c r="UCW39" i="5"/>
  <c r="UCN39" i="5"/>
  <c r="UCI39" i="5"/>
  <c r="UCH39" i="5"/>
  <c r="UCG39" i="5"/>
  <c r="UBX39" i="5"/>
  <c r="UBS39" i="5"/>
  <c r="UBR39" i="5"/>
  <c r="UBQ39" i="5"/>
  <c r="UBH39" i="5"/>
  <c r="UBC39" i="5"/>
  <c r="UBB39" i="5"/>
  <c r="UBA39" i="5"/>
  <c r="UAR39" i="5"/>
  <c r="UAM39" i="5"/>
  <c r="UAL39" i="5"/>
  <c r="UAK39" i="5"/>
  <c r="UAB39" i="5"/>
  <c r="TZW39" i="5"/>
  <c r="TZV39" i="5"/>
  <c r="TZU39" i="5"/>
  <c r="TZL39" i="5"/>
  <c r="TZG39" i="5"/>
  <c r="TZF39" i="5"/>
  <c r="TZE39" i="5"/>
  <c r="TYV39" i="5"/>
  <c r="TYQ39" i="5"/>
  <c r="TYP39" i="5"/>
  <c r="TYO39" i="5"/>
  <c r="TYF39" i="5"/>
  <c r="TYA39" i="5"/>
  <c r="TXZ39" i="5"/>
  <c r="TXY39" i="5"/>
  <c r="TXP39" i="5"/>
  <c r="TXK39" i="5"/>
  <c r="TXJ39" i="5"/>
  <c r="TXI39" i="5"/>
  <c r="TWZ39" i="5"/>
  <c r="TWU39" i="5"/>
  <c r="TWT39" i="5"/>
  <c r="TWS39" i="5"/>
  <c r="TWJ39" i="5"/>
  <c r="TWE39" i="5"/>
  <c r="TWD39" i="5"/>
  <c r="TWC39" i="5"/>
  <c r="TVT39" i="5"/>
  <c r="TVO39" i="5"/>
  <c r="TVN39" i="5"/>
  <c r="TVM39" i="5"/>
  <c r="TVD39" i="5"/>
  <c r="TUY39" i="5"/>
  <c r="TUX39" i="5"/>
  <c r="TUW39" i="5"/>
  <c r="TUN39" i="5"/>
  <c r="TUI39" i="5"/>
  <c r="TUH39" i="5"/>
  <c r="TUG39" i="5"/>
  <c r="TTX39" i="5"/>
  <c r="TTS39" i="5"/>
  <c r="TTR39" i="5"/>
  <c r="TTQ39" i="5"/>
  <c r="TTH39" i="5"/>
  <c r="TTC39" i="5"/>
  <c r="TTB39" i="5"/>
  <c r="TTA39" i="5"/>
  <c r="TSR39" i="5"/>
  <c r="TSM39" i="5"/>
  <c r="TSL39" i="5"/>
  <c r="TSK39" i="5"/>
  <c r="TSB39" i="5"/>
  <c r="TRW39" i="5"/>
  <c r="TRV39" i="5"/>
  <c r="TRU39" i="5"/>
  <c r="TRL39" i="5"/>
  <c r="TRG39" i="5"/>
  <c r="TRF39" i="5"/>
  <c r="TRE39" i="5"/>
  <c r="TQV39" i="5"/>
  <c r="TQQ39" i="5"/>
  <c r="TQP39" i="5"/>
  <c r="TQO39" i="5"/>
  <c r="TQF39" i="5"/>
  <c r="TQA39" i="5"/>
  <c r="TPZ39" i="5"/>
  <c r="TPY39" i="5"/>
  <c r="TPP39" i="5"/>
  <c r="TPK39" i="5"/>
  <c r="TPJ39" i="5"/>
  <c r="TPI39" i="5"/>
  <c r="TOZ39" i="5"/>
  <c r="TOU39" i="5"/>
  <c r="TOT39" i="5"/>
  <c r="TOS39" i="5"/>
  <c r="TOJ39" i="5"/>
  <c r="TOE39" i="5"/>
  <c r="TOD39" i="5"/>
  <c r="TOC39" i="5"/>
  <c r="TNT39" i="5"/>
  <c r="TNO39" i="5"/>
  <c r="TNN39" i="5"/>
  <c r="TNM39" i="5"/>
  <c r="TND39" i="5"/>
  <c r="TMY39" i="5"/>
  <c r="TMX39" i="5"/>
  <c r="TMW39" i="5"/>
  <c r="TMN39" i="5"/>
  <c r="TMI39" i="5"/>
  <c r="TMH39" i="5"/>
  <c r="TMG39" i="5"/>
  <c r="TLX39" i="5"/>
  <c r="TLS39" i="5"/>
  <c r="TLR39" i="5"/>
  <c r="TLQ39" i="5"/>
  <c r="TLH39" i="5"/>
  <c r="TLC39" i="5"/>
  <c r="TLB39" i="5"/>
  <c r="TLA39" i="5"/>
  <c r="TKR39" i="5"/>
  <c r="TKM39" i="5"/>
  <c r="TKL39" i="5"/>
  <c r="TKK39" i="5"/>
  <c r="TKB39" i="5"/>
  <c r="TJW39" i="5"/>
  <c r="TJV39" i="5"/>
  <c r="TJU39" i="5"/>
  <c r="TJL39" i="5"/>
  <c r="TJG39" i="5"/>
  <c r="TJF39" i="5"/>
  <c r="TJE39" i="5"/>
  <c r="TIV39" i="5"/>
  <c r="TIQ39" i="5"/>
  <c r="TIP39" i="5"/>
  <c r="TIO39" i="5"/>
  <c r="TIF39" i="5"/>
  <c r="TIA39" i="5"/>
  <c r="THZ39" i="5"/>
  <c r="THY39" i="5"/>
  <c r="THP39" i="5"/>
  <c r="THK39" i="5"/>
  <c r="THJ39" i="5"/>
  <c r="THI39" i="5"/>
  <c r="TGZ39" i="5"/>
  <c r="TGU39" i="5"/>
  <c r="TGT39" i="5"/>
  <c r="TGS39" i="5"/>
  <c r="TGJ39" i="5"/>
  <c r="TGE39" i="5"/>
  <c r="TGD39" i="5"/>
  <c r="TGC39" i="5"/>
  <c r="TFT39" i="5"/>
  <c r="TFO39" i="5"/>
  <c r="TFN39" i="5"/>
  <c r="TFM39" i="5"/>
  <c r="TFD39" i="5"/>
  <c r="TEY39" i="5"/>
  <c r="TEX39" i="5"/>
  <c r="TEW39" i="5"/>
  <c r="TEN39" i="5"/>
  <c r="TEI39" i="5"/>
  <c r="TEH39" i="5"/>
  <c r="TEG39" i="5"/>
  <c r="TDX39" i="5"/>
  <c r="TDS39" i="5"/>
  <c r="TDR39" i="5"/>
  <c r="TDQ39" i="5"/>
  <c r="TDH39" i="5"/>
  <c r="TDC39" i="5"/>
  <c r="TDB39" i="5"/>
  <c r="TDA39" i="5"/>
  <c r="TCR39" i="5"/>
  <c r="TCM39" i="5"/>
  <c r="TCL39" i="5"/>
  <c r="TCK39" i="5"/>
  <c r="TCB39" i="5"/>
  <c r="TBW39" i="5"/>
  <c r="TBV39" i="5"/>
  <c r="TBU39" i="5"/>
  <c r="TBL39" i="5"/>
  <c r="TBG39" i="5"/>
  <c r="TBF39" i="5"/>
  <c r="TBE39" i="5"/>
  <c r="TAV39" i="5"/>
  <c r="TAQ39" i="5"/>
  <c r="TAP39" i="5"/>
  <c r="TAO39" i="5"/>
  <c r="TAF39" i="5"/>
  <c r="TAA39" i="5"/>
  <c r="SZZ39" i="5"/>
  <c r="SZY39" i="5"/>
  <c r="SZP39" i="5"/>
  <c r="SZK39" i="5"/>
  <c r="SZJ39" i="5"/>
  <c r="SZI39" i="5"/>
  <c r="SYZ39" i="5"/>
  <c r="SYU39" i="5"/>
  <c r="SYT39" i="5"/>
  <c r="SYS39" i="5"/>
  <c r="SYJ39" i="5"/>
  <c r="SYE39" i="5"/>
  <c r="SYD39" i="5"/>
  <c r="SYC39" i="5"/>
  <c r="SXT39" i="5"/>
  <c r="SXO39" i="5"/>
  <c r="SXN39" i="5"/>
  <c r="SXM39" i="5"/>
  <c r="SXD39" i="5"/>
  <c r="SWY39" i="5"/>
  <c r="SWX39" i="5"/>
  <c r="SWW39" i="5"/>
  <c r="SWN39" i="5"/>
  <c r="SWI39" i="5"/>
  <c r="SWH39" i="5"/>
  <c r="SWG39" i="5"/>
  <c r="SVX39" i="5"/>
  <c r="SVS39" i="5"/>
  <c r="SVR39" i="5"/>
  <c r="SVQ39" i="5"/>
  <c r="SVH39" i="5"/>
  <c r="SVC39" i="5"/>
  <c r="SVB39" i="5"/>
  <c r="SVA39" i="5"/>
  <c r="SUR39" i="5"/>
  <c r="SUM39" i="5"/>
  <c r="SUL39" i="5"/>
  <c r="SUK39" i="5"/>
  <c r="SUB39" i="5"/>
  <c r="STW39" i="5"/>
  <c r="STV39" i="5"/>
  <c r="STU39" i="5"/>
  <c r="STL39" i="5"/>
  <c r="STG39" i="5"/>
  <c r="STF39" i="5"/>
  <c r="STE39" i="5"/>
  <c r="SSV39" i="5"/>
  <c r="SSQ39" i="5"/>
  <c r="SSP39" i="5"/>
  <c r="SSO39" i="5"/>
  <c r="SSF39" i="5"/>
  <c r="SSA39" i="5"/>
  <c r="SRZ39" i="5"/>
  <c r="SRY39" i="5"/>
  <c r="SRP39" i="5"/>
  <c r="SRK39" i="5"/>
  <c r="SRJ39" i="5"/>
  <c r="SRI39" i="5"/>
  <c r="SQZ39" i="5"/>
  <c r="SQU39" i="5"/>
  <c r="SQT39" i="5"/>
  <c r="SQS39" i="5"/>
  <c r="SQJ39" i="5"/>
  <c r="SQE39" i="5"/>
  <c r="SQD39" i="5"/>
  <c r="SQC39" i="5"/>
  <c r="SPT39" i="5"/>
  <c r="SPO39" i="5"/>
  <c r="SPN39" i="5"/>
  <c r="SPM39" i="5"/>
  <c r="SPD39" i="5"/>
  <c r="SOY39" i="5"/>
  <c r="SOX39" i="5"/>
  <c r="SOW39" i="5"/>
  <c r="SON39" i="5"/>
  <c r="SOI39" i="5"/>
  <c r="SOH39" i="5"/>
  <c r="SOG39" i="5"/>
  <c r="SNX39" i="5"/>
  <c r="SNS39" i="5"/>
  <c r="SNR39" i="5"/>
  <c r="SNQ39" i="5"/>
  <c r="SNH39" i="5"/>
  <c r="SNC39" i="5"/>
  <c r="SNB39" i="5"/>
  <c r="SNA39" i="5"/>
  <c r="SMR39" i="5"/>
  <c r="SMM39" i="5"/>
  <c r="SML39" i="5"/>
  <c r="SMK39" i="5"/>
  <c r="SMB39" i="5"/>
  <c r="SLW39" i="5"/>
  <c r="SLV39" i="5"/>
  <c r="SLU39" i="5"/>
  <c r="SLL39" i="5"/>
  <c r="SLG39" i="5"/>
  <c r="SLF39" i="5"/>
  <c r="SLE39" i="5"/>
  <c r="SKV39" i="5"/>
  <c r="SKQ39" i="5"/>
  <c r="SKP39" i="5"/>
  <c r="SKO39" i="5"/>
  <c r="SKF39" i="5"/>
  <c r="SKA39" i="5"/>
  <c r="SJZ39" i="5"/>
  <c r="SJY39" i="5"/>
  <c r="SJP39" i="5"/>
  <c r="SJK39" i="5"/>
  <c r="SJJ39" i="5"/>
  <c r="SJI39" i="5"/>
  <c r="SIZ39" i="5"/>
  <c r="SIU39" i="5"/>
  <c r="SIT39" i="5"/>
  <c r="SIS39" i="5"/>
  <c r="SIJ39" i="5"/>
  <c r="SIE39" i="5"/>
  <c r="SID39" i="5"/>
  <c r="SIC39" i="5"/>
  <c r="SHT39" i="5"/>
  <c r="SHO39" i="5"/>
  <c r="SHN39" i="5"/>
  <c r="SHM39" i="5"/>
  <c r="SHD39" i="5"/>
  <c r="SGY39" i="5"/>
  <c r="SGX39" i="5"/>
  <c r="SGW39" i="5"/>
  <c r="SGN39" i="5"/>
  <c r="SGI39" i="5"/>
  <c r="SGH39" i="5"/>
  <c r="SGG39" i="5"/>
  <c r="SFX39" i="5"/>
  <c r="SFS39" i="5"/>
  <c r="SFR39" i="5"/>
  <c r="SFQ39" i="5"/>
  <c r="SFH39" i="5"/>
  <c r="SFC39" i="5"/>
  <c r="SFB39" i="5"/>
  <c r="SFA39" i="5"/>
  <c r="SER39" i="5"/>
  <c r="SEM39" i="5"/>
  <c r="SEL39" i="5"/>
  <c r="SEK39" i="5"/>
  <c r="SEB39" i="5"/>
  <c r="SDW39" i="5"/>
  <c r="SDV39" i="5"/>
  <c r="SDU39" i="5"/>
  <c r="SDL39" i="5"/>
  <c r="SDG39" i="5"/>
  <c r="SDF39" i="5"/>
  <c r="SDE39" i="5"/>
  <c r="SCV39" i="5"/>
  <c r="SCQ39" i="5"/>
  <c r="SCP39" i="5"/>
  <c r="SCO39" i="5"/>
  <c r="SCF39" i="5"/>
  <c r="SCA39" i="5"/>
  <c r="SBZ39" i="5"/>
  <c r="SBY39" i="5"/>
  <c r="SBP39" i="5"/>
  <c r="SBK39" i="5"/>
  <c r="SBJ39" i="5"/>
  <c r="SBI39" i="5"/>
  <c r="SAZ39" i="5"/>
  <c r="SAU39" i="5"/>
  <c r="SAT39" i="5"/>
  <c r="SAS39" i="5"/>
  <c r="SAJ39" i="5"/>
  <c r="SAE39" i="5"/>
  <c r="SAD39" i="5"/>
  <c r="SAC39" i="5"/>
  <c r="RZT39" i="5"/>
  <c r="RZO39" i="5"/>
  <c r="RZN39" i="5"/>
  <c r="RZM39" i="5"/>
  <c r="RZD39" i="5"/>
  <c r="RYY39" i="5"/>
  <c r="RYX39" i="5"/>
  <c r="RYW39" i="5"/>
  <c r="RYN39" i="5"/>
  <c r="RYI39" i="5"/>
  <c r="RYH39" i="5"/>
  <c r="RYG39" i="5"/>
  <c r="RXX39" i="5"/>
  <c r="RXS39" i="5"/>
  <c r="RXR39" i="5"/>
  <c r="RXQ39" i="5"/>
  <c r="RXH39" i="5"/>
  <c r="RXC39" i="5"/>
  <c r="RXB39" i="5"/>
  <c r="RXA39" i="5"/>
  <c r="RWR39" i="5"/>
  <c r="RWM39" i="5"/>
  <c r="RWL39" i="5"/>
  <c r="RWK39" i="5"/>
  <c r="RWB39" i="5"/>
  <c r="RVW39" i="5"/>
  <c r="RVV39" i="5"/>
  <c r="RVU39" i="5"/>
  <c r="RVL39" i="5"/>
  <c r="RVG39" i="5"/>
  <c r="RVF39" i="5"/>
  <c r="RVE39" i="5"/>
  <c r="RUV39" i="5"/>
  <c r="RUQ39" i="5"/>
  <c r="RUP39" i="5"/>
  <c r="RUO39" i="5"/>
  <c r="RUF39" i="5"/>
  <c r="RUA39" i="5"/>
  <c r="RTZ39" i="5"/>
  <c r="RTY39" i="5"/>
  <c r="RTP39" i="5"/>
  <c r="RTK39" i="5"/>
  <c r="RTJ39" i="5"/>
  <c r="RTI39" i="5"/>
  <c r="RSZ39" i="5"/>
  <c r="RSU39" i="5"/>
  <c r="RST39" i="5"/>
  <c r="RSS39" i="5"/>
  <c r="RSJ39" i="5"/>
  <c r="RSE39" i="5"/>
  <c r="RSD39" i="5"/>
  <c r="RSC39" i="5"/>
  <c r="RRT39" i="5"/>
  <c r="RRO39" i="5"/>
  <c r="RRN39" i="5"/>
  <c r="RRM39" i="5"/>
  <c r="RRD39" i="5"/>
  <c r="RQY39" i="5"/>
  <c r="RQX39" i="5"/>
  <c r="RQW39" i="5"/>
  <c r="RQN39" i="5"/>
  <c r="RQI39" i="5"/>
  <c r="RQH39" i="5"/>
  <c r="RQG39" i="5"/>
  <c r="RPX39" i="5"/>
  <c r="RPS39" i="5"/>
  <c r="RPR39" i="5"/>
  <c r="RPQ39" i="5"/>
  <c r="RPH39" i="5"/>
  <c r="RPC39" i="5"/>
  <c r="RPB39" i="5"/>
  <c r="RPA39" i="5"/>
  <c r="ROR39" i="5"/>
  <c r="ROM39" i="5"/>
  <c r="ROL39" i="5"/>
  <c r="ROK39" i="5"/>
  <c r="ROB39" i="5"/>
  <c r="RNW39" i="5"/>
  <c r="RNV39" i="5"/>
  <c r="RNU39" i="5"/>
  <c r="RNL39" i="5"/>
  <c r="RNG39" i="5"/>
  <c r="RNF39" i="5"/>
  <c r="RNE39" i="5"/>
  <c r="RMV39" i="5"/>
  <c r="RMQ39" i="5"/>
  <c r="RMP39" i="5"/>
  <c r="RMO39" i="5"/>
  <c r="RMF39" i="5"/>
  <c r="RMA39" i="5"/>
  <c r="RLZ39" i="5"/>
  <c r="RLY39" i="5"/>
  <c r="RLP39" i="5"/>
  <c r="RLK39" i="5"/>
  <c r="RLJ39" i="5"/>
  <c r="RLI39" i="5"/>
  <c r="RKZ39" i="5"/>
  <c r="RKU39" i="5"/>
  <c r="RKT39" i="5"/>
  <c r="RKS39" i="5"/>
  <c r="RKJ39" i="5"/>
  <c r="RKE39" i="5"/>
  <c r="RKD39" i="5"/>
  <c r="RKC39" i="5"/>
  <c r="RJT39" i="5"/>
  <c r="RJO39" i="5"/>
  <c r="RJN39" i="5"/>
  <c r="RJM39" i="5"/>
  <c r="RJD39" i="5"/>
  <c r="RIY39" i="5"/>
  <c r="RIX39" i="5"/>
  <c r="RIW39" i="5"/>
  <c r="RIN39" i="5"/>
  <c r="RII39" i="5"/>
  <c r="RIH39" i="5"/>
  <c r="RIG39" i="5"/>
  <c r="RHX39" i="5"/>
  <c r="RHS39" i="5"/>
  <c r="RHR39" i="5"/>
  <c r="RHQ39" i="5"/>
  <c r="RHH39" i="5"/>
  <c r="RHC39" i="5"/>
  <c r="RHB39" i="5"/>
  <c r="RHA39" i="5"/>
  <c r="RGR39" i="5"/>
  <c r="RGM39" i="5"/>
  <c r="RGL39" i="5"/>
  <c r="RGK39" i="5"/>
  <c r="RGB39" i="5"/>
  <c r="RFW39" i="5"/>
  <c r="RFV39" i="5"/>
  <c r="RFU39" i="5"/>
  <c r="RFL39" i="5"/>
  <c r="RFG39" i="5"/>
  <c r="RFF39" i="5"/>
  <c r="RFE39" i="5"/>
  <c r="REV39" i="5"/>
  <c r="REQ39" i="5"/>
  <c r="REP39" i="5"/>
  <c r="REO39" i="5"/>
  <c r="REF39" i="5"/>
  <c r="REA39" i="5"/>
  <c r="RDZ39" i="5"/>
  <c r="RDY39" i="5"/>
  <c r="RDP39" i="5"/>
  <c r="RDK39" i="5"/>
  <c r="RDJ39" i="5"/>
  <c r="RDI39" i="5"/>
  <c r="RCZ39" i="5"/>
  <c r="RCU39" i="5"/>
  <c r="RCT39" i="5"/>
  <c r="RCS39" i="5"/>
  <c r="RCJ39" i="5"/>
  <c r="RCE39" i="5"/>
  <c r="RCD39" i="5"/>
  <c r="RCC39" i="5"/>
  <c r="RBT39" i="5"/>
  <c r="RBO39" i="5"/>
  <c r="RBN39" i="5"/>
  <c r="RBM39" i="5"/>
  <c r="RBD39" i="5"/>
  <c r="RAY39" i="5"/>
  <c r="RAX39" i="5"/>
  <c r="RAW39" i="5"/>
  <c r="RAN39" i="5"/>
  <c r="RAI39" i="5"/>
  <c r="RAH39" i="5"/>
  <c r="RAG39" i="5"/>
  <c r="QZX39" i="5"/>
  <c r="QZS39" i="5"/>
  <c r="QZR39" i="5"/>
  <c r="QZQ39" i="5"/>
  <c r="QZH39" i="5"/>
  <c r="QZC39" i="5"/>
  <c r="QZB39" i="5"/>
  <c r="QZA39" i="5"/>
  <c r="QYR39" i="5"/>
  <c r="QYM39" i="5"/>
  <c r="QYL39" i="5"/>
  <c r="QYK39" i="5"/>
  <c r="QYB39" i="5"/>
  <c r="QXW39" i="5"/>
  <c r="QXV39" i="5"/>
  <c r="QXU39" i="5"/>
  <c r="QXL39" i="5"/>
  <c r="QXG39" i="5"/>
  <c r="QXF39" i="5"/>
  <c r="QXE39" i="5"/>
  <c r="QWV39" i="5"/>
  <c r="QWQ39" i="5"/>
  <c r="QWP39" i="5"/>
  <c r="QWO39" i="5"/>
  <c r="QWF39" i="5"/>
  <c r="QWA39" i="5"/>
  <c r="QVZ39" i="5"/>
  <c r="QVY39" i="5"/>
  <c r="QVP39" i="5"/>
  <c r="QVK39" i="5"/>
  <c r="QVJ39" i="5"/>
  <c r="QVI39" i="5"/>
  <c r="QUZ39" i="5"/>
  <c r="QUU39" i="5"/>
  <c r="QUT39" i="5"/>
  <c r="QUS39" i="5"/>
  <c r="QUJ39" i="5"/>
  <c r="QUE39" i="5"/>
  <c r="QUD39" i="5"/>
  <c r="QUC39" i="5"/>
  <c r="QTT39" i="5"/>
  <c r="QTO39" i="5"/>
  <c r="QTN39" i="5"/>
  <c r="QTM39" i="5"/>
  <c r="QTD39" i="5"/>
  <c r="QSY39" i="5"/>
  <c r="QSX39" i="5"/>
  <c r="QSW39" i="5"/>
  <c r="QSN39" i="5"/>
  <c r="QSI39" i="5"/>
  <c r="QSH39" i="5"/>
  <c r="QSG39" i="5"/>
  <c r="QRX39" i="5"/>
  <c r="QRS39" i="5"/>
  <c r="QRR39" i="5"/>
  <c r="QRQ39" i="5"/>
  <c r="QRH39" i="5"/>
  <c r="QRC39" i="5"/>
  <c r="QRB39" i="5"/>
  <c r="QRA39" i="5"/>
  <c r="QQR39" i="5"/>
  <c r="QQM39" i="5"/>
  <c r="QQL39" i="5"/>
  <c r="QQK39" i="5"/>
  <c r="QQB39" i="5"/>
  <c r="QPW39" i="5"/>
  <c r="QPV39" i="5"/>
  <c r="QPU39" i="5"/>
  <c r="QPL39" i="5"/>
  <c r="QPG39" i="5"/>
  <c r="QPF39" i="5"/>
  <c r="QPE39" i="5"/>
  <c r="QOV39" i="5"/>
  <c r="QOQ39" i="5"/>
  <c r="QOP39" i="5"/>
  <c r="QOO39" i="5"/>
  <c r="QOF39" i="5"/>
  <c r="QOA39" i="5"/>
  <c r="QNZ39" i="5"/>
  <c r="QNY39" i="5"/>
  <c r="QNP39" i="5"/>
  <c r="QNK39" i="5"/>
  <c r="QNJ39" i="5"/>
  <c r="QNI39" i="5"/>
  <c r="QMZ39" i="5"/>
  <c r="QMU39" i="5"/>
  <c r="QMT39" i="5"/>
  <c r="QMS39" i="5"/>
  <c r="QMJ39" i="5"/>
  <c r="QME39" i="5"/>
  <c r="QMD39" i="5"/>
  <c r="QMC39" i="5"/>
  <c r="QLT39" i="5"/>
  <c r="QLO39" i="5"/>
  <c r="QLN39" i="5"/>
  <c r="QLM39" i="5"/>
  <c r="QLD39" i="5"/>
  <c r="QKY39" i="5"/>
  <c r="QKX39" i="5"/>
  <c r="QKW39" i="5"/>
  <c r="QKN39" i="5"/>
  <c r="QKI39" i="5"/>
  <c r="QKH39" i="5"/>
  <c r="QKG39" i="5"/>
  <c r="QJX39" i="5"/>
  <c r="QJS39" i="5"/>
  <c r="QJR39" i="5"/>
  <c r="QJQ39" i="5"/>
  <c r="QJH39" i="5"/>
  <c r="QJC39" i="5"/>
  <c r="QJB39" i="5"/>
  <c r="QJA39" i="5"/>
  <c r="QIR39" i="5"/>
  <c r="QIM39" i="5"/>
  <c r="QIL39" i="5"/>
  <c r="QIK39" i="5"/>
  <c r="QIB39" i="5"/>
  <c r="QHW39" i="5"/>
  <c r="QHV39" i="5"/>
  <c r="QHU39" i="5"/>
  <c r="QHL39" i="5"/>
  <c r="QHG39" i="5"/>
  <c r="QHF39" i="5"/>
  <c r="QHE39" i="5"/>
  <c r="QGV39" i="5"/>
  <c r="QGQ39" i="5"/>
  <c r="QGP39" i="5"/>
  <c r="QGO39" i="5"/>
  <c r="QGF39" i="5"/>
  <c r="QGA39" i="5"/>
  <c r="QFZ39" i="5"/>
  <c r="QFY39" i="5"/>
  <c r="QFP39" i="5"/>
  <c r="QFK39" i="5"/>
  <c r="QFJ39" i="5"/>
  <c r="QFI39" i="5"/>
  <c r="QEZ39" i="5"/>
  <c r="QEU39" i="5"/>
  <c r="QET39" i="5"/>
  <c r="QES39" i="5"/>
  <c r="QEJ39" i="5"/>
  <c r="QEE39" i="5"/>
  <c r="QED39" i="5"/>
  <c r="QEC39" i="5"/>
  <c r="QDT39" i="5"/>
  <c r="QDO39" i="5"/>
  <c r="QDN39" i="5"/>
  <c r="QDM39" i="5"/>
  <c r="QDD39" i="5"/>
  <c r="QCY39" i="5"/>
  <c r="QCX39" i="5"/>
  <c r="QCW39" i="5"/>
  <c r="QCN39" i="5"/>
  <c r="QCI39" i="5"/>
  <c r="QCH39" i="5"/>
  <c r="QCG39" i="5"/>
  <c r="QBX39" i="5"/>
  <c r="QBS39" i="5"/>
  <c r="QBR39" i="5"/>
  <c r="QBQ39" i="5"/>
  <c r="QBH39" i="5"/>
  <c r="QBC39" i="5"/>
  <c r="QBB39" i="5"/>
  <c r="QBA39" i="5"/>
  <c r="QAR39" i="5"/>
  <c r="QAM39" i="5"/>
  <c r="QAL39" i="5"/>
  <c r="QAK39" i="5"/>
  <c r="QAB39" i="5"/>
  <c r="PZW39" i="5"/>
  <c r="PZV39" i="5"/>
  <c r="PZU39" i="5"/>
  <c r="PZL39" i="5"/>
  <c r="PZG39" i="5"/>
  <c r="PZF39" i="5"/>
  <c r="PZE39" i="5"/>
  <c r="PYV39" i="5"/>
  <c r="PYQ39" i="5"/>
  <c r="PYP39" i="5"/>
  <c r="PYO39" i="5"/>
  <c r="PYF39" i="5"/>
  <c r="PYA39" i="5"/>
  <c r="PXZ39" i="5"/>
  <c r="PXY39" i="5"/>
  <c r="PXP39" i="5"/>
  <c r="PXK39" i="5"/>
  <c r="PXJ39" i="5"/>
  <c r="PXI39" i="5"/>
  <c r="PWZ39" i="5"/>
  <c r="PWU39" i="5"/>
  <c r="PWT39" i="5"/>
  <c r="PWS39" i="5"/>
  <c r="PWJ39" i="5"/>
  <c r="PWE39" i="5"/>
  <c r="PWD39" i="5"/>
  <c r="PWC39" i="5"/>
  <c r="PVT39" i="5"/>
  <c r="PVO39" i="5"/>
  <c r="PVN39" i="5"/>
  <c r="PVM39" i="5"/>
  <c r="PVD39" i="5"/>
  <c r="PUY39" i="5"/>
  <c r="PUX39" i="5"/>
  <c r="PUW39" i="5"/>
  <c r="PUN39" i="5"/>
  <c r="PUI39" i="5"/>
  <c r="PUH39" i="5"/>
  <c r="PUG39" i="5"/>
  <c r="PTX39" i="5"/>
  <c r="PTS39" i="5"/>
  <c r="PTR39" i="5"/>
  <c r="PTQ39" i="5"/>
  <c r="PTH39" i="5"/>
  <c r="PTC39" i="5"/>
  <c r="PTB39" i="5"/>
  <c r="PTA39" i="5"/>
  <c r="PSR39" i="5"/>
  <c r="PSM39" i="5"/>
  <c r="PSL39" i="5"/>
  <c r="PSK39" i="5"/>
  <c r="PSB39" i="5"/>
  <c r="PRW39" i="5"/>
  <c r="PRV39" i="5"/>
  <c r="PRU39" i="5"/>
  <c r="PRL39" i="5"/>
  <c r="PRG39" i="5"/>
  <c r="PRF39" i="5"/>
  <c r="PRE39" i="5"/>
  <c r="PQV39" i="5"/>
  <c r="PQQ39" i="5"/>
  <c r="PQP39" i="5"/>
  <c r="PQO39" i="5"/>
  <c r="PQF39" i="5"/>
  <c r="PQA39" i="5"/>
  <c r="PPZ39" i="5"/>
  <c r="PPY39" i="5"/>
  <c r="PPP39" i="5"/>
  <c r="PPK39" i="5"/>
  <c r="PPJ39" i="5"/>
  <c r="PPI39" i="5"/>
  <c r="POZ39" i="5"/>
  <c r="POU39" i="5"/>
  <c r="POT39" i="5"/>
  <c r="POS39" i="5"/>
  <c r="POJ39" i="5"/>
  <c r="POE39" i="5"/>
  <c r="POD39" i="5"/>
  <c r="POC39" i="5"/>
  <c r="PNT39" i="5"/>
  <c r="PNO39" i="5"/>
  <c r="PNN39" i="5"/>
  <c r="PNM39" i="5"/>
  <c r="PND39" i="5"/>
  <c r="PMY39" i="5"/>
  <c r="PMX39" i="5"/>
  <c r="PMW39" i="5"/>
  <c r="PMN39" i="5"/>
  <c r="PMI39" i="5"/>
  <c r="PMH39" i="5"/>
  <c r="PMG39" i="5"/>
  <c r="PLX39" i="5"/>
  <c r="PLS39" i="5"/>
  <c r="PLR39" i="5"/>
  <c r="PLQ39" i="5"/>
  <c r="PLH39" i="5"/>
  <c r="PLC39" i="5"/>
  <c r="PLB39" i="5"/>
  <c r="PLA39" i="5"/>
  <c r="PKR39" i="5"/>
  <c r="PKM39" i="5"/>
  <c r="PKL39" i="5"/>
  <c r="PKK39" i="5"/>
  <c r="PKB39" i="5"/>
  <c r="PJW39" i="5"/>
  <c r="PJV39" i="5"/>
  <c r="PJU39" i="5"/>
  <c r="PJL39" i="5"/>
  <c r="PJG39" i="5"/>
  <c r="PJF39" i="5"/>
  <c r="PJE39" i="5"/>
  <c r="PIV39" i="5"/>
  <c r="PIQ39" i="5"/>
  <c r="PIP39" i="5"/>
  <c r="PIO39" i="5"/>
  <c r="PIF39" i="5"/>
  <c r="PIA39" i="5"/>
  <c r="PHZ39" i="5"/>
  <c r="PHY39" i="5"/>
  <c r="PHP39" i="5"/>
  <c r="PHK39" i="5"/>
  <c r="PHJ39" i="5"/>
  <c r="PHI39" i="5"/>
  <c r="PGZ39" i="5"/>
  <c r="PGU39" i="5"/>
  <c r="PGT39" i="5"/>
  <c r="PGS39" i="5"/>
  <c r="PGJ39" i="5"/>
  <c r="PGE39" i="5"/>
  <c r="PGD39" i="5"/>
  <c r="PGC39" i="5"/>
  <c r="PFT39" i="5"/>
  <c r="PFO39" i="5"/>
  <c r="PFN39" i="5"/>
  <c r="PFM39" i="5"/>
  <c r="PFD39" i="5"/>
  <c r="PEY39" i="5"/>
  <c r="PEX39" i="5"/>
  <c r="PEW39" i="5"/>
  <c r="PEN39" i="5"/>
  <c r="PEI39" i="5"/>
  <c r="PEH39" i="5"/>
  <c r="PEG39" i="5"/>
  <c r="PDX39" i="5"/>
  <c r="PDS39" i="5"/>
  <c r="PDR39" i="5"/>
  <c r="PDQ39" i="5"/>
  <c r="PDH39" i="5"/>
  <c r="PDC39" i="5"/>
  <c r="PDB39" i="5"/>
  <c r="PDA39" i="5"/>
  <c r="PCR39" i="5"/>
  <c r="PCM39" i="5"/>
  <c r="PCL39" i="5"/>
  <c r="PCK39" i="5"/>
  <c r="PCB39" i="5"/>
  <c r="PBW39" i="5"/>
  <c r="PBV39" i="5"/>
  <c r="PBU39" i="5"/>
  <c r="PBL39" i="5"/>
  <c r="PBG39" i="5"/>
  <c r="PBF39" i="5"/>
  <c r="PBE39" i="5"/>
  <c r="PAV39" i="5"/>
  <c r="PAQ39" i="5"/>
  <c r="PAP39" i="5"/>
  <c r="PAO39" i="5"/>
  <c r="PAF39" i="5"/>
  <c r="PAA39" i="5"/>
  <c r="OZZ39" i="5"/>
  <c r="OZY39" i="5"/>
  <c r="OZP39" i="5"/>
  <c r="OZK39" i="5"/>
  <c r="OZJ39" i="5"/>
  <c r="OZI39" i="5"/>
  <c r="OYZ39" i="5"/>
  <c r="OYU39" i="5"/>
  <c r="OYT39" i="5"/>
  <c r="OYS39" i="5"/>
  <c r="OYJ39" i="5"/>
  <c r="OYE39" i="5"/>
  <c r="OYD39" i="5"/>
  <c r="OYC39" i="5"/>
  <c r="OXT39" i="5"/>
  <c r="OXO39" i="5"/>
  <c r="OXN39" i="5"/>
  <c r="OXM39" i="5"/>
  <c r="OXD39" i="5"/>
  <c r="OWY39" i="5"/>
  <c r="OWX39" i="5"/>
  <c r="OWW39" i="5"/>
  <c r="OWN39" i="5"/>
  <c r="OWI39" i="5"/>
  <c r="OWH39" i="5"/>
  <c r="OWG39" i="5"/>
  <c r="OVX39" i="5"/>
  <c r="OVS39" i="5"/>
  <c r="OVR39" i="5"/>
  <c r="OVQ39" i="5"/>
  <c r="OVH39" i="5"/>
  <c r="OVC39" i="5"/>
  <c r="OVB39" i="5"/>
  <c r="OVA39" i="5"/>
  <c r="OUR39" i="5"/>
  <c r="OUM39" i="5"/>
  <c r="OUL39" i="5"/>
  <c r="OUK39" i="5"/>
  <c r="OUB39" i="5"/>
  <c r="OTW39" i="5"/>
  <c r="OTV39" i="5"/>
  <c r="OTU39" i="5"/>
  <c r="OTL39" i="5"/>
  <c r="OTG39" i="5"/>
  <c r="OTF39" i="5"/>
  <c r="OTE39" i="5"/>
  <c r="OSV39" i="5"/>
  <c r="OSQ39" i="5"/>
  <c r="OSP39" i="5"/>
  <c r="OSO39" i="5"/>
  <c r="OSF39" i="5"/>
  <c r="OSA39" i="5"/>
  <c r="ORZ39" i="5"/>
  <c r="ORY39" i="5"/>
  <c r="ORP39" i="5"/>
  <c r="ORK39" i="5"/>
  <c r="ORJ39" i="5"/>
  <c r="ORI39" i="5"/>
  <c r="OQZ39" i="5"/>
  <c r="OQU39" i="5"/>
  <c r="OQT39" i="5"/>
  <c r="OQS39" i="5"/>
  <c r="OQJ39" i="5"/>
  <c r="OQE39" i="5"/>
  <c r="OQD39" i="5"/>
  <c r="OQC39" i="5"/>
  <c r="OPT39" i="5"/>
  <c r="OPO39" i="5"/>
  <c r="OPN39" i="5"/>
  <c r="OPM39" i="5"/>
  <c r="OPD39" i="5"/>
  <c r="OOY39" i="5"/>
  <c r="OOX39" i="5"/>
  <c r="OOW39" i="5"/>
  <c r="OON39" i="5"/>
  <c r="OOI39" i="5"/>
  <c r="OOH39" i="5"/>
  <c r="OOG39" i="5"/>
  <c r="ONX39" i="5"/>
  <c r="ONS39" i="5"/>
  <c r="ONR39" i="5"/>
  <c r="ONQ39" i="5"/>
  <c r="ONH39" i="5"/>
  <c r="ONC39" i="5"/>
  <c r="ONB39" i="5"/>
  <c r="ONA39" i="5"/>
  <c r="OMR39" i="5"/>
  <c r="OMM39" i="5"/>
  <c r="OML39" i="5"/>
  <c r="OMK39" i="5"/>
  <c r="OMB39" i="5"/>
  <c r="OLW39" i="5"/>
  <c r="OLV39" i="5"/>
  <c r="OLU39" i="5"/>
  <c r="OLL39" i="5"/>
  <c r="OLG39" i="5"/>
  <c r="OLF39" i="5"/>
  <c r="OLE39" i="5"/>
  <c r="OKV39" i="5"/>
  <c r="OKQ39" i="5"/>
  <c r="OKP39" i="5"/>
  <c r="OKO39" i="5"/>
  <c r="OKF39" i="5"/>
  <c r="OKA39" i="5"/>
  <c r="OJZ39" i="5"/>
  <c r="OJY39" i="5"/>
  <c r="OJP39" i="5"/>
  <c r="OJK39" i="5"/>
  <c r="OJJ39" i="5"/>
  <c r="OJI39" i="5"/>
  <c r="OIZ39" i="5"/>
  <c r="OIU39" i="5"/>
  <c r="OIT39" i="5"/>
  <c r="OIS39" i="5"/>
  <c r="OIJ39" i="5"/>
  <c r="OIE39" i="5"/>
  <c r="OID39" i="5"/>
  <c r="OIC39" i="5"/>
  <c r="OHT39" i="5"/>
  <c r="OHO39" i="5"/>
  <c r="OHN39" i="5"/>
  <c r="OHM39" i="5"/>
  <c r="OHD39" i="5"/>
  <c r="OGY39" i="5"/>
  <c r="OGX39" i="5"/>
  <c r="OGW39" i="5"/>
  <c r="OGN39" i="5"/>
  <c r="OGI39" i="5"/>
  <c r="OGH39" i="5"/>
  <c r="OGG39" i="5"/>
  <c r="OFX39" i="5"/>
  <c r="OFS39" i="5"/>
  <c r="OFR39" i="5"/>
  <c r="OFQ39" i="5"/>
  <c r="OFH39" i="5"/>
  <c r="OFC39" i="5"/>
  <c r="OFB39" i="5"/>
  <c r="OFA39" i="5"/>
  <c r="OER39" i="5"/>
  <c r="OEM39" i="5"/>
  <c r="OEL39" i="5"/>
  <c r="OEK39" i="5"/>
  <c r="OEB39" i="5"/>
  <c r="ODW39" i="5"/>
  <c r="ODV39" i="5"/>
  <c r="ODU39" i="5"/>
  <c r="ODL39" i="5"/>
  <c r="ODG39" i="5"/>
  <c r="ODF39" i="5"/>
  <c r="ODE39" i="5"/>
  <c r="OCV39" i="5"/>
  <c r="OCQ39" i="5"/>
  <c r="OCP39" i="5"/>
  <c r="OCO39" i="5"/>
  <c r="OCF39" i="5"/>
  <c r="OCA39" i="5"/>
  <c r="OBZ39" i="5"/>
  <c r="OBY39" i="5"/>
  <c r="OBP39" i="5"/>
  <c r="OBK39" i="5"/>
  <c r="OBJ39" i="5"/>
  <c r="OBI39" i="5"/>
  <c r="OAZ39" i="5"/>
  <c r="OAU39" i="5"/>
  <c r="OAT39" i="5"/>
  <c r="OAS39" i="5"/>
  <c r="OAJ39" i="5"/>
  <c r="OAE39" i="5"/>
  <c r="OAD39" i="5"/>
  <c r="OAC39" i="5"/>
  <c r="NZT39" i="5"/>
  <c r="NZO39" i="5"/>
  <c r="NZN39" i="5"/>
  <c r="NZM39" i="5"/>
  <c r="NZD39" i="5"/>
  <c r="NYY39" i="5"/>
  <c r="NYX39" i="5"/>
  <c r="NYW39" i="5"/>
  <c r="NYN39" i="5"/>
  <c r="NYI39" i="5"/>
  <c r="NYH39" i="5"/>
  <c r="NYG39" i="5"/>
  <c r="NXX39" i="5"/>
  <c r="NXS39" i="5"/>
  <c r="NXR39" i="5"/>
  <c r="NXQ39" i="5"/>
  <c r="NXH39" i="5"/>
  <c r="NXC39" i="5"/>
  <c r="NXB39" i="5"/>
  <c r="NXA39" i="5"/>
  <c r="NWR39" i="5"/>
  <c r="NWM39" i="5"/>
  <c r="NWL39" i="5"/>
  <c r="NWK39" i="5"/>
  <c r="NWB39" i="5"/>
  <c r="NVW39" i="5"/>
  <c r="NVV39" i="5"/>
  <c r="NVU39" i="5"/>
  <c r="NVL39" i="5"/>
  <c r="NVG39" i="5"/>
  <c r="NVF39" i="5"/>
  <c r="NVE39" i="5"/>
  <c r="NUV39" i="5"/>
  <c r="NUQ39" i="5"/>
  <c r="NUP39" i="5"/>
  <c r="NUO39" i="5"/>
  <c r="NUF39" i="5"/>
  <c r="NUA39" i="5"/>
  <c r="NTZ39" i="5"/>
  <c r="NTY39" i="5"/>
  <c r="NTP39" i="5"/>
  <c r="NTK39" i="5"/>
  <c r="NTJ39" i="5"/>
  <c r="NTI39" i="5"/>
  <c r="NSZ39" i="5"/>
  <c r="NSU39" i="5"/>
  <c r="NST39" i="5"/>
  <c r="NSS39" i="5"/>
  <c r="NSJ39" i="5"/>
  <c r="NSE39" i="5"/>
  <c r="NSD39" i="5"/>
  <c r="NSC39" i="5"/>
  <c r="NRT39" i="5"/>
  <c r="NRO39" i="5"/>
  <c r="NRN39" i="5"/>
  <c r="NRM39" i="5"/>
  <c r="NRD39" i="5"/>
  <c r="NQY39" i="5"/>
  <c r="NQX39" i="5"/>
  <c r="NQW39" i="5"/>
  <c r="NQN39" i="5"/>
  <c r="NQI39" i="5"/>
  <c r="NQH39" i="5"/>
  <c r="NQG39" i="5"/>
  <c r="NPX39" i="5"/>
  <c r="NPS39" i="5"/>
  <c r="NPR39" i="5"/>
  <c r="NPQ39" i="5"/>
  <c r="NPH39" i="5"/>
  <c r="NPC39" i="5"/>
  <c r="NPB39" i="5"/>
  <c r="NPA39" i="5"/>
  <c r="NOR39" i="5"/>
  <c r="NOM39" i="5"/>
  <c r="NOL39" i="5"/>
  <c r="NOK39" i="5"/>
  <c r="NOB39" i="5"/>
  <c r="NNW39" i="5"/>
  <c r="NNV39" i="5"/>
  <c r="NNU39" i="5"/>
  <c r="NNL39" i="5"/>
  <c r="NNG39" i="5"/>
  <c r="NNF39" i="5"/>
  <c r="NNE39" i="5"/>
  <c r="NMV39" i="5"/>
  <c r="NMQ39" i="5"/>
  <c r="NMP39" i="5"/>
  <c r="NMO39" i="5"/>
  <c r="NMF39" i="5"/>
  <c r="NMA39" i="5"/>
  <c r="NLZ39" i="5"/>
  <c r="NLY39" i="5"/>
  <c r="NLP39" i="5"/>
  <c r="NLK39" i="5"/>
  <c r="NLJ39" i="5"/>
  <c r="NLI39" i="5"/>
  <c r="NKZ39" i="5"/>
  <c r="NKU39" i="5"/>
  <c r="NKT39" i="5"/>
  <c r="NKS39" i="5"/>
  <c r="NKJ39" i="5"/>
  <c r="NKE39" i="5"/>
  <c r="NKD39" i="5"/>
  <c r="NKC39" i="5"/>
  <c r="NJT39" i="5"/>
  <c r="NJO39" i="5"/>
  <c r="NJN39" i="5"/>
  <c r="NJM39" i="5"/>
  <c r="NJD39" i="5"/>
  <c r="NIY39" i="5"/>
  <c r="NIX39" i="5"/>
  <c r="NIW39" i="5"/>
  <c r="NIN39" i="5"/>
  <c r="NII39" i="5"/>
  <c r="NIH39" i="5"/>
  <c r="NIG39" i="5"/>
  <c r="NHX39" i="5"/>
  <c r="NHS39" i="5"/>
  <c r="NHR39" i="5"/>
  <c r="NHQ39" i="5"/>
  <c r="NHH39" i="5"/>
  <c r="NHC39" i="5"/>
  <c r="NHB39" i="5"/>
  <c r="NHA39" i="5"/>
  <c r="NGR39" i="5"/>
  <c r="NGM39" i="5"/>
  <c r="NGL39" i="5"/>
  <c r="NGK39" i="5"/>
  <c r="NGB39" i="5"/>
  <c r="NFW39" i="5"/>
  <c r="NFV39" i="5"/>
  <c r="NFU39" i="5"/>
  <c r="NFL39" i="5"/>
  <c r="NFG39" i="5"/>
  <c r="NFF39" i="5"/>
  <c r="NFE39" i="5"/>
  <c r="NEV39" i="5"/>
  <c r="NEQ39" i="5"/>
  <c r="NEP39" i="5"/>
  <c r="NEO39" i="5"/>
  <c r="NEF39" i="5"/>
  <c r="NEA39" i="5"/>
  <c r="NDZ39" i="5"/>
  <c r="NDY39" i="5"/>
  <c r="NDP39" i="5"/>
  <c r="NDK39" i="5"/>
  <c r="NDJ39" i="5"/>
  <c r="NDI39" i="5"/>
  <c r="NCZ39" i="5"/>
  <c r="NCU39" i="5"/>
  <c r="NCT39" i="5"/>
  <c r="NCS39" i="5"/>
  <c r="NCJ39" i="5"/>
  <c r="NCE39" i="5"/>
  <c r="NCD39" i="5"/>
  <c r="NCC39" i="5"/>
  <c r="NBT39" i="5"/>
  <c r="NBO39" i="5"/>
  <c r="NBN39" i="5"/>
  <c r="NBM39" i="5"/>
  <c r="NBD39" i="5"/>
  <c r="NAY39" i="5"/>
  <c r="NAX39" i="5"/>
  <c r="NAW39" i="5"/>
  <c r="NAN39" i="5"/>
  <c r="NAI39" i="5"/>
  <c r="NAH39" i="5"/>
  <c r="NAG39" i="5"/>
  <c r="MZX39" i="5"/>
  <c r="MZS39" i="5"/>
  <c r="MZR39" i="5"/>
  <c r="MZQ39" i="5"/>
  <c r="MZH39" i="5"/>
  <c r="MZC39" i="5"/>
  <c r="MZB39" i="5"/>
  <c r="MZA39" i="5"/>
  <c r="MYR39" i="5"/>
  <c r="MYM39" i="5"/>
  <c r="MYL39" i="5"/>
  <c r="MYK39" i="5"/>
  <c r="MYB39" i="5"/>
  <c r="MXW39" i="5"/>
  <c r="MXV39" i="5"/>
  <c r="MXU39" i="5"/>
  <c r="MXL39" i="5"/>
  <c r="MXG39" i="5"/>
  <c r="MXF39" i="5"/>
  <c r="MXE39" i="5"/>
  <c r="MWV39" i="5"/>
  <c r="MWQ39" i="5"/>
  <c r="MWP39" i="5"/>
  <c r="MWO39" i="5"/>
  <c r="MWF39" i="5"/>
  <c r="MWA39" i="5"/>
  <c r="MVZ39" i="5"/>
  <c r="MVY39" i="5"/>
  <c r="MVP39" i="5"/>
  <c r="MVK39" i="5"/>
  <c r="MVJ39" i="5"/>
  <c r="MVI39" i="5"/>
  <c r="MUZ39" i="5"/>
  <c r="MUU39" i="5"/>
  <c r="MUT39" i="5"/>
  <c r="MUS39" i="5"/>
  <c r="MUJ39" i="5"/>
  <c r="MUE39" i="5"/>
  <c r="MUD39" i="5"/>
  <c r="MUC39" i="5"/>
  <c r="MTT39" i="5"/>
  <c r="MTO39" i="5"/>
  <c r="MTN39" i="5"/>
  <c r="MTM39" i="5"/>
  <c r="MTD39" i="5"/>
  <c r="MSY39" i="5"/>
  <c r="MSX39" i="5"/>
  <c r="MSW39" i="5"/>
  <c r="MSN39" i="5"/>
  <c r="MSI39" i="5"/>
  <c r="MSH39" i="5"/>
  <c r="MSG39" i="5"/>
  <c r="MRX39" i="5"/>
  <c r="MRS39" i="5"/>
  <c r="MRR39" i="5"/>
  <c r="MRQ39" i="5"/>
  <c r="MRH39" i="5"/>
  <c r="MRC39" i="5"/>
  <c r="MRB39" i="5"/>
  <c r="MRA39" i="5"/>
  <c r="MQR39" i="5"/>
  <c r="MQM39" i="5"/>
  <c r="MQL39" i="5"/>
  <c r="MQK39" i="5"/>
  <c r="MQB39" i="5"/>
  <c r="MPW39" i="5"/>
  <c r="MPV39" i="5"/>
  <c r="MPU39" i="5"/>
  <c r="MPL39" i="5"/>
  <c r="MPG39" i="5"/>
  <c r="MPF39" i="5"/>
  <c r="MPE39" i="5"/>
  <c r="MOV39" i="5"/>
  <c r="MOQ39" i="5"/>
  <c r="MOP39" i="5"/>
  <c r="MOO39" i="5"/>
  <c r="MOF39" i="5"/>
  <c r="MOA39" i="5"/>
  <c r="MNZ39" i="5"/>
  <c r="MNY39" i="5"/>
  <c r="MNP39" i="5"/>
  <c r="MNK39" i="5"/>
  <c r="MNJ39" i="5"/>
  <c r="MNI39" i="5"/>
  <c r="MMZ39" i="5"/>
  <c r="MMU39" i="5"/>
  <c r="MMT39" i="5"/>
  <c r="MMS39" i="5"/>
  <c r="MMJ39" i="5"/>
  <c r="MME39" i="5"/>
  <c r="MMD39" i="5"/>
  <c r="MMC39" i="5"/>
  <c r="MLT39" i="5"/>
  <c r="MLO39" i="5"/>
  <c r="MLN39" i="5"/>
  <c r="MLM39" i="5"/>
  <c r="MLD39" i="5"/>
  <c r="MKY39" i="5"/>
  <c r="MKX39" i="5"/>
  <c r="MKW39" i="5"/>
  <c r="MKN39" i="5"/>
  <c r="MKI39" i="5"/>
  <c r="MKH39" i="5"/>
  <c r="MKG39" i="5"/>
  <c r="MJX39" i="5"/>
  <c r="MJS39" i="5"/>
  <c r="MJR39" i="5"/>
  <c r="MJQ39" i="5"/>
  <c r="MJH39" i="5"/>
  <c r="MJC39" i="5"/>
  <c r="MJB39" i="5"/>
  <c r="MJA39" i="5"/>
  <c r="MIR39" i="5"/>
  <c r="MIM39" i="5"/>
  <c r="MIL39" i="5"/>
  <c r="MIK39" i="5"/>
  <c r="MIB39" i="5"/>
  <c r="MHW39" i="5"/>
  <c r="MHV39" i="5"/>
  <c r="MHU39" i="5"/>
  <c r="MHL39" i="5"/>
  <c r="MHG39" i="5"/>
  <c r="MHF39" i="5"/>
  <c r="MHE39" i="5"/>
  <c r="MGV39" i="5"/>
  <c r="MGQ39" i="5"/>
  <c r="MGP39" i="5"/>
  <c r="MGO39" i="5"/>
  <c r="MGF39" i="5"/>
  <c r="MGA39" i="5"/>
  <c r="MFZ39" i="5"/>
  <c r="MFY39" i="5"/>
  <c r="MFP39" i="5"/>
  <c r="MFK39" i="5"/>
  <c r="MFJ39" i="5"/>
  <c r="MFI39" i="5"/>
  <c r="MEZ39" i="5"/>
  <c r="MEU39" i="5"/>
  <c r="MET39" i="5"/>
  <c r="MES39" i="5"/>
  <c r="MEJ39" i="5"/>
  <c r="MEE39" i="5"/>
  <c r="MED39" i="5"/>
  <c r="MEC39" i="5"/>
  <c r="MDT39" i="5"/>
  <c r="MDO39" i="5"/>
  <c r="MDN39" i="5"/>
  <c r="MDM39" i="5"/>
  <c r="MDD39" i="5"/>
  <c r="MCY39" i="5"/>
  <c r="MCX39" i="5"/>
  <c r="MCW39" i="5"/>
  <c r="MCN39" i="5"/>
  <c r="MCI39" i="5"/>
  <c r="MCH39" i="5"/>
  <c r="MCG39" i="5"/>
  <c r="MBX39" i="5"/>
  <c r="MBS39" i="5"/>
  <c r="MBR39" i="5"/>
  <c r="MBQ39" i="5"/>
  <c r="MBH39" i="5"/>
  <c r="MBC39" i="5"/>
  <c r="MBB39" i="5"/>
  <c r="MBA39" i="5"/>
  <c r="MAR39" i="5"/>
  <c r="MAM39" i="5"/>
  <c r="MAL39" i="5"/>
  <c r="MAK39" i="5"/>
  <c r="MAB39" i="5"/>
  <c r="LZW39" i="5"/>
  <c r="LZV39" i="5"/>
  <c r="LZU39" i="5"/>
  <c r="LZL39" i="5"/>
  <c r="LZG39" i="5"/>
  <c r="LZF39" i="5"/>
  <c r="LZE39" i="5"/>
  <c r="LYV39" i="5"/>
  <c r="LYQ39" i="5"/>
  <c r="LYP39" i="5"/>
  <c r="LYO39" i="5"/>
  <c r="LYF39" i="5"/>
  <c r="LYA39" i="5"/>
  <c r="LXZ39" i="5"/>
  <c r="LXY39" i="5"/>
  <c r="LXP39" i="5"/>
  <c r="LXK39" i="5"/>
  <c r="LXJ39" i="5"/>
  <c r="LXI39" i="5"/>
  <c r="LWZ39" i="5"/>
  <c r="LWU39" i="5"/>
  <c r="LWT39" i="5"/>
  <c r="LWS39" i="5"/>
  <c r="LWJ39" i="5"/>
  <c r="LWE39" i="5"/>
  <c r="LWD39" i="5"/>
  <c r="LWC39" i="5"/>
  <c r="LVT39" i="5"/>
  <c r="LVO39" i="5"/>
  <c r="LVN39" i="5"/>
  <c r="LVM39" i="5"/>
  <c r="LVD39" i="5"/>
  <c r="LUY39" i="5"/>
  <c r="LUX39" i="5"/>
  <c r="LUW39" i="5"/>
  <c r="LUN39" i="5"/>
  <c r="LUI39" i="5"/>
  <c r="LUH39" i="5"/>
  <c r="LUG39" i="5"/>
  <c r="LTX39" i="5"/>
  <c r="LTS39" i="5"/>
  <c r="LTR39" i="5"/>
  <c r="LTQ39" i="5"/>
  <c r="LTH39" i="5"/>
  <c r="LTC39" i="5"/>
  <c r="LTB39" i="5"/>
  <c r="LTA39" i="5"/>
  <c r="LSR39" i="5"/>
  <c r="LSM39" i="5"/>
  <c r="LSL39" i="5"/>
  <c r="LSK39" i="5"/>
  <c r="LSB39" i="5"/>
  <c r="LRW39" i="5"/>
  <c r="LRV39" i="5"/>
  <c r="LRU39" i="5"/>
  <c r="LRL39" i="5"/>
  <c r="LRG39" i="5"/>
  <c r="LRF39" i="5"/>
  <c r="LRE39" i="5"/>
  <c r="LQV39" i="5"/>
  <c r="LQQ39" i="5"/>
  <c r="LQP39" i="5"/>
  <c r="LQO39" i="5"/>
  <c r="LQF39" i="5"/>
  <c r="LQA39" i="5"/>
  <c r="LPZ39" i="5"/>
  <c r="LPY39" i="5"/>
  <c r="LPP39" i="5"/>
  <c r="LPK39" i="5"/>
  <c r="LPJ39" i="5"/>
  <c r="LPI39" i="5"/>
  <c r="LOZ39" i="5"/>
  <c r="LOU39" i="5"/>
  <c r="LOT39" i="5"/>
  <c r="LOS39" i="5"/>
  <c r="LOJ39" i="5"/>
  <c r="LOE39" i="5"/>
  <c r="LOD39" i="5"/>
  <c r="LOC39" i="5"/>
  <c r="LNT39" i="5"/>
  <c r="LNO39" i="5"/>
  <c r="LNN39" i="5"/>
  <c r="LNM39" i="5"/>
  <c r="LND39" i="5"/>
  <c r="LMY39" i="5"/>
  <c r="LMX39" i="5"/>
  <c r="LMW39" i="5"/>
  <c r="LMN39" i="5"/>
  <c r="LMI39" i="5"/>
  <c r="LMH39" i="5"/>
  <c r="LMG39" i="5"/>
  <c r="LLX39" i="5"/>
  <c r="LLS39" i="5"/>
  <c r="LLR39" i="5"/>
  <c r="LLQ39" i="5"/>
  <c r="LLH39" i="5"/>
  <c r="LLC39" i="5"/>
  <c r="LLB39" i="5"/>
  <c r="LLA39" i="5"/>
  <c r="LKR39" i="5"/>
  <c r="LKM39" i="5"/>
  <c r="LKL39" i="5"/>
  <c r="LKK39" i="5"/>
  <c r="LKB39" i="5"/>
  <c r="LJW39" i="5"/>
  <c r="LJV39" i="5"/>
  <c r="LJU39" i="5"/>
  <c r="LJL39" i="5"/>
  <c r="LJG39" i="5"/>
  <c r="LJF39" i="5"/>
  <c r="LJE39" i="5"/>
  <c r="LIV39" i="5"/>
  <c r="LIQ39" i="5"/>
  <c r="LIP39" i="5"/>
  <c r="LIO39" i="5"/>
  <c r="LIF39" i="5"/>
  <c r="LIA39" i="5"/>
  <c r="LHZ39" i="5"/>
  <c r="LHY39" i="5"/>
  <c r="LHP39" i="5"/>
  <c r="LHK39" i="5"/>
  <c r="LHJ39" i="5"/>
  <c r="LHI39" i="5"/>
  <c r="LGZ39" i="5"/>
  <c r="LGU39" i="5"/>
  <c r="LGT39" i="5"/>
  <c r="LGS39" i="5"/>
  <c r="LGJ39" i="5"/>
  <c r="LGE39" i="5"/>
  <c r="LGD39" i="5"/>
  <c r="LGC39" i="5"/>
  <c r="LFT39" i="5"/>
  <c r="LFO39" i="5"/>
  <c r="LFN39" i="5"/>
  <c r="LFM39" i="5"/>
  <c r="LFD39" i="5"/>
  <c r="LEY39" i="5"/>
  <c r="LEX39" i="5"/>
  <c r="LEW39" i="5"/>
  <c r="LEN39" i="5"/>
  <c r="LEI39" i="5"/>
  <c r="LEH39" i="5"/>
  <c r="LEG39" i="5"/>
  <c r="LDX39" i="5"/>
  <c r="LDS39" i="5"/>
  <c r="LDR39" i="5"/>
  <c r="LDQ39" i="5"/>
  <c r="LDH39" i="5"/>
  <c r="LDC39" i="5"/>
  <c r="LDB39" i="5"/>
  <c r="LDA39" i="5"/>
  <c r="LCR39" i="5"/>
  <c r="LCM39" i="5"/>
  <c r="LCL39" i="5"/>
  <c r="LCK39" i="5"/>
  <c r="LCB39" i="5"/>
  <c r="LBW39" i="5"/>
  <c r="LBV39" i="5"/>
  <c r="LBU39" i="5"/>
  <c r="LBL39" i="5"/>
  <c r="LBG39" i="5"/>
  <c r="LBF39" i="5"/>
  <c r="LBE39" i="5"/>
  <c r="LAV39" i="5"/>
  <c r="LAQ39" i="5"/>
  <c r="LAP39" i="5"/>
  <c r="LAO39" i="5"/>
  <c r="LAF39" i="5"/>
  <c r="LAA39" i="5"/>
  <c r="KZZ39" i="5"/>
  <c r="KZY39" i="5"/>
  <c r="KZP39" i="5"/>
  <c r="KZK39" i="5"/>
  <c r="KZJ39" i="5"/>
  <c r="KZI39" i="5"/>
  <c r="KYZ39" i="5"/>
  <c r="KYU39" i="5"/>
  <c r="KYT39" i="5"/>
  <c r="KYS39" i="5"/>
  <c r="KYJ39" i="5"/>
  <c r="KYE39" i="5"/>
  <c r="KYD39" i="5"/>
  <c r="KYC39" i="5"/>
  <c r="KXT39" i="5"/>
  <c r="KXO39" i="5"/>
  <c r="KXN39" i="5"/>
  <c r="KXM39" i="5"/>
  <c r="KXD39" i="5"/>
  <c r="KWY39" i="5"/>
  <c r="KWX39" i="5"/>
  <c r="KWW39" i="5"/>
  <c r="KWN39" i="5"/>
  <c r="KWI39" i="5"/>
  <c r="KWH39" i="5"/>
  <c r="KWG39" i="5"/>
  <c r="KVX39" i="5"/>
  <c r="KVS39" i="5"/>
  <c r="KVR39" i="5"/>
  <c r="KVQ39" i="5"/>
  <c r="KVH39" i="5"/>
  <c r="KVC39" i="5"/>
  <c r="KVB39" i="5"/>
  <c r="KVA39" i="5"/>
  <c r="KUR39" i="5"/>
  <c r="KUM39" i="5"/>
  <c r="KUL39" i="5"/>
  <c r="KUK39" i="5"/>
  <c r="KUB39" i="5"/>
  <c r="KTW39" i="5"/>
  <c r="KTV39" i="5"/>
  <c r="KTU39" i="5"/>
  <c r="KTL39" i="5"/>
  <c r="KTG39" i="5"/>
  <c r="KTF39" i="5"/>
  <c r="KTE39" i="5"/>
  <c r="KSV39" i="5"/>
  <c r="KSQ39" i="5"/>
  <c r="KSP39" i="5"/>
  <c r="KSO39" i="5"/>
  <c r="KSF39" i="5"/>
  <c r="KSA39" i="5"/>
  <c r="KRZ39" i="5"/>
  <c r="KRY39" i="5"/>
  <c r="KRP39" i="5"/>
  <c r="KRK39" i="5"/>
  <c r="KRJ39" i="5"/>
  <c r="KRI39" i="5"/>
  <c r="KQZ39" i="5"/>
  <c r="KQU39" i="5"/>
  <c r="KQT39" i="5"/>
  <c r="KQS39" i="5"/>
  <c r="KQJ39" i="5"/>
  <c r="KQE39" i="5"/>
  <c r="KQD39" i="5"/>
  <c r="KQC39" i="5"/>
  <c r="KPT39" i="5"/>
  <c r="KPO39" i="5"/>
  <c r="KPN39" i="5"/>
  <c r="KPM39" i="5"/>
  <c r="KPD39" i="5"/>
  <c r="KOY39" i="5"/>
  <c r="KOX39" i="5"/>
  <c r="KOW39" i="5"/>
  <c r="KON39" i="5"/>
  <c r="KOI39" i="5"/>
  <c r="KOH39" i="5"/>
  <c r="KOG39" i="5"/>
  <c r="KNX39" i="5"/>
  <c r="KNS39" i="5"/>
  <c r="KNR39" i="5"/>
  <c r="KNQ39" i="5"/>
  <c r="KNH39" i="5"/>
  <c r="KNC39" i="5"/>
  <c r="KNB39" i="5"/>
  <c r="KNA39" i="5"/>
  <c r="KMR39" i="5"/>
  <c r="KMM39" i="5"/>
  <c r="KML39" i="5"/>
  <c r="KMK39" i="5"/>
  <c r="KMB39" i="5"/>
  <c r="KLW39" i="5"/>
  <c r="KLV39" i="5"/>
  <c r="KLU39" i="5"/>
  <c r="KLL39" i="5"/>
  <c r="KLG39" i="5"/>
  <c r="KLF39" i="5"/>
  <c r="KLE39" i="5"/>
  <c r="KKV39" i="5"/>
  <c r="KKQ39" i="5"/>
  <c r="KKP39" i="5"/>
  <c r="KKO39" i="5"/>
  <c r="KKF39" i="5"/>
  <c r="KKA39" i="5"/>
  <c r="KJZ39" i="5"/>
  <c r="KJY39" i="5"/>
  <c r="KJP39" i="5"/>
  <c r="KJK39" i="5"/>
  <c r="KJJ39" i="5"/>
  <c r="KJI39" i="5"/>
  <c r="KIZ39" i="5"/>
  <c r="KIU39" i="5"/>
  <c r="KIT39" i="5"/>
  <c r="KIS39" i="5"/>
  <c r="KIJ39" i="5"/>
  <c r="KIE39" i="5"/>
  <c r="KID39" i="5"/>
  <c r="KIC39" i="5"/>
  <c r="KHT39" i="5"/>
  <c r="KHO39" i="5"/>
  <c r="KHN39" i="5"/>
  <c r="KHM39" i="5"/>
  <c r="KHD39" i="5"/>
  <c r="KGY39" i="5"/>
  <c r="KGX39" i="5"/>
  <c r="KGW39" i="5"/>
  <c r="KGN39" i="5"/>
  <c r="KGI39" i="5"/>
  <c r="KGH39" i="5"/>
  <c r="KGG39" i="5"/>
  <c r="KFX39" i="5"/>
  <c r="KFS39" i="5"/>
  <c r="KFR39" i="5"/>
  <c r="KFQ39" i="5"/>
  <c r="KFH39" i="5"/>
  <c r="KFC39" i="5"/>
  <c r="KFB39" i="5"/>
  <c r="KFA39" i="5"/>
  <c r="KER39" i="5"/>
  <c r="KEM39" i="5"/>
  <c r="KEL39" i="5"/>
  <c r="KEK39" i="5"/>
  <c r="KEB39" i="5"/>
  <c r="KDW39" i="5"/>
  <c r="KDV39" i="5"/>
  <c r="KDU39" i="5"/>
  <c r="KDL39" i="5"/>
  <c r="KDG39" i="5"/>
  <c r="KDF39" i="5"/>
  <c r="KDE39" i="5"/>
  <c r="KCV39" i="5"/>
  <c r="KCQ39" i="5"/>
  <c r="KCP39" i="5"/>
  <c r="KCO39" i="5"/>
  <c r="KCF39" i="5"/>
  <c r="KCA39" i="5"/>
  <c r="KBZ39" i="5"/>
  <c r="KBY39" i="5"/>
  <c r="KBP39" i="5"/>
  <c r="KBK39" i="5"/>
  <c r="KBJ39" i="5"/>
  <c r="KBI39" i="5"/>
  <c r="KAZ39" i="5"/>
  <c r="KAU39" i="5"/>
  <c r="KAT39" i="5"/>
  <c r="KAS39" i="5"/>
  <c r="KAJ39" i="5"/>
  <c r="KAE39" i="5"/>
  <c r="KAD39" i="5"/>
  <c r="KAC39" i="5"/>
  <c r="JZT39" i="5"/>
  <c r="JZO39" i="5"/>
  <c r="JZN39" i="5"/>
  <c r="JZM39" i="5"/>
  <c r="JZD39" i="5"/>
  <c r="JYY39" i="5"/>
  <c r="JYX39" i="5"/>
  <c r="JYW39" i="5"/>
  <c r="JYN39" i="5"/>
  <c r="JYI39" i="5"/>
  <c r="JYH39" i="5"/>
  <c r="JYG39" i="5"/>
  <c r="JXX39" i="5"/>
  <c r="JXS39" i="5"/>
  <c r="JXR39" i="5"/>
  <c r="JXQ39" i="5"/>
  <c r="JXH39" i="5"/>
  <c r="JXC39" i="5"/>
  <c r="JXB39" i="5"/>
  <c r="JXA39" i="5"/>
  <c r="JWR39" i="5"/>
  <c r="JWM39" i="5"/>
  <c r="JWL39" i="5"/>
  <c r="JWK39" i="5"/>
  <c r="JWB39" i="5"/>
  <c r="JVW39" i="5"/>
  <c r="JVV39" i="5"/>
  <c r="JVU39" i="5"/>
  <c r="JVL39" i="5"/>
  <c r="JVG39" i="5"/>
  <c r="JVF39" i="5"/>
  <c r="JVE39" i="5"/>
  <c r="JUV39" i="5"/>
  <c r="JUQ39" i="5"/>
  <c r="JUP39" i="5"/>
  <c r="JUO39" i="5"/>
  <c r="JUF39" i="5"/>
  <c r="JUA39" i="5"/>
  <c r="JTZ39" i="5"/>
  <c r="JTY39" i="5"/>
  <c r="JTP39" i="5"/>
  <c r="JTK39" i="5"/>
  <c r="JTJ39" i="5"/>
  <c r="JTI39" i="5"/>
  <c r="JSZ39" i="5"/>
  <c r="JSU39" i="5"/>
  <c r="JST39" i="5"/>
  <c r="JSS39" i="5"/>
  <c r="JSJ39" i="5"/>
  <c r="JSE39" i="5"/>
  <c r="JSD39" i="5"/>
  <c r="JSC39" i="5"/>
  <c r="JRT39" i="5"/>
  <c r="JRO39" i="5"/>
  <c r="JRN39" i="5"/>
  <c r="JRM39" i="5"/>
  <c r="JRD39" i="5"/>
  <c r="JQY39" i="5"/>
  <c r="JQX39" i="5"/>
  <c r="JQW39" i="5"/>
  <c r="JQN39" i="5"/>
  <c r="JQI39" i="5"/>
  <c r="JQH39" i="5"/>
  <c r="JQG39" i="5"/>
  <c r="JPX39" i="5"/>
  <c r="JPS39" i="5"/>
  <c r="JPR39" i="5"/>
  <c r="JPQ39" i="5"/>
  <c r="JPH39" i="5"/>
  <c r="JPC39" i="5"/>
  <c r="JPB39" i="5"/>
  <c r="JPA39" i="5"/>
  <c r="JOR39" i="5"/>
  <c r="JOM39" i="5"/>
  <c r="JOL39" i="5"/>
  <c r="JOK39" i="5"/>
  <c r="JOB39" i="5"/>
  <c r="JNW39" i="5"/>
  <c r="JNV39" i="5"/>
  <c r="JNU39" i="5"/>
  <c r="JNL39" i="5"/>
  <c r="JNG39" i="5"/>
  <c r="JNF39" i="5"/>
  <c r="JNE39" i="5"/>
  <c r="JMV39" i="5"/>
  <c r="JMQ39" i="5"/>
  <c r="JMP39" i="5"/>
  <c r="JMO39" i="5"/>
  <c r="JMF39" i="5"/>
  <c r="JMA39" i="5"/>
  <c r="JLZ39" i="5"/>
  <c r="JLY39" i="5"/>
  <c r="JLP39" i="5"/>
  <c r="JLK39" i="5"/>
  <c r="JLJ39" i="5"/>
  <c r="JLI39" i="5"/>
  <c r="JKZ39" i="5"/>
  <c r="JKU39" i="5"/>
  <c r="JKT39" i="5"/>
  <c r="JKS39" i="5"/>
  <c r="JKJ39" i="5"/>
  <c r="JKE39" i="5"/>
  <c r="JKD39" i="5"/>
  <c r="JKC39" i="5"/>
  <c r="JJT39" i="5"/>
  <c r="JJO39" i="5"/>
  <c r="JJN39" i="5"/>
  <c r="JJM39" i="5"/>
  <c r="JJD39" i="5"/>
  <c r="JIY39" i="5"/>
  <c r="JIX39" i="5"/>
  <c r="JIW39" i="5"/>
  <c r="JIN39" i="5"/>
  <c r="JII39" i="5"/>
  <c r="JIH39" i="5"/>
  <c r="JIG39" i="5"/>
  <c r="JHX39" i="5"/>
  <c r="JHS39" i="5"/>
  <c r="JHR39" i="5"/>
  <c r="JHQ39" i="5"/>
  <c r="JHH39" i="5"/>
  <c r="JHC39" i="5"/>
  <c r="JHB39" i="5"/>
  <c r="JHA39" i="5"/>
  <c r="JGR39" i="5"/>
  <c r="JGM39" i="5"/>
  <c r="JGL39" i="5"/>
  <c r="JGK39" i="5"/>
  <c r="JGB39" i="5"/>
  <c r="JFW39" i="5"/>
  <c r="JFV39" i="5"/>
  <c r="JFU39" i="5"/>
  <c r="JFL39" i="5"/>
  <c r="JFG39" i="5"/>
  <c r="JFF39" i="5"/>
  <c r="JFE39" i="5"/>
  <c r="JEV39" i="5"/>
  <c r="JEQ39" i="5"/>
  <c r="JEP39" i="5"/>
  <c r="JEO39" i="5"/>
  <c r="JEF39" i="5"/>
  <c r="JEA39" i="5"/>
  <c r="JDZ39" i="5"/>
  <c r="JDY39" i="5"/>
  <c r="JDP39" i="5"/>
  <c r="JDK39" i="5"/>
  <c r="JDJ39" i="5"/>
  <c r="JDI39" i="5"/>
  <c r="JCZ39" i="5"/>
  <c r="JCU39" i="5"/>
  <c r="JCT39" i="5"/>
  <c r="JCS39" i="5"/>
  <c r="JCJ39" i="5"/>
  <c r="JCE39" i="5"/>
  <c r="JCD39" i="5"/>
  <c r="JCC39" i="5"/>
  <c r="JBT39" i="5"/>
  <c r="JBO39" i="5"/>
  <c r="JBN39" i="5"/>
  <c r="JBM39" i="5"/>
  <c r="JBD39" i="5"/>
  <c r="JAY39" i="5"/>
  <c r="JAX39" i="5"/>
  <c r="JAW39" i="5"/>
  <c r="JAN39" i="5"/>
  <c r="JAI39" i="5"/>
  <c r="JAH39" i="5"/>
  <c r="JAG39" i="5"/>
  <c r="IZX39" i="5"/>
  <c r="IZS39" i="5"/>
  <c r="IZR39" i="5"/>
  <c r="IZQ39" i="5"/>
  <c r="IZH39" i="5"/>
  <c r="IZC39" i="5"/>
  <c r="IZB39" i="5"/>
  <c r="IZA39" i="5"/>
  <c r="IYR39" i="5"/>
  <c r="IYM39" i="5"/>
  <c r="IYL39" i="5"/>
  <c r="IYK39" i="5"/>
  <c r="IYB39" i="5"/>
  <c r="IXW39" i="5"/>
  <c r="IXV39" i="5"/>
  <c r="IXU39" i="5"/>
  <c r="IXL39" i="5"/>
  <c r="IXG39" i="5"/>
  <c r="IXF39" i="5"/>
  <c r="IXE39" i="5"/>
  <c r="IWV39" i="5"/>
  <c r="IWQ39" i="5"/>
  <c r="IWP39" i="5"/>
  <c r="IWO39" i="5"/>
  <c r="IWF39" i="5"/>
  <c r="IWA39" i="5"/>
  <c r="IVZ39" i="5"/>
  <c r="IVY39" i="5"/>
  <c r="IVP39" i="5"/>
  <c r="IVK39" i="5"/>
  <c r="IVJ39" i="5"/>
  <c r="IVI39" i="5"/>
  <c r="IUZ39" i="5"/>
  <c r="IUU39" i="5"/>
  <c r="IUT39" i="5"/>
  <c r="IUS39" i="5"/>
  <c r="IUJ39" i="5"/>
  <c r="IUE39" i="5"/>
  <c r="IUD39" i="5"/>
  <c r="IUC39" i="5"/>
  <c r="ITT39" i="5"/>
  <c r="ITO39" i="5"/>
  <c r="ITN39" i="5"/>
  <c r="ITM39" i="5"/>
  <c r="ITD39" i="5"/>
  <c r="ISY39" i="5"/>
  <c r="ISX39" i="5"/>
  <c r="ISW39" i="5"/>
  <c r="ISN39" i="5"/>
  <c r="ISI39" i="5"/>
  <c r="ISH39" i="5"/>
  <c r="ISG39" i="5"/>
  <c r="IRX39" i="5"/>
  <c r="IRS39" i="5"/>
  <c r="IRR39" i="5"/>
  <c r="IRQ39" i="5"/>
  <c r="IRH39" i="5"/>
  <c r="IRC39" i="5"/>
  <c r="IRB39" i="5"/>
  <c r="IRA39" i="5"/>
  <c r="IQR39" i="5"/>
  <c r="IQM39" i="5"/>
  <c r="IQL39" i="5"/>
  <c r="IQK39" i="5"/>
  <c r="IQB39" i="5"/>
  <c r="IPW39" i="5"/>
  <c r="IPV39" i="5"/>
  <c r="IPU39" i="5"/>
  <c r="IPL39" i="5"/>
  <c r="IPG39" i="5"/>
  <c r="IPF39" i="5"/>
  <c r="IPE39" i="5"/>
  <c r="IOV39" i="5"/>
  <c r="IOQ39" i="5"/>
  <c r="IOP39" i="5"/>
  <c r="IOO39" i="5"/>
  <c r="IOF39" i="5"/>
  <c r="IOA39" i="5"/>
  <c r="INZ39" i="5"/>
  <c r="INY39" i="5"/>
  <c r="INP39" i="5"/>
  <c r="INK39" i="5"/>
  <c r="INJ39" i="5"/>
  <c r="INI39" i="5"/>
  <c r="IMZ39" i="5"/>
  <c r="IMU39" i="5"/>
  <c r="IMT39" i="5"/>
  <c r="IMS39" i="5"/>
  <c r="IMJ39" i="5"/>
  <c r="IME39" i="5"/>
  <c r="IMD39" i="5"/>
  <c r="IMC39" i="5"/>
  <c r="ILT39" i="5"/>
  <c r="ILO39" i="5"/>
  <c r="ILN39" i="5"/>
  <c r="ILM39" i="5"/>
  <c r="ILD39" i="5"/>
  <c r="IKY39" i="5"/>
  <c r="IKX39" i="5"/>
  <c r="IKW39" i="5"/>
  <c r="IKN39" i="5"/>
  <c r="IKI39" i="5"/>
  <c r="IKH39" i="5"/>
  <c r="IKG39" i="5"/>
  <c r="IJX39" i="5"/>
  <c r="IJS39" i="5"/>
  <c r="IJR39" i="5"/>
  <c r="IJQ39" i="5"/>
  <c r="IJH39" i="5"/>
  <c r="IJC39" i="5"/>
  <c r="IJB39" i="5"/>
  <c r="IJA39" i="5"/>
  <c r="IIR39" i="5"/>
  <c r="IIM39" i="5"/>
  <c r="IIL39" i="5"/>
  <c r="IIK39" i="5"/>
  <c r="IIB39" i="5"/>
  <c r="IHW39" i="5"/>
  <c r="IHV39" i="5"/>
  <c r="IHU39" i="5"/>
  <c r="IHL39" i="5"/>
  <c r="IHG39" i="5"/>
  <c r="IHF39" i="5"/>
  <c r="IHE39" i="5"/>
  <c r="IGV39" i="5"/>
  <c r="IGQ39" i="5"/>
  <c r="IGP39" i="5"/>
  <c r="IGO39" i="5"/>
  <c r="IGF39" i="5"/>
  <c r="IGA39" i="5"/>
  <c r="IFZ39" i="5"/>
  <c r="IFY39" i="5"/>
  <c r="IFP39" i="5"/>
  <c r="IFK39" i="5"/>
  <c r="IFJ39" i="5"/>
  <c r="IFI39" i="5"/>
  <c r="IEZ39" i="5"/>
  <c r="IEU39" i="5"/>
  <c r="IET39" i="5"/>
  <c r="IES39" i="5"/>
  <c r="IEJ39" i="5"/>
  <c r="IEE39" i="5"/>
  <c r="IED39" i="5"/>
  <c r="IEC39" i="5"/>
  <c r="IDT39" i="5"/>
  <c r="IDO39" i="5"/>
  <c r="IDN39" i="5"/>
  <c r="IDM39" i="5"/>
  <c r="IDD39" i="5"/>
  <c r="ICY39" i="5"/>
  <c r="ICX39" i="5"/>
  <c r="ICW39" i="5"/>
  <c r="ICN39" i="5"/>
  <c r="ICI39" i="5"/>
  <c r="ICH39" i="5"/>
  <c r="ICG39" i="5"/>
  <c r="IBX39" i="5"/>
  <c r="IBS39" i="5"/>
  <c r="IBR39" i="5"/>
  <c r="IBQ39" i="5"/>
  <c r="IBH39" i="5"/>
  <c r="IBC39" i="5"/>
  <c r="IBB39" i="5"/>
  <c r="IBA39" i="5"/>
  <c r="IAR39" i="5"/>
  <c r="IAM39" i="5"/>
  <c r="IAL39" i="5"/>
  <c r="IAK39" i="5"/>
  <c r="IAB39" i="5"/>
  <c r="HZW39" i="5"/>
  <c r="HZV39" i="5"/>
  <c r="HZU39" i="5"/>
  <c r="HZL39" i="5"/>
  <c r="HZG39" i="5"/>
  <c r="HZF39" i="5"/>
  <c r="HZE39" i="5"/>
  <c r="HYV39" i="5"/>
  <c r="HYQ39" i="5"/>
  <c r="HYP39" i="5"/>
  <c r="HYO39" i="5"/>
  <c r="HYF39" i="5"/>
  <c r="HYA39" i="5"/>
  <c r="HXZ39" i="5"/>
  <c r="HXY39" i="5"/>
  <c r="HXP39" i="5"/>
  <c r="HXK39" i="5"/>
  <c r="HXJ39" i="5"/>
  <c r="HXI39" i="5"/>
  <c r="HWZ39" i="5"/>
  <c r="HWU39" i="5"/>
  <c r="HWT39" i="5"/>
  <c r="HWS39" i="5"/>
  <c r="HWJ39" i="5"/>
  <c r="HWE39" i="5"/>
  <c r="HWD39" i="5"/>
  <c r="HWC39" i="5"/>
  <c r="HVT39" i="5"/>
  <c r="HVO39" i="5"/>
  <c r="HVN39" i="5"/>
  <c r="HVM39" i="5"/>
  <c r="HVD39" i="5"/>
  <c r="HUY39" i="5"/>
  <c r="HUX39" i="5"/>
  <c r="HUW39" i="5"/>
  <c r="HUN39" i="5"/>
  <c r="HUI39" i="5"/>
  <c r="HUH39" i="5"/>
  <c r="HUG39" i="5"/>
  <c r="HTX39" i="5"/>
  <c r="HTS39" i="5"/>
  <c r="HTR39" i="5"/>
  <c r="HTQ39" i="5"/>
  <c r="HTH39" i="5"/>
  <c r="HTC39" i="5"/>
  <c r="HTB39" i="5"/>
  <c r="HTA39" i="5"/>
  <c r="HSR39" i="5"/>
  <c r="HSM39" i="5"/>
  <c r="HSL39" i="5"/>
  <c r="HSK39" i="5"/>
  <c r="HSB39" i="5"/>
  <c r="HRW39" i="5"/>
  <c r="HRV39" i="5"/>
  <c r="HRU39" i="5"/>
  <c r="HRL39" i="5"/>
  <c r="HRG39" i="5"/>
  <c r="HRF39" i="5"/>
  <c r="HRE39" i="5"/>
  <c r="HQV39" i="5"/>
  <c r="HQQ39" i="5"/>
  <c r="HQP39" i="5"/>
  <c r="HQO39" i="5"/>
  <c r="HQF39" i="5"/>
  <c r="HQA39" i="5"/>
  <c r="HPZ39" i="5"/>
  <c r="HPY39" i="5"/>
  <c r="HPP39" i="5"/>
  <c r="HPK39" i="5"/>
  <c r="HPJ39" i="5"/>
  <c r="HPI39" i="5"/>
  <c r="HOZ39" i="5"/>
  <c r="HOU39" i="5"/>
  <c r="HOT39" i="5"/>
  <c r="HOS39" i="5"/>
  <c r="HOJ39" i="5"/>
  <c r="HOE39" i="5"/>
  <c r="HOD39" i="5"/>
  <c r="HOC39" i="5"/>
  <c r="HNT39" i="5"/>
  <c r="HNO39" i="5"/>
  <c r="HNN39" i="5"/>
  <c r="HNM39" i="5"/>
  <c r="HND39" i="5"/>
  <c r="HMY39" i="5"/>
  <c r="HMX39" i="5"/>
  <c r="HMW39" i="5"/>
  <c r="HMN39" i="5"/>
  <c r="HMI39" i="5"/>
  <c r="HMH39" i="5"/>
  <c r="HMG39" i="5"/>
  <c r="HLX39" i="5"/>
  <c r="HLS39" i="5"/>
  <c r="HLR39" i="5"/>
  <c r="HLQ39" i="5"/>
  <c r="HLH39" i="5"/>
  <c r="HLC39" i="5"/>
  <c r="HLB39" i="5"/>
  <c r="HLA39" i="5"/>
  <c r="HKR39" i="5"/>
  <c r="HKM39" i="5"/>
  <c r="HKL39" i="5"/>
  <c r="HKK39" i="5"/>
  <c r="HKB39" i="5"/>
  <c r="HJW39" i="5"/>
  <c r="HJV39" i="5"/>
  <c r="HJU39" i="5"/>
  <c r="HJL39" i="5"/>
  <c r="HJG39" i="5"/>
  <c r="HJF39" i="5"/>
  <c r="HJE39" i="5"/>
  <c r="HIV39" i="5"/>
  <c r="HIQ39" i="5"/>
  <c r="HIP39" i="5"/>
  <c r="HIO39" i="5"/>
  <c r="HIF39" i="5"/>
  <c r="HIA39" i="5"/>
  <c r="HHZ39" i="5"/>
  <c r="HHY39" i="5"/>
  <c r="HHP39" i="5"/>
  <c r="HHK39" i="5"/>
  <c r="HHJ39" i="5"/>
  <c r="HHI39" i="5"/>
  <c r="HGZ39" i="5"/>
  <c r="HGU39" i="5"/>
  <c r="HGT39" i="5"/>
  <c r="HGS39" i="5"/>
  <c r="HGJ39" i="5"/>
  <c r="HGE39" i="5"/>
  <c r="HGD39" i="5"/>
  <c r="HGC39" i="5"/>
  <c r="HFT39" i="5"/>
  <c r="HFO39" i="5"/>
  <c r="HFN39" i="5"/>
  <c r="HFM39" i="5"/>
  <c r="HFD39" i="5"/>
  <c r="HEY39" i="5"/>
  <c r="HEX39" i="5"/>
  <c r="HEW39" i="5"/>
  <c r="HEN39" i="5"/>
  <c r="HEI39" i="5"/>
  <c r="HEH39" i="5"/>
  <c r="HEG39" i="5"/>
  <c r="HDX39" i="5"/>
  <c r="HDS39" i="5"/>
  <c r="HDR39" i="5"/>
  <c r="HDQ39" i="5"/>
  <c r="HDH39" i="5"/>
  <c r="HDC39" i="5"/>
  <c r="HDB39" i="5"/>
  <c r="HDA39" i="5"/>
  <c r="HCR39" i="5"/>
  <c r="HCM39" i="5"/>
  <c r="HCL39" i="5"/>
  <c r="HCK39" i="5"/>
  <c r="HCB39" i="5"/>
  <c r="HBW39" i="5"/>
  <c r="HBV39" i="5"/>
  <c r="HBU39" i="5"/>
  <c r="HBL39" i="5"/>
  <c r="HBG39" i="5"/>
  <c r="HBF39" i="5"/>
  <c r="HBE39" i="5"/>
  <c r="HAV39" i="5"/>
  <c r="HAQ39" i="5"/>
  <c r="HAP39" i="5"/>
  <c r="HAO39" i="5"/>
  <c r="HAF39" i="5"/>
  <c r="HAA39" i="5"/>
  <c r="GZZ39" i="5"/>
  <c r="GZY39" i="5"/>
  <c r="GZP39" i="5"/>
  <c r="GZK39" i="5"/>
  <c r="GZJ39" i="5"/>
  <c r="GZI39" i="5"/>
  <c r="GYZ39" i="5"/>
  <c r="GYU39" i="5"/>
  <c r="GYT39" i="5"/>
  <c r="GYS39" i="5"/>
  <c r="GYJ39" i="5"/>
  <c r="GYE39" i="5"/>
  <c r="GYD39" i="5"/>
  <c r="GYC39" i="5"/>
  <c r="GXT39" i="5"/>
  <c r="GXO39" i="5"/>
  <c r="GXN39" i="5"/>
  <c r="GXM39" i="5"/>
  <c r="GXD39" i="5"/>
  <c r="GWY39" i="5"/>
  <c r="GWX39" i="5"/>
  <c r="GWW39" i="5"/>
  <c r="GWN39" i="5"/>
  <c r="GWI39" i="5"/>
  <c r="GWH39" i="5"/>
  <c r="GWG39" i="5"/>
  <c r="GVX39" i="5"/>
  <c r="GVS39" i="5"/>
  <c r="GVR39" i="5"/>
  <c r="GVQ39" i="5"/>
  <c r="GVH39" i="5"/>
  <c r="GVC39" i="5"/>
  <c r="GVB39" i="5"/>
  <c r="GVA39" i="5"/>
  <c r="GUR39" i="5"/>
  <c r="GUM39" i="5"/>
  <c r="GUL39" i="5"/>
  <c r="GUK39" i="5"/>
  <c r="GUB39" i="5"/>
  <c r="GTW39" i="5"/>
  <c r="GTV39" i="5"/>
  <c r="GTU39" i="5"/>
  <c r="GTL39" i="5"/>
  <c r="GTG39" i="5"/>
  <c r="GTF39" i="5"/>
  <c r="GTE39" i="5"/>
  <c r="GSV39" i="5"/>
  <c r="GSQ39" i="5"/>
  <c r="GSP39" i="5"/>
  <c r="GSO39" i="5"/>
  <c r="GSF39" i="5"/>
  <c r="GSA39" i="5"/>
  <c r="GRZ39" i="5"/>
  <c r="GRY39" i="5"/>
  <c r="GRP39" i="5"/>
  <c r="GRK39" i="5"/>
  <c r="GRJ39" i="5"/>
  <c r="GRI39" i="5"/>
  <c r="GQZ39" i="5"/>
  <c r="GQU39" i="5"/>
  <c r="GQT39" i="5"/>
  <c r="GQS39" i="5"/>
  <c r="GQJ39" i="5"/>
  <c r="GQE39" i="5"/>
  <c r="GQD39" i="5"/>
  <c r="GQC39" i="5"/>
  <c r="GPT39" i="5"/>
  <c r="GPO39" i="5"/>
  <c r="GPN39" i="5"/>
  <c r="GPM39" i="5"/>
  <c r="GPD39" i="5"/>
  <c r="GOY39" i="5"/>
  <c r="GOX39" i="5"/>
  <c r="GOW39" i="5"/>
  <c r="GON39" i="5"/>
  <c r="GOI39" i="5"/>
  <c r="GOH39" i="5"/>
  <c r="GOG39" i="5"/>
  <c r="GNX39" i="5"/>
  <c r="GNS39" i="5"/>
  <c r="GNR39" i="5"/>
  <c r="GNQ39" i="5"/>
  <c r="GNH39" i="5"/>
  <c r="GNC39" i="5"/>
  <c r="GNB39" i="5"/>
  <c r="GNA39" i="5"/>
  <c r="GMR39" i="5"/>
  <c r="GMM39" i="5"/>
  <c r="GML39" i="5"/>
  <c r="GMK39" i="5"/>
  <c r="GMB39" i="5"/>
  <c r="GLW39" i="5"/>
  <c r="GLV39" i="5"/>
  <c r="GLU39" i="5"/>
  <c r="GLL39" i="5"/>
  <c r="GLG39" i="5"/>
  <c r="GLF39" i="5"/>
  <c r="GLE39" i="5"/>
  <c r="GKV39" i="5"/>
  <c r="GKQ39" i="5"/>
  <c r="GKP39" i="5"/>
  <c r="GKO39" i="5"/>
  <c r="GKF39" i="5"/>
  <c r="GKA39" i="5"/>
  <c r="GJZ39" i="5"/>
  <c r="GJY39" i="5"/>
  <c r="GJP39" i="5"/>
  <c r="GJK39" i="5"/>
  <c r="GJJ39" i="5"/>
  <c r="GJI39" i="5"/>
  <c r="GIZ39" i="5"/>
  <c r="GIU39" i="5"/>
  <c r="GIT39" i="5"/>
  <c r="GIS39" i="5"/>
  <c r="GIJ39" i="5"/>
  <c r="GIE39" i="5"/>
  <c r="GID39" i="5"/>
  <c r="GIC39" i="5"/>
  <c r="GHT39" i="5"/>
  <c r="GHO39" i="5"/>
  <c r="GHN39" i="5"/>
  <c r="GHM39" i="5"/>
  <c r="GHD39" i="5"/>
  <c r="GGY39" i="5"/>
  <c r="GGX39" i="5"/>
  <c r="GGW39" i="5"/>
  <c r="GGN39" i="5"/>
  <c r="GGI39" i="5"/>
  <c r="GGH39" i="5"/>
  <c r="GGG39" i="5"/>
  <c r="GFX39" i="5"/>
  <c r="GFS39" i="5"/>
  <c r="GFR39" i="5"/>
  <c r="GFQ39" i="5"/>
  <c r="GFH39" i="5"/>
  <c r="GFC39" i="5"/>
  <c r="GFB39" i="5"/>
  <c r="GFA39" i="5"/>
  <c r="GER39" i="5"/>
  <c r="GEM39" i="5"/>
  <c r="GEL39" i="5"/>
  <c r="GEK39" i="5"/>
  <c r="GEB39" i="5"/>
  <c r="GDW39" i="5"/>
  <c r="GDV39" i="5"/>
  <c r="GDU39" i="5"/>
  <c r="GDL39" i="5"/>
  <c r="GDG39" i="5"/>
  <c r="GDF39" i="5"/>
  <c r="GDE39" i="5"/>
  <c r="GCV39" i="5"/>
  <c r="GCQ39" i="5"/>
  <c r="GCP39" i="5"/>
  <c r="GCO39" i="5"/>
  <c r="GCF39" i="5"/>
  <c r="GCA39" i="5"/>
  <c r="GBZ39" i="5"/>
  <c r="GBY39" i="5"/>
  <c r="GBP39" i="5"/>
  <c r="GBK39" i="5"/>
  <c r="GBJ39" i="5"/>
  <c r="GBI39" i="5"/>
  <c r="GAZ39" i="5"/>
  <c r="GAU39" i="5"/>
  <c r="GAT39" i="5"/>
  <c r="GAS39" i="5"/>
  <c r="GAJ39" i="5"/>
  <c r="GAE39" i="5"/>
  <c r="GAD39" i="5"/>
  <c r="GAC39" i="5"/>
  <c r="FZT39" i="5"/>
  <c r="FZO39" i="5"/>
  <c r="FZN39" i="5"/>
  <c r="FZM39" i="5"/>
  <c r="FZD39" i="5"/>
  <c r="FYY39" i="5"/>
  <c r="FYX39" i="5"/>
  <c r="FYW39" i="5"/>
  <c r="FYN39" i="5"/>
  <c r="FYI39" i="5"/>
  <c r="FYH39" i="5"/>
  <c r="FYG39" i="5"/>
  <c r="FXX39" i="5"/>
  <c r="FXS39" i="5"/>
  <c r="FXR39" i="5"/>
  <c r="FXQ39" i="5"/>
  <c r="FXH39" i="5"/>
  <c r="FXC39" i="5"/>
  <c r="FXB39" i="5"/>
  <c r="FXA39" i="5"/>
  <c r="FWR39" i="5"/>
  <c r="FWM39" i="5"/>
  <c r="FWL39" i="5"/>
  <c r="FWK39" i="5"/>
  <c r="FWB39" i="5"/>
  <c r="FVW39" i="5"/>
  <c r="FVV39" i="5"/>
  <c r="FVU39" i="5"/>
  <c r="FVL39" i="5"/>
  <c r="FVG39" i="5"/>
  <c r="FVF39" i="5"/>
  <c r="FVE39" i="5"/>
  <c r="FUV39" i="5"/>
  <c r="FUQ39" i="5"/>
  <c r="FUP39" i="5"/>
  <c r="FUO39" i="5"/>
  <c r="FUF39" i="5"/>
  <c r="FUA39" i="5"/>
  <c r="FTZ39" i="5"/>
  <c r="FTY39" i="5"/>
  <c r="FTP39" i="5"/>
  <c r="FTK39" i="5"/>
  <c r="FTJ39" i="5"/>
  <c r="FTI39" i="5"/>
  <c r="FSZ39" i="5"/>
  <c r="FSU39" i="5"/>
  <c r="FST39" i="5"/>
  <c r="FSS39" i="5"/>
  <c r="FSJ39" i="5"/>
  <c r="FSE39" i="5"/>
  <c r="FSD39" i="5"/>
  <c r="FSC39" i="5"/>
  <c r="FRT39" i="5"/>
  <c r="FRO39" i="5"/>
  <c r="FRN39" i="5"/>
  <c r="FRM39" i="5"/>
  <c r="FRD39" i="5"/>
  <c r="FQY39" i="5"/>
  <c r="FQX39" i="5"/>
  <c r="FQW39" i="5"/>
  <c r="FQN39" i="5"/>
  <c r="FQI39" i="5"/>
  <c r="FQH39" i="5"/>
  <c r="FQG39" i="5"/>
  <c r="FPX39" i="5"/>
  <c r="FPS39" i="5"/>
  <c r="FPR39" i="5"/>
  <c r="FPQ39" i="5"/>
  <c r="FPH39" i="5"/>
  <c r="FPC39" i="5"/>
  <c r="FPB39" i="5"/>
  <c r="FPA39" i="5"/>
  <c r="FOR39" i="5"/>
  <c r="FOM39" i="5"/>
  <c r="FOL39" i="5"/>
  <c r="FOK39" i="5"/>
  <c r="FOB39" i="5"/>
  <c r="FNW39" i="5"/>
  <c r="FNV39" i="5"/>
  <c r="FNU39" i="5"/>
  <c r="FNL39" i="5"/>
  <c r="FNG39" i="5"/>
  <c r="FNF39" i="5"/>
  <c r="FNE39" i="5"/>
  <c r="FMV39" i="5"/>
  <c r="FMQ39" i="5"/>
  <c r="FMP39" i="5"/>
  <c r="FMO39" i="5"/>
  <c r="FMF39" i="5"/>
  <c r="FMA39" i="5"/>
  <c r="FLZ39" i="5"/>
  <c r="FLY39" i="5"/>
  <c r="FLP39" i="5"/>
  <c r="FLK39" i="5"/>
  <c r="FLJ39" i="5"/>
  <c r="FLI39" i="5"/>
  <c r="FKZ39" i="5"/>
  <c r="FKU39" i="5"/>
  <c r="FKT39" i="5"/>
  <c r="FKS39" i="5"/>
  <c r="FKJ39" i="5"/>
  <c r="FKE39" i="5"/>
  <c r="FKD39" i="5"/>
  <c r="FKC39" i="5"/>
  <c r="FJT39" i="5"/>
  <c r="FJO39" i="5"/>
  <c r="FJN39" i="5"/>
  <c r="FJM39" i="5"/>
  <c r="FJD39" i="5"/>
  <c r="FIY39" i="5"/>
  <c r="FIX39" i="5"/>
  <c r="FIW39" i="5"/>
  <c r="FIN39" i="5"/>
  <c r="FII39" i="5"/>
  <c r="FIH39" i="5"/>
  <c r="FIG39" i="5"/>
  <c r="FHX39" i="5"/>
  <c r="FHS39" i="5"/>
  <c r="FHR39" i="5"/>
  <c r="FHQ39" i="5"/>
  <c r="FHH39" i="5"/>
  <c r="FHC39" i="5"/>
  <c r="FHB39" i="5"/>
  <c r="FHA39" i="5"/>
  <c r="FGR39" i="5"/>
  <c r="FGM39" i="5"/>
  <c r="FGL39" i="5"/>
  <c r="FGK39" i="5"/>
  <c r="FGB39" i="5"/>
  <c r="FFW39" i="5"/>
  <c r="FFV39" i="5"/>
  <c r="FFU39" i="5"/>
  <c r="FFL39" i="5"/>
  <c r="FFG39" i="5"/>
  <c r="FFF39" i="5"/>
  <c r="FFE39" i="5"/>
  <c r="FEV39" i="5"/>
  <c r="FEQ39" i="5"/>
  <c r="FEP39" i="5"/>
  <c r="FEO39" i="5"/>
  <c r="FEF39" i="5"/>
  <c r="FEA39" i="5"/>
  <c r="FDZ39" i="5"/>
  <c r="FDY39" i="5"/>
  <c r="FDP39" i="5"/>
  <c r="FDK39" i="5"/>
  <c r="FDJ39" i="5"/>
  <c r="FDI39" i="5"/>
  <c r="FCZ39" i="5"/>
  <c r="FCU39" i="5"/>
  <c r="FCT39" i="5"/>
  <c r="FCS39" i="5"/>
  <c r="FCJ39" i="5"/>
  <c r="FCE39" i="5"/>
  <c r="FCD39" i="5"/>
  <c r="FCC39" i="5"/>
  <c r="FBT39" i="5"/>
  <c r="FBO39" i="5"/>
  <c r="FBN39" i="5"/>
  <c r="FBM39" i="5"/>
  <c r="FBD39" i="5"/>
  <c r="FAY39" i="5"/>
  <c r="FAX39" i="5"/>
  <c r="FAW39" i="5"/>
  <c r="FAN39" i="5"/>
  <c r="FAI39" i="5"/>
  <c r="FAH39" i="5"/>
  <c r="FAG39" i="5"/>
  <c r="EZX39" i="5"/>
  <c r="EZS39" i="5"/>
  <c r="EZR39" i="5"/>
  <c r="EZQ39" i="5"/>
  <c r="EZH39" i="5"/>
  <c r="EZC39" i="5"/>
  <c r="EZB39" i="5"/>
  <c r="EZA39" i="5"/>
  <c r="EYR39" i="5"/>
  <c r="EYM39" i="5"/>
  <c r="EYL39" i="5"/>
  <c r="EYK39" i="5"/>
  <c r="EYB39" i="5"/>
  <c r="EXW39" i="5"/>
  <c r="EXV39" i="5"/>
  <c r="EXU39" i="5"/>
  <c r="EXL39" i="5"/>
  <c r="EXG39" i="5"/>
  <c r="EXF39" i="5"/>
  <c r="EXE39" i="5"/>
  <c r="EWV39" i="5"/>
  <c r="EWQ39" i="5"/>
  <c r="EWP39" i="5"/>
  <c r="EWO39" i="5"/>
  <c r="EWF39" i="5"/>
  <c r="EWA39" i="5"/>
  <c r="EVZ39" i="5"/>
  <c r="EVY39" i="5"/>
  <c r="EVP39" i="5"/>
  <c r="EVK39" i="5"/>
  <c r="EVJ39" i="5"/>
  <c r="EVI39" i="5"/>
  <c r="EUZ39" i="5"/>
  <c r="EUU39" i="5"/>
  <c r="EUT39" i="5"/>
  <c r="EUS39" i="5"/>
  <c r="EUJ39" i="5"/>
  <c r="EUE39" i="5"/>
  <c r="EUD39" i="5"/>
  <c r="EUC39" i="5"/>
  <c r="ETT39" i="5"/>
  <c r="ETO39" i="5"/>
  <c r="ETN39" i="5"/>
  <c r="ETM39" i="5"/>
  <c r="ETD39" i="5"/>
  <c r="ESY39" i="5"/>
  <c r="ESX39" i="5"/>
  <c r="ESW39" i="5"/>
  <c r="ESN39" i="5"/>
  <c r="ESI39" i="5"/>
  <c r="ESH39" i="5"/>
  <c r="ESG39" i="5"/>
  <c r="ERX39" i="5"/>
  <c r="ERS39" i="5"/>
  <c r="ERR39" i="5"/>
  <c r="ERQ39" i="5"/>
  <c r="ERH39" i="5"/>
  <c r="ERC39" i="5"/>
  <c r="ERB39" i="5"/>
  <c r="ERA39" i="5"/>
  <c r="EQR39" i="5"/>
  <c r="EQM39" i="5"/>
  <c r="EQL39" i="5"/>
  <c r="EQK39" i="5"/>
  <c r="EQB39" i="5"/>
  <c r="EPW39" i="5"/>
  <c r="EPV39" i="5"/>
  <c r="EPU39" i="5"/>
  <c r="EPL39" i="5"/>
  <c r="EPG39" i="5"/>
  <c r="EPF39" i="5"/>
  <c r="EPE39" i="5"/>
  <c r="EOV39" i="5"/>
  <c r="EOQ39" i="5"/>
  <c r="EOP39" i="5"/>
  <c r="EOO39" i="5"/>
  <c r="EOF39" i="5"/>
  <c r="EOA39" i="5"/>
  <c r="ENZ39" i="5"/>
  <c r="ENY39" i="5"/>
  <c r="ENP39" i="5"/>
  <c r="ENK39" i="5"/>
  <c r="ENJ39" i="5"/>
  <c r="ENI39" i="5"/>
  <c r="EMZ39" i="5"/>
  <c r="EMU39" i="5"/>
  <c r="EMT39" i="5"/>
  <c r="EMS39" i="5"/>
  <c r="EMJ39" i="5"/>
  <c r="EME39" i="5"/>
  <c r="EMD39" i="5"/>
  <c r="EMC39" i="5"/>
  <c r="ELT39" i="5"/>
  <c r="ELO39" i="5"/>
  <c r="ELN39" i="5"/>
  <c r="ELM39" i="5"/>
  <c r="ELD39" i="5"/>
  <c r="EKY39" i="5"/>
  <c r="EKX39" i="5"/>
  <c r="EKW39" i="5"/>
  <c r="EKN39" i="5"/>
  <c r="EKI39" i="5"/>
  <c r="EKH39" i="5"/>
  <c r="EKG39" i="5"/>
  <c r="EJX39" i="5"/>
  <c r="EJS39" i="5"/>
  <c r="EJR39" i="5"/>
  <c r="EJQ39" i="5"/>
  <c r="EJH39" i="5"/>
  <c r="EJC39" i="5"/>
  <c r="EJB39" i="5"/>
  <c r="EJA39" i="5"/>
  <c r="EIR39" i="5"/>
  <c r="EIM39" i="5"/>
  <c r="EIL39" i="5"/>
  <c r="EIK39" i="5"/>
  <c r="EIB39" i="5"/>
  <c r="EHW39" i="5"/>
  <c r="EHV39" i="5"/>
  <c r="EHU39" i="5"/>
  <c r="EHL39" i="5"/>
  <c r="EHG39" i="5"/>
  <c r="EHF39" i="5"/>
  <c r="EHE39" i="5"/>
  <c r="EGV39" i="5"/>
  <c r="EGQ39" i="5"/>
  <c r="EGP39" i="5"/>
  <c r="EGO39" i="5"/>
  <c r="EGF39" i="5"/>
  <c r="EGA39" i="5"/>
  <c r="EFZ39" i="5"/>
  <c r="EFY39" i="5"/>
  <c r="EFP39" i="5"/>
  <c r="EFK39" i="5"/>
  <c r="EFJ39" i="5"/>
  <c r="EFI39" i="5"/>
  <c r="EEZ39" i="5"/>
  <c r="EEU39" i="5"/>
  <c r="EET39" i="5"/>
  <c r="EES39" i="5"/>
  <c r="EEJ39" i="5"/>
  <c r="EEE39" i="5"/>
  <c r="EED39" i="5"/>
  <c r="EEC39" i="5"/>
  <c r="EDT39" i="5"/>
  <c r="EDO39" i="5"/>
  <c r="EDN39" i="5"/>
  <c r="EDM39" i="5"/>
  <c r="EDD39" i="5"/>
  <c r="ECY39" i="5"/>
  <c r="ECX39" i="5"/>
  <c r="ECW39" i="5"/>
  <c r="ECN39" i="5"/>
  <c r="ECI39" i="5"/>
  <c r="ECH39" i="5"/>
  <c r="ECG39" i="5"/>
  <c r="EBX39" i="5"/>
  <c r="EBS39" i="5"/>
  <c r="EBR39" i="5"/>
  <c r="EBQ39" i="5"/>
  <c r="EBH39" i="5"/>
  <c r="EBC39" i="5"/>
  <c r="EBB39" i="5"/>
  <c r="EBA39" i="5"/>
  <c r="EAR39" i="5"/>
  <c r="EAM39" i="5"/>
  <c r="EAL39" i="5"/>
  <c r="EAK39" i="5"/>
  <c r="EAB39" i="5"/>
  <c r="DZW39" i="5"/>
  <c r="DZV39" i="5"/>
  <c r="DZU39" i="5"/>
  <c r="DZL39" i="5"/>
  <c r="DZG39" i="5"/>
  <c r="DZF39" i="5"/>
  <c r="DZE39" i="5"/>
  <c r="DYV39" i="5"/>
  <c r="DYQ39" i="5"/>
  <c r="DYP39" i="5"/>
  <c r="DYO39" i="5"/>
  <c r="DYF39" i="5"/>
  <c r="DYA39" i="5"/>
  <c r="DXZ39" i="5"/>
  <c r="DXY39" i="5"/>
  <c r="DXP39" i="5"/>
  <c r="DXK39" i="5"/>
  <c r="DXJ39" i="5"/>
  <c r="DXI39" i="5"/>
  <c r="DWZ39" i="5"/>
  <c r="DWU39" i="5"/>
  <c r="DWT39" i="5"/>
  <c r="DWS39" i="5"/>
  <c r="DWJ39" i="5"/>
  <c r="DWE39" i="5"/>
  <c r="DWD39" i="5"/>
  <c r="DWC39" i="5"/>
  <c r="DVT39" i="5"/>
  <c r="DVO39" i="5"/>
  <c r="DVN39" i="5"/>
  <c r="DVM39" i="5"/>
  <c r="DVD39" i="5"/>
  <c r="DUY39" i="5"/>
  <c r="DUX39" i="5"/>
  <c r="DUW39" i="5"/>
  <c r="DUN39" i="5"/>
  <c r="DUI39" i="5"/>
  <c r="DUH39" i="5"/>
  <c r="DUG39" i="5"/>
  <c r="DTX39" i="5"/>
  <c r="DTS39" i="5"/>
  <c r="DTR39" i="5"/>
  <c r="DTQ39" i="5"/>
  <c r="DTH39" i="5"/>
  <c r="DTC39" i="5"/>
  <c r="DTB39" i="5"/>
  <c r="DTA39" i="5"/>
  <c r="DSR39" i="5"/>
  <c r="DSM39" i="5"/>
  <c r="DSL39" i="5"/>
  <c r="DSK39" i="5"/>
  <c r="DSB39" i="5"/>
  <c r="DRW39" i="5"/>
  <c r="DRV39" i="5"/>
  <c r="DRU39" i="5"/>
  <c r="DRL39" i="5"/>
  <c r="DRG39" i="5"/>
  <c r="DRF39" i="5"/>
  <c r="DRE39" i="5"/>
  <c r="DQV39" i="5"/>
  <c r="DQQ39" i="5"/>
  <c r="DQP39" i="5"/>
  <c r="DQO39" i="5"/>
  <c r="DQF39" i="5"/>
  <c r="DQA39" i="5"/>
  <c r="DPZ39" i="5"/>
  <c r="DPY39" i="5"/>
  <c r="DPP39" i="5"/>
  <c r="DPK39" i="5"/>
  <c r="DPJ39" i="5"/>
  <c r="DPI39" i="5"/>
  <c r="DOZ39" i="5"/>
  <c r="DOU39" i="5"/>
  <c r="DOT39" i="5"/>
  <c r="DOS39" i="5"/>
  <c r="DOJ39" i="5"/>
  <c r="DOE39" i="5"/>
  <c r="DOD39" i="5"/>
  <c r="DOC39" i="5"/>
  <c r="DNT39" i="5"/>
  <c r="DNO39" i="5"/>
  <c r="DNN39" i="5"/>
  <c r="DNM39" i="5"/>
  <c r="DND39" i="5"/>
  <c r="DMY39" i="5"/>
  <c r="DMX39" i="5"/>
  <c r="DMW39" i="5"/>
  <c r="DMN39" i="5"/>
  <c r="DMI39" i="5"/>
  <c r="DMH39" i="5"/>
  <c r="DMG39" i="5"/>
  <c r="DLX39" i="5"/>
  <c r="DLS39" i="5"/>
  <c r="DLR39" i="5"/>
  <c r="DLQ39" i="5"/>
  <c r="DLH39" i="5"/>
  <c r="DLC39" i="5"/>
  <c r="DLB39" i="5"/>
  <c r="DLA39" i="5"/>
  <c r="DKR39" i="5"/>
  <c r="DKM39" i="5"/>
  <c r="DKL39" i="5"/>
  <c r="DKK39" i="5"/>
  <c r="DKB39" i="5"/>
  <c r="DJW39" i="5"/>
  <c r="DJV39" i="5"/>
  <c r="DJU39" i="5"/>
  <c r="DJL39" i="5"/>
  <c r="DJG39" i="5"/>
  <c r="DJF39" i="5"/>
  <c r="DJE39" i="5"/>
  <c r="DIV39" i="5"/>
  <c r="DIQ39" i="5"/>
  <c r="DIP39" i="5"/>
  <c r="DIO39" i="5"/>
  <c r="DIF39" i="5"/>
  <c r="DIA39" i="5"/>
  <c r="DHZ39" i="5"/>
  <c r="DHY39" i="5"/>
  <c r="DHP39" i="5"/>
  <c r="DHK39" i="5"/>
  <c r="DHJ39" i="5"/>
  <c r="DHI39" i="5"/>
  <c r="DGZ39" i="5"/>
  <c r="DGU39" i="5"/>
  <c r="DGT39" i="5"/>
  <c r="DGS39" i="5"/>
  <c r="DGJ39" i="5"/>
  <c r="DGE39" i="5"/>
  <c r="DGD39" i="5"/>
  <c r="DGC39" i="5"/>
  <c r="DFT39" i="5"/>
  <c r="DFO39" i="5"/>
  <c r="DFN39" i="5"/>
  <c r="DFM39" i="5"/>
  <c r="DFD39" i="5"/>
  <c r="DEY39" i="5"/>
  <c r="DEX39" i="5"/>
  <c r="DEW39" i="5"/>
  <c r="DEN39" i="5"/>
  <c r="DEI39" i="5"/>
  <c r="DEH39" i="5"/>
  <c r="DEG39" i="5"/>
  <c r="DDX39" i="5"/>
  <c r="DDS39" i="5"/>
  <c r="DDR39" i="5"/>
  <c r="DDQ39" i="5"/>
  <c r="DDH39" i="5"/>
  <c r="DDC39" i="5"/>
  <c r="DDB39" i="5"/>
  <c r="DDA39" i="5"/>
  <c r="DCR39" i="5"/>
  <c r="DCM39" i="5"/>
  <c r="DCL39" i="5"/>
  <c r="DCK39" i="5"/>
  <c r="DCB39" i="5"/>
  <c r="DBW39" i="5"/>
  <c r="DBV39" i="5"/>
  <c r="DBU39" i="5"/>
  <c r="DBL39" i="5"/>
  <c r="DBG39" i="5"/>
  <c r="DBF39" i="5"/>
  <c r="DBE39" i="5"/>
  <c r="DAV39" i="5"/>
  <c r="DAQ39" i="5"/>
  <c r="DAP39" i="5"/>
  <c r="DAO39" i="5"/>
  <c r="DAF39" i="5"/>
  <c r="DAA39" i="5"/>
  <c r="CZZ39" i="5"/>
  <c r="CZY39" i="5"/>
  <c r="CZP39" i="5"/>
  <c r="CZK39" i="5"/>
  <c r="CZJ39" i="5"/>
  <c r="CZI39" i="5"/>
  <c r="CYZ39" i="5"/>
  <c r="CYU39" i="5"/>
  <c r="CYT39" i="5"/>
  <c r="CYS39" i="5"/>
  <c r="CYJ39" i="5"/>
  <c r="CYE39" i="5"/>
  <c r="CYD39" i="5"/>
  <c r="CYC39" i="5"/>
  <c r="CXT39" i="5"/>
  <c r="CXO39" i="5"/>
  <c r="CXN39" i="5"/>
  <c r="CXM39" i="5"/>
  <c r="CXD39" i="5"/>
  <c r="CWY39" i="5"/>
  <c r="CWX39" i="5"/>
  <c r="CWW39" i="5"/>
  <c r="CWN39" i="5"/>
  <c r="CWI39" i="5"/>
  <c r="CWH39" i="5"/>
  <c r="CWG39" i="5"/>
  <c r="CVX39" i="5"/>
  <c r="CVS39" i="5"/>
  <c r="CVR39" i="5"/>
  <c r="CVQ39" i="5"/>
  <c r="CVH39" i="5"/>
  <c r="CVC39" i="5"/>
  <c r="CVB39" i="5"/>
  <c r="CVA39" i="5"/>
  <c r="CUR39" i="5"/>
  <c r="CUM39" i="5"/>
  <c r="CUL39" i="5"/>
  <c r="CUK39" i="5"/>
  <c r="CUB39" i="5"/>
  <c r="CTW39" i="5"/>
  <c r="CTV39" i="5"/>
  <c r="CTU39" i="5"/>
  <c r="CTL39" i="5"/>
  <c r="CTG39" i="5"/>
  <c r="CTF39" i="5"/>
  <c r="CTE39" i="5"/>
  <c r="CSV39" i="5"/>
  <c r="CSQ39" i="5"/>
  <c r="CSP39" i="5"/>
  <c r="CSO39" i="5"/>
  <c r="CSF39" i="5"/>
  <c r="CSA39" i="5"/>
  <c r="CRZ39" i="5"/>
  <c r="CRY39" i="5"/>
  <c r="CRP39" i="5"/>
  <c r="CRK39" i="5"/>
  <c r="CRJ39" i="5"/>
  <c r="CRI39" i="5"/>
  <c r="CQZ39" i="5"/>
  <c r="CQU39" i="5"/>
  <c r="CQT39" i="5"/>
  <c r="CQS39" i="5"/>
  <c r="CQJ39" i="5"/>
  <c r="CQE39" i="5"/>
  <c r="CQD39" i="5"/>
  <c r="CQC39" i="5"/>
  <c r="CPT39" i="5"/>
  <c r="CPO39" i="5"/>
  <c r="CPN39" i="5"/>
  <c r="CPM39" i="5"/>
  <c r="CPD39" i="5"/>
  <c r="COY39" i="5"/>
  <c r="COX39" i="5"/>
  <c r="COW39" i="5"/>
  <c r="CON39" i="5"/>
  <c r="COI39" i="5"/>
  <c r="COH39" i="5"/>
  <c r="COG39" i="5"/>
  <c r="CNX39" i="5"/>
  <c r="CNS39" i="5"/>
  <c r="CNR39" i="5"/>
  <c r="CNQ39" i="5"/>
  <c r="CNH39" i="5"/>
  <c r="CNC39" i="5"/>
  <c r="CNB39" i="5"/>
  <c r="CNA39" i="5"/>
  <c r="CMR39" i="5"/>
  <c r="CMM39" i="5"/>
  <c r="CML39" i="5"/>
  <c r="CMK39" i="5"/>
  <c r="CMB39" i="5"/>
  <c r="CLW39" i="5"/>
  <c r="CLV39" i="5"/>
  <c r="CLU39" i="5"/>
  <c r="CLL39" i="5"/>
  <c r="CLG39" i="5"/>
  <c r="CLF39" i="5"/>
  <c r="CLE39" i="5"/>
  <c r="CKV39" i="5"/>
  <c r="CKQ39" i="5"/>
  <c r="CKP39" i="5"/>
  <c r="CKO39" i="5"/>
  <c r="CKF39" i="5"/>
  <c r="CKA39" i="5"/>
  <c r="CJZ39" i="5"/>
  <c r="CJY39" i="5"/>
  <c r="CJP39" i="5"/>
  <c r="CJK39" i="5"/>
  <c r="CJJ39" i="5"/>
  <c r="CJI39" i="5"/>
  <c r="CIZ39" i="5"/>
  <c r="CIU39" i="5"/>
  <c r="CIT39" i="5"/>
  <c r="CIS39" i="5"/>
  <c r="CIJ39" i="5"/>
  <c r="CIE39" i="5"/>
  <c r="CID39" i="5"/>
  <c r="CIC39" i="5"/>
  <c r="CHT39" i="5"/>
  <c r="CHO39" i="5"/>
  <c r="CHN39" i="5"/>
  <c r="CHM39" i="5"/>
  <c r="CHD39" i="5"/>
  <c r="CGY39" i="5"/>
  <c r="CGX39" i="5"/>
  <c r="CGW39" i="5"/>
  <c r="CGN39" i="5"/>
  <c r="CGI39" i="5"/>
  <c r="CGH39" i="5"/>
  <c r="CGG39" i="5"/>
  <c r="CFX39" i="5"/>
  <c r="CFS39" i="5"/>
  <c r="CFR39" i="5"/>
  <c r="CFQ39" i="5"/>
  <c r="CFH39" i="5"/>
  <c r="CFC39" i="5"/>
  <c r="CFB39" i="5"/>
  <c r="CFA39" i="5"/>
  <c r="CER39" i="5"/>
  <c r="CEM39" i="5"/>
  <c r="CEL39" i="5"/>
  <c r="CEK39" i="5"/>
  <c r="CEB39" i="5"/>
  <c r="CDW39" i="5"/>
  <c r="CDV39" i="5"/>
  <c r="CDU39" i="5"/>
  <c r="CDL39" i="5"/>
  <c r="CDG39" i="5"/>
  <c r="CDF39" i="5"/>
  <c r="CDE39" i="5"/>
  <c r="CCV39" i="5"/>
  <c r="CCQ39" i="5"/>
  <c r="CCP39" i="5"/>
  <c r="CCO39" i="5"/>
  <c r="CCF39" i="5"/>
  <c r="CCA39" i="5"/>
  <c r="CBZ39" i="5"/>
  <c r="CBY39" i="5"/>
  <c r="CBP39" i="5"/>
  <c r="CBK39" i="5"/>
  <c r="CBJ39" i="5"/>
  <c r="CBI39" i="5"/>
  <c r="CAZ39" i="5"/>
  <c r="CAU39" i="5"/>
  <c r="CAT39" i="5"/>
  <c r="CAS39" i="5"/>
  <c r="CAJ39" i="5"/>
  <c r="CAE39" i="5"/>
  <c r="CAD39" i="5"/>
  <c r="CAC39" i="5"/>
  <c r="BZT39" i="5"/>
  <c r="BZO39" i="5"/>
  <c r="BZN39" i="5"/>
  <c r="BZM39" i="5"/>
  <c r="BZD39" i="5"/>
  <c r="BYY39" i="5"/>
  <c r="BYX39" i="5"/>
  <c r="BYW39" i="5"/>
  <c r="BYN39" i="5"/>
  <c r="BYI39" i="5"/>
  <c r="BYH39" i="5"/>
  <c r="BYG39" i="5"/>
  <c r="BXX39" i="5"/>
  <c r="BXS39" i="5"/>
  <c r="BXR39" i="5"/>
  <c r="BXQ39" i="5"/>
  <c r="BXH39" i="5"/>
  <c r="BXC39" i="5"/>
  <c r="BXB39" i="5"/>
  <c r="BXA39" i="5"/>
  <c r="BWR39" i="5"/>
  <c r="BWM39" i="5"/>
  <c r="BWL39" i="5"/>
  <c r="BWK39" i="5"/>
  <c r="BWB39" i="5"/>
  <c r="BVW39" i="5"/>
  <c r="BVV39" i="5"/>
  <c r="BVU39" i="5"/>
  <c r="BVL39" i="5"/>
  <c r="BVG39" i="5"/>
  <c r="BVF39" i="5"/>
  <c r="BVE39" i="5"/>
  <c r="BUV39" i="5"/>
  <c r="BUQ39" i="5"/>
  <c r="BUP39" i="5"/>
  <c r="BUO39" i="5"/>
  <c r="BUF39" i="5"/>
  <c r="BUA39" i="5"/>
  <c r="BTZ39" i="5"/>
  <c r="BTY39" i="5"/>
  <c r="BTP39" i="5"/>
  <c r="BTK39" i="5"/>
  <c r="BTJ39" i="5"/>
  <c r="BTI39" i="5"/>
  <c r="BSZ39" i="5"/>
  <c r="BSU39" i="5"/>
  <c r="BST39" i="5"/>
  <c r="BSS39" i="5"/>
  <c r="BSJ39" i="5"/>
  <c r="BSE39" i="5"/>
  <c r="BSD39" i="5"/>
  <c r="BSC39" i="5"/>
  <c r="BRT39" i="5"/>
  <c r="BRO39" i="5"/>
  <c r="BRN39" i="5"/>
  <c r="BRM39" i="5"/>
  <c r="BRD39" i="5"/>
  <c r="BQY39" i="5"/>
  <c r="BQX39" i="5"/>
  <c r="BQW39" i="5"/>
  <c r="BQN39" i="5"/>
  <c r="BQI39" i="5"/>
  <c r="BQH39" i="5"/>
  <c r="BQG39" i="5"/>
  <c r="BPX39" i="5"/>
  <c r="BPS39" i="5"/>
  <c r="BPR39" i="5"/>
  <c r="BPQ39" i="5"/>
  <c r="BPH39" i="5"/>
  <c r="BPC39" i="5"/>
  <c r="BPB39" i="5"/>
  <c r="BPA39" i="5"/>
  <c r="BOR39" i="5"/>
  <c r="BOM39" i="5"/>
  <c r="BOL39" i="5"/>
  <c r="BOK39" i="5"/>
  <c r="BOB39" i="5"/>
  <c r="BNW39" i="5"/>
  <c r="BNV39" i="5"/>
  <c r="BNU39" i="5"/>
  <c r="BNL39" i="5"/>
  <c r="BNG39" i="5"/>
  <c r="BNF39" i="5"/>
  <c r="BNE39" i="5"/>
  <c r="BMV39" i="5"/>
  <c r="BMQ39" i="5"/>
  <c r="BMP39" i="5"/>
  <c r="BMO39" i="5"/>
  <c r="BMF39" i="5"/>
  <c r="BMA39" i="5"/>
  <c r="BLZ39" i="5"/>
  <c r="BLY39" i="5"/>
  <c r="BLP39" i="5"/>
  <c r="BLK39" i="5"/>
  <c r="BLJ39" i="5"/>
  <c r="BLI39" i="5"/>
  <c r="BKZ39" i="5"/>
  <c r="BKU39" i="5"/>
  <c r="BKT39" i="5"/>
  <c r="BKS39" i="5"/>
  <c r="BKJ39" i="5"/>
  <c r="BKE39" i="5"/>
  <c r="BKD39" i="5"/>
  <c r="BKC39" i="5"/>
  <c r="BJT39" i="5"/>
  <c r="BJO39" i="5"/>
  <c r="BJN39" i="5"/>
  <c r="BJM39" i="5"/>
  <c r="BJD39" i="5"/>
  <c r="BIY39" i="5"/>
  <c r="BIX39" i="5"/>
  <c r="BIW39" i="5"/>
  <c r="BIN39" i="5"/>
  <c r="BII39" i="5"/>
  <c r="BIH39" i="5"/>
  <c r="BIG39" i="5"/>
  <c r="BHX39" i="5"/>
  <c r="BHS39" i="5"/>
  <c r="BHR39" i="5"/>
  <c r="BHQ39" i="5"/>
  <c r="BHH39" i="5"/>
  <c r="BHC39" i="5"/>
  <c r="BHB39" i="5"/>
  <c r="BHA39" i="5"/>
  <c r="BGR39" i="5"/>
  <c r="BGM39" i="5"/>
  <c r="BGL39" i="5"/>
  <c r="BGK39" i="5"/>
  <c r="BGB39" i="5"/>
  <c r="BFW39" i="5"/>
  <c r="BFV39" i="5"/>
  <c r="BFU39" i="5"/>
  <c r="BFL39" i="5"/>
  <c r="BFG39" i="5"/>
  <c r="BFF39" i="5"/>
  <c r="BFE39" i="5"/>
  <c r="BEV39" i="5"/>
  <c r="BEQ39" i="5"/>
  <c r="BEP39" i="5"/>
  <c r="BEO39" i="5"/>
  <c r="BEF39" i="5"/>
  <c r="BEA39" i="5"/>
  <c r="BDZ39" i="5"/>
  <c r="BDY39" i="5"/>
  <c r="BDP39" i="5"/>
  <c r="BDK39" i="5"/>
  <c r="BDJ39" i="5"/>
  <c r="BDI39" i="5"/>
  <c r="BCZ39" i="5"/>
  <c r="BCU39" i="5"/>
  <c r="BCT39" i="5"/>
  <c r="BCS39" i="5"/>
  <c r="BCJ39" i="5"/>
  <c r="BCE39" i="5"/>
  <c r="BCD39" i="5"/>
  <c r="BCC39" i="5"/>
  <c r="BBT39" i="5"/>
  <c r="BBO39" i="5"/>
  <c r="BBN39" i="5"/>
  <c r="BBM39" i="5"/>
  <c r="BBD39" i="5"/>
  <c r="BAY39" i="5"/>
  <c r="BAX39" i="5"/>
  <c r="BAW39" i="5"/>
  <c r="BAN39" i="5"/>
  <c r="BAI39" i="5"/>
  <c r="BAH39" i="5"/>
  <c r="BAG39" i="5"/>
  <c r="AZX39" i="5"/>
  <c r="AZS39" i="5"/>
  <c r="AZR39" i="5"/>
  <c r="AZQ39" i="5"/>
  <c r="AZH39" i="5"/>
  <c r="AZC39" i="5"/>
  <c r="AZB39" i="5"/>
  <c r="AZA39" i="5"/>
  <c r="AYR39" i="5"/>
  <c r="AYM39" i="5"/>
  <c r="AYL39" i="5"/>
  <c r="AYK39" i="5"/>
  <c r="AYB39" i="5"/>
  <c r="AXW39" i="5"/>
  <c r="AXV39" i="5"/>
  <c r="AXU39" i="5"/>
  <c r="AXL39" i="5"/>
  <c r="AXG39" i="5"/>
  <c r="AXF39" i="5"/>
  <c r="AXE39" i="5"/>
  <c r="AWV39" i="5"/>
  <c r="AWQ39" i="5"/>
  <c r="AWP39" i="5"/>
  <c r="AWO39" i="5"/>
  <c r="AWF39" i="5"/>
  <c r="AWA39" i="5"/>
  <c r="AVZ39" i="5"/>
  <c r="AVY39" i="5"/>
  <c r="AVP39" i="5"/>
  <c r="AVK39" i="5"/>
  <c r="AVJ39" i="5"/>
  <c r="AVI39" i="5"/>
  <c r="AUZ39" i="5"/>
  <c r="AUU39" i="5"/>
  <c r="AUT39" i="5"/>
  <c r="AUS39" i="5"/>
  <c r="AUJ39" i="5"/>
  <c r="AUE39" i="5"/>
  <c r="AUD39" i="5"/>
  <c r="AUC39" i="5"/>
  <c r="ATT39" i="5"/>
  <c r="ATO39" i="5"/>
  <c r="ATN39" i="5"/>
  <c r="ATM39" i="5"/>
  <c r="ATD39" i="5"/>
  <c r="ASY39" i="5"/>
  <c r="ASX39" i="5"/>
  <c r="ASW39" i="5"/>
  <c r="ASN39" i="5"/>
  <c r="ASI39" i="5"/>
  <c r="ASH39" i="5"/>
  <c r="ASG39" i="5"/>
  <c r="ARX39" i="5"/>
  <c r="ARS39" i="5"/>
  <c r="ARR39" i="5"/>
  <c r="ARQ39" i="5"/>
  <c r="ARH39" i="5"/>
  <c r="ARC39" i="5"/>
  <c r="ARB39" i="5"/>
  <c r="ARA39" i="5"/>
  <c r="AQR39" i="5"/>
  <c r="AQM39" i="5"/>
  <c r="AQL39" i="5"/>
  <c r="AQK39" i="5"/>
  <c r="AQB39" i="5"/>
  <c r="APW39" i="5"/>
  <c r="APV39" i="5"/>
  <c r="APU39" i="5"/>
  <c r="APL39" i="5"/>
  <c r="APG39" i="5"/>
  <c r="APF39" i="5"/>
  <c r="APE39" i="5"/>
  <c r="AOV39" i="5"/>
  <c r="AOQ39" i="5"/>
  <c r="AOP39" i="5"/>
  <c r="AOO39" i="5"/>
  <c r="AOF39" i="5"/>
  <c r="AOA39" i="5"/>
  <c r="ANZ39" i="5"/>
  <c r="ANY39" i="5"/>
  <c r="ANP39" i="5"/>
  <c r="ANK39" i="5"/>
  <c r="ANJ39" i="5"/>
  <c r="ANI39" i="5"/>
  <c r="AMZ39" i="5"/>
  <c r="AMU39" i="5"/>
  <c r="AMT39" i="5"/>
  <c r="AMS39" i="5"/>
  <c r="AMJ39" i="5"/>
  <c r="AME39" i="5"/>
  <c r="AMD39" i="5"/>
  <c r="AMC39" i="5"/>
  <c r="ALT39" i="5"/>
  <c r="ALO39" i="5"/>
  <c r="ALN39" i="5"/>
  <c r="ALM39" i="5"/>
  <c r="ALD39" i="5"/>
  <c r="AKY39" i="5"/>
  <c r="AKX39" i="5"/>
  <c r="AKW39" i="5"/>
  <c r="AKN39" i="5"/>
  <c r="AKI39" i="5"/>
  <c r="AKH39" i="5"/>
  <c r="AKG39" i="5"/>
  <c r="AJX39" i="5"/>
  <c r="AJS39" i="5"/>
  <c r="AJR39" i="5"/>
  <c r="AJQ39" i="5"/>
  <c r="AJH39" i="5"/>
  <c r="AJC39" i="5"/>
  <c r="AJB39" i="5"/>
  <c r="AJA39" i="5"/>
  <c r="AIR39" i="5"/>
  <c r="AIM39" i="5"/>
  <c r="AIL39" i="5"/>
  <c r="AIK39" i="5"/>
  <c r="AIB39" i="5"/>
  <c r="AHW39" i="5"/>
  <c r="AHV39" i="5"/>
  <c r="AHU39" i="5"/>
  <c r="AHL39" i="5"/>
  <c r="AHG39" i="5"/>
  <c r="AHF39" i="5"/>
  <c r="AHE39" i="5"/>
  <c r="AGV39" i="5"/>
  <c r="AGQ39" i="5"/>
  <c r="AGP39" i="5"/>
  <c r="AGO39" i="5"/>
  <c r="AGF39" i="5"/>
  <c r="AGA39" i="5"/>
  <c r="AFZ39" i="5"/>
  <c r="AFY39" i="5"/>
  <c r="AFP39" i="5"/>
  <c r="AFK39" i="5"/>
  <c r="AFJ39" i="5"/>
  <c r="AFI39" i="5"/>
  <c r="AEZ39" i="5"/>
  <c r="AEU39" i="5"/>
  <c r="AET39" i="5"/>
  <c r="AES39" i="5"/>
  <c r="AEJ39" i="5"/>
  <c r="AEE39" i="5"/>
  <c r="AED39" i="5"/>
  <c r="AEC39" i="5"/>
  <c r="ADT39" i="5"/>
  <c r="ADO39" i="5"/>
  <c r="ADN39" i="5"/>
  <c r="ADM39" i="5"/>
  <c r="ADD39" i="5"/>
  <c r="ACY39" i="5"/>
  <c r="ACX39" i="5"/>
  <c r="ACW39" i="5"/>
  <c r="ACN39" i="5"/>
  <c r="ACI39" i="5"/>
  <c r="ACH39" i="5"/>
  <c r="ACG39" i="5"/>
  <c r="ABX39" i="5"/>
  <c r="ABS39" i="5"/>
  <c r="ABR39" i="5"/>
  <c r="ABQ39" i="5"/>
  <c r="ABH39" i="5"/>
  <c r="ABC39" i="5"/>
  <c r="ABB39" i="5"/>
  <c r="ABA39" i="5"/>
  <c r="AAR39" i="5"/>
  <c r="AAM39" i="5"/>
  <c r="AAL39" i="5"/>
  <c r="AAK39" i="5"/>
  <c r="AAB39" i="5"/>
  <c r="ZW39" i="5"/>
  <c r="ZV39" i="5"/>
  <c r="ZU39" i="5"/>
  <c r="ZL39" i="5"/>
  <c r="ZG39" i="5"/>
  <c r="ZF39" i="5"/>
  <c r="ZE39" i="5"/>
  <c r="YV39" i="5"/>
  <c r="YQ39" i="5"/>
  <c r="YP39" i="5"/>
  <c r="YO39" i="5"/>
  <c r="YF39" i="5"/>
  <c r="YA39" i="5"/>
  <c r="XZ39" i="5"/>
  <c r="XY39" i="5"/>
  <c r="XP39" i="5"/>
  <c r="XK39" i="5"/>
  <c r="XJ39" i="5"/>
  <c r="XI39" i="5"/>
  <c r="WZ39" i="5"/>
  <c r="WU39" i="5"/>
  <c r="WT39" i="5"/>
  <c r="WS39" i="5"/>
  <c r="WJ39" i="5"/>
  <c r="WE39" i="5"/>
  <c r="WD39" i="5"/>
  <c r="WC39" i="5"/>
  <c r="VT39" i="5"/>
  <c r="VO39" i="5"/>
  <c r="VN39" i="5"/>
  <c r="VM39" i="5"/>
  <c r="VD39" i="5"/>
  <c r="UY39" i="5"/>
  <c r="UX39" i="5"/>
  <c r="UW39" i="5"/>
  <c r="UN39" i="5"/>
  <c r="UI39" i="5"/>
  <c r="UH39" i="5"/>
  <c r="UG39" i="5"/>
  <c r="TX39" i="5"/>
  <c r="TS39" i="5"/>
  <c r="TR39" i="5"/>
  <c r="TQ39" i="5"/>
  <c r="TH39" i="5"/>
  <c r="TC39" i="5"/>
  <c r="TB39" i="5"/>
  <c r="TA39" i="5"/>
  <c r="SR39" i="5"/>
  <c r="SM39" i="5"/>
  <c r="SL39" i="5"/>
  <c r="SK39" i="5"/>
  <c r="SB39" i="5"/>
  <c r="RW39" i="5"/>
  <c r="RV39" i="5"/>
  <c r="RU39" i="5"/>
  <c r="RL39" i="5"/>
  <c r="RG39" i="5"/>
  <c r="RF39" i="5"/>
  <c r="RE39" i="5"/>
  <c r="QV39" i="5"/>
  <c r="QQ39" i="5"/>
  <c r="QP39" i="5"/>
  <c r="QO39" i="5"/>
  <c r="QF39" i="5"/>
  <c r="QA39" i="5"/>
  <c r="PZ39" i="5"/>
  <c r="PY39" i="5"/>
  <c r="PP39" i="5"/>
  <c r="PK39" i="5"/>
  <c r="PJ39" i="5"/>
  <c r="PI39" i="5"/>
  <c r="OZ39" i="5"/>
  <c r="OU39" i="5"/>
  <c r="OT39" i="5"/>
  <c r="OS39" i="5"/>
  <c r="OJ39" i="5"/>
  <c r="OE39" i="5"/>
  <c r="OD39" i="5"/>
  <c r="OC39" i="5"/>
  <c r="NT39" i="5"/>
  <c r="NO39" i="5"/>
  <c r="NN39" i="5"/>
  <c r="NM39" i="5"/>
  <c r="ND39" i="5"/>
  <c r="MY39" i="5"/>
  <c r="MX39" i="5"/>
  <c r="MW39" i="5"/>
  <c r="MN39" i="5"/>
  <c r="MI39" i="5"/>
  <c r="MH39" i="5"/>
  <c r="MG39" i="5"/>
  <c r="LX39" i="5"/>
  <c r="LS39" i="5"/>
  <c r="LR39" i="5"/>
  <c r="LQ39" i="5"/>
  <c r="LH39" i="5"/>
  <c r="LC39" i="5"/>
  <c r="LB39" i="5"/>
  <c r="LA39" i="5"/>
  <c r="KR39" i="5"/>
  <c r="KM39" i="5"/>
  <c r="KL39" i="5"/>
  <c r="KK39" i="5"/>
  <c r="KB39" i="5"/>
  <c r="JW39" i="5"/>
  <c r="JV39" i="5"/>
  <c r="JU39" i="5"/>
  <c r="JL39" i="5"/>
  <c r="JG39" i="5"/>
  <c r="JF39" i="5"/>
  <c r="JE39" i="5"/>
  <c r="IV39" i="5"/>
  <c r="IQ39" i="5"/>
  <c r="IP39" i="5"/>
  <c r="IO39" i="5"/>
  <c r="IF39" i="5"/>
  <c r="IA39" i="5"/>
  <c r="HZ39" i="5"/>
  <c r="HY39" i="5"/>
  <c r="HP39" i="5"/>
  <c r="HK39" i="5"/>
  <c r="HJ39" i="5"/>
  <c r="HI39" i="5"/>
  <c r="GZ39" i="5"/>
  <c r="GU39" i="5"/>
  <c r="GT39" i="5"/>
  <c r="GS39" i="5"/>
  <c r="GJ39" i="5"/>
  <c r="GE39" i="5"/>
  <c r="GD39" i="5"/>
  <c r="GC39" i="5"/>
  <c r="FT39" i="5"/>
  <c r="FO39" i="5"/>
  <c r="FN39" i="5"/>
  <c r="FM39" i="5"/>
  <c r="FD39" i="5"/>
  <c r="EY39" i="5"/>
  <c r="EX39" i="5"/>
  <c r="EW39" i="5"/>
  <c r="EN39" i="5"/>
  <c r="EI39" i="5"/>
  <c r="EH39" i="5"/>
  <c r="EG39" i="5"/>
  <c r="DX39" i="5"/>
  <c r="DS39" i="5"/>
  <c r="DR39" i="5"/>
  <c r="DQ39" i="5"/>
  <c r="DH39" i="5"/>
  <c r="DC39" i="5"/>
  <c r="DB39" i="5"/>
  <c r="DA39" i="5"/>
  <c r="CR39" i="5"/>
  <c r="CM39" i="5"/>
  <c r="CL39" i="5"/>
  <c r="CK39" i="5"/>
  <c r="CB39" i="5"/>
  <c r="BW39" i="5"/>
  <c r="BV39" i="5"/>
  <c r="BU39" i="5"/>
  <c r="BL39" i="5"/>
  <c r="BG39" i="5"/>
  <c r="BF39" i="5"/>
  <c r="BE39" i="5"/>
  <c r="AV39" i="5"/>
  <c r="AQ39" i="5"/>
  <c r="AP39" i="5"/>
  <c r="AO39" i="5"/>
  <c r="AF39" i="5"/>
  <c r="AA39" i="5"/>
  <c r="Z39" i="5"/>
  <c r="Y39" i="5"/>
  <c r="F53" i="3"/>
  <c r="B59" i="3" l="1"/>
  <c r="W24" i="3"/>
  <c r="W28" i="3"/>
  <c r="W41" i="3"/>
  <c r="W45" i="3"/>
  <c r="W49" i="3"/>
  <c r="J1" i="78"/>
  <c r="I9" i="78"/>
  <c r="N9" i="79" l="1"/>
  <c r="F450" i="80"/>
  <c r="D434" i="80"/>
  <c r="D418" i="80"/>
  <c r="F402" i="80"/>
  <c r="F386" i="80"/>
  <c r="D370" i="80"/>
  <c r="D424" i="80"/>
  <c r="D398" i="80"/>
  <c r="F365" i="80"/>
  <c r="F349" i="80"/>
  <c r="F333" i="80"/>
  <c r="F317" i="80"/>
  <c r="D301" i="80"/>
  <c r="D285" i="80"/>
  <c r="D269" i="80"/>
  <c r="F435" i="80"/>
  <c r="D403" i="80"/>
  <c r="F371" i="80"/>
  <c r="D386" i="80"/>
  <c r="D350" i="80"/>
  <c r="D318" i="80"/>
  <c r="F286" i="80"/>
  <c r="D257" i="80"/>
  <c r="F46" i="80"/>
  <c r="F399" i="80"/>
  <c r="D359" i="80"/>
  <c r="F338" i="80"/>
  <c r="H317" i="80"/>
  <c r="D290" i="80"/>
  <c r="F437" i="80"/>
  <c r="D405" i="80"/>
  <c r="D436" i="80"/>
  <c r="F420" i="80"/>
  <c r="F404" i="80"/>
  <c r="F388" i="80"/>
  <c r="D372" i="80"/>
  <c r="F427" i="80"/>
  <c r="F401" i="80"/>
  <c r="F359" i="80"/>
  <c r="F343" i="80"/>
  <c r="F327" i="80"/>
  <c r="F311" i="80"/>
  <c r="D295" i="80"/>
  <c r="D279" i="80"/>
  <c r="D263" i="80"/>
  <c r="D423" i="80"/>
  <c r="D391" i="80"/>
  <c r="F440" i="80"/>
  <c r="H371" i="80"/>
  <c r="D338" i="80"/>
  <c r="F306" i="80"/>
  <c r="F274" i="80"/>
  <c r="F6" i="80"/>
  <c r="F70" i="80"/>
  <c r="D404" i="80"/>
  <c r="F362" i="80"/>
  <c r="D319" i="80"/>
  <c r="F293" i="80"/>
  <c r="F441" i="80"/>
  <c r="D446" i="80"/>
  <c r="D430" i="80"/>
  <c r="D414" i="80"/>
  <c r="F398" i="80"/>
  <c r="F382" i="80"/>
  <c r="D449" i="80"/>
  <c r="F419" i="80"/>
  <c r="F393" i="80"/>
  <c r="D369" i="80"/>
  <c r="F353" i="80"/>
  <c r="F337" i="80"/>
  <c r="F321" i="80"/>
  <c r="D305" i="80"/>
  <c r="D442" i="80"/>
  <c r="F426" i="80"/>
  <c r="D410" i="80"/>
  <c r="F394" i="80"/>
  <c r="F378" i="80"/>
  <c r="D441" i="80"/>
  <c r="D411" i="80"/>
  <c r="F377" i="80"/>
  <c r="F357" i="80"/>
  <c r="F341" i="80"/>
  <c r="H341" i="80" s="1"/>
  <c r="F325" i="80"/>
  <c r="F309" i="80"/>
  <c r="D293" i="80"/>
  <c r="D277" i="80"/>
  <c r="D261" i="80"/>
  <c r="D419" i="80"/>
  <c r="D387" i="80"/>
  <c r="H435" i="80"/>
  <c r="D366" i="80"/>
  <c r="D334" i="80"/>
  <c r="F302" i="80"/>
  <c r="F270" i="80"/>
  <c r="F14" i="80"/>
  <c r="F446" i="80"/>
  <c r="H378" i="80"/>
  <c r="H349" i="80"/>
  <c r="D327" i="80"/>
  <c r="D306" i="80"/>
  <c r="D274" i="80"/>
  <c r="D421" i="80"/>
  <c r="D444" i="80"/>
  <c r="F428" i="80"/>
  <c r="D412" i="80"/>
  <c r="F396" i="80"/>
  <c r="F380" i="80"/>
  <c r="H380" i="80" s="1"/>
  <c r="F444" i="80"/>
  <c r="F414" i="80"/>
  <c r="D390" i="80"/>
  <c r="F367" i="80"/>
  <c r="F351" i="80"/>
  <c r="F335" i="80"/>
  <c r="F319" i="80"/>
  <c r="D303" i="80"/>
  <c r="D287" i="80"/>
  <c r="D271" i="80"/>
  <c r="F439" i="80"/>
  <c r="D407" i="80"/>
  <c r="D375" i="80"/>
  <c r="F418" i="80"/>
  <c r="D354" i="80"/>
  <c r="D322" i="80"/>
  <c r="F290" i="80"/>
  <c r="D259" i="80"/>
  <c r="F38" i="80"/>
  <c r="F425" i="80"/>
  <c r="F383" i="80"/>
  <c r="D351" i="80"/>
  <c r="F330" i="80"/>
  <c r="H309" i="80"/>
  <c r="F277" i="80"/>
  <c r="D425" i="80"/>
  <c r="D438" i="80"/>
  <c r="F422" i="80"/>
  <c r="F406" i="80"/>
  <c r="F390" i="80"/>
  <c r="D374" i="80"/>
  <c r="D433" i="80"/>
  <c r="H404" i="80"/>
  <c r="D382" i="80"/>
  <c r="F361" i="80"/>
  <c r="F345" i="80"/>
  <c r="F329" i="80"/>
  <c r="F313" i="80"/>
  <c r="D297" i="80"/>
  <c r="D281" i="80"/>
  <c r="D265" i="80"/>
  <c r="D427" i="80"/>
  <c r="D395" i="80"/>
  <c r="D445" i="80"/>
  <c r="F397" i="80"/>
  <c r="D342" i="80"/>
  <c r="D310" i="80"/>
  <c r="F278" i="80"/>
  <c r="D253" i="80"/>
  <c r="F62" i="80"/>
  <c r="D409" i="80"/>
  <c r="H365" i="80"/>
  <c r="D343" i="80"/>
  <c r="F322" i="80"/>
  <c r="D298" i="80"/>
  <c r="F445" i="80"/>
  <c r="F413" i="80"/>
  <c r="D440" i="80"/>
  <c r="F424" i="80"/>
  <c r="F408" i="80"/>
  <c r="F392" i="80"/>
  <c r="F376" i="80"/>
  <c r="F436" i="80"/>
  <c r="D406" i="80"/>
  <c r="F385" i="80"/>
  <c r="F363" i="80"/>
  <c r="F347" i="80"/>
  <c r="F331" i="80"/>
  <c r="F315" i="80"/>
  <c r="D299" i="80"/>
  <c r="D283" i="80"/>
  <c r="D267" i="80"/>
  <c r="F431" i="80"/>
  <c r="D399" i="80"/>
  <c r="D450" i="80"/>
  <c r="D402" i="80"/>
  <c r="D362" i="80"/>
  <c r="D330" i="80"/>
  <c r="F298" i="80"/>
  <c r="F266" i="80"/>
  <c r="F22" i="80"/>
  <c r="D435" i="80"/>
  <c r="H394" i="80"/>
  <c r="H357" i="80"/>
  <c r="D335" i="80"/>
  <c r="F314" i="80"/>
  <c r="F285" i="80"/>
  <c r="F433" i="80"/>
  <c r="D401" i="80"/>
  <c r="D389" i="80"/>
  <c r="D437" i="80"/>
  <c r="D394" i="80"/>
  <c r="D289" i="80"/>
  <c r="F443" i="80"/>
  <c r="D379" i="80"/>
  <c r="D358" i="80"/>
  <c r="F294" i="80"/>
  <c r="F30" i="80"/>
  <c r="D388" i="80"/>
  <c r="H333" i="80"/>
  <c r="D282" i="80"/>
  <c r="D448" i="80"/>
  <c r="D416" i="80"/>
  <c r="F384" i="80"/>
  <c r="H422" i="80"/>
  <c r="F372" i="80"/>
  <c r="F339" i="80"/>
  <c r="F307" i="80"/>
  <c r="D275" i="80"/>
  <c r="F415" i="80"/>
  <c r="D428" i="80"/>
  <c r="D346" i="80"/>
  <c r="F282" i="80"/>
  <c r="F54" i="80"/>
  <c r="D367" i="80"/>
  <c r="H325" i="80"/>
  <c r="F449" i="80"/>
  <c r="F409" i="80"/>
  <c r="D415" i="80"/>
  <c r="D356" i="80"/>
  <c r="D324" i="80"/>
  <c r="F292" i="80"/>
  <c r="F260" i="80"/>
  <c r="F34" i="80"/>
  <c r="H433" i="80"/>
  <c r="F391" i="80"/>
  <c r="F358" i="80"/>
  <c r="H337" i="80"/>
  <c r="D315" i="80"/>
  <c r="D294" i="80"/>
  <c r="F261" i="80"/>
  <c r="F76" i="80"/>
  <c r="F140" i="80"/>
  <c r="F204" i="80"/>
  <c r="F31" i="80"/>
  <c r="F159" i="80"/>
  <c r="F37" i="80"/>
  <c r="F165" i="80"/>
  <c r="D23" i="80"/>
  <c r="D87" i="80"/>
  <c r="D151" i="80"/>
  <c r="D215" i="80"/>
  <c r="D52" i="80"/>
  <c r="D180" i="80"/>
  <c r="D58" i="80"/>
  <c r="D186" i="80"/>
  <c r="H450" i="80"/>
  <c r="D408" i="80"/>
  <c r="H367" i="80"/>
  <c r="D345" i="80"/>
  <c r="F324" i="80"/>
  <c r="F303" i="80"/>
  <c r="H282" i="80"/>
  <c r="D260" i="80"/>
  <c r="F82" i="80"/>
  <c r="F210" i="80"/>
  <c r="F171" i="80"/>
  <c r="F177" i="80"/>
  <c r="D93" i="80"/>
  <c r="D221" i="80"/>
  <c r="F265" i="80"/>
  <c r="F52" i="80"/>
  <c r="F128" i="80"/>
  <c r="F192" i="80"/>
  <c r="F7" i="80"/>
  <c r="F167" i="80"/>
  <c r="F173" i="80"/>
  <c r="D91" i="80"/>
  <c r="D219" i="80"/>
  <c r="D188" i="80"/>
  <c r="D194" i="80"/>
  <c r="F421" i="80"/>
  <c r="F352" i="80"/>
  <c r="D309" i="80"/>
  <c r="F267" i="80"/>
  <c r="F170" i="80"/>
  <c r="F97" i="80"/>
  <c r="D181" i="80"/>
  <c r="D381" i="80"/>
  <c r="H426" i="80"/>
  <c r="H384" i="80"/>
  <c r="D348" i="80"/>
  <c r="D316" i="80"/>
  <c r="F284" i="80"/>
  <c r="F256" i="80"/>
  <c r="F50" i="80"/>
  <c r="D422" i="80"/>
  <c r="D380" i="80"/>
  <c r="H353" i="80"/>
  <c r="D331" i="80"/>
  <c r="F310" i="80"/>
  <c r="F289" i="80"/>
  <c r="D266" i="80"/>
  <c r="F44" i="80"/>
  <c r="F124" i="80"/>
  <c r="F188" i="80"/>
  <c r="F252" i="80"/>
  <c r="F127" i="80"/>
  <c r="F5" i="80"/>
  <c r="F133" i="80"/>
  <c r="D7" i="80"/>
  <c r="D71" i="80"/>
  <c r="D135" i="80"/>
  <c r="D199" i="80"/>
  <c r="D20" i="80"/>
  <c r="D148" i="80"/>
  <c r="D26" i="80"/>
  <c r="D154" i="80"/>
  <c r="D439" i="80"/>
  <c r="H398" i="80"/>
  <c r="D361" i="80"/>
  <c r="F340" i="80"/>
  <c r="H319" i="80"/>
  <c r="H298" i="80"/>
  <c r="D276" i="80"/>
  <c r="F255" i="80"/>
  <c r="F114" i="80"/>
  <c r="F242" i="80"/>
  <c r="D273" i="80"/>
  <c r="F423" i="80"/>
  <c r="F262" i="80"/>
  <c r="F354" i="80"/>
  <c r="D429" i="80"/>
  <c r="F400" i="80"/>
  <c r="H396" i="80"/>
  <c r="F323" i="80"/>
  <c r="F447" i="80"/>
  <c r="F381" i="80"/>
  <c r="D255" i="80"/>
  <c r="F346" i="80"/>
  <c r="F417" i="80"/>
  <c r="D373" i="80"/>
  <c r="D308" i="80"/>
  <c r="F2" i="80"/>
  <c r="F412" i="80"/>
  <c r="D347" i="80"/>
  <c r="F305" i="80"/>
  <c r="F12" i="80"/>
  <c r="F172" i="80"/>
  <c r="F95" i="80"/>
  <c r="H95" i="80" s="1"/>
  <c r="F101" i="80"/>
  <c r="D55" i="80"/>
  <c r="D183" i="80"/>
  <c r="D116" i="80"/>
  <c r="D122" i="80"/>
  <c r="F429" i="80"/>
  <c r="F356" i="80"/>
  <c r="D313" i="80"/>
  <c r="F271" i="80"/>
  <c r="F146" i="80"/>
  <c r="F49" i="80"/>
  <c r="D157" i="80"/>
  <c r="D254" i="80"/>
  <c r="F160" i="80"/>
  <c r="F71" i="80"/>
  <c r="D27" i="80"/>
  <c r="D60" i="80"/>
  <c r="H46" i="80"/>
  <c r="H331" i="80"/>
  <c r="F40" i="80"/>
  <c r="D53" i="80"/>
  <c r="F448" i="80"/>
  <c r="D364" i="80"/>
  <c r="F300" i="80"/>
  <c r="F18" i="80"/>
  <c r="H402" i="80"/>
  <c r="F342" i="80"/>
  <c r="H300" i="80"/>
  <c r="H256" i="80"/>
  <c r="F156" i="80"/>
  <c r="F63" i="80"/>
  <c r="F69" i="80"/>
  <c r="D39" i="80"/>
  <c r="D167" i="80"/>
  <c r="D84" i="80"/>
  <c r="D90" i="80"/>
  <c r="H50" i="80"/>
  <c r="D376" i="80"/>
  <c r="D329" i="80"/>
  <c r="F287" i="80"/>
  <c r="F48" i="80"/>
  <c r="F107" i="80"/>
  <c r="F113" i="80"/>
  <c r="D61" i="80"/>
  <c r="D189" i="80"/>
  <c r="D270" i="80"/>
  <c r="F20" i="80"/>
  <c r="F112" i="80"/>
  <c r="F176" i="80"/>
  <c r="F240" i="80"/>
  <c r="F103" i="80"/>
  <c r="F109" i="80"/>
  <c r="D59" i="80"/>
  <c r="D187" i="80"/>
  <c r="D124" i="80"/>
  <c r="D130" i="80"/>
  <c r="F442" i="80"/>
  <c r="H363" i="80"/>
  <c r="F320" i="80"/>
  <c r="H278" i="80"/>
  <c r="F106" i="80"/>
  <c r="F219" i="80"/>
  <c r="D117" i="80"/>
  <c r="D112" i="80"/>
  <c r="D377" i="80"/>
  <c r="D420" i="80"/>
  <c r="D378" i="80"/>
  <c r="D344" i="80"/>
  <c r="D312" i="80"/>
  <c r="F280" i="80"/>
  <c r="F254" i="80"/>
  <c r="F58" i="80"/>
  <c r="D417" i="80"/>
  <c r="F375" i="80"/>
  <c r="F350" i="80"/>
  <c r="H329" i="80"/>
  <c r="D307" i="80"/>
  <c r="D286" i="80"/>
  <c r="F60" i="80"/>
  <c r="F132" i="80"/>
  <c r="F196" i="80"/>
  <c r="F15" i="80"/>
  <c r="F143" i="80"/>
  <c r="F21" i="80"/>
  <c r="F149" i="80"/>
  <c r="D15" i="80"/>
  <c r="D79" i="80"/>
  <c r="D143" i="80"/>
  <c r="D207" i="80"/>
  <c r="D36" i="80"/>
  <c r="D164" i="80"/>
  <c r="D42" i="80"/>
  <c r="D170" i="80"/>
  <c r="H5" i="80"/>
  <c r="D413" i="80"/>
  <c r="D371" i="80"/>
  <c r="F348" i="80"/>
  <c r="H327" i="80"/>
  <c r="H306" i="80"/>
  <c r="D284" i="80"/>
  <c r="F263" i="80"/>
  <c r="F64" i="80"/>
  <c r="F194" i="80"/>
  <c r="F139" i="80"/>
  <c r="F145" i="80"/>
  <c r="D77" i="80"/>
  <c r="D205" i="80"/>
  <c r="F36" i="80"/>
  <c r="F120" i="80"/>
  <c r="F184" i="80"/>
  <c r="F248" i="80"/>
  <c r="F135" i="80"/>
  <c r="F141" i="80"/>
  <c r="D75" i="80"/>
  <c r="D203" i="80"/>
  <c r="D156" i="80"/>
  <c r="D162" i="80"/>
  <c r="D431" i="80"/>
  <c r="D357" i="80"/>
  <c r="H315" i="80"/>
  <c r="D272" i="80"/>
  <c r="F138" i="80"/>
  <c r="F33" i="80"/>
  <c r="D149" i="80"/>
  <c r="D208" i="80"/>
  <c r="D182" i="80"/>
  <c r="H54" i="80"/>
  <c r="H71" i="80"/>
  <c r="I447" i="80"/>
  <c r="I415" i="80"/>
  <c r="I347" i="80"/>
  <c r="I315" i="80"/>
  <c r="I255" i="80"/>
  <c r="I58" i="80"/>
  <c r="I124" i="80"/>
  <c r="I188" i="80"/>
  <c r="I252" i="80"/>
  <c r="I127" i="80"/>
  <c r="I5" i="80"/>
  <c r="I133" i="80"/>
  <c r="G449" i="80"/>
  <c r="G433" i="80"/>
  <c r="G417" i="80"/>
  <c r="G401" i="80"/>
  <c r="F78" i="80"/>
  <c r="F206" i="80"/>
  <c r="F163" i="80"/>
  <c r="F169" i="80"/>
  <c r="D89" i="80"/>
  <c r="D217" i="80"/>
  <c r="D184" i="80"/>
  <c r="D190" i="80"/>
  <c r="H184" i="80"/>
  <c r="H149" i="80"/>
  <c r="I412" i="80"/>
  <c r="I348" i="80"/>
  <c r="I284" i="80"/>
  <c r="I64" i="80"/>
  <c r="I194" i="80"/>
  <c r="I139" i="80"/>
  <c r="I145" i="80"/>
  <c r="J412" i="80"/>
  <c r="J382" i="80"/>
  <c r="J354" i="80"/>
  <c r="J300" i="80"/>
  <c r="F61" i="80"/>
  <c r="D35" i="80"/>
  <c r="D163" i="80"/>
  <c r="D76" i="80"/>
  <c r="D82" i="80"/>
  <c r="H204" i="80"/>
  <c r="D384" i="80"/>
  <c r="D333" i="80"/>
  <c r="F291" i="80"/>
  <c r="F24" i="80"/>
  <c r="F59" i="80"/>
  <c r="D37" i="80"/>
  <c r="D80" i="80"/>
  <c r="D102" i="80"/>
  <c r="H124" i="80"/>
  <c r="D176" i="80"/>
  <c r="F369" i="80"/>
  <c r="F410" i="80"/>
  <c r="F368" i="80"/>
  <c r="D336" i="80"/>
  <c r="F304" i="80"/>
  <c r="F272" i="80"/>
  <c r="F10" i="80"/>
  <c r="H449" i="80"/>
  <c r="F407" i="80"/>
  <c r="F366" i="80"/>
  <c r="H345" i="80"/>
  <c r="D323" i="80"/>
  <c r="D302" i="80"/>
  <c r="F281" i="80"/>
  <c r="D258" i="80"/>
  <c r="F84" i="80"/>
  <c r="F148" i="80"/>
  <c r="F212" i="80"/>
  <c r="F47" i="80"/>
  <c r="F175" i="80"/>
  <c r="F53" i="80"/>
  <c r="F181" i="80"/>
  <c r="D31" i="80"/>
  <c r="D95" i="80"/>
  <c r="D159" i="80"/>
  <c r="D223" i="80"/>
  <c r="D68" i="80"/>
  <c r="D196" i="80"/>
  <c r="D74" i="80"/>
  <c r="D202" i="80"/>
  <c r="H6" i="80"/>
  <c r="H424" i="80"/>
  <c r="H382" i="80"/>
  <c r="D353" i="80"/>
  <c r="F332" i="80"/>
  <c r="H311" i="80"/>
  <c r="H290" i="80"/>
  <c r="D268" i="80"/>
  <c r="F32" i="80"/>
  <c r="F162" i="80"/>
  <c r="F75" i="80"/>
  <c r="F81" i="80"/>
  <c r="D45" i="80"/>
  <c r="D173" i="80"/>
  <c r="D96" i="80"/>
  <c r="F4" i="80"/>
  <c r="F411" i="80"/>
  <c r="F430" i="80"/>
  <c r="D432" i="80"/>
  <c r="F355" i="80"/>
  <c r="D383" i="80"/>
  <c r="H415" i="80"/>
  <c r="F373" i="80"/>
  <c r="F276" i="80"/>
  <c r="F370" i="80"/>
  <c r="F273" i="80"/>
  <c r="F236" i="80"/>
  <c r="F229" i="80"/>
  <c r="D247" i="80"/>
  <c r="D250" i="80"/>
  <c r="H335" i="80"/>
  <c r="F16" i="80"/>
  <c r="D29" i="80"/>
  <c r="F96" i="80"/>
  <c r="F45" i="80"/>
  <c r="D66" i="80"/>
  <c r="D288" i="80"/>
  <c r="D397" i="80"/>
  <c r="D332" i="80"/>
  <c r="D443" i="80"/>
  <c r="H321" i="80"/>
  <c r="F92" i="80"/>
  <c r="F191" i="80"/>
  <c r="D103" i="80"/>
  <c r="D212" i="80"/>
  <c r="E419" i="80"/>
  <c r="F308" i="80"/>
  <c r="F178" i="80"/>
  <c r="F241" i="80"/>
  <c r="D2" i="80"/>
  <c r="F80" i="80"/>
  <c r="F208" i="80"/>
  <c r="F231" i="80"/>
  <c r="D123" i="80"/>
  <c r="D252" i="80"/>
  <c r="D400" i="80"/>
  <c r="F299" i="80"/>
  <c r="F234" i="80"/>
  <c r="D245" i="80"/>
  <c r="H443" i="80"/>
  <c r="D360" i="80"/>
  <c r="F296" i="80"/>
  <c r="F26" i="80"/>
  <c r="D396" i="80"/>
  <c r="D339" i="80"/>
  <c r="F297" i="80"/>
  <c r="F253" i="80"/>
  <c r="F164" i="80"/>
  <c r="F79" i="80"/>
  <c r="F85" i="80"/>
  <c r="D47" i="80"/>
  <c r="D175" i="80"/>
  <c r="D100" i="80"/>
  <c r="D106" i="80"/>
  <c r="F434" i="80"/>
  <c r="H359" i="80"/>
  <c r="F316" i="80"/>
  <c r="H274" i="80"/>
  <c r="F130" i="80"/>
  <c r="F17" i="80"/>
  <c r="D141" i="80"/>
  <c r="F257" i="80"/>
  <c r="F152" i="80"/>
  <c r="F55" i="80"/>
  <c r="D11" i="80"/>
  <c r="D28" i="80"/>
  <c r="H92" i="80"/>
  <c r="F336" i="80"/>
  <c r="J336" i="80" s="1"/>
  <c r="F8" i="80"/>
  <c r="H8" i="80" s="1"/>
  <c r="D21" i="80"/>
  <c r="D54" i="80"/>
  <c r="H236" i="80"/>
  <c r="I431" i="80"/>
  <c r="I363" i="80"/>
  <c r="I299" i="80"/>
  <c r="I92" i="80"/>
  <c r="I191" i="80"/>
  <c r="G425" i="80"/>
  <c r="G391" i="80"/>
  <c r="F35" i="80"/>
  <c r="D25" i="80"/>
  <c r="D56" i="80"/>
  <c r="H112" i="80"/>
  <c r="H163" i="80"/>
  <c r="I380" i="80"/>
  <c r="J448" i="80"/>
  <c r="J372" i="80"/>
  <c r="F183" i="80"/>
  <c r="D99" i="80"/>
  <c r="D204" i="80"/>
  <c r="D426" i="80"/>
  <c r="F312" i="80"/>
  <c r="F154" i="80"/>
  <c r="D165" i="80"/>
  <c r="D230" i="80"/>
  <c r="D385" i="80"/>
  <c r="F389" i="80"/>
  <c r="D320" i="80"/>
  <c r="F258" i="80"/>
  <c r="H428" i="80"/>
  <c r="D355" i="80"/>
  <c r="H313" i="80"/>
  <c r="F269" i="80"/>
  <c r="F116" i="80"/>
  <c r="F244" i="80"/>
  <c r="F239" i="80"/>
  <c r="F245" i="80"/>
  <c r="D127" i="80"/>
  <c r="D4" i="80"/>
  <c r="D10" i="80"/>
  <c r="H79" i="80"/>
  <c r="F403" i="80"/>
  <c r="H343" i="80"/>
  <c r="D300" i="80"/>
  <c r="H258" i="80"/>
  <c r="F226" i="80"/>
  <c r="F209" i="80"/>
  <c r="D237" i="80"/>
  <c r="F68" i="80"/>
  <c r="F136" i="80"/>
  <c r="F200" i="80"/>
  <c r="F23" i="80"/>
  <c r="F199" i="80"/>
  <c r="F205" i="80"/>
  <c r="D107" i="80"/>
  <c r="D235" i="80"/>
  <c r="D220" i="80"/>
  <c r="D226" i="80"/>
  <c r="H369" i="80"/>
  <c r="D325" i="80"/>
  <c r="F283" i="80"/>
  <c r="F74" i="80"/>
  <c r="F155" i="80"/>
  <c r="D85" i="80"/>
  <c r="D144" i="80"/>
  <c r="D118" i="80"/>
  <c r="H75" i="80"/>
  <c r="H37" i="80"/>
  <c r="H199" i="80"/>
  <c r="I439" i="80"/>
  <c r="I407" i="80"/>
  <c r="I371" i="80"/>
  <c r="I339" i="80"/>
  <c r="I307" i="80"/>
  <c r="I267" i="80"/>
  <c r="I172" i="80"/>
  <c r="I236" i="80"/>
  <c r="I95" i="80"/>
  <c r="I101" i="80"/>
  <c r="I229" i="80"/>
  <c r="G437" i="80"/>
  <c r="G421" i="80"/>
  <c r="F174" i="80"/>
  <c r="F99" i="80"/>
  <c r="F105" i="80"/>
  <c r="D57" i="80"/>
  <c r="D185" i="80"/>
  <c r="D120" i="80"/>
  <c r="D126" i="80"/>
  <c r="H81" i="80"/>
  <c r="H152" i="80"/>
  <c r="I428" i="80"/>
  <c r="I300" i="80"/>
  <c r="I32" i="80"/>
  <c r="I162" i="80"/>
  <c r="I75" i="80"/>
  <c r="I81" i="80"/>
  <c r="J440" i="80"/>
  <c r="J404" i="80"/>
  <c r="J378" i="80"/>
  <c r="J358" i="80"/>
  <c r="J340" i="80"/>
  <c r="J322" i="80"/>
  <c r="J304" i="80"/>
  <c r="F247" i="80"/>
  <c r="D3" i="80"/>
  <c r="D131" i="80"/>
  <c r="D12" i="80"/>
  <c r="D18" i="80"/>
  <c r="H84" i="80"/>
  <c r="D447" i="80"/>
  <c r="D365" i="80"/>
  <c r="H323" i="80"/>
  <c r="D280" i="80"/>
  <c r="F90" i="80"/>
  <c r="F187" i="80"/>
  <c r="D101" i="80"/>
  <c r="D160" i="80"/>
  <c r="D166" i="80"/>
  <c r="H45" i="80"/>
  <c r="D86" i="80"/>
  <c r="H116" i="80"/>
  <c r="H212" i="80"/>
  <c r="H167" i="80"/>
  <c r="I443" i="80"/>
  <c r="I411" i="80"/>
  <c r="I375" i="80"/>
  <c r="I343" i="80"/>
  <c r="I311" i="80"/>
  <c r="I271" i="80"/>
  <c r="I34" i="80"/>
  <c r="I164" i="80"/>
  <c r="I79" i="80"/>
  <c r="I85" i="80"/>
  <c r="G439" i="80"/>
  <c r="G423" i="80"/>
  <c r="G407" i="80"/>
  <c r="G389" i="80"/>
  <c r="F158" i="80"/>
  <c r="F67" i="80"/>
  <c r="F73" i="80"/>
  <c r="D41" i="80"/>
  <c r="D169" i="80"/>
  <c r="D88" i="80"/>
  <c r="D94" i="80"/>
  <c r="H130" i="80"/>
  <c r="I436" i="80"/>
  <c r="I372" i="80"/>
  <c r="I308" i="80"/>
  <c r="I16" i="80"/>
  <c r="I146" i="80"/>
  <c r="I49" i="80"/>
  <c r="J444" i="80"/>
  <c r="J408" i="80"/>
  <c r="J380" i="80"/>
  <c r="J362" i="80"/>
  <c r="J342" i="80"/>
  <c r="J324" i="80"/>
  <c r="J306" i="80"/>
  <c r="F215" i="80"/>
  <c r="F221" i="80"/>
  <c r="D115" i="80"/>
  <c r="D243" i="80"/>
  <c r="D236" i="80"/>
  <c r="D242" i="80"/>
  <c r="H31" i="80"/>
  <c r="F374" i="80"/>
  <c r="F328" i="80"/>
  <c r="H286" i="80"/>
  <c r="F56" i="80"/>
  <c r="F123" i="80"/>
  <c r="D69" i="80"/>
  <c r="D128" i="80"/>
  <c r="D134" i="80"/>
  <c r="H2" i="80"/>
  <c r="H175" i="80"/>
  <c r="I417" i="80"/>
  <c r="I353" i="80"/>
  <c r="I289" i="80"/>
  <c r="I54" i="80"/>
  <c r="I184" i="80"/>
  <c r="G434" i="80"/>
  <c r="G402" i="80"/>
  <c r="F182" i="80"/>
  <c r="F121" i="80"/>
  <c r="D193" i="80"/>
  <c r="D142" i="80"/>
  <c r="H165" i="80"/>
  <c r="I74" i="80"/>
  <c r="I155" i="80"/>
  <c r="J430" i="80"/>
  <c r="J375" i="80"/>
  <c r="J343" i="80"/>
  <c r="J311" i="80"/>
  <c r="J272" i="80"/>
  <c r="J256" i="80"/>
  <c r="J24" i="80"/>
  <c r="J56" i="80"/>
  <c r="J90" i="80"/>
  <c r="J146" i="80"/>
  <c r="J182" i="80"/>
  <c r="J187" i="80"/>
  <c r="J49" i="80"/>
  <c r="J121" i="80"/>
  <c r="H14" i="80"/>
  <c r="I402" i="80"/>
  <c r="I338" i="80"/>
  <c r="I274" i="80"/>
  <c r="J439" i="80"/>
  <c r="J407" i="80"/>
  <c r="G363" i="80"/>
  <c r="G347" i="80"/>
  <c r="G331" i="80"/>
  <c r="G315" i="80"/>
  <c r="G299" i="80"/>
  <c r="G283" i="80"/>
  <c r="G18" i="80"/>
  <c r="G50" i="80"/>
  <c r="H32" i="80"/>
  <c r="D22" i="80"/>
  <c r="H82" i="80"/>
  <c r="H21" i="80"/>
  <c r="H170" i="80"/>
  <c r="H55" i="80"/>
  <c r="H241" i="80"/>
  <c r="I419" i="80"/>
  <c r="I383" i="80"/>
  <c r="I351" i="80"/>
  <c r="I319" i="80"/>
  <c r="I283" i="80"/>
  <c r="I18" i="80"/>
  <c r="I84" i="80"/>
  <c r="I148" i="80"/>
  <c r="I212" i="80"/>
  <c r="I47" i="80"/>
  <c r="I175" i="80"/>
  <c r="I53" i="80"/>
  <c r="I181" i="80"/>
  <c r="G443" i="80"/>
  <c r="G427" i="80"/>
  <c r="D326" i="80"/>
  <c r="D311" i="80"/>
  <c r="D368" i="80"/>
  <c r="D291" i="80"/>
  <c r="D314" i="80"/>
  <c r="F301" i="80"/>
  <c r="D340" i="80"/>
  <c r="F66" i="80"/>
  <c r="H66" i="80" s="1"/>
  <c r="F326" i="80"/>
  <c r="J326" i="80" s="1"/>
  <c r="F108" i="80"/>
  <c r="I108" i="80" s="1"/>
  <c r="F223" i="80"/>
  <c r="I223" i="80" s="1"/>
  <c r="D119" i="80"/>
  <c r="D244" i="80"/>
  <c r="F387" i="80"/>
  <c r="G387" i="80" s="1"/>
  <c r="D292" i="80"/>
  <c r="F43" i="80"/>
  <c r="D64" i="80"/>
  <c r="F224" i="80"/>
  <c r="H224" i="80" s="1"/>
  <c r="D155" i="80"/>
  <c r="F379" i="80"/>
  <c r="F91" i="80"/>
  <c r="H91" i="80" s="1"/>
  <c r="F405" i="80"/>
  <c r="G405" i="80" s="1"/>
  <c r="F268" i="80"/>
  <c r="H268" i="80" s="1"/>
  <c r="D363" i="80"/>
  <c r="D278" i="80"/>
  <c r="F220" i="80"/>
  <c r="F197" i="80"/>
  <c r="I197" i="80" s="1"/>
  <c r="D231" i="80"/>
  <c r="D218" i="80"/>
  <c r="H351" i="80"/>
  <c r="H266" i="80"/>
  <c r="F235" i="80"/>
  <c r="D125" i="80"/>
  <c r="H260" i="80"/>
  <c r="F144" i="80"/>
  <c r="F39" i="80"/>
  <c r="H39" i="80" s="1"/>
  <c r="F237" i="80"/>
  <c r="D251" i="80"/>
  <c r="H76" i="80"/>
  <c r="D341" i="80"/>
  <c r="D256" i="80"/>
  <c r="F225" i="80"/>
  <c r="D393" i="80"/>
  <c r="H400" i="80"/>
  <c r="D328" i="80"/>
  <c r="F264" i="80"/>
  <c r="H264" i="80" s="1"/>
  <c r="F438" i="80"/>
  <c r="H361" i="80"/>
  <c r="F318" i="80"/>
  <c r="J318" i="80" s="1"/>
  <c r="H276" i="80"/>
  <c r="F100" i="80"/>
  <c r="I100" i="80" s="1"/>
  <c r="F228" i="80"/>
  <c r="I228" i="80" s="1"/>
  <c r="F207" i="80"/>
  <c r="I207" i="80" s="1"/>
  <c r="F213" i="80"/>
  <c r="I213" i="80" s="1"/>
  <c r="D111" i="80"/>
  <c r="D239" i="80"/>
  <c r="D228" i="80"/>
  <c r="D234" i="80"/>
  <c r="D392" i="80"/>
  <c r="D337" i="80"/>
  <c r="F295" i="80"/>
  <c r="F72" i="80"/>
  <c r="I72" i="80" s="1"/>
  <c r="F11" i="80"/>
  <c r="I11" i="80" s="1"/>
  <c r="D13" i="80"/>
  <c r="D32" i="80"/>
  <c r="F88" i="80"/>
  <c r="F216" i="80"/>
  <c r="F13" i="80"/>
  <c r="H13" i="80" s="1"/>
  <c r="D139" i="80"/>
  <c r="D34" i="80"/>
  <c r="H390" i="80"/>
  <c r="H294" i="80"/>
  <c r="F27" i="80"/>
  <c r="D48" i="80"/>
  <c r="H34" i="80"/>
  <c r="H145" i="80"/>
  <c r="I399" i="80"/>
  <c r="I331" i="80"/>
  <c r="I26" i="80"/>
  <c r="I156" i="80"/>
  <c r="I63" i="80"/>
  <c r="I69" i="80"/>
  <c r="G441" i="80"/>
  <c r="G409" i="80"/>
  <c r="F142" i="80"/>
  <c r="F41" i="80"/>
  <c r="D153" i="80"/>
  <c r="D62" i="80"/>
  <c r="H41" i="80"/>
  <c r="I444" i="80"/>
  <c r="I316" i="80"/>
  <c r="I130" i="80"/>
  <c r="I17" i="80"/>
  <c r="J396" i="80"/>
  <c r="J346" i="80"/>
  <c r="J308" i="80"/>
  <c r="F189" i="80"/>
  <c r="H189" i="80" s="1"/>
  <c r="D227" i="80"/>
  <c r="D210" i="80"/>
  <c r="H355" i="80"/>
  <c r="H270" i="80"/>
  <c r="F65" i="80"/>
  <c r="D224" i="80"/>
  <c r="H48" i="80"/>
  <c r="F432" i="80"/>
  <c r="D352" i="80"/>
  <c r="F288" i="80"/>
  <c r="J288" i="80" s="1"/>
  <c r="F42" i="80"/>
  <c r="H386" i="80"/>
  <c r="F334" i="80"/>
  <c r="H292" i="80"/>
  <c r="F28" i="80"/>
  <c r="F180" i="80"/>
  <c r="F111" i="80"/>
  <c r="F117" i="80"/>
  <c r="D63" i="80"/>
  <c r="D191" i="80"/>
  <c r="D132" i="80"/>
  <c r="D138" i="80"/>
  <c r="H445" i="80"/>
  <c r="F364" i="80"/>
  <c r="D321" i="80"/>
  <c r="F279" i="80"/>
  <c r="F98" i="80"/>
  <c r="F203" i="80"/>
  <c r="D109" i="80"/>
  <c r="D262" i="80"/>
  <c r="F104" i="80"/>
  <c r="H104" i="80" s="1"/>
  <c r="F168" i="80"/>
  <c r="F232" i="80"/>
  <c r="F87" i="80"/>
  <c r="F77" i="80"/>
  <c r="D43" i="80"/>
  <c r="D171" i="80"/>
  <c r="D92" i="80"/>
  <c r="D98" i="80"/>
  <c r="H87" i="80"/>
  <c r="H411" i="80"/>
  <c r="H347" i="80"/>
  <c r="D304" i="80"/>
  <c r="H262" i="80"/>
  <c r="F202" i="80"/>
  <c r="F161" i="80"/>
  <c r="D213" i="80"/>
  <c r="D240" i="80"/>
  <c r="D246" i="80"/>
  <c r="H15" i="80"/>
  <c r="H70" i="80"/>
  <c r="H252" i="80"/>
  <c r="H209" i="80"/>
  <c r="I423" i="80"/>
  <c r="I387" i="80"/>
  <c r="I355" i="80"/>
  <c r="I323" i="80"/>
  <c r="I287" i="80"/>
  <c r="I10" i="80"/>
  <c r="I76" i="80"/>
  <c r="I140" i="80"/>
  <c r="I204" i="80"/>
  <c r="I31" i="80"/>
  <c r="I159" i="80"/>
  <c r="I37" i="80"/>
  <c r="I165" i="80"/>
  <c r="G445" i="80"/>
  <c r="G429" i="80"/>
  <c r="G413" i="80"/>
  <c r="G397" i="80"/>
  <c r="F110" i="80"/>
  <c r="F238" i="80"/>
  <c r="H238" i="80" s="1"/>
  <c r="F227" i="80"/>
  <c r="H227" i="80" s="1"/>
  <c r="F233" i="80"/>
  <c r="D121" i="80"/>
  <c r="D249" i="80"/>
  <c r="D248" i="80"/>
  <c r="H78" i="80"/>
  <c r="H23" i="80"/>
  <c r="H234" i="80"/>
  <c r="H213" i="80"/>
  <c r="I396" i="80"/>
  <c r="I332" i="80"/>
  <c r="I268" i="80"/>
  <c r="I98" i="80"/>
  <c r="I226" i="80"/>
  <c r="I203" i="80"/>
  <c r="I209" i="80"/>
  <c r="J424" i="80"/>
  <c r="J388" i="80"/>
  <c r="J368" i="80"/>
  <c r="J350" i="80"/>
  <c r="J332" i="80"/>
  <c r="J314" i="80"/>
  <c r="F119" i="80"/>
  <c r="I119" i="80" s="1"/>
  <c r="F125" i="80"/>
  <c r="I125" i="80" s="1"/>
  <c r="D67" i="80"/>
  <c r="D195" i="80"/>
  <c r="D140" i="80"/>
  <c r="D146" i="80"/>
  <c r="H135" i="80"/>
  <c r="H406" i="80"/>
  <c r="F344" i="80"/>
  <c r="I344" i="80" s="1"/>
  <c r="H302" i="80"/>
  <c r="F259" i="80"/>
  <c r="G259" i="80" s="1"/>
  <c r="F218" i="80"/>
  <c r="J218" i="80" s="1"/>
  <c r="F193" i="80"/>
  <c r="D229" i="80"/>
  <c r="D38" i="80"/>
  <c r="H90" i="80"/>
  <c r="H43" i="80"/>
  <c r="H194" i="80"/>
  <c r="D214" i="80"/>
  <c r="H22" i="80"/>
  <c r="H62" i="80"/>
  <c r="H244" i="80"/>
  <c r="H177" i="80"/>
  <c r="I427" i="80"/>
  <c r="I391" i="80"/>
  <c r="I359" i="80"/>
  <c r="I327" i="80"/>
  <c r="I295" i="80"/>
  <c r="I2" i="80"/>
  <c r="I66" i="80"/>
  <c r="I132" i="80"/>
  <c r="I196" i="80"/>
  <c r="I15" i="80"/>
  <c r="I143" i="80"/>
  <c r="I21" i="80"/>
  <c r="I149" i="80"/>
  <c r="G447" i="80"/>
  <c r="G431" i="80"/>
  <c r="G415" i="80"/>
  <c r="G399" i="80"/>
  <c r="F94" i="80"/>
  <c r="F222" i="80"/>
  <c r="F195" i="80"/>
  <c r="H195" i="80" s="1"/>
  <c r="F201" i="80"/>
  <c r="D105" i="80"/>
  <c r="D233" i="80"/>
  <c r="D216" i="80"/>
  <c r="D222" i="80"/>
  <c r="H26" i="80"/>
  <c r="H200" i="80"/>
  <c r="H181" i="80"/>
  <c r="I404" i="80"/>
  <c r="I340" i="80"/>
  <c r="I276" i="80"/>
  <c r="I82" i="80"/>
  <c r="I210" i="80"/>
  <c r="I171" i="80"/>
  <c r="I177" i="80"/>
  <c r="J428" i="80"/>
  <c r="J392" i="80"/>
  <c r="J370" i="80"/>
  <c r="J352" i="80"/>
  <c r="J334" i="80"/>
  <c r="J316" i="80"/>
  <c r="J298" i="80"/>
  <c r="D51" i="80"/>
  <c r="D108" i="80"/>
  <c r="H103" i="80"/>
  <c r="D349" i="80"/>
  <c r="D264" i="80"/>
  <c r="F129" i="80"/>
  <c r="D6" i="80"/>
  <c r="H47" i="80"/>
  <c r="H27" i="80"/>
  <c r="I441" i="80"/>
  <c r="I321" i="80"/>
  <c r="I120" i="80"/>
  <c r="I247" i="80"/>
  <c r="G418" i="80"/>
  <c r="F115" i="80"/>
  <c r="J115" i="80" s="1"/>
  <c r="D136" i="80"/>
  <c r="H226" i="80"/>
  <c r="I280" i="80"/>
  <c r="I161" i="80"/>
  <c r="J359" i="80"/>
  <c r="J296" i="80"/>
  <c r="J264" i="80"/>
  <c r="J40" i="80"/>
  <c r="J110" i="80"/>
  <c r="J202" i="80"/>
  <c r="J75" i="80"/>
  <c r="J227" i="80"/>
  <c r="J161" i="80"/>
  <c r="H172" i="80"/>
  <c r="I434" i="80"/>
  <c r="I306" i="80"/>
  <c r="J423" i="80"/>
  <c r="G371" i="80"/>
  <c r="G339" i="80"/>
  <c r="G307" i="80"/>
  <c r="G267" i="80"/>
  <c r="G34" i="80"/>
  <c r="H162" i="80"/>
  <c r="H107" i="80"/>
  <c r="H228" i="80"/>
  <c r="I435" i="80"/>
  <c r="I367" i="80"/>
  <c r="I303" i="80"/>
  <c r="I50" i="80"/>
  <c r="I180" i="80"/>
  <c r="I111" i="80"/>
  <c r="I117" i="80"/>
  <c r="G435" i="80"/>
  <c r="G411" i="80"/>
  <c r="G393" i="80"/>
  <c r="F126" i="80"/>
  <c r="F3" i="80"/>
  <c r="F9" i="80"/>
  <c r="D9" i="80"/>
  <c r="D137" i="80"/>
  <c r="D24" i="80"/>
  <c r="D30" i="80"/>
  <c r="H94" i="80"/>
  <c r="H40" i="80"/>
  <c r="H67" i="80"/>
  <c r="H245" i="80"/>
  <c r="I388" i="80"/>
  <c r="I324" i="80"/>
  <c r="I260" i="80"/>
  <c r="I114" i="80"/>
  <c r="I242" i="80"/>
  <c r="I235" i="80"/>
  <c r="I241" i="80"/>
  <c r="J420" i="80"/>
  <c r="J384" i="80"/>
  <c r="J366" i="80"/>
  <c r="J348" i="80"/>
  <c r="J330" i="80"/>
  <c r="J310" i="80"/>
  <c r="F151" i="80"/>
  <c r="F157" i="80"/>
  <c r="D83" i="80"/>
  <c r="D211" i="80"/>
  <c r="D172" i="80"/>
  <c r="D178" i="80"/>
  <c r="H101" i="80"/>
  <c r="F395" i="80"/>
  <c r="H339" i="80"/>
  <c r="D296" i="80"/>
  <c r="H254" i="80"/>
  <c r="F250" i="80"/>
  <c r="D5" i="80"/>
  <c r="D16" i="80"/>
  <c r="D70" i="80"/>
  <c r="H108" i="80"/>
  <c r="H38" i="80"/>
  <c r="H208" i="80"/>
  <c r="H143" i="80"/>
  <c r="H125" i="80"/>
  <c r="I433" i="80"/>
  <c r="I369" i="80"/>
  <c r="I305" i="80"/>
  <c r="I22" i="80"/>
  <c r="I152" i="80"/>
  <c r="I55" i="80"/>
  <c r="I61" i="80"/>
  <c r="G442" i="80"/>
  <c r="G410" i="80"/>
  <c r="F118" i="80"/>
  <c r="F243" i="80"/>
  <c r="D129" i="80"/>
  <c r="D14" i="80"/>
  <c r="H160" i="80"/>
  <c r="I376" i="80"/>
  <c r="I8" i="80"/>
  <c r="I27" i="80"/>
  <c r="J446" i="80"/>
  <c r="J383" i="80"/>
  <c r="J351" i="80"/>
  <c r="J319" i="80"/>
  <c r="J292" i="80"/>
  <c r="J276" i="80"/>
  <c r="J260" i="80"/>
  <c r="J16" i="80"/>
  <c r="J48" i="80"/>
  <c r="J82" i="80"/>
  <c r="J118" i="80"/>
  <c r="J154" i="80"/>
  <c r="J226" i="80"/>
  <c r="J27" i="80"/>
  <c r="J99" i="80"/>
  <c r="J171" i="80"/>
  <c r="J243" i="80"/>
  <c r="J65" i="80"/>
  <c r="J209" i="80"/>
  <c r="H138" i="80"/>
  <c r="H139" i="80"/>
  <c r="I450" i="80"/>
  <c r="I386" i="80"/>
  <c r="I322" i="80"/>
  <c r="I258" i="80"/>
  <c r="J447" i="80"/>
  <c r="J415" i="80"/>
  <c r="G383" i="80"/>
  <c r="G367" i="80"/>
  <c r="G351" i="80"/>
  <c r="G335" i="80"/>
  <c r="G319" i="80"/>
  <c r="G303" i="80"/>
  <c r="G287" i="80"/>
  <c r="G271" i="80"/>
  <c r="G255" i="80"/>
  <c r="G26" i="80"/>
  <c r="G58" i="80"/>
  <c r="G92" i="80"/>
  <c r="G124" i="80"/>
  <c r="G156" i="80"/>
  <c r="G188" i="80"/>
  <c r="G220" i="80"/>
  <c r="G116" i="80"/>
  <c r="G180" i="80"/>
  <c r="G236" i="80"/>
  <c r="I405" i="80"/>
  <c r="I341" i="80"/>
  <c r="I277" i="80"/>
  <c r="I80" i="80"/>
  <c r="I208" i="80"/>
  <c r="I167" i="80"/>
  <c r="I173" i="80"/>
  <c r="G428" i="80"/>
  <c r="G396" i="80"/>
  <c r="F230" i="80"/>
  <c r="F217" i="80"/>
  <c r="D241" i="80"/>
  <c r="D238" i="80"/>
  <c r="H144" i="80"/>
  <c r="I384" i="80"/>
  <c r="I256" i="80"/>
  <c r="I250" i="80"/>
  <c r="J450" i="80"/>
  <c r="J386" i="80"/>
  <c r="J353" i="80"/>
  <c r="J321" i="80"/>
  <c r="J293" i="80"/>
  <c r="J277" i="80"/>
  <c r="J261" i="80"/>
  <c r="J14" i="80"/>
  <c r="J46" i="80"/>
  <c r="J80" i="80"/>
  <c r="J112" i="80"/>
  <c r="J144" i="80"/>
  <c r="J176" i="80"/>
  <c r="J208" i="80"/>
  <c r="J240" i="80"/>
  <c r="J103" i="80"/>
  <c r="J231" i="80"/>
  <c r="J109" i="80"/>
  <c r="J237" i="80"/>
  <c r="H219" i="80"/>
  <c r="I366" i="80"/>
  <c r="I28" i="80"/>
  <c r="I67" i="80"/>
  <c r="J441" i="80"/>
  <c r="G380" i="80"/>
  <c r="G348" i="80"/>
  <c r="G316" i="80"/>
  <c r="G284" i="80"/>
  <c r="G72" i="80"/>
  <c r="G64" i="80"/>
  <c r="G130" i="80"/>
  <c r="G194" i="80"/>
  <c r="G7" i="80"/>
  <c r="G87" i="80"/>
  <c r="G215" i="80"/>
  <c r="G221" i="80"/>
  <c r="G155" i="80"/>
  <c r="G33" i="80"/>
  <c r="G161" i="80"/>
  <c r="J239" i="80"/>
  <c r="J117" i="80"/>
  <c r="H178" i="80"/>
  <c r="H63" i="80"/>
  <c r="H17" i="80"/>
  <c r="I437" i="80"/>
  <c r="I377" i="80"/>
  <c r="I313" i="80"/>
  <c r="I6" i="80"/>
  <c r="I136" i="80"/>
  <c r="I23" i="80"/>
  <c r="G446" i="80"/>
  <c r="G414" i="80"/>
  <c r="F86" i="80"/>
  <c r="F179" i="80"/>
  <c r="D97" i="80"/>
  <c r="D200" i="80"/>
  <c r="H97" i="80"/>
  <c r="H229" i="80"/>
  <c r="I328" i="80"/>
  <c r="I106" i="80"/>
  <c r="I219" i="80"/>
  <c r="J422" i="80"/>
  <c r="J371" i="80"/>
  <c r="J339" i="80"/>
  <c r="J307" i="80"/>
  <c r="J286" i="80"/>
  <c r="J270" i="80"/>
  <c r="J254" i="80"/>
  <c r="J28" i="80"/>
  <c r="J60" i="80"/>
  <c r="J94" i="80"/>
  <c r="J130" i="80"/>
  <c r="J222" i="80"/>
  <c r="J11" i="80"/>
  <c r="J123" i="80"/>
  <c r="J195" i="80"/>
  <c r="J17" i="80"/>
  <c r="J129" i="80"/>
  <c r="J201" i="80"/>
  <c r="H60" i="80"/>
  <c r="H3" i="80"/>
  <c r="H221" i="80"/>
  <c r="I394" i="80"/>
  <c r="I330" i="80"/>
  <c r="I266" i="80"/>
  <c r="I118" i="80"/>
  <c r="I243" i="80"/>
  <c r="J435" i="80"/>
  <c r="J403" i="80"/>
  <c r="G377" i="80"/>
  <c r="G361" i="80"/>
  <c r="G345" i="80"/>
  <c r="G329" i="80"/>
  <c r="G313" i="80"/>
  <c r="G297" i="80"/>
  <c r="G281" i="80"/>
  <c r="G265" i="80"/>
  <c r="G6" i="80"/>
  <c r="G38" i="80"/>
  <c r="G70" i="80"/>
  <c r="G104" i="80"/>
  <c r="G136" i="80"/>
  <c r="G168" i="80"/>
  <c r="G200" i="80"/>
  <c r="G232" i="80"/>
  <c r="I413" i="80"/>
  <c r="I349" i="80"/>
  <c r="I285" i="80"/>
  <c r="I62" i="80"/>
  <c r="I192" i="80"/>
  <c r="I135" i="80"/>
  <c r="I141" i="80"/>
  <c r="G432" i="80"/>
  <c r="G400" i="80"/>
  <c r="F198" i="80"/>
  <c r="F153" i="80"/>
  <c r="D209" i="80"/>
  <c r="D174" i="80"/>
  <c r="H30" i="80"/>
  <c r="H197" i="80"/>
  <c r="I336" i="80"/>
  <c r="I90" i="80"/>
  <c r="I187" i="80"/>
  <c r="J426" i="80"/>
  <c r="J373" i="80"/>
  <c r="J341" i="80"/>
  <c r="J309" i="80"/>
  <c r="J287" i="80"/>
  <c r="J271" i="80"/>
  <c r="J255" i="80"/>
  <c r="J26" i="80"/>
  <c r="J58" i="80"/>
  <c r="J92" i="80"/>
  <c r="J124" i="80"/>
  <c r="J156" i="80"/>
  <c r="J188" i="80"/>
  <c r="J220" i="80"/>
  <c r="J23" i="80"/>
  <c r="J151" i="80"/>
  <c r="J157" i="80"/>
  <c r="H148" i="80"/>
  <c r="I446" i="80"/>
  <c r="I318" i="80"/>
  <c r="I126" i="80"/>
  <c r="I9" i="80"/>
  <c r="J417" i="80"/>
  <c r="G368" i="80"/>
  <c r="G336" i="80"/>
  <c r="G304" i="80"/>
  <c r="G272" i="80"/>
  <c r="G24" i="80"/>
  <c r="G90" i="80"/>
  <c r="G154" i="80"/>
  <c r="G218" i="80"/>
  <c r="G31" i="80"/>
  <c r="G135" i="80"/>
  <c r="G13" i="80"/>
  <c r="G141" i="80"/>
  <c r="G139" i="80"/>
  <c r="G145" i="80"/>
  <c r="J101" i="80"/>
  <c r="H173" i="80"/>
  <c r="I12" i="80"/>
  <c r="I169" i="80"/>
  <c r="G354" i="80"/>
  <c r="G286" i="80"/>
  <c r="G60" i="80"/>
  <c r="G79" i="80"/>
  <c r="G69" i="80"/>
  <c r="J47" i="80"/>
  <c r="J175" i="80"/>
  <c r="I438" i="80"/>
  <c r="I238" i="80"/>
  <c r="J397" i="80"/>
  <c r="G326" i="80"/>
  <c r="G262" i="80"/>
  <c r="G43" i="80"/>
  <c r="G53" i="80"/>
  <c r="G115" i="80"/>
  <c r="G121" i="80"/>
  <c r="J374" i="80"/>
  <c r="G107" i="80"/>
  <c r="G113" i="80"/>
  <c r="J69" i="80"/>
  <c r="H187" i="80"/>
  <c r="I278" i="80"/>
  <c r="I41" i="80"/>
  <c r="G362" i="80"/>
  <c r="G298" i="80"/>
  <c r="G44" i="80"/>
  <c r="G174" i="80"/>
  <c r="G159" i="80"/>
  <c r="G165" i="80"/>
  <c r="G227" i="80"/>
  <c r="G233" i="80"/>
  <c r="J95" i="80"/>
  <c r="J229" i="80"/>
  <c r="I326" i="80"/>
  <c r="I105" i="80"/>
  <c r="G366" i="80"/>
  <c r="G302" i="80"/>
  <c r="G20" i="80"/>
  <c r="G158" i="80"/>
  <c r="G27" i="80"/>
  <c r="G21" i="80"/>
  <c r="I395" i="80"/>
  <c r="I259" i="80"/>
  <c r="J153" i="80"/>
  <c r="G100" i="80"/>
  <c r="G164" i="80"/>
  <c r="G228" i="80"/>
  <c r="I421" i="80"/>
  <c r="I357" i="80"/>
  <c r="I293" i="80"/>
  <c r="I46" i="80"/>
  <c r="I176" i="80"/>
  <c r="I103" i="80"/>
  <c r="I109" i="80"/>
  <c r="G436" i="80"/>
  <c r="G404" i="80"/>
  <c r="F166" i="80"/>
  <c r="F89" i="80"/>
  <c r="D177" i="80"/>
  <c r="D110" i="80"/>
  <c r="H49" i="80"/>
  <c r="H69" i="80"/>
  <c r="I352" i="80"/>
  <c r="I56" i="80"/>
  <c r="I123" i="80"/>
  <c r="J434" i="80"/>
  <c r="J377" i="80"/>
  <c r="J345" i="80"/>
  <c r="J313" i="80"/>
  <c r="J289" i="80"/>
  <c r="J273" i="80"/>
  <c r="J257" i="80"/>
  <c r="J22" i="80"/>
  <c r="J54" i="80"/>
  <c r="J88" i="80"/>
  <c r="J120" i="80"/>
  <c r="J152" i="80"/>
  <c r="J184" i="80"/>
  <c r="J216" i="80"/>
  <c r="J7" i="80"/>
  <c r="J135" i="80"/>
  <c r="J13" i="80"/>
  <c r="J141" i="80"/>
  <c r="H52" i="80"/>
  <c r="H205" i="80"/>
  <c r="I334" i="80"/>
  <c r="I94" i="80"/>
  <c r="I195" i="80"/>
  <c r="J425" i="80"/>
  <c r="G372" i="80"/>
  <c r="G340" i="80"/>
  <c r="G308" i="80"/>
  <c r="G276" i="80"/>
  <c r="G16" i="80"/>
  <c r="G82" i="80"/>
  <c r="G146" i="80"/>
  <c r="G210" i="80"/>
  <c r="G23" i="80"/>
  <c r="G119" i="80"/>
  <c r="G247" i="80"/>
  <c r="G125" i="80"/>
  <c r="G59" i="80"/>
  <c r="G187" i="80"/>
  <c r="G65" i="80"/>
  <c r="G193" i="80"/>
  <c r="J21" i="80"/>
  <c r="J165" i="80"/>
  <c r="H216" i="80"/>
  <c r="H159" i="80"/>
  <c r="H161" i="80"/>
  <c r="I425" i="80"/>
  <c r="I361" i="80"/>
  <c r="I297" i="80"/>
  <c r="I38" i="80"/>
  <c r="I168" i="80"/>
  <c r="I87" i="80"/>
  <c r="G438" i="80"/>
  <c r="G406" i="80"/>
  <c r="F150" i="80"/>
  <c r="F57" i="80"/>
  <c r="D161" i="80"/>
  <c r="D78" i="80"/>
  <c r="H9" i="80"/>
  <c r="H243" i="80"/>
  <c r="I40" i="80"/>
  <c r="I91" i="80"/>
  <c r="J438" i="80"/>
  <c r="J379" i="80"/>
  <c r="J347" i="80"/>
  <c r="J315" i="80"/>
  <c r="J290" i="80"/>
  <c r="J274" i="80"/>
  <c r="J258" i="80"/>
  <c r="J20" i="80"/>
  <c r="J52" i="80"/>
  <c r="J86" i="80"/>
  <c r="J158" i="80"/>
  <c r="J194" i="80"/>
  <c r="J234" i="80"/>
  <c r="J35" i="80"/>
  <c r="J107" i="80"/>
  <c r="J179" i="80"/>
  <c r="J73" i="80"/>
  <c r="J145" i="80"/>
  <c r="J225" i="80"/>
  <c r="H156" i="80"/>
  <c r="H171" i="80"/>
  <c r="I442" i="80"/>
  <c r="I378" i="80"/>
  <c r="I314" i="80"/>
  <c r="I4" i="80"/>
  <c r="I182" i="80"/>
  <c r="I121" i="80"/>
  <c r="J427" i="80"/>
  <c r="F93" i="80"/>
  <c r="D179" i="80"/>
  <c r="D114" i="80"/>
  <c r="F416" i="80"/>
  <c r="H307" i="80"/>
  <c r="F186" i="80"/>
  <c r="J186" i="80" s="1"/>
  <c r="D197" i="80"/>
  <c r="H74" i="80"/>
  <c r="H146" i="80"/>
  <c r="H239" i="80"/>
  <c r="I385" i="80"/>
  <c r="I257" i="80"/>
  <c r="I248" i="80"/>
  <c r="G450" i="80"/>
  <c r="G386" i="80"/>
  <c r="D65" i="80"/>
  <c r="H99" i="80"/>
  <c r="I408" i="80"/>
  <c r="I202" i="80"/>
  <c r="J398" i="80"/>
  <c r="J327" i="80"/>
  <c r="J280" i="80"/>
  <c r="J8" i="80"/>
  <c r="J74" i="80"/>
  <c r="J162" i="80"/>
  <c r="J238" i="80"/>
  <c r="J155" i="80"/>
  <c r="J81" i="80"/>
  <c r="J233" i="80"/>
  <c r="H203" i="80"/>
  <c r="I370" i="80"/>
  <c r="I20" i="80"/>
  <c r="J391" i="80"/>
  <c r="G355" i="80"/>
  <c r="G323" i="80"/>
  <c r="G291" i="80"/>
  <c r="G2" i="80"/>
  <c r="G66" i="80"/>
  <c r="D150" i="80"/>
  <c r="H28" i="80"/>
  <c r="H231" i="80"/>
  <c r="I403" i="80"/>
  <c r="I335" i="80"/>
  <c r="I263" i="80"/>
  <c r="I116" i="80"/>
  <c r="I244" i="80"/>
  <c r="I239" i="80"/>
  <c r="I245" i="80"/>
  <c r="G419" i="80"/>
  <c r="G403" i="80"/>
  <c r="G385" i="80"/>
  <c r="F190" i="80"/>
  <c r="F131" i="80"/>
  <c r="G131" i="80" s="1"/>
  <c r="F137" i="80"/>
  <c r="D73" i="80"/>
  <c r="D201" i="80"/>
  <c r="D152" i="80"/>
  <c r="D158" i="80"/>
  <c r="H113" i="80"/>
  <c r="H168" i="80"/>
  <c r="H53" i="80"/>
  <c r="I420" i="80"/>
  <c r="I356" i="80"/>
  <c r="I292" i="80"/>
  <c r="I48" i="80"/>
  <c r="I178" i="80"/>
  <c r="I107" i="80"/>
  <c r="I113" i="80"/>
  <c r="J436" i="80"/>
  <c r="J400" i="80"/>
  <c r="J376" i="80"/>
  <c r="J356" i="80"/>
  <c r="J338" i="80"/>
  <c r="J320" i="80"/>
  <c r="J302" i="80"/>
  <c r="F29" i="80"/>
  <c r="D19" i="80"/>
  <c r="D147" i="80"/>
  <c r="D44" i="80"/>
  <c r="D50" i="80"/>
  <c r="H100" i="80"/>
  <c r="F360" i="80"/>
  <c r="I360" i="80" s="1"/>
  <c r="F275" i="80"/>
  <c r="F251" i="80"/>
  <c r="J251" i="80" s="1"/>
  <c r="D192" i="80"/>
  <c r="H12" i="80"/>
  <c r="H240" i="80"/>
  <c r="I449" i="80"/>
  <c r="I337" i="80"/>
  <c r="I88" i="80"/>
  <c r="I183" i="80"/>
  <c r="G426" i="80"/>
  <c r="F246" i="80"/>
  <c r="D8" i="80"/>
  <c r="I440" i="80"/>
  <c r="I138" i="80"/>
  <c r="J414" i="80"/>
  <c r="J335" i="80"/>
  <c r="J284" i="80"/>
  <c r="J72" i="80"/>
  <c r="J64" i="80"/>
  <c r="J138" i="80"/>
  <c r="J210" i="80"/>
  <c r="J59" i="80"/>
  <c r="J203" i="80"/>
  <c r="J105" i="80"/>
  <c r="H61" i="80"/>
  <c r="I354" i="80"/>
  <c r="I52" i="80"/>
  <c r="J399" i="80"/>
  <c r="G359" i="80"/>
  <c r="G327" i="80"/>
  <c r="G295" i="80"/>
  <c r="G263" i="80"/>
  <c r="G42" i="80"/>
  <c r="G108" i="80"/>
  <c r="G172" i="80"/>
  <c r="G84" i="80"/>
  <c r="G212" i="80"/>
  <c r="I373" i="80"/>
  <c r="I14" i="80"/>
  <c r="I39" i="80"/>
  <c r="G444" i="80"/>
  <c r="F102" i="80"/>
  <c r="D113" i="80"/>
  <c r="H133" i="80"/>
  <c r="I320" i="80"/>
  <c r="I251" i="80"/>
  <c r="J369" i="80"/>
  <c r="J305" i="80"/>
  <c r="J269" i="80"/>
  <c r="J30" i="80"/>
  <c r="J96" i="80"/>
  <c r="J160" i="80"/>
  <c r="J224" i="80"/>
  <c r="J167" i="80"/>
  <c r="J173" i="80"/>
  <c r="I430" i="80"/>
  <c r="I158" i="80"/>
  <c r="J409" i="80"/>
  <c r="G332" i="80"/>
  <c r="G268" i="80"/>
  <c r="G98" i="80"/>
  <c r="G226" i="80"/>
  <c r="G151" i="80"/>
  <c r="G157" i="80"/>
  <c r="G219" i="80"/>
  <c r="G225" i="80"/>
  <c r="J197" i="80"/>
  <c r="H191" i="80"/>
  <c r="I409" i="80"/>
  <c r="I281" i="80"/>
  <c r="I200" i="80"/>
  <c r="I157" i="80"/>
  <c r="G398" i="80"/>
  <c r="F185" i="80"/>
  <c r="D206" i="80"/>
  <c r="I392" i="80"/>
  <c r="I234" i="80"/>
  <c r="J390" i="80"/>
  <c r="J323" i="80"/>
  <c r="J278" i="80"/>
  <c r="J12" i="80"/>
  <c r="J78" i="80"/>
  <c r="J170" i="80"/>
  <c r="J242" i="80"/>
  <c r="J163" i="80"/>
  <c r="J97" i="80"/>
  <c r="J241" i="80"/>
  <c r="H235" i="80"/>
  <c r="I362" i="80"/>
  <c r="I36" i="80"/>
  <c r="J387" i="80"/>
  <c r="G353" i="80"/>
  <c r="G321" i="80"/>
  <c r="G289" i="80"/>
  <c r="G257" i="80"/>
  <c r="G54" i="80"/>
  <c r="G120" i="80"/>
  <c r="G184" i="80"/>
  <c r="G248" i="80"/>
  <c r="I317" i="80"/>
  <c r="I128" i="80"/>
  <c r="I13" i="80"/>
  <c r="G416" i="80"/>
  <c r="F147" i="80"/>
  <c r="D168" i="80"/>
  <c r="H242" i="80"/>
  <c r="I272" i="80"/>
  <c r="I193" i="80"/>
  <c r="J357" i="80"/>
  <c r="J295" i="80"/>
  <c r="J263" i="80"/>
  <c r="J42" i="80"/>
  <c r="J108" i="80"/>
  <c r="J172" i="80"/>
  <c r="J236" i="80"/>
  <c r="J215" i="80"/>
  <c r="J221" i="80"/>
  <c r="I382" i="80"/>
  <c r="I3" i="80"/>
  <c r="J385" i="80"/>
  <c r="G320" i="80"/>
  <c r="G256" i="80"/>
  <c r="G250" i="80"/>
  <c r="G199" i="80"/>
  <c r="G205" i="80"/>
  <c r="J223" i="80"/>
  <c r="I374" i="80"/>
  <c r="J389" i="80"/>
  <c r="G254" i="80"/>
  <c r="G3" i="80"/>
  <c r="G197" i="80"/>
  <c r="J244" i="80"/>
  <c r="H33" i="80"/>
  <c r="I233" i="80"/>
  <c r="G294" i="80"/>
  <c r="G230" i="80"/>
  <c r="G181" i="80"/>
  <c r="I230" i="80"/>
  <c r="G235" i="80"/>
  <c r="J213" i="80"/>
  <c r="I174" i="80"/>
  <c r="G330" i="80"/>
  <c r="G110" i="80"/>
  <c r="G37" i="80"/>
  <c r="G105" i="80"/>
  <c r="J159" i="80"/>
  <c r="I142" i="80"/>
  <c r="G334" i="80"/>
  <c r="G86" i="80"/>
  <c r="G143" i="80"/>
  <c r="G217" i="80"/>
  <c r="J198" i="80"/>
  <c r="B429" i="80"/>
  <c r="G196" i="80"/>
  <c r="I389" i="80"/>
  <c r="I261" i="80"/>
  <c r="I240" i="80"/>
  <c r="I237" i="80"/>
  <c r="G388" i="80"/>
  <c r="D49" i="80"/>
  <c r="H140" i="80"/>
  <c r="I416" i="80"/>
  <c r="I186" i="80"/>
  <c r="J402" i="80"/>
  <c r="J329" i="80"/>
  <c r="J281" i="80"/>
  <c r="J6" i="80"/>
  <c r="J70" i="80"/>
  <c r="J136" i="80"/>
  <c r="J200" i="80"/>
  <c r="J71" i="80"/>
  <c r="J77" i="80"/>
  <c r="H246" i="80"/>
  <c r="I270" i="80"/>
  <c r="I201" i="80"/>
  <c r="G356" i="80"/>
  <c r="G292" i="80"/>
  <c r="G48" i="80"/>
  <c r="G178" i="80"/>
  <c r="G55" i="80"/>
  <c r="G61" i="80"/>
  <c r="G123" i="80"/>
  <c r="G129" i="80"/>
  <c r="J85" i="80"/>
  <c r="H248" i="80"/>
  <c r="I445" i="80"/>
  <c r="I329" i="80"/>
  <c r="I104" i="80"/>
  <c r="I215" i="80"/>
  <c r="G422" i="80"/>
  <c r="F51" i="80"/>
  <c r="D72" i="80"/>
  <c r="H192" i="80"/>
  <c r="I296" i="80"/>
  <c r="I97" i="80"/>
  <c r="J363" i="80"/>
  <c r="J299" i="80"/>
  <c r="J266" i="80"/>
  <c r="J36" i="80"/>
  <c r="J106" i="80"/>
  <c r="J178" i="80"/>
  <c r="J250" i="80"/>
  <c r="J139" i="80"/>
  <c r="J41" i="80"/>
  <c r="J185" i="80"/>
  <c r="H222" i="80"/>
  <c r="I410" i="80"/>
  <c r="I282" i="80"/>
  <c r="I115" i="80"/>
  <c r="J411" i="80"/>
  <c r="G381" i="80"/>
  <c r="G365" i="80"/>
  <c r="G349" i="80"/>
  <c r="G333" i="80"/>
  <c r="G317" i="80"/>
  <c r="G301" i="80"/>
  <c r="G285" i="80"/>
  <c r="G269" i="80"/>
  <c r="G253" i="80"/>
  <c r="G30" i="80"/>
  <c r="G62" i="80"/>
  <c r="G96" i="80"/>
  <c r="G128" i="80"/>
  <c r="G160" i="80"/>
  <c r="G192" i="80"/>
  <c r="G224" i="80"/>
  <c r="I429" i="80"/>
  <c r="I365" i="80"/>
  <c r="I301" i="80"/>
  <c r="I30" i="80"/>
  <c r="I160" i="80"/>
  <c r="I71" i="80"/>
  <c r="I77" i="80"/>
  <c r="G440" i="80"/>
  <c r="G408" i="80"/>
  <c r="F134" i="80"/>
  <c r="F25" i="80"/>
  <c r="D145" i="80"/>
  <c r="D46" i="80"/>
  <c r="H7" i="80"/>
  <c r="I368" i="80"/>
  <c r="I24" i="80"/>
  <c r="I59" i="80"/>
  <c r="J442" i="80"/>
  <c r="J381" i="80"/>
  <c r="J349" i="80"/>
  <c r="J317" i="80"/>
  <c r="J291" i="80"/>
  <c r="J275" i="80"/>
  <c r="J259" i="80"/>
  <c r="J18" i="80"/>
  <c r="J50" i="80"/>
  <c r="J84" i="80"/>
  <c r="J116" i="80"/>
  <c r="J148" i="80"/>
  <c r="J180" i="80"/>
  <c r="J212" i="80"/>
  <c r="J248" i="80"/>
  <c r="J119" i="80"/>
  <c r="J247" i="80"/>
  <c r="J125" i="80"/>
  <c r="H36" i="80"/>
  <c r="H141" i="80"/>
  <c r="I350" i="80"/>
  <c r="I60" i="80"/>
  <c r="I131" i="80"/>
  <c r="J433" i="80"/>
  <c r="G376" i="80"/>
  <c r="G344" i="80"/>
  <c r="G312" i="80"/>
  <c r="G280" i="80"/>
  <c r="G8" i="80"/>
  <c r="G74" i="80"/>
  <c r="G138" i="80"/>
  <c r="G202" i="80"/>
  <c r="G15" i="80"/>
  <c r="G103" i="80"/>
  <c r="G231" i="80"/>
  <c r="G109" i="80"/>
  <c r="G75" i="80"/>
  <c r="G81" i="80"/>
  <c r="J37" i="80"/>
  <c r="H230" i="80"/>
  <c r="I310" i="80"/>
  <c r="I163" i="80"/>
  <c r="G370" i="80"/>
  <c r="G306" i="80"/>
  <c r="G28" i="80"/>
  <c r="G150" i="80"/>
  <c r="G35" i="80"/>
  <c r="G5" i="80"/>
  <c r="G67" i="80"/>
  <c r="G73" i="80"/>
  <c r="J15" i="80"/>
  <c r="J143" i="80"/>
  <c r="H59" i="80"/>
  <c r="I78" i="80"/>
  <c r="J421" i="80"/>
  <c r="G342" i="80"/>
  <c r="G278" i="80"/>
  <c r="G68" i="80"/>
  <c r="G198" i="80"/>
  <c r="G111" i="80"/>
  <c r="G117" i="80"/>
  <c r="G179" i="80"/>
  <c r="G185" i="80"/>
  <c r="J344" i="80"/>
  <c r="I134" i="80"/>
  <c r="J89" i="80"/>
  <c r="G171" i="80"/>
  <c r="G177" i="80"/>
  <c r="J133" i="80"/>
  <c r="H237" i="80"/>
  <c r="I44" i="80"/>
  <c r="J445" i="80"/>
  <c r="G346" i="80"/>
  <c r="G282" i="80"/>
  <c r="G78" i="80"/>
  <c r="G206" i="80"/>
  <c r="G95" i="80"/>
  <c r="G101" i="80"/>
  <c r="G163" i="80"/>
  <c r="G153" i="80"/>
  <c r="J63" i="80"/>
  <c r="J191" i="80"/>
  <c r="I390" i="80"/>
  <c r="I99" i="80"/>
  <c r="G382" i="80"/>
  <c r="G322" i="80"/>
  <c r="G258" i="80"/>
  <c r="G118" i="80"/>
  <c r="G246" i="80"/>
  <c r="G207" i="80"/>
  <c r="G213" i="80"/>
  <c r="G25" i="80"/>
  <c r="J416" i="80"/>
  <c r="I291" i="80"/>
  <c r="J166" i="80"/>
  <c r="I89" i="80"/>
  <c r="J25" i="80"/>
  <c r="J147" i="80"/>
  <c r="H198" i="80"/>
  <c r="H150" i="80"/>
  <c r="H312" i="80"/>
  <c r="H201" i="80"/>
  <c r="H158" i="80"/>
  <c r="H320" i="80"/>
  <c r="H11" i="80"/>
  <c r="H287" i="80"/>
  <c r="H348" i="80"/>
  <c r="H261" i="80"/>
  <c r="H310" i="80"/>
  <c r="H370" i="80"/>
  <c r="H405" i="80"/>
  <c r="H314" i="80"/>
  <c r="H399" i="80"/>
  <c r="H423" i="80"/>
  <c r="H414" i="80"/>
  <c r="E126" i="80"/>
  <c r="E120" i="80"/>
  <c r="E185" i="80"/>
  <c r="E57" i="80"/>
  <c r="E102" i="80"/>
  <c r="E96" i="80"/>
  <c r="E173" i="80"/>
  <c r="E45" i="80"/>
  <c r="E296" i="80"/>
  <c r="E361" i="80"/>
  <c r="E226" i="80"/>
  <c r="E98" i="80"/>
  <c r="E220" i="80"/>
  <c r="E92" i="80"/>
  <c r="E235" i="80"/>
  <c r="H182" i="80"/>
  <c r="H233" i="80"/>
  <c r="H299" i="80"/>
  <c r="H279" i="80"/>
  <c r="H253" i="80"/>
  <c r="H366" i="80"/>
  <c r="H301" i="80"/>
  <c r="H418" i="80"/>
  <c r="E158" i="80"/>
  <c r="E201" i="80"/>
  <c r="E134" i="80"/>
  <c r="E189" i="80"/>
  <c r="E288" i="80"/>
  <c r="E242" i="80"/>
  <c r="E236" i="80"/>
  <c r="E243" i="80"/>
  <c r="E171" i="80"/>
  <c r="E107" i="80"/>
  <c r="E43" i="80"/>
  <c r="E274" i="80"/>
  <c r="E339" i="80"/>
  <c r="E253" i="80"/>
  <c r="E285" i="80"/>
  <c r="E318" i="80"/>
  <c r="E350" i="80"/>
  <c r="E398" i="80"/>
  <c r="E374" i="80"/>
  <c r="E407" i="80"/>
  <c r="E440" i="80"/>
  <c r="E110" i="80"/>
  <c r="H89" i="80"/>
  <c r="H259" i="80"/>
  <c r="H35" i="80"/>
  <c r="H442" i="80"/>
  <c r="H324" i="80"/>
  <c r="H297" i="80"/>
  <c r="H438" i="80"/>
  <c r="H354" i="80"/>
  <c r="H385" i="80"/>
  <c r="E233" i="80"/>
  <c r="E221" i="80"/>
  <c r="E431" i="80"/>
  <c r="E12" i="80"/>
  <c r="E115" i="80"/>
  <c r="E266" i="80"/>
  <c r="E435" i="80"/>
  <c r="E314" i="80"/>
  <c r="E390" i="80"/>
  <c r="E403" i="80"/>
  <c r="E142" i="80"/>
  <c r="E193" i="80"/>
  <c r="E65" i="80"/>
  <c r="E16" i="80"/>
  <c r="E5" i="80"/>
  <c r="E392" i="80"/>
  <c r="E52" i="80"/>
  <c r="E294" i="80"/>
  <c r="E328" i="80"/>
  <c r="E182" i="80"/>
  <c r="E276" i="80"/>
  <c r="E10" i="80"/>
  <c r="E127" i="80"/>
  <c r="E275" i="80"/>
  <c r="E445" i="80"/>
  <c r="E169" i="80"/>
  <c r="E210" i="80"/>
  <c r="E99" i="80"/>
  <c r="E257" i="80"/>
  <c r="E406" i="80"/>
  <c r="E78" i="80"/>
  <c r="E214" i="80"/>
  <c r="E268" i="80"/>
  <c r="E26" i="80"/>
  <c r="E71" i="80"/>
  <c r="E271" i="80"/>
  <c r="E437" i="80"/>
  <c r="E112" i="80"/>
  <c r="E357" i="80"/>
  <c r="E100" i="80"/>
  <c r="E270" i="80"/>
  <c r="E316" i="80"/>
  <c r="E405" i="80"/>
  <c r="H134" i="80"/>
  <c r="H129" i="80"/>
  <c r="H344" i="80"/>
  <c r="H137" i="80"/>
  <c r="H126" i="80"/>
  <c r="H352" i="80"/>
  <c r="H16" i="80"/>
  <c r="H303" i="80"/>
  <c r="H364" i="80"/>
  <c r="H273" i="80"/>
  <c r="H326" i="80"/>
  <c r="H391" i="80"/>
  <c r="H432" i="80"/>
  <c r="H330" i="80"/>
  <c r="H425" i="80"/>
  <c r="E450" i="80"/>
  <c r="H427" i="80"/>
  <c r="E62" i="80"/>
  <c r="E56" i="80"/>
  <c r="E153" i="80"/>
  <c r="E25" i="80"/>
  <c r="E38" i="80"/>
  <c r="E32" i="80"/>
  <c r="E141" i="80"/>
  <c r="E13" i="80"/>
  <c r="E313" i="80"/>
  <c r="E384" i="80"/>
  <c r="E194" i="80"/>
  <c r="E66" i="80"/>
  <c r="E188" i="80"/>
  <c r="E60" i="80"/>
  <c r="H217" i="80"/>
  <c r="H105" i="80"/>
  <c r="H379" i="80"/>
  <c r="H308" i="80"/>
  <c r="H281" i="80"/>
  <c r="H407" i="80"/>
  <c r="H338" i="80"/>
  <c r="H372" i="80"/>
  <c r="E30" i="80"/>
  <c r="E137" i="80"/>
  <c r="E6" i="80"/>
  <c r="E125" i="80"/>
  <c r="E321" i="80"/>
  <c r="E178" i="80"/>
  <c r="E172" i="80"/>
  <c r="E219" i="80"/>
  <c r="E155" i="80"/>
  <c r="E91" i="80"/>
  <c r="E27" i="80"/>
  <c r="E290" i="80"/>
  <c r="E355" i="80"/>
  <c r="E261" i="80"/>
  <c r="E293" i="80"/>
  <c r="E326" i="80"/>
  <c r="E358" i="80"/>
  <c r="E415" i="80"/>
  <c r="E383" i="80"/>
  <c r="E416" i="80"/>
  <c r="E448" i="80"/>
  <c r="E46" i="80"/>
  <c r="H166" i="80"/>
  <c r="H328" i="80"/>
  <c r="H142" i="80"/>
  <c r="H114" i="80"/>
  <c r="H356" i="80"/>
  <c r="H318" i="80"/>
  <c r="H410" i="80"/>
  <c r="E409" i="80"/>
  <c r="H419" i="80"/>
  <c r="E105" i="80"/>
  <c r="E93" i="80"/>
  <c r="E146" i="80"/>
  <c r="E211" i="80"/>
  <c r="E83" i="80"/>
  <c r="E298" i="80"/>
  <c r="E265" i="80"/>
  <c r="E330" i="80"/>
  <c r="E424" i="80"/>
  <c r="E421" i="80"/>
  <c r="E14" i="80"/>
  <c r="E161" i="80"/>
  <c r="E144" i="80"/>
  <c r="E69" i="80"/>
  <c r="E349" i="80"/>
  <c r="E122" i="80"/>
  <c r="E116" i="80"/>
  <c r="E183" i="80"/>
  <c r="E55" i="80"/>
  <c r="E327" i="80"/>
  <c r="E279" i="80"/>
  <c r="E344" i="80"/>
  <c r="E368" i="80"/>
  <c r="E434" i="80"/>
  <c r="E48" i="80"/>
  <c r="E21" i="80"/>
  <c r="E376" i="80"/>
  <c r="E74" i="80"/>
  <c r="E68" i="80"/>
  <c r="E159" i="80"/>
  <c r="E31" i="80"/>
  <c r="E351" i="80"/>
  <c r="E291" i="80"/>
  <c r="E356" i="80"/>
  <c r="E381" i="80"/>
  <c r="E446" i="80"/>
  <c r="E41" i="80"/>
  <c r="E29" i="80"/>
  <c r="E82" i="80"/>
  <c r="E195" i="80"/>
  <c r="E67" i="80"/>
  <c r="E315" i="80"/>
  <c r="E273" i="80"/>
  <c r="E338" i="80"/>
  <c r="E441" i="80"/>
  <c r="E429" i="80"/>
  <c r="E200" i="80"/>
  <c r="E145" i="80"/>
  <c r="E80" i="80"/>
  <c r="E37" i="80"/>
  <c r="E365" i="80"/>
  <c r="E90" i="80"/>
  <c r="E84" i="80"/>
  <c r="E167" i="80"/>
  <c r="E39" i="80"/>
  <c r="E343" i="80"/>
  <c r="E287" i="80"/>
  <c r="E352" i="80"/>
  <c r="E377" i="80"/>
  <c r="E442" i="80"/>
  <c r="E245" i="80"/>
  <c r="E260" i="80"/>
  <c r="E408" i="80"/>
  <c r="E42" i="80"/>
  <c r="E36" i="80"/>
  <c r="E143" i="80"/>
  <c r="E15" i="80"/>
  <c r="E367" i="80"/>
  <c r="E299" i="80"/>
  <c r="E364" i="80"/>
  <c r="E389" i="80"/>
  <c r="H1" i="78"/>
  <c r="E186" i="80"/>
  <c r="E215" i="80"/>
  <c r="E23" i="80"/>
  <c r="E295" i="80"/>
  <c r="E420" i="80"/>
  <c r="E176" i="80"/>
  <c r="E341" i="80"/>
  <c r="E132" i="80"/>
  <c r="E63" i="80"/>
  <c r="E404" i="80"/>
  <c r="E378" i="80"/>
  <c r="E94" i="80"/>
  <c r="E304" i="80"/>
  <c r="E163" i="80"/>
  <c r="E347" i="80"/>
  <c r="E354" i="80"/>
  <c r="E444" i="80"/>
  <c r="E177" i="80"/>
  <c r="E208" i="80"/>
  <c r="E333" i="80"/>
  <c r="E148" i="80"/>
  <c r="E135" i="80"/>
  <c r="E388" i="80"/>
  <c r="E369" i="80"/>
  <c r="E118" i="80"/>
  <c r="E292" i="80"/>
  <c r="E228" i="80"/>
  <c r="E175" i="80"/>
  <c r="E335" i="80"/>
  <c r="E348" i="80"/>
  <c r="E438" i="80"/>
  <c r="I86" i="80"/>
  <c r="I179" i="80"/>
  <c r="G166" i="80"/>
  <c r="I150" i="80"/>
  <c r="J51" i="80"/>
  <c r="I51" i="80"/>
  <c r="I57" i="80"/>
  <c r="E156" i="80"/>
  <c r="E28" i="80"/>
  <c r="H291" i="80"/>
  <c r="H174" i="80"/>
  <c r="H265" i="80"/>
  <c r="H340" i="80"/>
  <c r="E307" i="80"/>
  <c r="H389" i="80"/>
  <c r="H383" i="80"/>
  <c r="H401" i="80"/>
  <c r="E152" i="80"/>
  <c r="E73" i="80"/>
  <c r="E128" i="80"/>
  <c r="E61" i="80"/>
  <c r="E353" i="80"/>
  <c r="E114" i="80"/>
  <c r="E108" i="80"/>
  <c r="E203" i="80"/>
  <c r="E139" i="80"/>
  <c r="E75" i="80"/>
  <c r="E11" i="80"/>
  <c r="E306" i="80"/>
  <c r="E380" i="80"/>
  <c r="E269" i="80"/>
  <c r="E301" i="80"/>
  <c r="E334" i="80"/>
  <c r="E366" i="80"/>
  <c r="E433" i="80"/>
  <c r="E391" i="80"/>
  <c r="E425" i="80"/>
  <c r="E238" i="80"/>
  <c r="E241" i="80"/>
  <c r="H121" i="80"/>
  <c r="H395" i="80"/>
  <c r="H267" i="80"/>
  <c r="H263" i="80"/>
  <c r="H429" i="80"/>
  <c r="H350" i="80"/>
  <c r="H285" i="80"/>
  <c r="H381" i="80"/>
  <c r="E222" i="80"/>
  <c r="E272" i="80"/>
  <c r="E18" i="80"/>
  <c r="E179" i="80"/>
  <c r="E51" i="80"/>
  <c r="E331" i="80"/>
  <c r="E281" i="80"/>
  <c r="E346" i="80"/>
  <c r="E370" i="80"/>
  <c r="E436" i="80"/>
  <c r="E136" i="80"/>
  <c r="E129" i="80"/>
  <c r="E246" i="80"/>
  <c r="E58" i="80"/>
  <c r="E151" i="80"/>
  <c r="E263" i="80"/>
  <c r="E385" i="80"/>
  <c r="E213" i="80"/>
  <c r="E439" i="80"/>
  <c r="E4" i="80"/>
  <c r="E254" i="80"/>
  <c r="E340" i="80"/>
  <c r="E430" i="80"/>
  <c r="E157" i="80"/>
  <c r="E227" i="80"/>
  <c r="E282" i="80"/>
  <c r="E322" i="80"/>
  <c r="E412" i="80"/>
  <c r="E113" i="80"/>
  <c r="E229" i="80"/>
  <c r="E426" i="80"/>
  <c r="E199" i="80"/>
  <c r="E311" i="80"/>
  <c r="E336" i="80"/>
  <c r="E427" i="80"/>
  <c r="E53" i="80"/>
  <c r="E106" i="80"/>
  <c r="E111" i="80"/>
  <c r="E443" i="80"/>
  <c r="E394" i="80"/>
  <c r="H25" i="80"/>
  <c r="H57" i="80"/>
  <c r="H275" i="80"/>
  <c r="H416" i="80"/>
  <c r="H190" i="80"/>
  <c r="H283" i="80"/>
  <c r="H257" i="80"/>
  <c r="H271" i="80"/>
  <c r="H332" i="80"/>
  <c r="H434" i="80"/>
  <c r="H305" i="80"/>
  <c r="H358" i="80"/>
  <c r="H368" i="80"/>
  <c r="H293" i="80"/>
  <c r="H362" i="80"/>
  <c r="H397" i="80"/>
  <c r="H393" i="80"/>
  <c r="E190" i="80"/>
  <c r="E184" i="80"/>
  <c r="E217" i="80"/>
  <c r="E89" i="80"/>
  <c r="E166" i="80"/>
  <c r="E160" i="80"/>
  <c r="E205" i="80"/>
  <c r="E77" i="80"/>
  <c r="E280" i="80"/>
  <c r="E345" i="80"/>
  <c r="E447" i="80"/>
  <c r="E130" i="80"/>
  <c r="E252" i="80"/>
  <c r="E124" i="80"/>
  <c r="E251" i="80"/>
  <c r="H360" i="80"/>
  <c r="H110" i="80"/>
  <c r="H72" i="80"/>
  <c r="H387" i="80"/>
  <c r="H334" i="80"/>
  <c r="H448" i="80"/>
  <c r="H430" i="80"/>
  <c r="H436" i="80"/>
  <c r="E24" i="80"/>
  <c r="E9" i="80"/>
  <c r="E2" i="80"/>
  <c r="E256" i="80"/>
  <c r="E400" i="80"/>
  <c r="E50" i="80"/>
  <c r="E44" i="80"/>
  <c r="E187" i="80"/>
  <c r="E123" i="80"/>
  <c r="E59" i="80"/>
  <c r="E258" i="80"/>
  <c r="E323" i="80"/>
  <c r="E417" i="80"/>
  <c r="E277" i="80"/>
  <c r="E310" i="80"/>
  <c r="E342" i="80"/>
  <c r="E382" i="80"/>
  <c r="E449" i="80"/>
  <c r="E399" i="80"/>
  <c r="E432" i="80"/>
  <c r="E174" i="80"/>
  <c r="E168" i="80"/>
  <c r="E209" i="80"/>
  <c r="H118" i="80"/>
  <c r="H169" i="80"/>
  <c r="H336" i="80"/>
  <c r="H295" i="80"/>
  <c r="H269" i="80"/>
  <c r="H375" i="80"/>
  <c r="H322" i="80"/>
  <c r="H440" i="80"/>
  <c r="E216" i="80"/>
  <c r="E192" i="80"/>
  <c r="E337" i="80"/>
  <c r="E140" i="80"/>
  <c r="E147" i="80"/>
  <c r="E19" i="80"/>
  <c r="E363" i="80"/>
  <c r="E297" i="80"/>
  <c r="E362" i="80"/>
  <c r="E387" i="80"/>
  <c r="K27" i="79"/>
  <c r="E8" i="80"/>
  <c r="E97" i="80"/>
  <c r="E150" i="80"/>
  <c r="E197" i="80"/>
  <c r="E284" i="80"/>
  <c r="E250" i="80"/>
  <c r="E244" i="80"/>
  <c r="E247" i="80"/>
  <c r="E119" i="80"/>
  <c r="E262" i="80"/>
  <c r="E422" i="80"/>
  <c r="E312" i="80"/>
  <c r="E386" i="80"/>
  <c r="E401" i="80"/>
  <c r="E54" i="80"/>
  <c r="E149" i="80"/>
  <c r="E309" i="80"/>
  <c r="E202" i="80"/>
  <c r="E196" i="80"/>
  <c r="E223" i="80"/>
  <c r="E95" i="80"/>
  <c r="E286" i="80"/>
  <c r="E259" i="80"/>
  <c r="E324" i="80"/>
  <c r="E411" i="80"/>
  <c r="E414" i="80"/>
  <c r="E88" i="80"/>
  <c r="E64" i="80"/>
  <c r="E371" i="80"/>
  <c r="E76" i="80"/>
  <c r="E131" i="80"/>
  <c r="E3" i="80"/>
  <c r="E396" i="80"/>
  <c r="E305" i="80"/>
  <c r="E373" i="80"/>
  <c r="E395" i="80"/>
  <c r="E206" i="80"/>
  <c r="E86" i="80"/>
  <c r="E165" i="80"/>
  <c r="E300" i="80"/>
  <c r="E218" i="80"/>
  <c r="E212" i="80"/>
  <c r="E231" i="80"/>
  <c r="E103" i="80"/>
  <c r="E278" i="80"/>
  <c r="E255" i="80"/>
  <c r="E320" i="80"/>
  <c r="E402" i="80"/>
  <c r="E410" i="80"/>
  <c r="E240" i="80"/>
  <c r="E117" i="80"/>
  <c r="E325" i="80"/>
  <c r="E170" i="80"/>
  <c r="E164" i="80"/>
  <c r="E207" i="80"/>
  <c r="E79" i="80"/>
  <c r="E302" i="80"/>
  <c r="E267" i="80"/>
  <c r="E332" i="80"/>
  <c r="E428" i="80"/>
  <c r="E423" i="80"/>
  <c r="E22" i="80"/>
  <c r="E180" i="80"/>
  <c r="E87" i="80"/>
  <c r="E359" i="80"/>
  <c r="E360" i="80"/>
  <c r="E418" i="80"/>
  <c r="E85" i="80"/>
  <c r="E138" i="80"/>
  <c r="E191" i="80"/>
  <c r="E319" i="80"/>
  <c r="E308" i="80"/>
  <c r="E397" i="80"/>
  <c r="E70" i="80"/>
  <c r="E204" i="80"/>
  <c r="E35" i="80"/>
  <c r="E289" i="80"/>
  <c r="E379" i="80"/>
  <c r="E72" i="80"/>
  <c r="E49" i="80"/>
  <c r="E101" i="80"/>
  <c r="E154" i="80"/>
  <c r="E20" i="80"/>
  <c r="E7" i="80"/>
  <c r="E303" i="80"/>
  <c r="E393" i="80"/>
  <c r="E181" i="80"/>
  <c r="E234" i="80"/>
  <c r="E239" i="80"/>
  <c r="E47" i="80"/>
  <c r="E283" i="80"/>
  <c r="E372" i="80"/>
  <c r="H86" i="80"/>
  <c r="H179" i="80"/>
  <c r="I166" i="80"/>
  <c r="J150" i="80"/>
  <c r="G51" i="80"/>
  <c r="H51" i="80"/>
  <c r="J57" i="80"/>
  <c r="H437" i="80"/>
  <c r="D317" i="80"/>
  <c r="E317" i="80" s="1"/>
  <c r="F122" i="80"/>
  <c r="D133" i="80"/>
  <c r="E133" i="80" s="1"/>
  <c r="D198" i="80"/>
  <c r="E198" i="80" s="1"/>
  <c r="H58" i="80"/>
  <c r="H207" i="80"/>
  <c r="I401" i="80"/>
  <c r="I273" i="80"/>
  <c r="I216" i="80"/>
  <c r="I189" i="80"/>
  <c r="G394" i="80"/>
  <c r="F249" i="80"/>
  <c r="H18" i="80"/>
  <c r="I312" i="80"/>
  <c r="I33" i="80"/>
  <c r="J367" i="80"/>
  <c r="J303" i="80"/>
  <c r="J268" i="80"/>
  <c r="J32" i="80"/>
  <c r="J98" i="80"/>
  <c r="J174" i="80"/>
  <c r="J246" i="80"/>
  <c r="J131" i="80"/>
  <c r="J33" i="80"/>
  <c r="J177" i="80"/>
  <c r="H206" i="80"/>
  <c r="I418" i="80"/>
  <c r="I290" i="80"/>
  <c r="J431" i="80"/>
  <c r="G375" i="80"/>
  <c r="G343" i="80"/>
  <c r="G311" i="80"/>
  <c r="G279" i="80"/>
  <c r="G10" i="80"/>
  <c r="G76" i="80"/>
  <c r="G140" i="80"/>
  <c r="G204" i="80"/>
  <c r="G148" i="80"/>
  <c r="G252" i="80"/>
  <c r="I309" i="80"/>
  <c r="I144" i="80"/>
  <c r="I45" i="80"/>
  <c r="G412" i="80"/>
  <c r="F211" i="80"/>
  <c r="D232" i="80"/>
  <c r="E232" i="80" s="1"/>
  <c r="I448" i="80"/>
  <c r="I122" i="80"/>
  <c r="J418" i="80"/>
  <c r="J337" i="80"/>
  <c r="J285" i="80"/>
  <c r="J253" i="80"/>
  <c r="J62" i="80"/>
  <c r="J128" i="80"/>
  <c r="J192" i="80"/>
  <c r="J39" i="80"/>
  <c r="J45" i="80"/>
  <c r="H180" i="80"/>
  <c r="I302" i="80"/>
  <c r="I73" i="80"/>
  <c r="G364" i="80"/>
  <c r="G300" i="80"/>
  <c r="G32" i="80"/>
  <c r="G162" i="80"/>
  <c r="G39" i="80"/>
  <c r="G29" i="80"/>
  <c r="G91" i="80"/>
  <c r="G97" i="80"/>
  <c r="J53" i="80"/>
  <c r="H232" i="80"/>
  <c r="H225" i="80"/>
  <c r="I345" i="80"/>
  <c r="I70" i="80"/>
  <c r="I151" i="80"/>
  <c r="G430" i="80"/>
  <c r="F214" i="80"/>
  <c r="D225" i="80"/>
  <c r="E225" i="80" s="1"/>
  <c r="H64" i="80"/>
  <c r="I264" i="80"/>
  <c r="I225" i="80"/>
  <c r="J355" i="80"/>
  <c r="J294" i="80"/>
  <c r="J262" i="80"/>
  <c r="J44" i="80"/>
  <c r="J114" i="80"/>
  <c r="J206" i="80"/>
  <c r="J91" i="80"/>
  <c r="J235" i="80"/>
  <c r="J169" i="80"/>
  <c r="H188" i="80"/>
  <c r="I426" i="80"/>
  <c r="I298" i="80"/>
  <c r="I246" i="80"/>
  <c r="J419" i="80"/>
  <c r="G369" i="80"/>
  <c r="G337" i="80"/>
  <c r="G305" i="80"/>
  <c r="G273" i="80"/>
  <c r="G22" i="80"/>
  <c r="G88" i="80"/>
  <c r="G152" i="80"/>
  <c r="G216" i="80"/>
  <c r="I381" i="80"/>
  <c r="I253" i="80"/>
  <c r="I7" i="80"/>
  <c r="G448" i="80"/>
  <c r="G384" i="80"/>
  <c r="D81" i="80"/>
  <c r="E81" i="80" s="1"/>
  <c r="H131" i="80"/>
  <c r="I400" i="80"/>
  <c r="I218" i="80"/>
  <c r="J394" i="80"/>
  <c r="J325" i="80"/>
  <c r="J279" i="80"/>
  <c r="J10" i="80"/>
  <c r="J76" i="80"/>
  <c r="J140" i="80"/>
  <c r="J204" i="80"/>
  <c r="J87" i="80"/>
  <c r="J93" i="80"/>
  <c r="H155" i="80"/>
  <c r="I254" i="80"/>
  <c r="J449" i="80"/>
  <c r="G352" i="80"/>
  <c r="G288" i="80"/>
  <c r="G56" i="80"/>
  <c r="G186" i="80"/>
  <c r="G71" i="80"/>
  <c r="G77" i="80"/>
  <c r="G17" i="80"/>
  <c r="H68" i="80"/>
  <c r="I206" i="80"/>
  <c r="G318" i="80"/>
  <c r="G126" i="80"/>
  <c r="G191" i="80"/>
  <c r="G9" i="80"/>
  <c r="J111" i="80"/>
  <c r="I294" i="80"/>
  <c r="G358" i="80"/>
  <c r="G36" i="80"/>
  <c r="G175" i="80"/>
  <c r="G243" i="80"/>
  <c r="J312" i="80"/>
  <c r="J217" i="80"/>
  <c r="G241" i="80"/>
  <c r="I406" i="80"/>
  <c r="J413" i="80"/>
  <c r="G266" i="80"/>
  <c r="G238" i="80"/>
  <c r="G99" i="80"/>
  <c r="J31" i="80"/>
  <c r="H251" i="80"/>
  <c r="J405" i="80"/>
  <c r="G270" i="80"/>
  <c r="G214" i="80"/>
  <c r="G149" i="80"/>
  <c r="J328" i="80"/>
  <c r="I153" i="80"/>
  <c r="G132" i="80"/>
  <c r="G244" i="80"/>
  <c r="I325" i="80"/>
  <c r="I112" i="80"/>
  <c r="I231" i="80"/>
  <c r="G420" i="80"/>
  <c r="F83" i="80"/>
  <c r="D104" i="80"/>
  <c r="E104" i="80" s="1"/>
  <c r="H210" i="80"/>
  <c r="I288" i="80"/>
  <c r="I129" i="80"/>
  <c r="J361" i="80"/>
  <c r="J297" i="80"/>
  <c r="J265" i="80"/>
  <c r="J38" i="80"/>
  <c r="J104" i="80"/>
  <c r="J168" i="80"/>
  <c r="J232" i="80"/>
  <c r="J199" i="80"/>
  <c r="J205" i="80"/>
  <c r="I398" i="80"/>
  <c r="I222" i="80"/>
  <c r="J393" i="80"/>
  <c r="G324" i="80"/>
  <c r="G260" i="80"/>
  <c r="G114" i="80"/>
  <c r="G242" i="80"/>
  <c r="G183" i="80"/>
  <c r="G189" i="80"/>
  <c r="G251" i="80"/>
  <c r="J207" i="80"/>
  <c r="J245" i="80"/>
  <c r="H223" i="80"/>
  <c r="I393" i="80"/>
  <c r="I265" i="80"/>
  <c r="I232" i="80"/>
  <c r="I221" i="80"/>
  <c r="G390" i="80"/>
  <c r="D33" i="80"/>
  <c r="E33" i="80" s="1"/>
  <c r="H120" i="80"/>
  <c r="I424" i="80"/>
  <c r="I170" i="80"/>
  <c r="J406" i="80"/>
  <c r="J331" i="80"/>
  <c r="J282" i="80"/>
  <c r="J4" i="80"/>
  <c r="J68" i="80"/>
  <c r="J142" i="80"/>
  <c r="J214" i="80"/>
  <c r="J67" i="80"/>
  <c r="J219" i="80"/>
  <c r="J113" i="80"/>
  <c r="H44" i="80"/>
  <c r="H157" i="80"/>
  <c r="I346" i="80"/>
  <c r="I68" i="80"/>
  <c r="J443" i="80"/>
  <c r="J395" i="80"/>
  <c r="G373" i="80"/>
  <c r="G357" i="80"/>
  <c r="G341" i="80"/>
  <c r="G325" i="80"/>
  <c r="G309" i="80"/>
  <c r="G293" i="80"/>
  <c r="G277" i="80"/>
  <c r="G261" i="80"/>
  <c r="G14" i="80"/>
  <c r="G46" i="80"/>
  <c r="G80" i="80"/>
  <c r="G112" i="80"/>
  <c r="G144" i="80"/>
  <c r="G176" i="80"/>
  <c r="G208" i="80"/>
  <c r="G240" i="80"/>
  <c r="I397" i="80"/>
  <c r="I333" i="80"/>
  <c r="I269" i="80"/>
  <c r="I96" i="80"/>
  <c r="I224" i="80"/>
  <c r="I199" i="80"/>
  <c r="I205" i="80"/>
  <c r="G424" i="80"/>
  <c r="G392" i="80"/>
  <c r="F19" i="80"/>
  <c r="D17" i="80"/>
  <c r="E17" i="80" s="1"/>
  <c r="D40" i="80"/>
  <c r="E40" i="80" s="1"/>
  <c r="H102" i="80"/>
  <c r="H176" i="80"/>
  <c r="I432" i="80"/>
  <c r="I304" i="80"/>
  <c r="I154" i="80"/>
  <c r="I65" i="80"/>
  <c r="J410" i="80"/>
  <c r="J365" i="80"/>
  <c r="J333" i="80"/>
  <c r="J301" i="80"/>
  <c r="J283" i="80"/>
  <c r="J267" i="80"/>
  <c r="J2" i="80"/>
  <c r="J34" i="80"/>
  <c r="J66" i="80"/>
  <c r="J100" i="80"/>
  <c r="J132" i="80"/>
  <c r="J164" i="80"/>
  <c r="J196" i="80"/>
  <c r="J228" i="80"/>
  <c r="J55" i="80"/>
  <c r="J183" i="80"/>
  <c r="J61" i="80"/>
  <c r="J189" i="80"/>
  <c r="H214" i="80"/>
  <c r="I414" i="80"/>
  <c r="I286" i="80"/>
  <c r="I190" i="80"/>
  <c r="I137" i="80"/>
  <c r="J401" i="80"/>
  <c r="G360" i="80"/>
  <c r="G328" i="80"/>
  <c r="G296" i="80"/>
  <c r="G264" i="80"/>
  <c r="G40" i="80"/>
  <c r="G106" i="80"/>
  <c r="G170" i="80"/>
  <c r="G234" i="80"/>
  <c r="G47" i="80"/>
  <c r="G167" i="80"/>
  <c r="G45" i="80"/>
  <c r="G173" i="80"/>
  <c r="G203" i="80"/>
  <c r="G209" i="80"/>
  <c r="J181" i="80"/>
  <c r="I422" i="80"/>
  <c r="I110" i="80"/>
  <c r="J429" i="80"/>
  <c r="G338" i="80"/>
  <c r="G274" i="80"/>
  <c r="G94" i="80"/>
  <c r="G222" i="80"/>
  <c r="G127" i="80"/>
  <c r="G133" i="80"/>
  <c r="G195" i="80"/>
  <c r="G201" i="80"/>
  <c r="J79" i="80"/>
  <c r="J149" i="80"/>
  <c r="I358" i="80"/>
  <c r="I227" i="80"/>
  <c r="G374" i="80"/>
  <c r="G310" i="80"/>
  <c r="G4" i="80"/>
  <c r="G134" i="80"/>
  <c r="G11" i="80"/>
  <c r="G239" i="80"/>
  <c r="G229" i="80"/>
  <c r="G57" i="80"/>
  <c r="G395" i="80"/>
  <c r="I275" i="80"/>
  <c r="I198" i="80"/>
  <c r="H83" i="80"/>
  <c r="G237" i="80"/>
  <c r="G49" i="80"/>
  <c r="J5" i="80"/>
  <c r="H196" i="80"/>
  <c r="I342" i="80"/>
  <c r="I35" i="80"/>
  <c r="G378" i="80"/>
  <c r="G314" i="80"/>
  <c r="G12" i="80"/>
  <c r="G142" i="80"/>
  <c r="G19" i="80"/>
  <c r="G223" i="80"/>
  <c r="G245" i="80"/>
  <c r="G41" i="80"/>
  <c r="J252" i="80"/>
  <c r="J127" i="80"/>
  <c r="H164" i="80"/>
  <c r="I262" i="80"/>
  <c r="J437" i="80"/>
  <c r="G350" i="80"/>
  <c r="G290" i="80"/>
  <c r="G52" i="80"/>
  <c r="G182" i="80"/>
  <c r="G63" i="80"/>
  <c r="G85" i="80"/>
  <c r="G147" i="80"/>
  <c r="G169" i="80"/>
  <c r="J360" i="80"/>
  <c r="J102" i="80"/>
  <c r="J230" i="80"/>
  <c r="I211" i="80"/>
  <c r="I217" i="80"/>
  <c r="B230" i="80"/>
  <c r="H153" i="80"/>
  <c r="H185" i="80"/>
  <c r="H24" i="80"/>
  <c r="H374" i="80"/>
  <c r="H73" i="80"/>
  <c r="H106" i="80"/>
  <c r="H421" i="80"/>
  <c r="H255" i="80"/>
  <c r="H316" i="80"/>
  <c r="H403" i="80"/>
  <c r="H289" i="80"/>
  <c r="H342" i="80"/>
  <c r="H412" i="80"/>
  <c r="H277" i="80"/>
  <c r="H346" i="80"/>
  <c r="H446" i="80"/>
  <c r="H377" i="80"/>
  <c r="H444" i="80"/>
  <c r="E248" i="80"/>
  <c r="E249" i="80"/>
  <c r="E121" i="80"/>
  <c r="E230" i="80"/>
  <c r="E224" i="80"/>
  <c r="E237" i="80"/>
  <c r="E109" i="80"/>
  <c r="E264" i="80"/>
  <c r="E329" i="80"/>
  <c r="E413" i="80"/>
  <c r="E162" i="80"/>
  <c r="E34" i="80"/>
  <c r="H115" i="80"/>
  <c r="H215" i="80"/>
  <c r="H77" i="80"/>
  <c r="H304" i="80"/>
  <c r="H88" i="80"/>
  <c r="H80" i="80"/>
  <c r="H373" i="80"/>
  <c r="H447" i="80"/>
  <c r="H439" i="80"/>
  <c r="H250" i="80"/>
  <c r="H186" i="80"/>
  <c r="H218" i="80"/>
  <c r="H136" i="80"/>
  <c r="H65" i="80"/>
  <c r="H280" i="80"/>
  <c r="H20" i="80"/>
  <c r="H409" i="80"/>
  <c r="H413" i="80"/>
  <c r="I1" i="78"/>
  <c r="H29" i="80"/>
  <c r="H56" i="80"/>
  <c r="H247" i="80"/>
  <c r="H272" i="80"/>
  <c r="H154" i="80"/>
  <c r="H296" i="80"/>
  <c r="H128" i="80"/>
  <c r="H417" i="80"/>
  <c r="H441" i="80"/>
  <c r="M1" i="79"/>
  <c r="H151" i="80"/>
  <c r="H93" i="80"/>
  <c r="H119" i="80"/>
  <c r="H288" i="80"/>
  <c r="H183" i="80"/>
  <c r="H109" i="80"/>
  <c r="H96" i="80"/>
  <c r="H431" i="80"/>
  <c r="E375" i="80"/>
  <c r="J43" i="80"/>
  <c r="I43" i="80"/>
  <c r="G379" i="80"/>
  <c r="I379" i="80"/>
  <c r="H220" i="80"/>
  <c r="I220" i="80"/>
  <c r="H42" i="80"/>
  <c r="I42" i="80"/>
  <c r="I364" i="80"/>
  <c r="J193" i="80"/>
  <c r="H193" i="80"/>
  <c r="I93" i="80"/>
  <c r="G93" i="80"/>
  <c r="G190" i="80"/>
  <c r="J190" i="80"/>
  <c r="G137" i="80"/>
  <c r="J137" i="80"/>
  <c r="J29" i="80"/>
  <c r="I29" i="80"/>
  <c r="I102" i="80"/>
  <c r="G102" i="80"/>
  <c r="I147" i="80"/>
  <c r="H122" i="80"/>
  <c r="G122" i="80"/>
  <c r="J122" i="80"/>
  <c r="H249" i="80"/>
  <c r="G249" i="80"/>
  <c r="I249" i="80"/>
  <c r="J249" i="80"/>
  <c r="H211" i="80"/>
  <c r="G211" i="80"/>
  <c r="J211" i="80"/>
  <c r="G83" i="80"/>
  <c r="I83" i="80"/>
  <c r="J83" i="80"/>
  <c r="H19" i="80"/>
  <c r="I19" i="80"/>
  <c r="C32" i="79" l="1"/>
  <c r="C31" i="79"/>
  <c r="I24" i="79"/>
  <c r="H24" i="79"/>
  <c r="D17" i="79"/>
  <c r="H36" i="78"/>
  <c r="I33" i="78"/>
  <c r="I34" i="78" s="1"/>
  <c r="I36" i="78" s="1"/>
  <c r="H33" i="78"/>
  <c r="I32" i="78"/>
  <c r="H32" i="78"/>
  <c r="D25" i="78"/>
  <c r="I46" i="78"/>
  <c r="F50" i="3"/>
  <c r="F51" i="3"/>
  <c r="F52" i="3"/>
  <c r="I11" i="78" s="1"/>
  <c r="I48" i="78" s="1"/>
  <c r="L40" i="3"/>
  <c r="N40" i="3" s="1"/>
  <c r="L39" i="3"/>
  <c r="M39" i="3" s="1"/>
  <c r="L38" i="3"/>
  <c r="N38" i="3" s="1"/>
  <c r="L37" i="3"/>
  <c r="M37" i="3" s="1"/>
  <c r="L36" i="3"/>
  <c r="N36" i="3" s="1"/>
  <c r="L35" i="3"/>
  <c r="M35" i="3" s="1"/>
  <c r="L34" i="3"/>
  <c r="N34" i="3" s="1"/>
  <c r="L33" i="3"/>
  <c r="M33" i="3" s="1"/>
  <c r="L32" i="3"/>
  <c r="N32" i="3" s="1"/>
  <c r="L31" i="3"/>
  <c r="M31" i="3" s="1"/>
  <c r="L30" i="3"/>
  <c r="N30" i="3" s="1"/>
  <c r="L29" i="3"/>
  <c r="M29" i="3" s="1"/>
  <c r="I214" i="80"/>
  <c r="J134" i="80"/>
  <c r="I185" i="80"/>
  <c r="G89" i="80"/>
  <c r="J3" i="80"/>
  <c r="H202" i="80"/>
  <c r="I279" i="80"/>
  <c r="H117" i="80"/>
  <c r="J432" i="80"/>
  <c r="H85" i="80"/>
  <c r="H10" i="80"/>
  <c r="H127" i="80"/>
  <c r="H376" i="80"/>
  <c r="H408" i="80"/>
  <c r="H420" i="80"/>
  <c r="I1" i="73"/>
  <c r="A41" i="78"/>
  <c r="A27" i="78"/>
  <c r="J19" i="80"/>
  <c r="I25" i="80"/>
  <c r="H147" i="80"/>
  <c r="G275" i="80"/>
  <c r="J9" i="80"/>
  <c r="J126" i="80"/>
  <c r="H98" i="80"/>
  <c r="J364" i="80"/>
  <c r="H111" i="80"/>
  <c r="H123" i="80"/>
  <c r="H4" i="80"/>
  <c r="H132" i="80"/>
  <c r="H284" i="80"/>
  <c r="H392" i="80"/>
  <c r="H388" i="80"/>
  <c r="K40" i="78"/>
  <c r="I1" i="79"/>
  <c r="A3" i="78"/>
  <c r="M32" i="3" l="1"/>
  <c r="M40" i="3"/>
  <c r="M36" i="3"/>
  <c r="M30" i="3"/>
  <c r="M34" i="3"/>
  <c r="M38" i="3"/>
  <c r="N29" i="3"/>
  <c r="N31" i="3"/>
  <c r="N33" i="3"/>
  <c r="N35" i="3"/>
  <c r="N37" i="3"/>
  <c r="N39" i="3"/>
  <c r="A19" i="79"/>
  <c r="A29" i="79"/>
  <c r="A3" i="79"/>
  <c r="C50" i="3" l="1"/>
  <c r="F24" i="2" l="1"/>
  <c r="I4" i="2"/>
  <c r="B94" i="80" s="1"/>
  <c r="F23" i="2"/>
  <c r="L22" i="73" l="1"/>
  <c r="L23" i="73"/>
  <c r="V49" i="73" l="1"/>
  <c r="V61" i="73"/>
  <c r="U61" i="73"/>
  <c r="U50" i="73"/>
  <c r="U51" i="73"/>
  <c r="U52" i="73"/>
  <c r="U53" i="73"/>
  <c r="U55" i="73"/>
  <c r="U56" i="73"/>
  <c r="U57" i="73"/>
  <c r="U58" i="73"/>
  <c r="U59" i="73"/>
  <c r="U60" i="73"/>
  <c r="T49" i="73"/>
  <c r="T50" i="73"/>
  <c r="T51" i="73"/>
  <c r="T52" i="73"/>
  <c r="T53" i="73"/>
  <c r="T54" i="73"/>
  <c r="T55" i="73"/>
  <c r="T56" i="73"/>
  <c r="T57" i="73"/>
  <c r="T58" i="73"/>
  <c r="T59" i="73"/>
  <c r="T60" i="73"/>
  <c r="T61" i="73"/>
  <c r="S49" i="73"/>
  <c r="S50" i="73"/>
  <c r="S51" i="73"/>
  <c r="S52" i="73"/>
  <c r="S53" i="73"/>
  <c r="S54" i="73"/>
  <c r="S55" i="73"/>
  <c r="S56" i="73"/>
  <c r="S57" i="73"/>
  <c r="S58" i="73"/>
  <c r="S59" i="73"/>
  <c r="S60" i="73"/>
  <c r="S61" i="73"/>
  <c r="R9" i="73"/>
  <c r="R11" i="73"/>
  <c r="AQ6" i="73"/>
  <c r="J61" i="73"/>
  <c r="R7" i="73"/>
  <c r="J57" i="73"/>
  <c r="J51" i="73"/>
  <c r="J50" i="73"/>
  <c r="J52" i="73"/>
  <c r="P12" i="2"/>
  <c r="R16" i="73"/>
  <c r="J54" i="73"/>
  <c r="J49" i="73"/>
  <c r="J58" i="73"/>
  <c r="J56" i="73"/>
  <c r="J60" i="73"/>
  <c r="R6" i="73"/>
  <c r="R14" i="73"/>
  <c r="R15" i="73"/>
  <c r="J55" i="73"/>
  <c r="J53" i="73"/>
  <c r="J59" i="73"/>
  <c r="R12" i="73"/>
  <c r="R5" i="73"/>
  <c r="R8" i="73"/>
  <c r="R13" i="73"/>
  <c r="B81" i="80" l="1"/>
  <c r="Z3" i="2"/>
  <c r="B105" i="80" s="1"/>
  <c r="Q68" i="6" l="1"/>
  <c r="Q64" i="6"/>
  <c r="Q65" i="6"/>
  <c r="Q66" i="6"/>
  <c r="Q67" i="6"/>
  <c r="F25" i="2"/>
  <c r="I3" i="2"/>
  <c r="B130" i="80" s="1"/>
  <c r="C60" i="2"/>
  <c r="C62" i="2"/>
  <c r="G62" i="2" s="1"/>
  <c r="C61" i="2"/>
  <c r="I226" i="17"/>
  <c r="C24" i="2"/>
  <c r="K233" i="17"/>
  <c r="C25" i="2" a="1"/>
  <c r="C25" i="2" s="1"/>
  <c r="C23" i="2" a="1"/>
  <c r="C23" i="2" s="1"/>
  <c r="AE24" i="2" l="1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23" i="2"/>
  <c r="V67" i="2"/>
  <c r="X26" i="2"/>
  <c r="X30" i="2"/>
  <c r="X34" i="2"/>
  <c r="X38" i="2"/>
  <c r="X51" i="2"/>
  <c r="X55" i="2"/>
  <c r="X59" i="2"/>
  <c r="V24" i="2"/>
  <c r="V26" i="2"/>
  <c r="V30" i="2"/>
  <c r="V34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5" i="2"/>
  <c r="V59" i="2"/>
  <c r="V60" i="2"/>
  <c r="V61" i="2"/>
  <c r="V62" i="2"/>
  <c r="F54" i="2"/>
  <c r="V54" i="2" s="1"/>
  <c r="F53" i="2"/>
  <c r="V53" i="2" s="1"/>
  <c r="F52" i="2"/>
  <c r="F37" i="2"/>
  <c r="V37" i="2" s="1"/>
  <c r="F36" i="2"/>
  <c r="V36" i="2" s="1"/>
  <c r="F35" i="2"/>
  <c r="F33" i="2"/>
  <c r="V33" i="2" s="1"/>
  <c r="F32" i="2"/>
  <c r="V32" i="2" s="1"/>
  <c r="F31" i="2"/>
  <c r="F29" i="2"/>
  <c r="V29" i="2" s="1"/>
  <c r="F28" i="2"/>
  <c r="V28" i="2" s="1"/>
  <c r="F27" i="2"/>
  <c r="M10" i="73"/>
  <c r="O10" i="73"/>
  <c r="F56" i="2"/>
  <c r="I33" i="74"/>
  <c r="J35" i="74"/>
  <c r="I34" i="74"/>
  <c r="J33" i="74"/>
  <c r="V56" i="2" l="1"/>
  <c r="V27" i="2"/>
  <c r="V31" i="2"/>
  <c r="V35" i="2"/>
  <c r="V52" i="2"/>
  <c r="AJ10" i="73"/>
  <c r="AA10" i="73"/>
  <c r="W19" i="73" l="1"/>
  <c r="W21" i="73" s="1"/>
  <c r="F63" i="2" l="1"/>
  <c r="C69" i="2" s="1"/>
  <c r="H14" i="73"/>
  <c r="AA14" i="73" s="1"/>
  <c r="H7" i="73"/>
  <c r="BD23" i="73"/>
  <c r="BD22" i="73"/>
  <c r="AU21" i="73"/>
  <c r="AU20" i="73"/>
  <c r="BK39" i="48"/>
  <c r="BK469" i="48"/>
  <c r="BK583" i="48"/>
  <c r="BK22" i="48"/>
  <c r="BK294" i="48"/>
  <c r="BK405" i="48"/>
  <c r="BK295" i="48"/>
  <c r="BK220" i="48"/>
  <c r="BK494" i="48"/>
  <c r="BK153" i="48"/>
  <c r="BK550" i="48"/>
  <c r="BK24" i="48"/>
  <c r="BK310" i="48"/>
  <c r="BK185" i="48"/>
  <c r="BK472" i="48"/>
  <c r="BK627" i="48"/>
  <c r="BK411" i="48"/>
  <c r="BK3" i="48"/>
  <c r="BK441" i="48"/>
  <c r="BK510" i="48"/>
  <c r="AD32" i="2"/>
  <c r="AD41" i="2"/>
  <c r="BK397" i="48"/>
  <c r="BK601" i="48"/>
  <c r="BK480" i="48"/>
  <c r="BK259" i="48"/>
  <c r="BK637" i="48"/>
  <c r="BK140" i="48"/>
  <c r="BK412" i="48"/>
  <c r="BK523" i="48"/>
  <c r="BK212" i="48"/>
  <c r="BK439" i="48"/>
  <c r="AD52" i="2"/>
  <c r="AV13" i="73"/>
  <c r="BK90" i="48"/>
  <c r="BK282" i="48"/>
  <c r="BK160" i="48"/>
  <c r="BK568" i="48"/>
  <c r="BK298" i="48"/>
  <c r="BK382" i="48"/>
  <c r="BK324" i="48"/>
  <c r="BK619" i="48"/>
  <c r="BK237" i="48"/>
  <c r="T30" i="2"/>
  <c r="AR16" i="73"/>
  <c r="BK612" i="48"/>
  <c r="BK211" i="48"/>
  <c r="BK270" i="48"/>
  <c r="BK87" i="48"/>
  <c r="BK319" i="48"/>
  <c r="BK147" i="48"/>
  <c r="BK545" i="48"/>
  <c r="BK343" i="48"/>
  <c r="BK62" i="48"/>
  <c r="BK92" i="48"/>
  <c r="BK166" i="48"/>
  <c r="BK18" i="48"/>
  <c r="BK137" i="48"/>
  <c r="BK479" i="48"/>
  <c r="BK423" i="48"/>
  <c r="BK267" i="48"/>
  <c r="BK58" i="48"/>
  <c r="BK180" i="48"/>
  <c r="BK32" i="48"/>
  <c r="BK525" i="48"/>
  <c r="BK43" i="48"/>
  <c r="BK490" i="48"/>
  <c r="BK131" i="48"/>
  <c r="BK196" i="48"/>
  <c r="BK621" i="48"/>
  <c r="BK275" i="48"/>
  <c r="BK638" i="48"/>
  <c r="BK649" i="48"/>
  <c r="BK435" i="48"/>
  <c r="BK44" i="48"/>
  <c r="BK50" i="48"/>
  <c r="BK81" i="48"/>
  <c r="AD35" i="2"/>
  <c r="BK60" i="48"/>
  <c r="BK462" i="48"/>
  <c r="BK226" i="48"/>
  <c r="BK201" i="48"/>
  <c r="BK12" i="48"/>
  <c r="BK429" i="48"/>
  <c r="BK532" i="48"/>
  <c r="BK117" i="48"/>
  <c r="BK337" i="48"/>
  <c r="BK503" i="48"/>
  <c r="T51" i="2"/>
  <c r="AV6" i="73"/>
  <c r="BK506" i="48"/>
  <c r="BK106" i="48"/>
  <c r="BK312" i="48"/>
  <c r="BK125" i="48"/>
  <c r="BK71" i="48"/>
  <c r="BK599" i="48"/>
  <c r="BK410" i="48"/>
  <c r="BK647" i="48"/>
  <c r="BK584" i="48"/>
  <c r="AD59" i="2"/>
  <c r="AV9" i="73"/>
  <c r="BK16" i="48"/>
  <c r="BK112" i="48"/>
  <c r="BK454" i="48"/>
  <c r="BK591" i="48"/>
  <c r="BK290" i="48"/>
  <c r="BK8" i="48"/>
  <c r="BK562" i="48"/>
  <c r="BK109" i="48"/>
  <c r="BK421" i="48"/>
  <c r="BK427" i="48"/>
  <c r="BK629" i="48"/>
  <c r="BK593" i="48"/>
  <c r="BK176" i="48"/>
  <c r="BK559" i="48"/>
  <c r="BK157" i="48"/>
  <c r="BK186" i="48"/>
  <c r="BK501" i="48"/>
  <c r="BK171" i="48"/>
  <c r="BK210" i="48"/>
  <c r="BK158" i="48"/>
  <c r="BK38" i="48"/>
  <c r="BK33" i="48"/>
  <c r="BK547" i="48"/>
  <c r="BK192" i="48"/>
  <c r="BK227" i="48"/>
  <c r="BK219" i="48"/>
  <c r="BK552" i="48"/>
  <c r="AV4" i="73"/>
  <c r="BK17" i="48"/>
  <c r="BK432" i="48"/>
  <c r="BK418" i="48"/>
  <c r="BK235" i="48"/>
  <c r="BK56" i="48"/>
  <c r="BK403" i="48"/>
  <c r="AD28" i="2"/>
  <c r="BK360" i="48"/>
  <c r="BK437" i="48"/>
  <c r="BK49" i="48"/>
  <c r="AV16" i="73"/>
  <c r="BK548" i="48"/>
  <c r="BK45" i="48"/>
  <c r="BK373" i="48"/>
  <c r="BK251" i="48"/>
  <c r="BK285" i="48"/>
  <c r="BK114" i="48"/>
  <c r="BK283" i="48"/>
  <c r="AD57" i="2"/>
  <c r="BK151" i="48"/>
  <c r="BK578" i="48"/>
  <c r="AR8" i="73"/>
  <c r="BK40" i="48"/>
  <c r="BK78" i="48"/>
  <c r="BK199" i="48"/>
  <c r="BK230" i="48"/>
  <c r="BK551" i="48"/>
  <c r="BK320" i="48"/>
  <c r="BK240" i="48"/>
  <c r="AD47" i="2"/>
  <c r="BK156" i="48"/>
  <c r="BK181" i="48"/>
  <c r="BK390" i="48"/>
  <c r="BK487" i="48"/>
  <c r="BK108" i="48"/>
  <c r="BK598" i="48"/>
  <c r="BK124" i="48"/>
  <c r="BK29" i="48"/>
  <c r="BK21" i="48"/>
  <c r="BK519" i="48"/>
  <c r="AD27" i="2"/>
  <c r="AR10" i="73"/>
  <c r="BK617" i="48"/>
  <c r="BK133" i="48"/>
  <c r="BK26" i="48"/>
  <c r="BK289" i="48"/>
  <c r="BK409" i="48"/>
  <c r="BK354" i="48"/>
  <c r="BK134" i="48"/>
  <c r="BK482" i="48"/>
  <c r="BK389" i="48"/>
  <c r="AD62" i="2"/>
  <c r="AR13" i="73"/>
  <c r="H51" i="6"/>
  <c r="E60" i="2"/>
  <c r="H64" i="6"/>
  <c r="BK536" i="48"/>
  <c r="BK415" i="48"/>
  <c r="BK30" i="48"/>
  <c r="BK215" i="48"/>
  <c r="BK305" i="48"/>
  <c r="BK329" i="48"/>
  <c r="G57" i="6"/>
  <c r="BK97" i="48"/>
  <c r="BK362" i="48"/>
  <c r="BK465" i="48"/>
  <c r="BK634" i="48"/>
  <c r="BK630" i="48"/>
  <c r="BK328" i="48"/>
  <c r="BK581" i="48"/>
  <c r="BK380" i="48"/>
  <c r="BK485" i="48"/>
  <c r="BK307" i="48"/>
  <c r="BK6" i="48"/>
  <c r="BK520" i="48"/>
  <c r="BK486" i="48"/>
  <c r="BK361" i="48"/>
  <c r="BK460" i="48"/>
  <c r="BK620" i="48"/>
  <c r="BK507" i="48"/>
  <c r="BK207" i="48"/>
  <c r="BK19" i="48"/>
  <c r="BK126" i="48"/>
  <c r="BK99" i="48"/>
  <c r="BK317" i="48"/>
  <c r="BK549" i="48"/>
  <c r="BK278" i="48"/>
  <c r="BK355" i="48"/>
  <c r="BK255" i="48"/>
  <c r="BK175" i="48"/>
  <c r="BA6" i="73"/>
  <c r="BK500" i="48"/>
  <c r="BK604" i="48"/>
  <c r="BK86" i="48"/>
  <c r="BK115" i="48"/>
  <c r="BK281" i="48"/>
  <c r="BK572" i="48"/>
  <c r="BK191" i="48"/>
  <c r="AD60" i="2"/>
  <c r="BK67" i="48"/>
  <c r="BK342" i="48"/>
  <c r="T64" i="2"/>
  <c r="BK408" i="48"/>
  <c r="BK446" i="48"/>
  <c r="BK385" i="48"/>
  <c r="BK512" i="48"/>
  <c r="BK344" i="48"/>
  <c r="BK613" i="48"/>
  <c r="BK5" i="48"/>
  <c r="BK72" i="48"/>
  <c r="BK121" i="48"/>
  <c r="BK420" i="48"/>
  <c r="BK141" i="48"/>
  <c r="BK401" i="48"/>
  <c r="BK308" i="48"/>
  <c r="BK515" i="48"/>
  <c r="BK287" i="48"/>
  <c r="BK315" i="48"/>
  <c r="BK280" i="48"/>
  <c r="G49" i="6"/>
  <c r="BK241" i="48"/>
  <c r="BK496" i="48"/>
  <c r="BK357" i="48"/>
  <c r="BK31" i="48"/>
  <c r="BK570" i="48"/>
  <c r="BK206" i="48"/>
  <c r="BK371" i="48"/>
  <c r="BK457" i="48"/>
  <c r="BK190" i="48"/>
  <c r="BK556" i="48"/>
  <c r="BK345" i="48"/>
  <c r="BK197" i="48"/>
  <c r="BK461" i="48"/>
  <c r="BK641" i="48"/>
  <c r="BK46" i="48"/>
  <c r="BK526" i="48"/>
  <c r="AR15" i="73"/>
  <c r="BK564" i="48"/>
  <c r="BK364" i="48"/>
  <c r="BK459" i="48"/>
  <c r="BK560" i="48"/>
  <c r="BK146" i="48"/>
  <c r="BK113" i="48"/>
  <c r="BK473" i="48"/>
  <c r="BK74" i="48"/>
  <c r="BK188" i="48"/>
  <c r="BK302" i="48"/>
  <c r="BK297" i="48"/>
  <c r="BK42" i="48"/>
  <c r="BK155" i="48"/>
  <c r="BK471" i="48"/>
  <c r="BK607" i="48"/>
  <c r="BK102" i="48"/>
  <c r="BK643" i="48"/>
  <c r="BK539" i="48"/>
  <c r="BK576" i="48"/>
  <c r="BK37" i="48"/>
  <c r="BK338" i="48"/>
  <c r="BK492" i="48"/>
  <c r="BK189" i="48"/>
  <c r="BK609" i="48"/>
  <c r="BK381" i="48"/>
  <c r="BK136" i="48"/>
  <c r="BK398" i="48"/>
  <c r="BK96" i="48"/>
  <c r="BK534" i="48"/>
  <c r="BK85" i="48"/>
  <c r="AD29" i="2"/>
  <c r="BK553" i="48"/>
  <c r="BK495" i="48"/>
  <c r="AV8" i="73"/>
  <c r="BK484" i="48"/>
  <c r="BK172" i="48"/>
  <c r="AR14" i="73"/>
  <c r="BK367" i="48"/>
  <c r="BK517" i="48"/>
  <c r="BK351" i="48"/>
  <c r="BK148" i="48"/>
  <c r="BK573" i="48"/>
  <c r="BK165" i="48"/>
  <c r="BK262" i="48"/>
  <c r="BK318" i="48"/>
  <c r="BK254" i="48"/>
  <c r="BK238" i="48"/>
  <c r="BK258" i="48"/>
  <c r="BK205" i="48"/>
  <c r="BK391" i="48"/>
  <c r="BK184" i="48"/>
  <c r="BK416" i="48"/>
  <c r="BK595" i="48"/>
  <c r="BK52" i="48"/>
  <c r="BK540" i="48"/>
  <c r="BK277" i="48"/>
  <c r="BK47" i="48"/>
  <c r="BK530" i="48"/>
  <c r="BK123" i="48"/>
  <c r="BK452" i="48"/>
  <c r="BK68" i="48"/>
  <c r="BK567" i="48"/>
  <c r="BK640" i="48"/>
  <c r="BK413" i="48"/>
  <c r="BK554" i="48"/>
  <c r="AD43" i="2"/>
  <c r="BK194" i="48"/>
  <c r="BK574" i="48"/>
  <c r="BK339" i="48"/>
  <c r="BK161" i="48"/>
  <c r="BK542" i="48"/>
  <c r="AD50" i="2"/>
  <c r="BK216" i="48"/>
  <c r="BK589" i="48"/>
  <c r="BK466" i="48"/>
  <c r="AD54" i="2"/>
  <c r="BK597" i="48"/>
  <c r="AV12" i="73"/>
  <c r="BK234" i="48"/>
  <c r="BK11" i="48"/>
  <c r="BK119" i="48"/>
  <c r="BK65" i="48"/>
  <c r="BK57" i="48"/>
  <c r="BK610" i="48"/>
  <c r="BK353" i="48"/>
  <c r="BK555" i="48"/>
  <c r="BK2" i="48"/>
  <c r="BK177" i="48"/>
  <c r="BK378" i="48"/>
  <c r="BK444" i="48"/>
  <c r="BK94" i="48"/>
  <c r="BK229" i="48"/>
  <c r="AD23" i="2"/>
  <c r="H61" i="6"/>
  <c r="H66" i="6"/>
  <c r="AD33" i="2"/>
  <c r="T65" i="2"/>
  <c r="BK474" i="48"/>
  <c r="BK521" i="48"/>
  <c r="BK105" i="48"/>
  <c r="BK404" i="48"/>
  <c r="BK79" i="48"/>
  <c r="BK481" i="48"/>
  <c r="BK347" i="48"/>
  <c r="G63" i="6"/>
  <c r="G61" i="6"/>
  <c r="G64" i="6"/>
  <c r="BK130" i="48"/>
  <c r="BK453" i="48"/>
  <c r="BK543" i="48"/>
  <c r="BK434" i="48"/>
  <c r="BK98" i="48"/>
  <c r="BK325" i="48"/>
  <c r="G53" i="6"/>
  <c r="BK202" i="48"/>
  <c r="BK316" i="48"/>
  <c r="BK374" i="48"/>
  <c r="BK89" i="48"/>
  <c r="BK116" i="48"/>
  <c r="BK314" i="48"/>
  <c r="BK449" i="48"/>
  <c r="BK48" i="48"/>
  <c r="BK253" i="48"/>
  <c r="BK104" i="48"/>
  <c r="BK228" i="48"/>
  <c r="BK77" i="48"/>
  <c r="BK27" i="48"/>
  <c r="BK187" i="48"/>
  <c r="BK195" i="48"/>
  <c r="BK327" i="48"/>
  <c r="AD30" i="2"/>
  <c r="BK483" i="48"/>
  <c r="BK579" i="48"/>
  <c r="BK422" i="48"/>
  <c r="BK594" i="48"/>
  <c r="BK163" i="48"/>
  <c r="BK372" i="48"/>
  <c r="BK443" i="48"/>
  <c r="AD46" i="2"/>
  <c r="BK265" i="48"/>
  <c r="BK384" i="48"/>
  <c r="AV11" i="73"/>
  <c r="G52" i="6"/>
  <c r="BK271" i="48"/>
  <c r="BK221" i="48"/>
  <c r="BK286" i="48"/>
  <c r="BK69" i="48"/>
  <c r="BK587" i="48"/>
  <c r="T55" i="2"/>
  <c r="BK244" i="48"/>
  <c r="BK111" i="48"/>
  <c r="BK514" i="48"/>
  <c r="AV14" i="73"/>
  <c r="BK538" i="48"/>
  <c r="BK358" i="48"/>
  <c r="BK336" i="48"/>
  <c r="BK546" i="48"/>
  <c r="BK489" i="48"/>
  <c r="BK272" i="48"/>
  <c r="BK625" i="48"/>
  <c r="BK502" i="48"/>
  <c r="BK622" i="48"/>
  <c r="BK463" i="48"/>
  <c r="BK83" i="48"/>
  <c r="BK249" i="48"/>
  <c r="BK508" i="48"/>
  <c r="BK616" i="48"/>
  <c r="BK213" i="48"/>
  <c r="BK217" i="48"/>
  <c r="BK311" i="48"/>
  <c r="D3" i="6"/>
  <c r="BK198" i="48"/>
  <c r="BK368" i="48"/>
  <c r="BK291" i="48"/>
  <c r="BK288" i="48"/>
  <c r="BK365" i="48"/>
  <c r="BK61" i="48"/>
  <c r="BK169" i="48"/>
  <c r="BK632" i="48"/>
  <c r="BK440" i="48"/>
  <c r="BK565" i="48"/>
  <c r="BK332" i="48"/>
  <c r="BK200" i="48"/>
  <c r="BK537" i="48"/>
  <c r="BK611" i="48"/>
  <c r="BK379" i="48"/>
  <c r="AD40" i="2"/>
  <c r="BK377" i="48"/>
  <c r="BK644" i="48"/>
  <c r="BK586" i="48"/>
  <c r="BK588" i="48"/>
  <c r="BK127" i="48"/>
  <c r="BK438" i="48"/>
  <c r="AD53" i="2"/>
  <c r="BK516" i="48"/>
  <c r="BK450" i="48"/>
  <c r="BK608" i="48"/>
  <c r="AR11" i="73"/>
  <c r="BK631" i="48"/>
  <c r="BK376" i="48"/>
  <c r="BK95" i="48"/>
  <c r="BK322" i="48"/>
  <c r="BK445" i="48"/>
  <c r="BK596" i="48"/>
  <c r="BK231" i="48"/>
  <c r="AD37" i="2"/>
  <c r="BK70" i="48"/>
  <c r="BK431" i="48"/>
  <c r="AR6" i="73"/>
  <c r="AT6" i="73" s="1"/>
  <c r="BK533" i="48"/>
  <c r="BK214" i="48"/>
  <c r="BK623" i="48"/>
  <c r="BK424" i="48"/>
  <c r="BK475" i="48"/>
  <c r="BK150" i="48"/>
  <c r="BK173" i="48"/>
  <c r="BK326" i="48"/>
  <c r="BK518" i="48"/>
  <c r="BK239" i="48"/>
  <c r="BK448" i="48"/>
  <c r="BK605" i="48"/>
  <c r="BK406" i="48"/>
  <c r="BK356" i="48"/>
  <c r="BK247" i="48"/>
  <c r="BK118" i="48"/>
  <c r="BK243" i="48"/>
  <c r="BK167" i="48"/>
  <c r="BK522" i="48"/>
  <c r="BK451" i="48"/>
  <c r="BK252" i="48"/>
  <c r="BK624" i="48"/>
  <c r="BK467" i="48"/>
  <c r="BK13" i="48"/>
  <c r="BK260" i="48"/>
  <c r="AD25" i="2"/>
  <c r="BK511" i="48"/>
  <c r="BK100" i="48"/>
  <c r="BK447" i="48"/>
  <c r="BK335" i="48"/>
  <c r="BK51" i="48"/>
  <c r="BK387" i="48"/>
  <c r="BK261" i="48"/>
  <c r="BK509" i="48"/>
  <c r="AD48" i="2"/>
  <c r="BK628" i="48"/>
  <c r="AD39" i="2"/>
  <c r="AV7" i="73"/>
  <c r="BK606" i="48"/>
  <c r="BK569" i="48"/>
  <c r="BK414" i="48"/>
  <c r="BK162" i="48"/>
  <c r="BK129" i="48"/>
  <c r="BK4" i="48"/>
  <c r="BK646" i="48"/>
  <c r="BK651" i="48"/>
  <c r="BK101" i="48"/>
  <c r="AD45" i="2"/>
  <c r="AV10" i="73"/>
  <c r="BK392" i="48"/>
  <c r="BK23" i="48"/>
  <c r="BK164" i="48"/>
  <c r="BK279" i="48"/>
  <c r="BK505" i="48"/>
  <c r="BK256" i="48"/>
  <c r="BK399" i="48"/>
  <c r="BK363" i="48"/>
  <c r="BK233" i="48"/>
  <c r="AD34" i="2"/>
  <c r="BK66" i="48"/>
  <c r="BK349" i="48"/>
  <c r="BK464" i="48"/>
  <c r="BK80" i="48"/>
  <c r="BK528" i="48"/>
  <c r="BK142" i="48"/>
  <c r="BK383" i="48"/>
  <c r="AD58" i="2"/>
  <c r="BK300" i="48"/>
  <c r="BK292" i="48"/>
  <c r="AR9" i="73"/>
  <c r="BK122" i="48"/>
  <c r="BK309" i="48"/>
  <c r="BK635" i="48"/>
  <c r="BK577" i="48"/>
  <c r="BK88" i="48"/>
  <c r="BK246" i="48"/>
  <c r="BK296" i="48"/>
  <c r="BK306" i="48"/>
  <c r="BK178" i="48"/>
  <c r="BK396" i="48"/>
  <c r="H50" i="6"/>
  <c r="E25" i="2"/>
  <c r="H67" i="6"/>
  <c r="H40" i="6"/>
  <c r="G40" i="6" s="1"/>
  <c r="BK232" i="48"/>
  <c r="BK346" i="48"/>
  <c r="BK15" i="48"/>
  <c r="BK541" i="48"/>
  <c r="BK168" i="48"/>
  <c r="BK263" i="48"/>
  <c r="G56" i="6"/>
  <c r="BK273" i="48"/>
  <c r="BK333" i="48"/>
  <c r="BK34" i="48"/>
  <c r="BK558" i="48"/>
  <c r="BK128" i="48"/>
  <c r="BK468" i="48"/>
  <c r="BK245" i="48"/>
  <c r="BK436" i="48"/>
  <c r="BK498" i="48"/>
  <c r="BK626" i="48"/>
  <c r="BK76" i="48"/>
  <c r="BK299" i="48"/>
  <c r="BK386" i="48"/>
  <c r="BK313" i="48"/>
  <c r="BK14" i="48"/>
  <c r="BK9" i="48"/>
  <c r="BK561" i="48"/>
  <c r="BK402" i="48"/>
  <c r="BK330" i="48"/>
  <c r="BK375" i="48"/>
  <c r="BK527" i="48"/>
  <c r="BK276" i="48"/>
  <c r="BK236" i="48"/>
  <c r="AD49" i="2"/>
  <c r="BK407" i="48"/>
  <c r="AD56" i="2"/>
  <c r="AR12" i="73"/>
  <c r="BK301" i="48"/>
  <c r="BK149" i="48"/>
  <c r="BK20" i="48"/>
  <c r="BK642" i="48"/>
  <c r="BK370" i="48"/>
  <c r="BK208" i="48"/>
  <c r="BK477" i="48"/>
  <c r="BK293" i="48"/>
  <c r="BK53" i="48"/>
  <c r="AD24" i="2"/>
  <c r="AD44" i="2"/>
  <c r="BK645" i="48"/>
  <c r="BK103" i="48"/>
  <c r="BK442" i="48"/>
  <c r="BK571" i="48"/>
  <c r="BK73" i="48"/>
  <c r="BK493" i="48"/>
  <c r="BK557" i="48"/>
  <c r="BK183" i="48"/>
  <c r="BK603" i="48"/>
  <c r="BK563" i="48"/>
  <c r="BK209" i="48"/>
  <c r="BK223" i="48"/>
  <c r="BK107" i="48"/>
  <c r="BK582" i="48"/>
  <c r="BK590" i="48"/>
  <c r="BK159" i="48"/>
  <c r="BK618" i="48"/>
  <c r="BK321" i="48"/>
  <c r="G55" i="6"/>
  <c r="BK274" i="48"/>
  <c r="BK585" i="48"/>
  <c r="BK348" i="48"/>
  <c r="BK179" i="48"/>
  <c r="BK592" i="48"/>
  <c r="BK84" i="48"/>
  <c r="BK433" i="48"/>
  <c r="BK224" i="48"/>
  <c r="BK341" i="48"/>
  <c r="AD36" i="2"/>
  <c r="BK59" i="48"/>
  <c r="BK334" i="48"/>
  <c r="BK82" i="48"/>
  <c r="BK143" i="48"/>
  <c r="BK352" i="48"/>
  <c r="BK55" i="48"/>
  <c r="BK394" i="48"/>
  <c r="BK531" i="48"/>
  <c r="BK535" i="48"/>
  <c r="T26" i="2"/>
  <c r="BK120" i="48"/>
  <c r="AR7" i="73"/>
  <c r="BK257" i="48"/>
  <c r="BK242" i="48"/>
  <c r="BK193" i="48"/>
  <c r="BK513" i="48"/>
  <c r="BK491" i="48"/>
  <c r="BK529" i="48"/>
  <c r="BK7" i="48"/>
  <c r="BK225" i="48"/>
  <c r="BK350" i="48"/>
  <c r="BK266" i="48"/>
  <c r="BK614" i="48"/>
  <c r="BK524" i="48"/>
  <c r="BK488" i="48"/>
  <c r="AU4" i="73"/>
  <c r="BK64" i="48"/>
  <c r="BK566" i="48"/>
  <c r="BK425" i="48"/>
  <c r="T34" i="2"/>
  <c r="BK499" i="48"/>
  <c r="D4" i="6"/>
  <c r="BK41" i="48"/>
  <c r="BK639" i="48"/>
  <c r="BK284" i="48"/>
  <c r="BK400" i="48"/>
  <c r="BK650" i="48"/>
  <c r="BK204" i="48"/>
  <c r="BK152" i="48"/>
  <c r="BK170" i="48"/>
  <c r="BK580" i="48"/>
  <c r="BK419" i="48"/>
  <c r="BK497" i="48"/>
  <c r="E24" i="2"/>
  <c r="BK470" i="48"/>
  <c r="BK139" i="48"/>
  <c r="BK430" i="48"/>
  <c r="BK369" i="48"/>
  <c r="T38" i="2"/>
  <c r="BK54" i="48"/>
  <c r="BK304" i="48"/>
  <c r="BK93" i="48"/>
  <c r="BK91" i="48"/>
  <c r="BK393" i="48"/>
  <c r="G54" i="6"/>
  <c r="BK222" i="48"/>
  <c r="BK182" i="48"/>
  <c r="BK269" i="48"/>
  <c r="AD31" i="2"/>
  <c r="BK478" i="48"/>
  <c r="BK250" i="48"/>
  <c r="BK331" i="48"/>
  <c r="BK456" i="48"/>
  <c r="BK636" i="48"/>
  <c r="BK388" i="48"/>
  <c r="BK340" i="48"/>
  <c r="BK417" i="48"/>
  <c r="BK615" i="48"/>
  <c r="BK602" i="48"/>
  <c r="BK135" i="48"/>
  <c r="BK426" i="48"/>
  <c r="BK268" i="48"/>
  <c r="BK323" i="48"/>
  <c r="BK138" i="48"/>
  <c r="BK35" i="48"/>
  <c r="BK144" i="48"/>
  <c r="BK110" i="48"/>
  <c r="BK366" i="48"/>
  <c r="AV15" i="73"/>
  <c r="BK75" i="48"/>
  <c r="BK28" i="48"/>
  <c r="BK10" i="48"/>
  <c r="BK132" i="48"/>
  <c r="BK36" i="48"/>
  <c r="BK648" i="48"/>
  <c r="BK633" i="48"/>
  <c r="BK504" i="48"/>
  <c r="BK458" i="48"/>
  <c r="BK359" i="48"/>
  <c r="BK248" i="48"/>
  <c r="BK174" i="48"/>
  <c r="BK544" i="48"/>
  <c r="AD42" i="2"/>
  <c r="AD61" i="2"/>
  <c r="BK476" i="48"/>
  <c r="BK303" i="48"/>
  <c r="BK264" i="48"/>
  <c r="BK575" i="48"/>
  <c r="BK455" i="48"/>
  <c r="BK63" i="48"/>
  <c r="E56" i="2"/>
  <c r="E23" i="2"/>
  <c r="T59" i="2"/>
  <c r="BK145" i="48"/>
  <c r="BK203" i="48"/>
  <c r="BK154" i="48"/>
  <c r="BK395" i="48"/>
  <c r="BK25" i="48"/>
  <c r="BK428" i="48"/>
  <c r="BK218" i="48"/>
  <c r="BK600" i="48"/>
  <c r="H65" i="6"/>
  <c r="G65" i="6" s="1"/>
  <c r="G67" i="6"/>
  <c r="G66" i="6"/>
  <c r="AZ6" i="73"/>
  <c r="G51" i="6"/>
  <c r="G50" i="6"/>
  <c r="BL600" i="48" l="1"/>
  <c r="BL347" i="48"/>
  <c r="BL218" i="48"/>
  <c r="BL481" i="48"/>
  <c r="BL428" i="48"/>
  <c r="BL79" i="48"/>
  <c r="BL25" i="48"/>
  <c r="BL404" i="48"/>
  <c r="BL395" i="48"/>
  <c r="BL105" i="48"/>
  <c r="BL154" i="48"/>
  <c r="BL521" i="48"/>
  <c r="BL203" i="48"/>
  <c r="BL474" i="48"/>
  <c r="BL145" i="48"/>
  <c r="Y59" i="2"/>
  <c r="BL63" i="48"/>
  <c r="BL455" i="48"/>
  <c r="BL229" i="48"/>
  <c r="BL575" i="48"/>
  <c r="BL94" i="48"/>
  <c r="BL264" i="48"/>
  <c r="BL444" i="48"/>
  <c r="BL303" i="48"/>
  <c r="BL378" i="48"/>
  <c r="BL476" i="48"/>
  <c r="BL177" i="48"/>
  <c r="BL2" i="48"/>
  <c r="BL555" i="48"/>
  <c r="BL544" i="48"/>
  <c r="BL353" i="48"/>
  <c r="BL174" i="48"/>
  <c r="BL610" i="48"/>
  <c r="BL248" i="48"/>
  <c r="BL57" i="48"/>
  <c r="BL359" i="48"/>
  <c r="BL65" i="48"/>
  <c r="BL458" i="48"/>
  <c r="BL119" i="48"/>
  <c r="BL504" i="48"/>
  <c r="BL11" i="48"/>
  <c r="BL633" i="48"/>
  <c r="BL234" i="48"/>
  <c r="BL648" i="48"/>
  <c r="BL36" i="48"/>
  <c r="BL597" i="48"/>
  <c r="BL132" i="48"/>
  <c r="BL10" i="48"/>
  <c r="BL466" i="48"/>
  <c r="BL28" i="48"/>
  <c r="BL589" i="48"/>
  <c r="BL75" i="48"/>
  <c r="BL216" i="48"/>
  <c r="BL366" i="48"/>
  <c r="BL542" i="48"/>
  <c r="BL110" i="48"/>
  <c r="BL161" i="48"/>
  <c r="BL144" i="48"/>
  <c r="BL339" i="48"/>
  <c r="BL35" i="48"/>
  <c r="BL574" i="48"/>
  <c r="BL138" i="48"/>
  <c r="BL194" i="48"/>
  <c r="BL323" i="48"/>
  <c r="BL268" i="48"/>
  <c r="BL554" i="48"/>
  <c r="BL426" i="48"/>
  <c r="BL413" i="48"/>
  <c r="BL135" i="48"/>
  <c r="BL640" i="48"/>
  <c r="BL602" i="48"/>
  <c r="BL567" i="48"/>
  <c r="BL615" i="48"/>
  <c r="BL68" i="48"/>
  <c r="BL417" i="48"/>
  <c r="BL452" i="48"/>
  <c r="BL340" i="48"/>
  <c r="BL123" i="48"/>
  <c r="BL388" i="48"/>
  <c r="BL530" i="48"/>
  <c r="BL636" i="48"/>
  <c r="BL47" i="48"/>
  <c r="BL456" i="48"/>
  <c r="BL277" i="48"/>
  <c r="BL331" i="48"/>
  <c r="BL540" i="48"/>
  <c r="BL250" i="48"/>
  <c r="BL52" i="48"/>
  <c r="BL478" i="48"/>
  <c r="BL595" i="48"/>
  <c r="BL416" i="48"/>
  <c r="BL269" i="48"/>
  <c r="BL184" i="48"/>
  <c r="BL182" i="48"/>
  <c r="BL391" i="48"/>
  <c r="BL222" i="48"/>
  <c r="BL205" i="48"/>
  <c r="BL258" i="48"/>
  <c r="BL393" i="48"/>
  <c r="BL238" i="48"/>
  <c r="BL91" i="48"/>
  <c r="BL254" i="48"/>
  <c r="BL93" i="48"/>
  <c r="BL318" i="48"/>
  <c r="BL304" i="48"/>
  <c r="BL262" i="48"/>
  <c r="BL54" i="48"/>
  <c r="BL165" i="48"/>
  <c r="Y38" i="2"/>
  <c r="BL573" i="48"/>
  <c r="BL369" i="48"/>
  <c r="BL148" i="48"/>
  <c r="BL430" i="48"/>
  <c r="BL351" i="48"/>
  <c r="BL139" i="48"/>
  <c r="BL517" i="48"/>
  <c r="BL470" i="48"/>
  <c r="BL367" i="48"/>
  <c r="BL497" i="48"/>
  <c r="BL172" i="48"/>
  <c r="BL419" i="48"/>
  <c r="BL484" i="48"/>
  <c r="BL580" i="48"/>
  <c r="BL170" i="48"/>
  <c r="BL495" i="48"/>
  <c r="BL152" i="48"/>
  <c r="BL553" i="48"/>
  <c r="BL204" i="48"/>
  <c r="BL650" i="48"/>
  <c r="BL85" i="48"/>
  <c r="BL400" i="48"/>
  <c r="BL534" i="48"/>
  <c r="BL284" i="48"/>
  <c r="BL96" i="48"/>
  <c r="BL639" i="48"/>
  <c r="BL398" i="48"/>
  <c r="BL41" i="48"/>
  <c r="BL136" i="48"/>
  <c r="BL381" i="48"/>
  <c r="BL499" i="48"/>
  <c r="BL609" i="48"/>
  <c r="Y34" i="2"/>
  <c r="BL189" i="48"/>
  <c r="BL425" i="48"/>
  <c r="BL492" i="48"/>
  <c r="BL566" i="48"/>
  <c r="BL338" i="48"/>
  <c r="BL64" i="48"/>
  <c r="BL37" i="48"/>
  <c r="AW4" i="73"/>
  <c r="BL576" i="48"/>
  <c r="BL488" i="48"/>
  <c r="BL539" i="48"/>
  <c r="BL524" i="48"/>
  <c r="BL643" i="48"/>
  <c r="BL614" i="48"/>
  <c r="BL102" i="48"/>
  <c r="BL266" i="48"/>
  <c r="BL607" i="48"/>
  <c r="BL350" i="48"/>
  <c r="BL471" i="48"/>
  <c r="BL225" i="48"/>
  <c r="BL155" i="48"/>
  <c r="BL7" i="48"/>
  <c r="BL42" i="48"/>
  <c r="BL529" i="48"/>
  <c r="BL297" i="48"/>
  <c r="BL491" i="48"/>
  <c r="BL302" i="48"/>
  <c r="BL513" i="48"/>
  <c r="BL188" i="48"/>
  <c r="BL193" i="48"/>
  <c r="BL74" i="48"/>
  <c r="BL242" i="48"/>
  <c r="BL473" i="48"/>
  <c r="BL257" i="48"/>
  <c r="BL113" i="48"/>
  <c r="BL146" i="48"/>
  <c r="BL120" i="48"/>
  <c r="BL560" i="48"/>
  <c r="Y26" i="2"/>
  <c r="BL459" i="48"/>
  <c r="BL535" i="48"/>
  <c r="BL364" i="48"/>
  <c r="BL531" i="48"/>
  <c r="BL564" i="48"/>
  <c r="BL394" i="48"/>
  <c r="BL55" i="48"/>
  <c r="BL526" i="48"/>
  <c r="BL352" i="48"/>
  <c r="BL46" i="48"/>
  <c r="BL143" i="48"/>
  <c r="BL641" i="48"/>
  <c r="BL82" i="48"/>
  <c r="BL461" i="48"/>
  <c r="BL334" i="48"/>
  <c r="BL197" i="48"/>
  <c r="BL59" i="48"/>
  <c r="BL345" i="48"/>
  <c r="BL556" i="48"/>
  <c r="BL341" i="48"/>
  <c r="BL190" i="48"/>
  <c r="BL224" i="48"/>
  <c r="BL457" i="48"/>
  <c r="BL433" i="48"/>
  <c r="BL371" i="48"/>
  <c r="BL84" i="48"/>
  <c r="BL206" i="48"/>
  <c r="BL592" i="48"/>
  <c r="BL570" i="48"/>
  <c r="BL179" i="48"/>
  <c r="BL31" i="48"/>
  <c r="BL348" i="48"/>
  <c r="BL357" i="48"/>
  <c r="BL585" i="48"/>
  <c r="BL496" i="48"/>
  <c r="BL274" i="48"/>
  <c r="BL241" i="48"/>
  <c r="BL321" i="48"/>
  <c r="BL280" i="48"/>
  <c r="BL618" i="48"/>
  <c r="BL315" i="48"/>
  <c r="BL159" i="48"/>
  <c r="BL287" i="48"/>
  <c r="BL590" i="48"/>
  <c r="BL515" i="48"/>
  <c r="BL582" i="48"/>
  <c r="BL308" i="48"/>
  <c r="BL107" i="48"/>
  <c r="BL401" i="48"/>
  <c r="BL223" i="48"/>
  <c r="BL141" i="48"/>
  <c r="BL209" i="48"/>
  <c r="BL420" i="48"/>
  <c r="BL563" i="48"/>
  <c r="BL121" i="48"/>
  <c r="BL603" i="48"/>
  <c r="BL72" i="48"/>
  <c r="BL183" i="48"/>
  <c r="BL5" i="48"/>
  <c r="BL557" i="48"/>
  <c r="BL613" i="48"/>
  <c r="BL493" i="48"/>
  <c r="BL344" i="48"/>
  <c r="BL73" i="48"/>
  <c r="BL512" i="48"/>
  <c r="BL571" i="48"/>
  <c r="BL385" i="48"/>
  <c r="BL442" i="48"/>
  <c r="BL446" i="48"/>
  <c r="BL103" i="48"/>
  <c r="BL408" i="48"/>
  <c r="BL645" i="48"/>
  <c r="BL342" i="48"/>
  <c r="BL67" i="48"/>
  <c r="BL53" i="48"/>
  <c r="BL293" i="48"/>
  <c r="BL191" i="48"/>
  <c r="BL477" i="48"/>
  <c r="BL572" i="48"/>
  <c r="BL208" i="48"/>
  <c r="BL281" i="48"/>
  <c r="BL370" i="48"/>
  <c r="BL115" i="48"/>
  <c r="BL642" i="48"/>
  <c r="BL86" i="48"/>
  <c r="BL20" i="48"/>
  <c r="BL604" i="48"/>
  <c r="BL149" i="48"/>
  <c r="BL500" i="48"/>
  <c r="BL301" i="48"/>
  <c r="BL175" i="48"/>
  <c r="BL255" i="48"/>
  <c r="BL407" i="48"/>
  <c r="BL355" i="48"/>
  <c r="BL278" i="48"/>
  <c r="BL236" i="48"/>
  <c r="BL549" i="48"/>
  <c r="BL276" i="48"/>
  <c r="BL317" i="48"/>
  <c r="BL527" i="48"/>
  <c r="BL99" i="48"/>
  <c r="BL375" i="48"/>
  <c r="BL126" i="48"/>
  <c r="BL330" i="48"/>
  <c r="BL19" i="48"/>
  <c r="BL402" i="48"/>
  <c r="BL207" i="48"/>
  <c r="BL561" i="48"/>
  <c r="BL507" i="48"/>
  <c r="BL9" i="48"/>
  <c r="BL620" i="48"/>
  <c r="BL14" i="48"/>
  <c r="BL460" i="48"/>
  <c r="BL313" i="48"/>
  <c r="BL361" i="48"/>
  <c r="BL386" i="48"/>
  <c r="BL486" i="48"/>
  <c r="BL299" i="48"/>
  <c r="BL520" i="48"/>
  <c r="BL76" i="48"/>
  <c r="BL6" i="48"/>
  <c r="BL626" i="48"/>
  <c r="BL307" i="48"/>
  <c r="BL498" i="48"/>
  <c r="BL485" i="48"/>
  <c r="BL436" i="48"/>
  <c r="BL380" i="48"/>
  <c r="BL245" i="48"/>
  <c r="BL581" i="48"/>
  <c r="BL468" i="48"/>
  <c r="BL328" i="48"/>
  <c r="BL128" i="48"/>
  <c r="BL630" i="48"/>
  <c r="BL558" i="48"/>
  <c r="BL634" i="48"/>
  <c r="BL34" i="48"/>
  <c r="BL465" i="48"/>
  <c r="BL333" i="48"/>
  <c r="BL362" i="48"/>
  <c r="BL273" i="48"/>
  <c r="BL97" i="48"/>
  <c r="BL263" i="48"/>
  <c r="BL329" i="48"/>
  <c r="BL168" i="48"/>
  <c r="BL305" i="48"/>
  <c r="BL541" i="48"/>
  <c r="BL215" i="48"/>
  <c r="BL15" i="48"/>
  <c r="BL30" i="48"/>
  <c r="BL346" i="48"/>
  <c r="BL415" i="48"/>
  <c r="BL232" i="48"/>
  <c r="BL536" i="48"/>
  <c r="BL396" i="48"/>
  <c r="BL178" i="48"/>
  <c r="BL389" i="48"/>
  <c r="BL306" i="48"/>
  <c r="BL482" i="48"/>
  <c r="BL296" i="48"/>
  <c r="BL134" i="48"/>
  <c r="BL246" i="48"/>
  <c r="BL354" i="48"/>
  <c r="BL88" i="48"/>
  <c r="BL409" i="48"/>
  <c r="BL577" i="48"/>
  <c r="BL289" i="48"/>
  <c r="BL635" i="48"/>
  <c r="BL26" i="48"/>
  <c r="BL309" i="48"/>
  <c r="BL133" i="48"/>
  <c r="BL122" i="48"/>
  <c r="BL617" i="48"/>
  <c r="BL292" i="48"/>
  <c r="BL300" i="48"/>
  <c r="BL519" i="48"/>
  <c r="BL21" i="48"/>
  <c r="BL383" i="48"/>
  <c r="BL29" i="48"/>
  <c r="BL142" i="48"/>
  <c r="BL124" i="48"/>
  <c r="BL528" i="48"/>
  <c r="BL598" i="48"/>
  <c r="BL80" i="48"/>
  <c r="BL108" i="48"/>
  <c r="BL464" i="48"/>
  <c r="BL487" i="48"/>
  <c r="BL349" i="48"/>
  <c r="BL390" i="48"/>
  <c r="BL66" i="48"/>
  <c r="BL181" i="48"/>
  <c r="BL156" i="48"/>
  <c r="BL233" i="48"/>
  <c r="BL363" i="48"/>
  <c r="BL240" i="48"/>
  <c r="BL399" i="48"/>
  <c r="BL320" i="48"/>
  <c r="BL256" i="48"/>
  <c r="BL551" i="48"/>
  <c r="BL505" i="48"/>
  <c r="BL230" i="48"/>
  <c r="BL279" i="48"/>
  <c r="BL199" i="48"/>
  <c r="BL164" i="48"/>
  <c r="BL78" i="48"/>
  <c r="BL23" i="48"/>
  <c r="BL40" i="48"/>
  <c r="BL392" i="48"/>
  <c r="BL578" i="48"/>
  <c r="BL151" i="48"/>
  <c r="BL101" i="48"/>
  <c r="BL651" i="48"/>
  <c r="BL283" i="48"/>
  <c r="BL646" i="48"/>
  <c r="BL114" i="48"/>
  <c r="BL4" i="48"/>
  <c r="BL285" i="48"/>
  <c r="BL129" i="48"/>
  <c r="BL251" i="48"/>
  <c r="BL162" i="48"/>
  <c r="BL373" i="48"/>
  <c r="BL414" i="48"/>
  <c r="BL45" i="48"/>
  <c r="BL569" i="48"/>
  <c r="BL548" i="48"/>
  <c r="BL606" i="48"/>
  <c r="BL49" i="48"/>
  <c r="BL437" i="48"/>
  <c r="BL628" i="48"/>
  <c r="BL360" i="48"/>
  <c r="BL509" i="48"/>
  <c r="BL403" i="48"/>
  <c r="BL261" i="48"/>
  <c r="BL56" i="48"/>
  <c r="BL387" i="48"/>
  <c r="BL235" i="48"/>
  <c r="BL51" i="48"/>
  <c r="BL418" i="48"/>
  <c r="BL335" i="48"/>
  <c r="BL432" i="48"/>
  <c r="BL447" i="48"/>
  <c r="BL17" i="48"/>
  <c r="BL100" i="48"/>
  <c r="BL511" i="48"/>
  <c r="BL552" i="48"/>
  <c r="BL219" i="48"/>
  <c r="BL260" i="48"/>
  <c r="BL227" i="48"/>
  <c r="BL13" i="48"/>
  <c r="BL192" i="48"/>
  <c r="BL467" i="48"/>
  <c r="BL547" i="48"/>
  <c r="BL624" i="48"/>
  <c r="BL33" i="48"/>
  <c r="BL252" i="48"/>
  <c r="BL38" i="48"/>
  <c r="BL451" i="48"/>
  <c r="BL158" i="48"/>
  <c r="BL522" i="48"/>
  <c r="BL210" i="48"/>
  <c r="BL167" i="48"/>
  <c r="BL171" i="48"/>
  <c r="BL243" i="48"/>
  <c r="BL501" i="48"/>
  <c r="BL118" i="48"/>
  <c r="BL186" i="48"/>
  <c r="BL247" i="48"/>
  <c r="BL157" i="48"/>
  <c r="BL356" i="48"/>
  <c r="BL559" i="48"/>
  <c r="BL406" i="48"/>
  <c r="BL176" i="48"/>
  <c r="BL605" i="48"/>
  <c r="BL593" i="48"/>
  <c r="BL448" i="48"/>
  <c r="BL629" i="48"/>
  <c r="BL239" i="48"/>
  <c r="BL427" i="48"/>
  <c r="BL518" i="48"/>
  <c r="BL421" i="48"/>
  <c r="BL326" i="48"/>
  <c r="BL109" i="48"/>
  <c r="BL173" i="48"/>
  <c r="BL562" i="48"/>
  <c r="BL150" i="48"/>
  <c r="BL8" i="48"/>
  <c r="BL475" i="48"/>
  <c r="BL290" i="48"/>
  <c r="BL424" i="48"/>
  <c r="BL591" i="48"/>
  <c r="BL623" i="48"/>
  <c r="BL454" i="48"/>
  <c r="BL214" i="48"/>
  <c r="BL112" i="48"/>
  <c r="BL533" i="48"/>
  <c r="BL16" i="48"/>
  <c r="BL431" i="48"/>
  <c r="BL70" i="48"/>
  <c r="BL584" i="48"/>
  <c r="BL647" i="48"/>
  <c r="BL231" i="48"/>
  <c r="BL410" i="48"/>
  <c r="BL596" i="48"/>
  <c r="BL599" i="48"/>
  <c r="BL445" i="48"/>
  <c r="BL71" i="48"/>
  <c r="BL322" i="48"/>
  <c r="BL125" i="48"/>
  <c r="BL95" i="48"/>
  <c r="BL312" i="48"/>
  <c r="BL376" i="48"/>
  <c r="BL106" i="48"/>
  <c r="BL631" i="48"/>
  <c r="BL506" i="48"/>
  <c r="BL608" i="48"/>
  <c r="Y51" i="2"/>
  <c r="BL450" i="48"/>
  <c r="BL503" i="48"/>
  <c r="BL516" i="48"/>
  <c r="BL337" i="48"/>
  <c r="BL117" i="48"/>
  <c r="BL438" i="48"/>
  <c r="BL532" i="48"/>
  <c r="BL127" i="48"/>
  <c r="BL429" i="48"/>
  <c r="BL588" i="48"/>
  <c r="BL12" i="48"/>
  <c r="BL586" i="48"/>
  <c r="BL201" i="48"/>
  <c r="BL644" i="48"/>
  <c r="BL226" i="48"/>
  <c r="BL377" i="48"/>
  <c r="BL462" i="48"/>
  <c r="BL60" i="48"/>
  <c r="BL379" i="48"/>
  <c r="BL611" i="48"/>
  <c r="BL81" i="48"/>
  <c r="BL537" i="48"/>
  <c r="BL50" i="48"/>
  <c r="BL200" i="48"/>
  <c r="BL44" i="48"/>
  <c r="BL332" i="48"/>
  <c r="BL435" i="48"/>
  <c r="BL565" i="48"/>
  <c r="BL649" i="48"/>
  <c r="BL440" i="48"/>
  <c r="BL638" i="48"/>
  <c r="BL632" i="48"/>
  <c r="BL275" i="48"/>
  <c r="BL169" i="48"/>
  <c r="BL621" i="48"/>
  <c r="BL61" i="48"/>
  <c r="BL196" i="48"/>
  <c r="BL365" i="48"/>
  <c r="BL131" i="48"/>
  <c r="BL288" i="48"/>
  <c r="BL490" i="48"/>
  <c r="BL291" i="48"/>
  <c r="BL43" i="48"/>
  <c r="BL368" i="48"/>
  <c r="BL525" i="48"/>
  <c r="BL198" i="48"/>
  <c r="BL32" i="48"/>
  <c r="D5" i="6"/>
  <c r="BL180" i="48"/>
  <c r="BL311" i="48"/>
  <c r="BL58" i="48"/>
  <c r="BL217" i="48"/>
  <c r="BL267" i="48"/>
  <c r="BL213" i="48"/>
  <c r="BL423" i="48"/>
  <c r="BL616" i="48"/>
  <c r="BL479" i="48"/>
  <c r="BL508" i="48"/>
  <c r="BL137" i="48"/>
  <c r="BL249" i="48"/>
  <c r="BL18" i="48"/>
  <c r="BL83" i="48"/>
  <c r="BL166" i="48"/>
  <c r="BL463" i="48"/>
  <c r="BL92" i="48"/>
  <c r="BL622" i="48"/>
  <c r="BL62" i="48"/>
  <c r="BL502" i="48"/>
  <c r="BL343" i="48"/>
  <c r="BL625" i="48"/>
  <c r="BL545" i="48"/>
  <c r="BL272" i="48"/>
  <c r="BL147" i="48"/>
  <c r="BL489" i="48"/>
  <c r="BL319" i="48"/>
  <c r="BL546" i="48"/>
  <c r="BL87" i="48"/>
  <c r="BL336" i="48"/>
  <c r="BL270" i="48"/>
  <c r="BL358" i="48"/>
  <c r="BL211" i="48"/>
  <c r="BL538" i="48"/>
  <c r="BL612" i="48"/>
  <c r="BL514" i="48"/>
  <c r="Y30" i="2"/>
  <c r="BL111" i="48"/>
  <c r="BL237" i="48"/>
  <c r="BL244" i="48"/>
  <c r="BL619" i="48"/>
  <c r="Y55" i="2"/>
  <c r="BL324" i="48"/>
  <c r="BL587" i="48"/>
  <c r="BL382" i="48"/>
  <c r="BL69" i="48"/>
  <c r="BL298" i="48"/>
  <c r="BL286" i="48"/>
  <c r="BL568" i="48"/>
  <c r="BL221" i="48"/>
  <c r="BL160" i="48"/>
  <c r="BL271" i="48"/>
  <c r="BL282" i="48"/>
  <c r="BL90" i="48"/>
  <c r="BL384" i="48"/>
  <c r="BL265" i="48"/>
  <c r="BL439" i="48"/>
  <c r="BL212" i="48"/>
  <c r="BL443" i="48"/>
  <c r="BL523" i="48"/>
  <c r="BL372" i="48"/>
  <c r="BL412" i="48"/>
  <c r="BL163" i="48"/>
  <c r="BL140" i="48"/>
  <c r="BL594" i="48"/>
  <c r="BL637" i="48"/>
  <c r="BL422" i="48"/>
  <c r="BL259" i="48"/>
  <c r="BL579" i="48"/>
  <c r="BL480" i="48"/>
  <c r="BL483" i="48"/>
  <c r="BL601" i="48"/>
  <c r="BL397" i="48"/>
  <c r="BL327" i="48"/>
  <c r="BL195" i="48"/>
  <c r="BL187" i="48"/>
  <c r="BL510" i="48"/>
  <c r="BL27" i="48"/>
  <c r="BL441" i="48"/>
  <c r="BL77" i="48"/>
  <c r="BL3" i="48"/>
  <c r="BL228" i="48"/>
  <c r="BL411" i="48"/>
  <c r="BL104" i="48"/>
  <c r="BL627" i="48"/>
  <c r="BL253" i="48"/>
  <c r="BL472" i="48"/>
  <c r="BL48" i="48"/>
  <c r="BL185" i="48"/>
  <c r="BL449" i="48"/>
  <c r="BL310" i="48"/>
  <c r="BL314" i="48"/>
  <c r="BL24" i="48"/>
  <c r="BL116" i="48"/>
  <c r="BL550" i="48"/>
  <c r="BL89" i="48"/>
  <c r="BL153" i="48"/>
  <c r="BL374" i="48"/>
  <c r="BL494" i="48"/>
  <c r="BL316" i="48"/>
  <c r="BL220" i="48"/>
  <c r="BL202" i="48"/>
  <c r="BL295" i="48"/>
  <c r="BL405" i="48"/>
  <c r="BL325" i="48"/>
  <c r="BL294" i="48"/>
  <c r="BL98" i="48"/>
  <c r="BL22" i="48"/>
  <c r="BL434" i="48"/>
  <c r="BL583" i="48"/>
  <c r="BL543" i="48"/>
  <c r="BL469" i="48"/>
  <c r="BL453" i="48"/>
  <c r="BL39" i="48"/>
  <c r="BL130" i="48"/>
  <c r="AA9" i="73"/>
  <c r="AA7" i="73"/>
  <c r="AU18" i="73"/>
  <c r="AS21" i="73"/>
  <c r="AX6" i="73"/>
  <c r="AU5" i="73"/>
  <c r="BA3" i="73"/>
  <c r="BB3" i="73"/>
  <c r="AZ3" i="73"/>
  <c r="K21" i="74"/>
  <c r="L24" i="74" s="1"/>
  <c r="L17" i="74"/>
  <c r="M17" i="74"/>
  <c r="N17" i="74"/>
  <c r="L18" i="74"/>
  <c r="M18" i="74"/>
  <c r="N18" i="74"/>
  <c r="L19" i="74"/>
  <c r="M19" i="74"/>
  <c r="N19" i="74"/>
  <c r="N16" i="74"/>
  <c r="M16" i="74"/>
  <c r="N15" i="74"/>
  <c r="M15" i="74"/>
  <c r="N14" i="74"/>
  <c r="M14" i="74"/>
  <c r="N13" i="74"/>
  <c r="M13" i="74"/>
  <c r="N12" i="74"/>
  <c r="M12" i="74"/>
  <c r="N11" i="74"/>
  <c r="M11" i="74"/>
  <c r="N10" i="74"/>
  <c r="M10" i="74"/>
  <c r="N9" i="74"/>
  <c r="M9" i="74"/>
  <c r="N8" i="74"/>
  <c r="M8" i="74"/>
  <c r="L8" i="74"/>
  <c r="L9" i="74"/>
  <c r="L10" i="74"/>
  <c r="L11" i="74"/>
  <c r="L12" i="74"/>
  <c r="L13" i="74"/>
  <c r="L14" i="74"/>
  <c r="L15" i="74"/>
  <c r="L16" i="74"/>
  <c r="C3" i="74"/>
  <c r="C4" i="74"/>
  <c r="C2" i="74"/>
  <c r="B3" i="74"/>
  <c r="D3" i="74" s="1"/>
  <c r="B4" i="74"/>
  <c r="D4" i="74" s="1"/>
  <c r="B2" i="74"/>
  <c r="D2" i="74" s="1"/>
  <c r="AN7" i="73"/>
  <c r="AO7" i="73" s="1"/>
  <c r="AN8" i="73"/>
  <c r="AO8" i="73" s="1"/>
  <c r="AN9" i="73"/>
  <c r="AO9" i="73" s="1"/>
  <c r="AN10" i="73"/>
  <c r="AO10" i="73" s="1"/>
  <c r="AN11" i="73"/>
  <c r="AO11" i="73" s="1"/>
  <c r="AN12" i="73"/>
  <c r="AO12" i="73" s="1"/>
  <c r="AN13" i="73"/>
  <c r="AO13" i="73" s="1"/>
  <c r="AN14" i="73"/>
  <c r="AO14" i="73" s="1"/>
  <c r="AN15" i="73"/>
  <c r="AO15" i="73" s="1"/>
  <c r="AN16" i="73"/>
  <c r="AO16" i="73" s="1"/>
  <c r="AN6" i="73"/>
  <c r="AO6" i="73" s="1"/>
  <c r="AM6" i="73"/>
  <c r="H58" i="73"/>
  <c r="V58" i="73" s="1"/>
  <c r="H51" i="73"/>
  <c r="V51" i="73" s="1"/>
  <c r="G42" i="73"/>
  <c r="H40" i="73"/>
  <c r="H42" i="73" s="1"/>
  <c r="G22" i="2"/>
  <c r="G23" i="2"/>
  <c r="J23" i="2" s="1"/>
  <c r="I23" i="2" s="1"/>
  <c r="C28" i="2" a="1"/>
  <c r="C28" i="2" s="1"/>
  <c r="C50" i="2" a="1"/>
  <c r="C50" i="2" s="1"/>
  <c r="C54" i="2" a="1"/>
  <c r="C54" i="2" s="1"/>
  <c r="C52" i="2" s="1"/>
  <c r="C53" i="2" a="1"/>
  <c r="C53" i="2" s="1"/>
  <c r="V25" i="2"/>
  <c r="C29" i="2" a="1"/>
  <c r="C29" i="2" s="1"/>
  <c r="L33" i="2"/>
  <c r="L32" i="2"/>
  <c r="M32" i="2" s="1"/>
  <c r="L29" i="2"/>
  <c r="N29" i="2" s="1"/>
  <c r="L28" i="2"/>
  <c r="M28" i="2" s="1"/>
  <c r="F58" i="2"/>
  <c r="V58" i="2" s="1"/>
  <c r="F57" i="2"/>
  <c r="L41" i="2"/>
  <c r="M41" i="2" s="1"/>
  <c r="C71" i="2"/>
  <c r="C58" i="2"/>
  <c r="G58" i="2" s="1"/>
  <c r="C57" i="2"/>
  <c r="G57" i="2" s="1"/>
  <c r="H57" i="2" s="1"/>
  <c r="P65" i="2"/>
  <c r="P64" i="2"/>
  <c r="H62" i="2"/>
  <c r="G61" i="2"/>
  <c r="J61" i="2" s="1"/>
  <c r="G60" i="2"/>
  <c r="G56" i="2"/>
  <c r="L50" i="2"/>
  <c r="M50" i="2" s="1"/>
  <c r="L49" i="2"/>
  <c r="N49" i="2" s="1"/>
  <c r="L48" i="2"/>
  <c r="M48" i="2" s="1"/>
  <c r="L47" i="2"/>
  <c r="L46" i="2"/>
  <c r="N46" i="2" s="1"/>
  <c r="L45" i="2"/>
  <c r="M45" i="2" s="1"/>
  <c r="L44" i="2"/>
  <c r="L43" i="2"/>
  <c r="N43" i="2" s="1"/>
  <c r="L42" i="2"/>
  <c r="L39" i="2"/>
  <c r="Q34" i="2"/>
  <c r="R34" i="2" s="1"/>
  <c r="L24" i="2"/>
  <c r="M24" i="2" s="1"/>
  <c r="L23" i="2"/>
  <c r="M23" i="2" s="1"/>
  <c r="U59" i="2"/>
  <c r="J55" i="6"/>
  <c r="U51" i="2"/>
  <c r="J52" i="6"/>
  <c r="AT9" i="73"/>
  <c r="AY10" i="73"/>
  <c r="AQ13" i="73"/>
  <c r="AY14" i="73"/>
  <c r="Z23" i="73"/>
  <c r="AZ8" i="73"/>
  <c r="AY6" i="73"/>
  <c r="AQ10" i="73"/>
  <c r="AZ15" i="73"/>
  <c r="J64" i="6"/>
  <c r="U34" i="2"/>
  <c r="J49" i="6"/>
  <c r="U30" i="2"/>
  <c r="AT7" i="73"/>
  <c r="AQ16" i="73"/>
  <c r="AY7" i="73"/>
  <c r="AT8" i="73"/>
  <c r="AM20" i="73"/>
  <c r="AQ12" i="73"/>
  <c r="AZ10" i="73"/>
  <c r="AZ14" i="73"/>
  <c r="AT13" i="73"/>
  <c r="AQ8" i="73"/>
  <c r="J61" i="6"/>
  <c r="J65" i="6"/>
  <c r="J63" i="6"/>
  <c r="U38" i="2"/>
  <c r="J56" i="6"/>
  <c r="U55" i="2"/>
  <c r="AT15" i="73"/>
  <c r="AZ7" i="73"/>
  <c r="AZ11" i="73"/>
  <c r="AQ15" i="73"/>
  <c r="AQ9" i="73"/>
  <c r="AT16" i="73"/>
  <c r="AZ9" i="73"/>
  <c r="AY15" i="73"/>
  <c r="AQ20" i="73"/>
  <c r="AM21" i="73"/>
  <c r="J54" i="6"/>
  <c r="U26" i="2"/>
  <c r="J57" i="6"/>
  <c r="J53" i="6"/>
  <c r="AZ12" i="73"/>
  <c r="AX2" i="73"/>
  <c r="AZ13" i="73"/>
  <c r="AY12" i="73"/>
  <c r="AZ16" i="73"/>
  <c r="AQ11" i="73"/>
  <c r="AY9" i="73"/>
  <c r="AY16" i="73"/>
  <c r="AQ14" i="73"/>
  <c r="AQ7" i="73"/>
  <c r="J67" i="6"/>
  <c r="J66" i="6"/>
  <c r="N26" i="74" l="1"/>
  <c r="M25" i="74"/>
  <c r="M24" i="74"/>
  <c r="M30" i="74"/>
  <c r="L29" i="74"/>
  <c r="M28" i="74"/>
  <c r="I28" i="74"/>
  <c r="I23" i="74"/>
  <c r="N30" i="74"/>
  <c r="M29" i="74"/>
  <c r="N28" i="74"/>
  <c r="I24" i="74"/>
  <c r="O30" i="74"/>
  <c r="N29" i="74"/>
  <c r="O28" i="74"/>
  <c r="I29" i="74"/>
  <c r="I25" i="74"/>
  <c r="L30" i="74"/>
  <c r="O29" i="74"/>
  <c r="L28" i="74"/>
  <c r="I30" i="74"/>
  <c r="I26" i="74"/>
  <c r="M26" i="74"/>
  <c r="H60" i="2"/>
  <c r="J60" i="2"/>
  <c r="H16" i="73"/>
  <c r="AA16" i="73" s="1"/>
  <c r="V57" i="2"/>
  <c r="H6" i="73"/>
  <c r="H50" i="73" s="1"/>
  <c r="V50" i="73" s="1"/>
  <c r="V23" i="2"/>
  <c r="H60" i="73"/>
  <c r="V60" i="73" s="1"/>
  <c r="L27" i="2"/>
  <c r="N27" i="2" s="1"/>
  <c r="H11" i="73"/>
  <c r="H13" i="73"/>
  <c r="H15" i="73"/>
  <c r="L25" i="2"/>
  <c r="M25" i="2" s="1"/>
  <c r="H8" i="73"/>
  <c r="L31" i="2"/>
  <c r="M31" i="2" s="1"/>
  <c r="H12" i="73"/>
  <c r="L23" i="74"/>
  <c r="L25" i="74"/>
  <c r="N23" i="74"/>
  <c r="L26" i="74"/>
  <c r="N24" i="74"/>
  <c r="M23" i="74"/>
  <c r="N25" i="74"/>
  <c r="H53" i="73"/>
  <c r="V53" i="73" s="1"/>
  <c r="J62" i="2"/>
  <c r="N50" i="2"/>
  <c r="H61" i="2"/>
  <c r="N24" i="2"/>
  <c r="N48" i="2"/>
  <c r="M46" i="2"/>
  <c r="M49" i="2"/>
  <c r="N45" i="2"/>
  <c r="N33" i="2"/>
  <c r="M33" i="2"/>
  <c r="M29" i="2"/>
  <c r="L40" i="2"/>
  <c r="M43" i="2"/>
  <c r="H58" i="2"/>
  <c r="J58" i="2"/>
  <c r="M39" i="2"/>
  <c r="N39" i="2"/>
  <c r="M47" i="2"/>
  <c r="N47" i="2"/>
  <c r="H56" i="2"/>
  <c r="J56" i="2"/>
  <c r="M42" i="2"/>
  <c r="N42" i="2"/>
  <c r="M44" i="2"/>
  <c r="N44" i="2"/>
  <c r="N23" i="2"/>
  <c r="N28" i="2"/>
  <c r="N32" i="2"/>
  <c r="N41" i="2"/>
  <c r="J57" i="2"/>
  <c r="G1" i="3"/>
  <c r="B19" i="80" s="1"/>
  <c r="AT10" i="73"/>
  <c r="AY11" i="73"/>
  <c r="AT11" i="73"/>
  <c r="AT14" i="73"/>
  <c r="AT12" i="73"/>
  <c r="AY13" i="73"/>
  <c r="AY8" i="73"/>
  <c r="O26" i="74" l="1"/>
  <c r="P26" i="74"/>
  <c r="O24" i="74"/>
  <c r="P25" i="74"/>
  <c r="P24" i="74"/>
  <c r="P29" i="74"/>
  <c r="O23" i="74"/>
  <c r="P23" i="74"/>
  <c r="P28" i="74"/>
  <c r="P30" i="74"/>
  <c r="AA6" i="73"/>
  <c r="M27" i="2"/>
  <c r="N31" i="2"/>
  <c r="O25" i="74"/>
  <c r="H56" i="73"/>
  <c r="V56" i="73" s="1"/>
  <c r="AA12" i="73"/>
  <c r="H59" i="73"/>
  <c r="V59" i="73" s="1"/>
  <c r="AA15" i="73"/>
  <c r="H57" i="73"/>
  <c r="V57" i="73" s="1"/>
  <c r="AA13" i="73"/>
  <c r="AA8" i="73"/>
  <c r="F34" i="73"/>
  <c r="AA11" i="73"/>
  <c r="H55" i="73"/>
  <c r="V55" i="73" s="1"/>
  <c r="H52" i="73"/>
  <c r="V52" i="73" s="1"/>
  <c r="N25" i="2"/>
  <c r="L63" i="2"/>
  <c r="L65" i="2" s="1"/>
  <c r="M40" i="2"/>
  <c r="N40" i="2"/>
  <c r="B9" i="3"/>
  <c r="B49" i="80" s="1"/>
  <c r="M63" i="2" l="1"/>
  <c r="M65" i="2" s="1"/>
  <c r="N63" i="2"/>
  <c r="N65" i="2" s="1"/>
  <c r="Y96" i="48"/>
  <c r="Y97" i="48"/>
  <c r="Y98" i="48"/>
  <c r="Y99" i="48"/>
  <c r="Y100" i="48"/>
  <c r="Y101" i="48"/>
  <c r="Y102" i="48"/>
  <c r="Y103" i="48"/>
  <c r="Y104" i="48"/>
  <c r="Y105" i="48"/>
  <c r="Y106" i="48"/>
  <c r="Y107" i="48"/>
  <c r="Y108" i="48"/>
  <c r="Y109" i="48"/>
  <c r="Y110" i="48"/>
  <c r="Y111" i="48"/>
  <c r="Y112" i="48"/>
  <c r="Y113" i="48"/>
  <c r="Y114" i="48"/>
  <c r="Y115" i="48"/>
  <c r="Y116" i="48"/>
  <c r="Y117" i="48"/>
  <c r="Y118" i="48"/>
  <c r="Y119" i="48"/>
  <c r="Y120" i="48"/>
  <c r="Y121" i="48"/>
  <c r="Y122" i="48"/>
  <c r="Y123" i="48"/>
  <c r="Y124" i="48"/>
  <c r="Y125" i="48"/>
  <c r="Y126" i="48"/>
  <c r="Y127" i="48"/>
  <c r="Y128" i="48"/>
  <c r="Y129" i="48"/>
  <c r="Y130" i="48"/>
  <c r="Y131" i="48"/>
  <c r="Y132" i="48"/>
  <c r="Y133" i="48"/>
  <c r="Y134" i="48"/>
  <c r="Y135" i="48"/>
  <c r="Y136" i="48"/>
  <c r="Y137" i="48"/>
  <c r="Y138" i="48"/>
  <c r="Y139" i="48"/>
  <c r="Y140" i="48"/>
  <c r="Y141" i="48"/>
  <c r="Y142" i="48"/>
  <c r="Y143" i="48"/>
  <c r="Y144" i="48"/>
  <c r="Y145" i="48"/>
  <c r="Y146" i="48"/>
  <c r="Y147" i="48"/>
  <c r="Y148" i="48"/>
  <c r="Y149" i="48"/>
  <c r="Y150" i="48"/>
  <c r="Y151" i="48"/>
  <c r="Y152" i="48"/>
  <c r="Y153" i="48"/>
  <c r="Y154" i="48"/>
  <c r="Y155" i="48"/>
  <c r="Y156" i="48"/>
  <c r="Y157" i="48"/>
  <c r="Y158" i="48"/>
  <c r="Y159" i="48"/>
  <c r="Y160" i="48"/>
  <c r="Y161" i="48"/>
  <c r="Y162" i="48"/>
  <c r="Y163" i="48"/>
  <c r="Y164" i="48"/>
  <c r="Y165" i="48"/>
  <c r="Y166" i="48"/>
  <c r="Y167" i="48"/>
  <c r="Y168" i="48"/>
  <c r="Y169" i="48"/>
  <c r="Y170" i="48"/>
  <c r="Y171" i="48"/>
  <c r="Y172" i="48"/>
  <c r="Y173" i="48"/>
  <c r="Y174" i="48"/>
  <c r="Y175" i="48"/>
  <c r="Y95" i="48"/>
  <c r="R65" i="2" l="1"/>
  <c r="G1" i="5"/>
  <c r="G1" i="2"/>
  <c r="B92" i="80" s="1"/>
  <c r="B6" i="3" l="1"/>
  <c r="W9" i="57" l="1"/>
  <c r="W10" i="57"/>
  <c r="W11" i="57"/>
  <c r="W12" i="57"/>
  <c r="W13" i="57"/>
  <c r="W14" i="57"/>
  <c r="W15" i="57"/>
  <c r="W16" i="57"/>
  <c r="W17" i="57"/>
  <c r="W18" i="57"/>
  <c r="W19" i="57"/>
  <c r="W20" i="57"/>
  <c r="W21" i="57"/>
  <c r="W22" i="57"/>
  <c r="W8" i="57"/>
  <c r="AI9" i="57"/>
  <c r="AI10" i="57"/>
  <c r="AI11" i="57"/>
  <c r="AI12" i="57"/>
  <c r="AI13" i="57"/>
  <c r="AI14" i="57"/>
  <c r="AI15" i="57"/>
  <c r="AI16" i="57"/>
  <c r="AI17" i="57"/>
  <c r="AI18" i="57"/>
  <c r="AI19" i="57"/>
  <c r="AI20" i="57"/>
  <c r="AI21" i="57"/>
  <c r="AI22" i="57"/>
  <c r="AI8" i="57"/>
  <c r="AH8" i="57"/>
  <c r="AH9" i="57"/>
  <c r="AH10" i="57"/>
  <c r="AH11" i="57"/>
  <c r="AH12" i="57"/>
  <c r="AH13" i="57"/>
  <c r="AH14" i="57"/>
  <c r="AH15" i="57"/>
  <c r="AH16" i="57"/>
  <c r="AH17" i="57"/>
  <c r="AH18" i="57"/>
  <c r="AH19" i="57"/>
  <c r="AH20" i="57"/>
  <c r="AH21" i="57"/>
  <c r="AH22" i="57"/>
  <c r="Z9" i="57"/>
  <c r="AA9" i="57"/>
  <c r="AB9" i="57"/>
  <c r="AC9" i="57"/>
  <c r="AD9" i="57"/>
  <c r="AE9" i="57"/>
  <c r="AF9" i="57"/>
  <c r="AG9" i="57"/>
  <c r="Z10" i="57"/>
  <c r="AA10" i="57"/>
  <c r="AB10" i="57"/>
  <c r="AC10" i="57"/>
  <c r="AD10" i="57"/>
  <c r="AE10" i="57"/>
  <c r="AF10" i="57"/>
  <c r="AG10" i="57"/>
  <c r="Z11" i="57"/>
  <c r="AA11" i="57"/>
  <c r="AB11" i="57"/>
  <c r="AC11" i="57"/>
  <c r="AD11" i="57"/>
  <c r="AE11" i="57"/>
  <c r="AF11" i="57"/>
  <c r="AG11" i="57"/>
  <c r="Z12" i="57"/>
  <c r="AA12" i="57"/>
  <c r="AB12" i="57"/>
  <c r="AC12" i="57"/>
  <c r="AD12" i="57"/>
  <c r="AE12" i="57"/>
  <c r="AF12" i="57"/>
  <c r="AG12" i="57"/>
  <c r="Z13" i="57"/>
  <c r="AA13" i="57"/>
  <c r="AB13" i="57"/>
  <c r="AC13" i="57"/>
  <c r="AD13" i="57"/>
  <c r="AE13" i="57"/>
  <c r="AF13" i="57"/>
  <c r="AG13" i="57"/>
  <c r="Z14" i="57"/>
  <c r="AA14" i="57"/>
  <c r="AB14" i="57"/>
  <c r="AC14" i="57"/>
  <c r="AD14" i="57"/>
  <c r="AE14" i="57"/>
  <c r="AF14" i="57"/>
  <c r="AG14" i="57"/>
  <c r="Z15" i="57"/>
  <c r="AA15" i="57"/>
  <c r="AB15" i="57"/>
  <c r="AC15" i="57"/>
  <c r="AD15" i="57"/>
  <c r="AE15" i="57"/>
  <c r="AF15" i="57"/>
  <c r="AG15" i="57"/>
  <c r="Z16" i="57"/>
  <c r="AA16" i="57"/>
  <c r="AB16" i="57"/>
  <c r="AC16" i="57"/>
  <c r="AD16" i="57"/>
  <c r="AE16" i="57"/>
  <c r="AF16" i="57"/>
  <c r="AG16" i="57"/>
  <c r="Z17" i="57"/>
  <c r="AA17" i="57"/>
  <c r="AB17" i="57"/>
  <c r="AC17" i="57"/>
  <c r="AD17" i="57"/>
  <c r="AE17" i="57"/>
  <c r="AF17" i="57"/>
  <c r="AG17" i="57"/>
  <c r="Z18" i="57"/>
  <c r="AA18" i="57"/>
  <c r="AB18" i="57"/>
  <c r="AC18" i="57"/>
  <c r="AD18" i="57"/>
  <c r="AE18" i="57"/>
  <c r="AF18" i="57"/>
  <c r="AG18" i="57"/>
  <c r="Z19" i="57"/>
  <c r="AA19" i="57"/>
  <c r="AB19" i="57"/>
  <c r="AC19" i="57"/>
  <c r="AD19" i="57"/>
  <c r="AE19" i="57"/>
  <c r="AF19" i="57"/>
  <c r="AG19" i="57"/>
  <c r="Z20" i="57"/>
  <c r="AA20" i="57"/>
  <c r="AB20" i="57"/>
  <c r="AC20" i="57"/>
  <c r="AD20" i="57"/>
  <c r="AE20" i="57"/>
  <c r="AF20" i="57"/>
  <c r="AG20" i="57"/>
  <c r="Z21" i="57"/>
  <c r="AA21" i="57"/>
  <c r="AB21" i="57"/>
  <c r="AC21" i="57"/>
  <c r="AD21" i="57"/>
  <c r="AE21" i="57"/>
  <c r="AF21" i="57"/>
  <c r="AG21" i="57"/>
  <c r="Z22" i="57"/>
  <c r="AA22" i="57"/>
  <c r="AB22" i="57"/>
  <c r="AC22" i="57"/>
  <c r="AD22" i="57"/>
  <c r="AE22" i="57"/>
  <c r="AF22" i="57"/>
  <c r="AG22" i="57"/>
  <c r="AA8" i="57"/>
  <c r="AB8" i="57"/>
  <c r="AC8" i="57"/>
  <c r="AD8" i="57"/>
  <c r="AE8" i="57"/>
  <c r="AF8" i="57"/>
  <c r="AG8" i="57"/>
  <c r="Z8" i="57"/>
  <c r="X9" i="57"/>
  <c r="Y9" i="57"/>
  <c r="X10" i="57"/>
  <c r="Y10" i="57"/>
  <c r="X11" i="57"/>
  <c r="Y11" i="57"/>
  <c r="X12" i="57"/>
  <c r="Y12" i="57"/>
  <c r="X13" i="57"/>
  <c r="Y13" i="57"/>
  <c r="X14" i="57"/>
  <c r="Y14" i="57"/>
  <c r="X15" i="57"/>
  <c r="Y15" i="57"/>
  <c r="X16" i="57"/>
  <c r="Y16" i="57"/>
  <c r="X17" i="57"/>
  <c r="Y17" i="57"/>
  <c r="X18" i="57"/>
  <c r="Y18" i="57"/>
  <c r="X19" i="57"/>
  <c r="Y19" i="57"/>
  <c r="X20" i="57"/>
  <c r="Y20" i="57"/>
  <c r="X21" i="57"/>
  <c r="Y21" i="57"/>
  <c r="X22" i="57"/>
  <c r="Y22" i="57"/>
  <c r="Y8" i="57"/>
  <c r="X8" i="57"/>
  <c r="I20" i="45" l="1"/>
  <c r="J12" i="45"/>
  <c r="K3" i="45"/>
  <c r="J6" i="45"/>
  <c r="K5" i="45"/>
  <c r="I3" i="5" l="1"/>
  <c r="K201" i="17" l="1"/>
  <c r="K216" i="17" a="1"/>
  <c r="K216" i="17" s="1"/>
  <c r="H1" i="5" l="1"/>
  <c r="K215" i="17" a="1"/>
  <c r="K215" i="17" s="1"/>
  <c r="J215" i="17" a="1"/>
  <c r="J215" i="17" s="1"/>
  <c r="K214" i="17" a="1"/>
  <c r="K214" i="17" s="1"/>
  <c r="J214" i="17" a="1"/>
  <c r="J214" i="17" s="1"/>
  <c r="J198" i="17" l="1" a="1"/>
  <c r="J198" i="17" s="1"/>
  <c r="K198" i="17" a="1"/>
  <c r="K198" i="17" s="1"/>
  <c r="J199" i="17" a="1"/>
  <c r="J199" i="17" s="1"/>
  <c r="K199" i="17" a="1"/>
  <c r="K199" i="17" s="1"/>
  <c r="E41" i="5" l="1"/>
  <c r="I6" i="79" s="1"/>
  <c r="K1" i="5"/>
  <c r="O1" i="2"/>
  <c r="B121" i="80" s="1"/>
  <c r="I31" i="79" l="1"/>
  <c r="G21" i="79"/>
  <c r="B9" i="5"/>
  <c r="T213" i="9"/>
  <c r="T214" i="9"/>
  <c r="T215" i="9"/>
  <c r="T216" i="9"/>
  <c r="T217" i="9"/>
  <c r="T218" i="9"/>
  <c r="T219" i="9"/>
  <c r="T220" i="9"/>
  <c r="T221" i="9"/>
  <c r="T222" i="9"/>
  <c r="T223" i="9"/>
  <c r="T224" i="9"/>
  <c r="T225" i="9"/>
  <c r="T226" i="9"/>
  <c r="T227" i="9"/>
  <c r="T228" i="9"/>
  <c r="T229" i="9"/>
  <c r="T230" i="9"/>
  <c r="T231" i="9"/>
  <c r="T232" i="9"/>
  <c r="T233" i="9"/>
  <c r="T234" i="9"/>
  <c r="T235" i="9"/>
  <c r="T236" i="9"/>
  <c r="T237" i="9"/>
  <c r="T238" i="9"/>
  <c r="T239" i="9"/>
  <c r="T240" i="9"/>
  <c r="T241" i="9"/>
  <c r="T242" i="9"/>
  <c r="T243" i="9"/>
  <c r="T244" i="9"/>
  <c r="T245" i="9"/>
  <c r="T246" i="9"/>
  <c r="T247" i="9"/>
  <c r="T248" i="9"/>
  <c r="T249" i="9"/>
  <c r="T250" i="9"/>
  <c r="T251" i="9"/>
  <c r="T252" i="9"/>
  <c r="T253" i="9"/>
  <c r="T254" i="9"/>
  <c r="T255" i="9"/>
  <c r="T256" i="9"/>
  <c r="T257" i="9"/>
  <c r="T258" i="9"/>
  <c r="T259" i="9"/>
  <c r="T260" i="9"/>
  <c r="T261" i="9"/>
  <c r="T262" i="9"/>
  <c r="T263" i="9"/>
  <c r="T264" i="9"/>
  <c r="T265" i="9"/>
  <c r="T266" i="9"/>
  <c r="T267" i="9"/>
  <c r="T268" i="9"/>
  <c r="T269" i="9"/>
  <c r="T270" i="9"/>
  <c r="T271" i="9"/>
  <c r="T272" i="9"/>
  <c r="T273" i="9"/>
  <c r="T274" i="9"/>
  <c r="T275" i="9"/>
  <c r="T276" i="9"/>
  <c r="T277" i="9"/>
  <c r="T278" i="9"/>
  <c r="T279" i="9"/>
  <c r="T280" i="9"/>
  <c r="T281" i="9"/>
  <c r="T282" i="9"/>
  <c r="T283" i="9"/>
  <c r="T284" i="9"/>
  <c r="T285" i="9"/>
  <c r="T286" i="9"/>
  <c r="T287" i="9"/>
  <c r="T288" i="9"/>
  <c r="T289" i="9"/>
  <c r="T290" i="9"/>
  <c r="T291" i="9"/>
  <c r="T292" i="9"/>
  <c r="T293" i="9"/>
  <c r="T294" i="9"/>
  <c r="T295" i="9"/>
  <c r="T296" i="9"/>
  <c r="T297" i="9"/>
  <c r="T298" i="9"/>
  <c r="T299" i="9"/>
  <c r="T300" i="9"/>
  <c r="T301" i="9"/>
  <c r="T302" i="9"/>
  <c r="T303" i="9"/>
  <c r="T304" i="9"/>
  <c r="T305" i="9"/>
  <c r="T306" i="9"/>
  <c r="T307" i="9"/>
  <c r="T308" i="9"/>
  <c r="T309" i="9"/>
  <c r="T310" i="9"/>
  <c r="T311" i="9"/>
  <c r="T312" i="9"/>
  <c r="T313" i="9"/>
  <c r="T314" i="9"/>
  <c r="T315" i="9"/>
  <c r="T316" i="9"/>
  <c r="T317" i="9"/>
  <c r="T318" i="9"/>
  <c r="T319" i="9"/>
  <c r="T320" i="9"/>
  <c r="T321" i="9"/>
  <c r="T322" i="9"/>
  <c r="T323" i="9"/>
  <c r="T324" i="9"/>
  <c r="T325" i="9"/>
  <c r="T326" i="9"/>
  <c r="T327" i="9"/>
  <c r="T328" i="9"/>
  <c r="T329" i="9"/>
  <c r="T330" i="9"/>
  <c r="T331" i="9"/>
  <c r="T332" i="9"/>
  <c r="T333" i="9"/>
  <c r="T334" i="9"/>
  <c r="T335" i="9"/>
  <c r="T336" i="9"/>
  <c r="T337" i="9"/>
  <c r="T338" i="9"/>
  <c r="T339" i="9"/>
  <c r="T340" i="9"/>
  <c r="T341" i="9"/>
  <c r="T342" i="9"/>
  <c r="T343" i="9"/>
  <c r="T344" i="9"/>
  <c r="T345" i="9"/>
  <c r="T346" i="9"/>
  <c r="T347" i="9"/>
  <c r="T348" i="9"/>
  <c r="T349" i="9"/>
  <c r="T350" i="9"/>
  <c r="T351" i="9"/>
  <c r="T352" i="9"/>
  <c r="T353" i="9"/>
  <c r="T354" i="9"/>
  <c r="T355" i="9"/>
  <c r="T356" i="9"/>
  <c r="T357" i="9"/>
  <c r="T358" i="9"/>
  <c r="T359" i="9"/>
  <c r="T360" i="9"/>
  <c r="T361" i="9"/>
  <c r="T362" i="9"/>
  <c r="T363" i="9"/>
  <c r="T364" i="9"/>
  <c r="T365" i="9"/>
  <c r="T366" i="9"/>
  <c r="T367" i="9"/>
  <c r="T368" i="9"/>
  <c r="T369" i="9"/>
  <c r="T370" i="9"/>
  <c r="T371" i="9"/>
  <c r="T372" i="9"/>
  <c r="T373" i="9"/>
  <c r="T374" i="9"/>
  <c r="T375" i="9"/>
  <c r="T376" i="9"/>
  <c r="T377" i="9"/>
  <c r="T378" i="9"/>
  <c r="T379" i="9"/>
  <c r="T380" i="9"/>
  <c r="T381" i="9"/>
  <c r="T382" i="9"/>
  <c r="T383" i="9"/>
  <c r="T384" i="9"/>
  <c r="T385" i="9"/>
  <c r="T386" i="9"/>
  <c r="T387" i="9"/>
  <c r="T388" i="9"/>
  <c r="T389" i="9"/>
  <c r="T390" i="9"/>
  <c r="T391" i="9"/>
  <c r="T392" i="9"/>
  <c r="T393" i="9"/>
  <c r="T394" i="9"/>
  <c r="T395" i="9"/>
  <c r="T396" i="9"/>
  <c r="T397" i="9"/>
  <c r="T398" i="9"/>
  <c r="T399" i="9"/>
  <c r="T400" i="9"/>
  <c r="T401" i="9"/>
  <c r="T402" i="9"/>
  <c r="T403" i="9"/>
  <c r="T404" i="9"/>
  <c r="T405" i="9"/>
  <c r="T406" i="9"/>
  <c r="T407" i="9"/>
  <c r="T408" i="9"/>
  <c r="T409" i="9"/>
  <c r="T410" i="9"/>
  <c r="T411" i="9"/>
  <c r="T412" i="9"/>
  <c r="T413" i="9"/>
  <c r="T414" i="9"/>
  <c r="T415" i="9"/>
  <c r="T416" i="9"/>
  <c r="T417" i="9"/>
  <c r="T418" i="9"/>
  <c r="T419" i="9"/>
  <c r="T420" i="9"/>
  <c r="T421" i="9"/>
  <c r="T422" i="9"/>
  <c r="T423" i="9"/>
  <c r="T424" i="9"/>
  <c r="T425" i="9"/>
  <c r="T426" i="9"/>
  <c r="T427" i="9"/>
  <c r="T428" i="9"/>
  <c r="T429" i="9"/>
  <c r="T430" i="9"/>
  <c r="T431" i="9"/>
  <c r="T432" i="9"/>
  <c r="T433" i="9"/>
  <c r="T434" i="9"/>
  <c r="T435" i="9"/>
  <c r="T436" i="9"/>
  <c r="T437" i="9"/>
  <c r="T438" i="9"/>
  <c r="T439" i="9"/>
  <c r="T440" i="9"/>
  <c r="T441" i="9"/>
  <c r="T442" i="9"/>
  <c r="T443" i="9"/>
  <c r="T444" i="9"/>
  <c r="T445" i="9"/>
  <c r="T446" i="9"/>
  <c r="T447" i="9"/>
  <c r="T448" i="9"/>
  <c r="T449" i="9"/>
  <c r="T450" i="9"/>
  <c r="T451" i="9"/>
  <c r="T452" i="9"/>
  <c r="T453" i="9"/>
  <c r="T454" i="9"/>
  <c r="T455" i="9"/>
  <c r="T456" i="9"/>
  <c r="T457" i="9"/>
  <c r="T458" i="9"/>
  <c r="T459" i="9"/>
  <c r="T460" i="9"/>
  <c r="T461" i="9"/>
  <c r="T462" i="9"/>
  <c r="T463" i="9"/>
  <c r="T464" i="9"/>
  <c r="T465" i="9"/>
  <c r="T466" i="9"/>
  <c r="T467" i="9"/>
  <c r="T468" i="9"/>
  <c r="T469" i="9"/>
  <c r="T470" i="9"/>
  <c r="T471" i="9"/>
  <c r="T472" i="9"/>
  <c r="T473" i="9"/>
  <c r="T474" i="9"/>
  <c r="T475" i="9"/>
  <c r="T476" i="9"/>
  <c r="T477" i="9"/>
  <c r="T478" i="9"/>
  <c r="T479" i="9"/>
  <c r="T480" i="9"/>
  <c r="T481" i="9"/>
  <c r="T482" i="9"/>
  <c r="T483" i="9"/>
  <c r="T484" i="9"/>
  <c r="T485" i="9"/>
  <c r="T486" i="9"/>
  <c r="T487" i="9"/>
  <c r="T488" i="9"/>
  <c r="T489" i="9"/>
  <c r="T490" i="9"/>
  <c r="T491" i="9"/>
  <c r="T492" i="9"/>
  <c r="T493" i="9"/>
  <c r="T494" i="9"/>
  <c r="T495" i="9"/>
  <c r="T496" i="9"/>
  <c r="T497" i="9"/>
  <c r="T498" i="9"/>
  <c r="T499" i="9"/>
  <c r="T500" i="9"/>
  <c r="T501" i="9"/>
  <c r="T502" i="9"/>
  <c r="T503" i="9"/>
  <c r="T504" i="9"/>
  <c r="T505" i="9"/>
  <c r="T506" i="9"/>
  <c r="T507" i="9"/>
  <c r="T508" i="9"/>
  <c r="T509" i="9"/>
  <c r="T510" i="9"/>
  <c r="T511" i="9"/>
  <c r="T512" i="9"/>
  <c r="T513" i="9"/>
  <c r="T514" i="9"/>
  <c r="T515" i="9"/>
  <c r="T516" i="9"/>
  <c r="T517" i="9"/>
  <c r="T518" i="9"/>
  <c r="T519" i="9"/>
  <c r="T520" i="9"/>
  <c r="T521" i="9"/>
  <c r="T522" i="9"/>
  <c r="T523" i="9"/>
  <c r="T524" i="9"/>
  <c r="T525" i="9"/>
  <c r="T526" i="9"/>
  <c r="T527" i="9"/>
  <c r="T528" i="9"/>
  <c r="T529" i="9"/>
  <c r="T530" i="9"/>
  <c r="T531" i="9"/>
  <c r="T532" i="9"/>
  <c r="T533" i="9"/>
  <c r="T534" i="9"/>
  <c r="T535" i="9"/>
  <c r="T536" i="9"/>
  <c r="T537" i="9"/>
  <c r="T538" i="9"/>
  <c r="T539" i="9"/>
  <c r="T540" i="9"/>
  <c r="T541" i="9"/>
  <c r="T542" i="9"/>
  <c r="T543" i="9"/>
  <c r="T544" i="9"/>
  <c r="T545" i="9"/>
  <c r="T546" i="9"/>
  <c r="T547" i="9"/>
  <c r="T548" i="9"/>
  <c r="T549" i="9"/>
  <c r="T550" i="9"/>
  <c r="T551" i="9"/>
  <c r="T552" i="9"/>
  <c r="T553" i="9"/>
  <c r="T554" i="9"/>
  <c r="T555" i="9"/>
  <c r="T556" i="9"/>
  <c r="T557" i="9"/>
  <c r="T558" i="9"/>
  <c r="T559" i="9"/>
  <c r="T560" i="9"/>
  <c r="T561" i="9"/>
  <c r="T562" i="9"/>
  <c r="T563" i="9"/>
  <c r="T564" i="9"/>
  <c r="T565" i="9"/>
  <c r="T566" i="9"/>
  <c r="T567" i="9"/>
  <c r="T568" i="9"/>
  <c r="T569" i="9"/>
  <c r="T570" i="9"/>
  <c r="T571" i="9"/>
  <c r="T572" i="9"/>
  <c r="T573" i="9"/>
  <c r="T574" i="9"/>
  <c r="T575" i="9"/>
  <c r="T576" i="9"/>
  <c r="T577" i="9"/>
  <c r="T578" i="9"/>
  <c r="T579" i="9"/>
  <c r="T580" i="9"/>
  <c r="T581" i="9"/>
  <c r="T582" i="9"/>
  <c r="T583" i="9"/>
  <c r="T584" i="9"/>
  <c r="T585" i="9"/>
  <c r="T586" i="9"/>
  <c r="T587" i="9"/>
  <c r="T588" i="9"/>
  <c r="T589" i="9"/>
  <c r="T590" i="9"/>
  <c r="T591" i="9"/>
  <c r="L6" i="9"/>
  <c r="T6" i="9" s="1"/>
  <c r="L7" i="9"/>
  <c r="T7" i="9" s="1"/>
  <c r="L8" i="9"/>
  <c r="T8" i="9" s="1"/>
  <c r="L9" i="9"/>
  <c r="T9" i="9" s="1"/>
  <c r="L10" i="9"/>
  <c r="T10" i="9" s="1"/>
  <c r="L11" i="9"/>
  <c r="T11" i="9" s="1"/>
  <c r="L12" i="9"/>
  <c r="T12" i="9" s="1"/>
  <c r="L13" i="9"/>
  <c r="T13" i="9" s="1"/>
  <c r="L14" i="9"/>
  <c r="T14" i="9" s="1"/>
  <c r="L15" i="9"/>
  <c r="T15" i="9" s="1"/>
  <c r="L16" i="9"/>
  <c r="T16" i="9" s="1"/>
  <c r="L17" i="9"/>
  <c r="T17" i="9" s="1"/>
  <c r="L18" i="9"/>
  <c r="T18" i="9" s="1"/>
  <c r="L19" i="9"/>
  <c r="T19" i="9" s="1"/>
  <c r="L20" i="9"/>
  <c r="T20" i="9" s="1"/>
  <c r="L21" i="9"/>
  <c r="T21" i="9" s="1"/>
  <c r="L22" i="9"/>
  <c r="T22" i="9" s="1"/>
  <c r="L23" i="9"/>
  <c r="T23" i="9" s="1"/>
  <c r="L24" i="9"/>
  <c r="T24" i="9" s="1"/>
  <c r="L25" i="9"/>
  <c r="T25" i="9" s="1"/>
  <c r="L26" i="9"/>
  <c r="T26" i="9" s="1"/>
  <c r="L27" i="9"/>
  <c r="T27" i="9" s="1"/>
  <c r="L28" i="9"/>
  <c r="T28" i="9" s="1"/>
  <c r="L29" i="9"/>
  <c r="T29" i="9" s="1"/>
  <c r="L30" i="9"/>
  <c r="T30" i="9" s="1"/>
  <c r="L31" i="9"/>
  <c r="T31" i="9" s="1"/>
  <c r="L32" i="9"/>
  <c r="T32" i="9" s="1"/>
  <c r="L33" i="9"/>
  <c r="T33" i="9" s="1"/>
  <c r="L34" i="9"/>
  <c r="T34" i="9" s="1"/>
  <c r="L35" i="9"/>
  <c r="T35" i="9" s="1"/>
  <c r="L36" i="9"/>
  <c r="T36" i="9" s="1"/>
  <c r="L37" i="9"/>
  <c r="T37" i="9" s="1"/>
  <c r="L38" i="9"/>
  <c r="T38" i="9" s="1"/>
  <c r="L39" i="9"/>
  <c r="T39" i="9" s="1"/>
  <c r="L40" i="9"/>
  <c r="T40" i="9" s="1"/>
  <c r="L41" i="9"/>
  <c r="T41" i="9" s="1"/>
  <c r="L42" i="9"/>
  <c r="T42" i="9" s="1"/>
  <c r="L43" i="9"/>
  <c r="T43" i="9" s="1"/>
  <c r="L44" i="9"/>
  <c r="T44" i="9" s="1"/>
  <c r="L45" i="9"/>
  <c r="T45" i="9" s="1"/>
  <c r="L46" i="9"/>
  <c r="T46" i="9" s="1"/>
  <c r="L47" i="9"/>
  <c r="T47" i="9" s="1"/>
  <c r="L48" i="9"/>
  <c r="T48" i="9" s="1"/>
  <c r="L49" i="9"/>
  <c r="T49" i="9" s="1"/>
  <c r="L50" i="9"/>
  <c r="T50" i="9" s="1"/>
  <c r="L51" i="9"/>
  <c r="T51" i="9" s="1"/>
  <c r="L52" i="9"/>
  <c r="T52" i="9" s="1"/>
  <c r="L53" i="9"/>
  <c r="T53" i="9" s="1"/>
  <c r="L54" i="9"/>
  <c r="T54" i="9" s="1"/>
  <c r="L55" i="9"/>
  <c r="T55" i="9" s="1"/>
  <c r="L56" i="9"/>
  <c r="T56" i="9" s="1"/>
  <c r="L57" i="9"/>
  <c r="T57" i="9" s="1"/>
  <c r="L58" i="9"/>
  <c r="T58" i="9" s="1"/>
  <c r="L59" i="9"/>
  <c r="T59" i="9" s="1"/>
  <c r="L60" i="9"/>
  <c r="T60" i="9" s="1"/>
  <c r="L61" i="9"/>
  <c r="T61" i="9" s="1"/>
  <c r="L62" i="9"/>
  <c r="T62" i="9" s="1"/>
  <c r="L63" i="9"/>
  <c r="T63" i="9" s="1"/>
  <c r="L64" i="9"/>
  <c r="T64" i="9" s="1"/>
  <c r="L65" i="9"/>
  <c r="T65" i="9" s="1"/>
  <c r="L66" i="9"/>
  <c r="T66" i="9" s="1"/>
  <c r="L67" i="9"/>
  <c r="T67" i="9" s="1"/>
  <c r="L68" i="9"/>
  <c r="T68" i="9" s="1"/>
  <c r="L69" i="9"/>
  <c r="T69" i="9" s="1"/>
  <c r="L70" i="9"/>
  <c r="T70" i="9" s="1"/>
  <c r="L71" i="9"/>
  <c r="T71" i="9" s="1"/>
  <c r="L72" i="9"/>
  <c r="T72" i="9" s="1"/>
  <c r="L73" i="9"/>
  <c r="T73" i="9" s="1"/>
  <c r="L74" i="9"/>
  <c r="T74" i="9" s="1"/>
  <c r="L75" i="9"/>
  <c r="T75" i="9" s="1"/>
  <c r="L76" i="9"/>
  <c r="T76" i="9" s="1"/>
  <c r="L77" i="9"/>
  <c r="T77" i="9" s="1"/>
  <c r="L78" i="9"/>
  <c r="T78" i="9" s="1"/>
  <c r="L79" i="9"/>
  <c r="T79" i="9" s="1"/>
  <c r="L80" i="9"/>
  <c r="T80" i="9" s="1"/>
  <c r="L81" i="9"/>
  <c r="T81" i="9" s="1"/>
  <c r="L82" i="9"/>
  <c r="T82" i="9" s="1"/>
  <c r="L83" i="9"/>
  <c r="T83" i="9" s="1"/>
  <c r="L84" i="9"/>
  <c r="T84" i="9" s="1"/>
  <c r="L85" i="9"/>
  <c r="T85" i="9" s="1"/>
  <c r="L86" i="9"/>
  <c r="T86" i="9" s="1"/>
  <c r="L87" i="9"/>
  <c r="T87" i="9" s="1"/>
  <c r="L88" i="9"/>
  <c r="T88" i="9" s="1"/>
  <c r="L89" i="9"/>
  <c r="T89" i="9" s="1"/>
  <c r="L90" i="9"/>
  <c r="T90" i="9" s="1"/>
  <c r="L91" i="9"/>
  <c r="T91" i="9" s="1"/>
  <c r="L92" i="9"/>
  <c r="T92" i="9" s="1"/>
  <c r="L93" i="9"/>
  <c r="T93" i="9" s="1"/>
  <c r="L94" i="9"/>
  <c r="T94" i="9" s="1"/>
  <c r="L95" i="9"/>
  <c r="T95" i="9" s="1"/>
  <c r="L96" i="9"/>
  <c r="T96" i="9" s="1"/>
  <c r="L97" i="9"/>
  <c r="T97" i="9" s="1"/>
  <c r="L98" i="9"/>
  <c r="T98" i="9" s="1"/>
  <c r="L99" i="9"/>
  <c r="T99" i="9" s="1"/>
  <c r="L100" i="9"/>
  <c r="T100" i="9" s="1"/>
  <c r="L101" i="9"/>
  <c r="T101" i="9" s="1"/>
  <c r="L102" i="9"/>
  <c r="T102" i="9" s="1"/>
  <c r="L103" i="9"/>
  <c r="T103" i="9" s="1"/>
  <c r="L104" i="9"/>
  <c r="T104" i="9" s="1"/>
  <c r="L105" i="9"/>
  <c r="T105" i="9" s="1"/>
  <c r="L106" i="9"/>
  <c r="T106" i="9" s="1"/>
  <c r="L107" i="9"/>
  <c r="T107" i="9" s="1"/>
  <c r="L108" i="9"/>
  <c r="T108" i="9" s="1"/>
  <c r="L109" i="9"/>
  <c r="T109" i="9" s="1"/>
  <c r="L110" i="9"/>
  <c r="T110" i="9" s="1"/>
  <c r="L111" i="9"/>
  <c r="T111" i="9" s="1"/>
  <c r="L112" i="9"/>
  <c r="T112" i="9" s="1"/>
  <c r="L113" i="9"/>
  <c r="T113" i="9" s="1"/>
  <c r="L114" i="9"/>
  <c r="T114" i="9" s="1"/>
  <c r="L115" i="9"/>
  <c r="T115" i="9" s="1"/>
  <c r="L116" i="9"/>
  <c r="T116" i="9" s="1"/>
  <c r="L117" i="9"/>
  <c r="T117" i="9" s="1"/>
  <c r="L118" i="9"/>
  <c r="T118" i="9" s="1"/>
  <c r="L119" i="9"/>
  <c r="T119" i="9" s="1"/>
  <c r="L120" i="9"/>
  <c r="T120" i="9" s="1"/>
  <c r="L121" i="9"/>
  <c r="T121" i="9" s="1"/>
  <c r="L122" i="9"/>
  <c r="T122" i="9" s="1"/>
  <c r="L123" i="9"/>
  <c r="T123" i="9" s="1"/>
  <c r="L124" i="9"/>
  <c r="T124" i="9" s="1"/>
  <c r="L125" i="9"/>
  <c r="T125" i="9" s="1"/>
  <c r="L126" i="9"/>
  <c r="T126" i="9" s="1"/>
  <c r="L127" i="9"/>
  <c r="T127" i="9" s="1"/>
  <c r="L128" i="9"/>
  <c r="T128" i="9" s="1"/>
  <c r="L129" i="9"/>
  <c r="T129" i="9" s="1"/>
  <c r="L130" i="9"/>
  <c r="T130" i="9" s="1"/>
  <c r="L131" i="9"/>
  <c r="T131" i="9" s="1"/>
  <c r="L132" i="9"/>
  <c r="T132" i="9" s="1"/>
  <c r="L133" i="9"/>
  <c r="T133" i="9" s="1"/>
  <c r="L134" i="9"/>
  <c r="T134" i="9" s="1"/>
  <c r="L135" i="9"/>
  <c r="T135" i="9" s="1"/>
  <c r="L136" i="9"/>
  <c r="T136" i="9" s="1"/>
  <c r="L137" i="9"/>
  <c r="T137" i="9" s="1"/>
  <c r="L138" i="9"/>
  <c r="T138" i="9" s="1"/>
  <c r="L139" i="9"/>
  <c r="T139" i="9" s="1"/>
  <c r="L140" i="9"/>
  <c r="T140" i="9" s="1"/>
  <c r="L141" i="9"/>
  <c r="T141" i="9" s="1"/>
  <c r="L142" i="9"/>
  <c r="T142" i="9" s="1"/>
  <c r="L143" i="9"/>
  <c r="T143" i="9" s="1"/>
  <c r="L144" i="9"/>
  <c r="T144" i="9" s="1"/>
  <c r="L145" i="9"/>
  <c r="T145" i="9" s="1"/>
  <c r="L146" i="9"/>
  <c r="T146" i="9" s="1"/>
  <c r="L147" i="9"/>
  <c r="T147" i="9" s="1"/>
  <c r="L148" i="9"/>
  <c r="T148" i="9" s="1"/>
  <c r="L149" i="9"/>
  <c r="T149" i="9" s="1"/>
  <c r="L150" i="9"/>
  <c r="T150" i="9" s="1"/>
  <c r="L151" i="9"/>
  <c r="T151" i="9" s="1"/>
  <c r="L152" i="9"/>
  <c r="T152" i="9" s="1"/>
  <c r="L153" i="9"/>
  <c r="T153" i="9" s="1"/>
  <c r="L154" i="9"/>
  <c r="T154" i="9" s="1"/>
  <c r="L155" i="9"/>
  <c r="T155" i="9" s="1"/>
  <c r="L156" i="9"/>
  <c r="T156" i="9" s="1"/>
  <c r="L157" i="9"/>
  <c r="T157" i="9" s="1"/>
  <c r="L158" i="9"/>
  <c r="T158" i="9" s="1"/>
  <c r="L159" i="9"/>
  <c r="T159" i="9" s="1"/>
  <c r="L160" i="9"/>
  <c r="T160" i="9" s="1"/>
  <c r="L161" i="9"/>
  <c r="T161" i="9" s="1"/>
  <c r="L162" i="9"/>
  <c r="T162" i="9" s="1"/>
  <c r="L163" i="9"/>
  <c r="T163" i="9" s="1"/>
  <c r="L164" i="9"/>
  <c r="T164" i="9" s="1"/>
  <c r="L165" i="9"/>
  <c r="T165" i="9" s="1"/>
  <c r="L166" i="9"/>
  <c r="T166" i="9" s="1"/>
  <c r="L167" i="9"/>
  <c r="T167" i="9" s="1"/>
  <c r="L168" i="9"/>
  <c r="T168" i="9" s="1"/>
  <c r="L169" i="9"/>
  <c r="T169" i="9" s="1"/>
  <c r="L170" i="9"/>
  <c r="T170" i="9" s="1"/>
  <c r="L171" i="9"/>
  <c r="T171" i="9" s="1"/>
  <c r="L172" i="9"/>
  <c r="T172" i="9" s="1"/>
  <c r="L173" i="9"/>
  <c r="T173" i="9" s="1"/>
  <c r="L174" i="9"/>
  <c r="T174" i="9" s="1"/>
  <c r="L175" i="9"/>
  <c r="T175" i="9" s="1"/>
  <c r="L176" i="9"/>
  <c r="T176" i="9" s="1"/>
  <c r="L177" i="9"/>
  <c r="T177" i="9" s="1"/>
  <c r="L178" i="9"/>
  <c r="T178" i="9" s="1"/>
  <c r="L179" i="9"/>
  <c r="T179" i="9" s="1"/>
  <c r="L180" i="9"/>
  <c r="T180" i="9" s="1"/>
  <c r="L181" i="9"/>
  <c r="T181" i="9" s="1"/>
  <c r="L182" i="9"/>
  <c r="T182" i="9" s="1"/>
  <c r="L183" i="9"/>
  <c r="T183" i="9" s="1"/>
  <c r="L184" i="9"/>
  <c r="T184" i="9" s="1"/>
  <c r="L185" i="9"/>
  <c r="T185" i="9" s="1"/>
  <c r="L186" i="9"/>
  <c r="T186" i="9" s="1"/>
  <c r="L187" i="9"/>
  <c r="T187" i="9" s="1"/>
  <c r="L188" i="9"/>
  <c r="T188" i="9" s="1"/>
  <c r="L189" i="9"/>
  <c r="T189" i="9" s="1"/>
  <c r="L190" i="9"/>
  <c r="T190" i="9" s="1"/>
  <c r="L191" i="9"/>
  <c r="T191" i="9" s="1"/>
  <c r="L192" i="9"/>
  <c r="T192" i="9" s="1"/>
  <c r="L193" i="9"/>
  <c r="T193" i="9" s="1"/>
  <c r="L194" i="9"/>
  <c r="T194" i="9" s="1"/>
  <c r="L195" i="9"/>
  <c r="T195" i="9" s="1"/>
  <c r="L196" i="9"/>
  <c r="T196" i="9" s="1"/>
  <c r="L197" i="9"/>
  <c r="T197" i="9" s="1"/>
  <c r="L198" i="9"/>
  <c r="T198" i="9" s="1"/>
  <c r="L199" i="9"/>
  <c r="T199" i="9" s="1"/>
  <c r="L200" i="9"/>
  <c r="T200" i="9" s="1"/>
  <c r="L201" i="9"/>
  <c r="T201" i="9" s="1"/>
  <c r="L202" i="9"/>
  <c r="T202" i="9" s="1"/>
  <c r="L203" i="9"/>
  <c r="T203" i="9" s="1"/>
  <c r="L204" i="9"/>
  <c r="T204" i="9" s="1"/>
  <c r="L205" i="9"/>
  <c r="T205" i="9" s="1"/>
  <c r="L206" i="9"/>
  <c r="T206" i="9" s="1"/>
  <c r="L207" i="9"/>
  <c r="T207" i="9" s="1"/>
  <c r="L208" i="9"/>
  <c r="T208" i="9" s="1"/>
  <c r="L209" i="9"/>
  <c r="T209" i="9" s="1"/>
  <c r="L210" i="9"/>
  <c r="L211" i="9"/>
  <c r="T211" i="9" s="1"/>
  <c r="L212" i="9"/>
  <c r="L5" i="9"/>
  <c r="T5" i="9" s="1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67" i="9"/>
  <c r="K68" i="9"/>
  <c r="K69" i="9"/>
  <c r="K70" i="9"/>
  <c r="K71" i="9"/>
  <c r="K72" i="9"/>
  <c r="K73" i="9"/>
  <c r="K74" i="9"/>
  <c r="K75" i="9"/>
  <c r="K76" i="9"/>
  <c r="K77" i="9"/>
  <c r="K78" i="9"/>
  <c r="K79" i="9"/>
  <c r="K80" i="9"/>
  <c r="K81" i="9"/>
  <c r="K82" i="9"/>
  <c r="K83" i="9"/>
  <c r="K84" i="9"/>
  <c r="K85" i="9"/>
  <c r="K86" i="9"/>
  <c r="K87" i="9"/>
  <c r="K88" i="9"/>
  <c r="K89" i="9"/>
  <c r="K90" i="9"/>
  <c r="K91" i="9"/>
  <c r="K92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107" i="9"/>
  <c r="K108" i="9"/>
  <c r="K109" i="9"/>
  <c r="K110" i="9"/>
  <c r="K111" i="9"/>
  <c r="K112" i="9"/>
  <c r="K113" i="9"/>
  <c r="K114" i="9"/>
  <c r="K115" i="9"/>
  <c r="K116" i="9"/>
  <c r="K117" i="9"/>
  <c r="K118" i="9"/>
  <c r="K119" i="9"/>
  <c r="K120" i="9"/>
  <c r="K121" i="9"/>
  <c r="K122" i="9"/>
  <c r="K123" i="9"/>
  <c r="K124" i="9"/>
  <c r="K125" i="9"/>
  <c r="K126" i="9"/>
  <c r="K127" i="9"/>
  <c r="K128" i="9"/>
  <c r="K129" i="9"/>
  <c r="K130" i="9"/>
  <c r="K131" i="9"/>
  <c r="K132" i="9"/>
  <c r="K133" i="9"/>
  <c r="K134" i="9"/>
  <c r="K135" i="9"/>
  <c r="K136" i="9"/>
  <c r="K137" i="9"/>
  <c r="K138" i="9"/>
  <c r="K139" i="9"/>
  <c r="K140" i="9"/>
  <c r="K141" i="9"/>
  <c r="K142" i="9"/>
  <c r="K143" i="9"/>
  <c r="K144" i="9"/>
  <c r="K145" i="9"/>
  <c r="K146" i="9"/>
  <c r="K147" i="9"/>
  <c r="K148" i="9"/>
  <c r="K149" i="9"/>
  <c r="K150" i="9"/>
  <c r="K151" i="9"/>
  <c r="K152" i="9"/>
  <c r="K153" i="9"/>
  <c r="K154" i="9"/>
  <c r="K155" i="9"/>
  <c r="K156" i="9"/>
  <c r="K157" i="9"/>
  <c r="K158" i="9"/>
  <c r="K159" i="9"/>
  <c r="K160" i="9"/>
  <c r="K161" i="9"/>
  <c r="K162" i="9"/>
  <c r="K163" i="9"/>
  <c r="K164" i="9"/>
  <c r="K165" i="9"/>
  <c r="K166" i="9"/>
  <c r="K167" i="9"/>
  <c r="K168" i="9"/>
  <c r="K169" i="9"/>
  <c r="K170" i="9"/>
  <c r="K171" i="9"/>
  <c r="K172" i="9"/>
  <c r="K173" i="9"/>
  <c r="K174" i="9"/>
  <c r="K175" i="9"/>
  <c r="K176" i="9"/>
  <c r="K177" i="9"/>
  <c r="K178" i="9"/>
  <c r="K179" i="9"/>
  <c r="K180" i="9"/>
  <c r="K181" i="9"/>
  <c r="K182" i="9"/>
  <c r="K183" i="9"/>
  <c r="K184" i="9"/>
  <c r="K185" i="9"/>
  <c r="K186" i="9"/>
  <c r="K187" i="9"/>
  <c r="K188" i="9"/>
  <c r="K189" i="9"/>
  <c r="K190" i="9"/>
  <c r="K191" i="9"/>
  <c r="K192" i="9"/>
  <c r="K193" i="9"/>
  <c r="K194" i="9"/>
  <c r="K195" i="9"/>
  <c r="K196" i="9"/>
  <c r="K197" i="9"/>
  <c r="K198" i="9"/>
  <c r="K199" i="9"/>
  <c r="K200" i="9"/>
  <c r="K201" i="9"/>
  <c r="K202" i="9"/>
  <c r="K203" i="9"/>
  <c r="K204" i="9"/>
  <c r="K205" i="9"/>
  <c r="K206" i="9"/>
  <c r="K207" i="9"/>
  <c r="K208" i="9"/>
  <c r="K209" i="9"/>
  <c r="K210" i="9"/>
  <c r="K211" i="9"/>
  <c r="K212" i="9"/>
  <c r="K5" i="9"/>
  <c r="P12" i="5"/>
  <c r="B356" i="80" l="1"/>
  <c r="B159" i="80"/>
  <c r="S212" i="9"/>
  <c r="S210" i="9"/>
  <c r="W3" i="5"/>
  <c r="T212" i="9"/>
  <c r="T210" i="9"/>
  <c r="S213" i="9"/>
  <c r="S215" i="9"/>
  <c r="S217" i="9"/>
  <c r="S219" i="9"/>
  <c r="S221" i="9"/>
  <c r="S223" i="9"/>
  <c r="S225" i="9"/>
  <c r="S227" i="9"/>
  <c r="S229" i="9"/>
  <c r="S231" i="9"/>
  <c r="S233" i="9"/>
  <c r="S235" i="9"/>
  <c r="S237" i="9"/>
  <c r="S239" i="9"/>
  <c r="S241" i="9"/>
  <c r="S243" i="9"/>
  <c r="S245" i="9"/>
  <c r="S247" i="9"/>
  <c r="S249" i="9"/>
  <c r="S251" i="9"/>
  <c r="S253" i="9"/>
  <c r="S255" i="9"/>
  <c r="S257" i="9"/>
  <c r="S259" i="9"/>
  <c r="S261" i="9"/>
  <c r="S263" i="9"/>
  <c r="S265" i="9"/>
  <c r="S267" i="9"/>
  <c r="S269" i="9"/>
  <c r="S271" i="9"/>
  <c r="S273" i="9"/>
  <c r="S275" i="9"/>
  <c r="S277" i="9"/>
  <c r="S279" i="9"/>
  <c r="S281" i="9"/>
  <c r="S283" i="9"/>
  <c r="S285" i="9"/>
  <c r="S287" i="9"/>
  <c r="S289" i="9"/>
  <c r="S291" i="9"/>
  <c r="S293" i="9"/>
  <c r="S295" i="9"/>
  <c r="S297" i="9"/>
  <c r="S299" i="9"/>
  <c r="S301" i="9"/>
  <c r="S303" i="9"/>
  <c r="S305" i="9"/>
  <c r="S307" i="9"/>
  <c r="S309" i="9"/>
  <c r="S311" i="9"/>
  <c r="S313" i="9"/>
  <c r="S315" i="9"/>
  <c r="S317" i="9"/>
  <c r="S319" i="9"/>
  <c r="S321" i="9"/>
  <c r="S323" i="9"/>
  <c r="S325" i="9"/>
  <c r="S327" i="9"/>
  <c r="S329" i="9"/>
  <c r="S331" i="9"/>
  <c r="S333" i="9"/>
  <c r="S335" i="9"/>
  <c r="S337" i="9"/>
  <c r="S339" i="9"/>
  <c r="S341" i="9"/>
  <c r="S343" i="9"/>
  <c r="S345" i="9"/>
  <c r="S347" i="9"/>
  <c r="S349" i="9"/>
  <c r="S351" i="9"/>
  <c r="S353" i="9"/>
  <c r="S355" i="9"/>
  <c r="S357" i="9"/>
  <c r="S359" i="9"/>
  <c r="S361" i="9"/>
  <c r="S363" i="9"/>
  <c r="S365" i="9"/>
  <c r="S367" i="9"/>
  <c r="S369" i="9"/>
  <c r="S371" i="9"/>
  <c r="S373" i="9"/>
  <c r="S375" i="9"/>
  <c r="S377" i="9"/>
  <c r="S214" i="9"/>
  <c r="S216" i="9"/>
  <c r="S218" i="9"/>
  <c r="S220" i="9"/>
  <c r="S222" i="9"/>
  <c r="S224" i="9"/>
  <c r="S226" i="9"/>
  <c r="S228" i="9"/>
  <c r="S230" i="9"/>
  <c r="S232" i="9"/>
  <c r="S234" i="9"/>
  <c r="S236" i="9"/>
  <c r="S238" i="9"/>
  <c r="S240" i="9"/>
  <c r="S242" i="9"/>
  <c r="S244" i="9"/>
  <c r="S246" i="9"/>
  <c r="S248" i="9"/>
  <c r="S250" i="9"/>
  <c r="S252" i="9"/>
  <c r="S254" i="9"/>
  <c r="S256" i="9"/>
  <c r="S258" i="9"/>
  <c r="S260" i="9"/>
  <c r="S262" i="9"/>
  <c r="S264" i="9"/>
  <c r="S266" i="9"/>
  <c r="S268" i="9"/>
  <c r="S270" i="9"/>
  <c r="S272" i="9"/>
  <c r="S274" i="9"/>
  <c r="S276" i="9"/>
  <c r="S278" i="9"/>
  <c r="S280" i="9"/>
  <c r="S282" i="9"/>
  <c r="S284" i="9"/>
  <c r="S286" i="9"/>
  <c r="S288" i="9"/>
  <c r="S290" i="9"/>
  <c r="S292" i="9"/>
  <c r="S294" i="9"/>
  <c r="S296" i="9"/>
  <c r="S298" i="9"/>
  <c r="S300" i="9"/>
  <c r="S302" i="9"/>
  <c r="S304" i="9"/>
  <c r="S306" i="9"/>
  <c r="S308" i="9"/>
  <c r="S310" i="9"/>
  <c r="S312" i="9"/>
  <c r="S314" i="9"/>
  <c r="S316" i="9"/>
  <c r="S318" i="9"/>
  <c r="S320" i="9"/>
  <c r="S322" i="9"/>
  <c r="S324" i="9"/>
  <c r="S326" i="9"/>
  <c r="S328" i="9"/>
  <c r="S330" i="9"/>
  <c r="S332" i="9"/>
  <c r="S334" i="9"/>
  <c r="S336" i="9"/>
  <c r="S338" i="9"/>
  <c r="S340" i="9"/>
  <c r="S342" i="9"/>
  <c r="S344" i="9"/>
  <c r="S346" i="9"/>
  <c r="S348" i="9"/>
  <c r="S350" i="9"/>
  <c r="S352" i="9"/>
  <c r="S354" i="9"/>
  <c r="S356" i="9"/>
  <c r="S358" i="9"/>
  <c r="S360" i="9"/>
  <c r="S362" i="9"/>
  <c r="S364" i="9"/>
  <c r="S366" i="9"/>
  <c r="S368" i="9"/>
  <c r="S370" i="9"/>
  <c r="S372" i="9"/>
  <c r="S374" i="9"/>
  <c r="S376" i="9"/>
  <c r="S378" i="9"/>
  <c r="S380" i="9"/>
  <c r="S382" i="9"/>
  <c r="S384" i="9"/>
  <c r="S386" i="9"/>
  <c r="S388" i="9"/>
  <c r="S390" i="9"/>
  <c r="S392" i="9"/>
  <c r="S394" i="9"/>
  <c r="S396" i="9"/>
  <c r="S398" i="9"/>
  <c r="S400" i="9"/>
  <c r="S402" i="9"/>
  <c r="S404" i="9"/>
  <c r="S406" i="9"/>
  <c r="S408" i="9"/>
  <c r="S410" i="9"/>
  <c r="S412" i="9"/>
  <c r="S414" i="9"/>
  <c r="S416" i="9"/>
  <c r="S418" i="9"/>
  <c r="S420" i="9"/>
  <c r="S422" i="9"/>
  <c r="S424" i="9"/>
  <c r="S426" i="9"/>
  <c r="S428" i="9"/>
  <c r="S430" i="9"/>
  <c r="S432" i="9"/>
  <c r="S434" i="9"/>
  <c r="S436" i="9"/>
  <c r="S438" i="9"/>
  <c r="S440" i="9"/>
  <c r="S442" i="9"/>
  <c r="S444" i="9"/>
  <c r="S446" i="9"/>
  <c r="S448" i="9"/>
  <c r="S450" i="9"/>
  <c r="S452" i="9"/>
  <c r="S454" i="9"/>
  <c r="S456" i="9"/>
  <c r="S458" i="9"/>
  <c r="S460" i="9"/>
  <c r="S462" i="9"/>
  <c r="S464" i="9"/>
  <c r="S466" i="9"/>
  <c r="S468" i="9"/>
  <c r="S470" i="9"/>
  <c r="S472" i="9"/>
  <c r="S474" i="9"/>
  <c r="S476" i="9"/>
  <c r="S478" i="9"/>
  <c r="S480" i="9"/>
  <c r="S482" i="9"/>
  <c r="S484" i="9"/>
  <c r="S486" i="9"/>
  <c r="S488" i="9"/>
  <c r="S490" i="9"/>
  <c r="S492" i="9"/>
  <c r="S494" i="9"/>
  <c r="S496" i="9"/>
  <c r="S498" i="9"/>
  <c r="S500" i="9"/>
  <c r="S502" i="9"/>
  <c r="S504" i="9"/>
  <c r="S506" i="9"/>
  <c r="S508" i="9"/>
  <c r="S510" i="9"/>
  <c r="S512" i="9"/>
  <c r="S514" i="9"/>
  <c r="S516" i="9"/>
  <c r="S518" i="9"/>
  <c r="S520" i="9"/>
  <c r="S522" i="9"/>
  <c r="S524" i="9"/>
  <c r="S526" i="9"/>
  <c r="S528" i="9"/>
  <c r="S530" i="9"/>
  <c r="S532" i="9"/>
  <c r="S534" i="9"/>
  <c r="S536" i="9"/>
  <c r="S538" i="9"/>
  <c r="S540" i="9"/>
  <c r="S542" i="9"/>
  <c r="S544" i="9"/>
  <c r="S546" i="9"/>
  <c r="S548" i="9"/>
  <c r="S550" i="9"/>
  <c r="S552" i="9"/>
  <c r="S554" i="9"/>
  <c r="S556" i="9"/>
  <c r="S558" i="9"/>
  <c r="S560" i="9"/>
  <c r="S562" i="9"/>
  <c r="S564" i="9"/>
  <c r="S566" i="9"/>
  <c r="S568" i="9"/>
  <c r="S570" i="9"/>
  <c r="S572" i="9"/>
  <c r="S574" i="9"/>
  <c r="S576" i="9"/>
  <c r="S578" i="9"/>
  <c r="S580" i="9"/>
  <c r="S582" i="9"/>
  <c r="S584" i="9"/>
  <c r="S586" i="9"/>
  <c r="S588" i="9"/>
  <c r="S590" i="9"/>
  <c r="S379" i="9"/>
  <c r="S381" i="9"/>
  <c r="S383" i="9"/>
  <c r="S385" i="9"/>
  <c r="S387" i="9"/>
  <c r="S389" i="9"/>
  <c r="S391" i="9"/>
  <c r="S393" i="9"/>
  <c r="S395" i="9"/>
  <c r="S397" i="9"/>
  <c r="S399" i="9"/>
  <c r="S401" i="9"/>
  <c r="S403" i="9"/>
  <c r="S405" i="9"/>
  <c r="S407" i="9"/>
  <c r="S409" i="9"/>
  <c r="S411" i="9"/>
  <c r="S413" i="9"/>
  <c r="S415" i="9"/>
  <c r="S417" i="9"/>
  <c r="S419" i="9"/>
  <c r="S421" i="9"/>
  <c r="S423" i="9"/>
  <c r="S425" i="9"/>
  <c r="S427" i="9"/>
  <c r="S429" i="9"/>
  <c r="S431" i="9"/>
  <c r="S433" i="9"/>
  <c r="S435" i="9"/>
  <c r="S437" i="9"/>
  <c r="S439" i="9"/>
  <c r="S441" i="9"/>
  <c r="S443" i="9"/>
  <c r="S445" i="9"/>
  <c r="S447" i="9"/>
  <c r="S449" i="9"/>
  <c r="S451" i="9"/>
  <c r="S453" i="9"/>
  <c r="S455" i="9"/>
  <c r="S457" i="9"/>
  <c r="S459" i="9"/>
  <c r="S461" i="9"/>
  <c r="S463" i="9"/>
  <c r="S465" i="9"/>
  <c r="S467" i="9"/>
  <c r="S469" i="9"/>
  <c r="S471" i="9"/>
  <c r="S473" i="9"/>
  <c r="S475" i="9"/>
  <c r="S477" i="9"/>
  <c r="S479" i="9"/>
  <c r="S481" i="9"/>
  <c r="S483" i="9"/>
  <c r="S485" i="9"/>
  <c r="S487" i="9"/>
  <c r="S489" i="9"/>
  <c r="S491" i="9"/>
  <c r="S493" i="9"/>
  <c r="S495" i="9"/>
  <c r="S497" i="9"/>
  <c r="S499" i="9"/>
  <c r="S501" i="9"/>
  <c r="S503" i="9"/>
  <c r="S505" i="9"/>
  <c r="S507" i="9"/>
  <c r="S509" i="9"/>
  <c r="S511" i="9"/>
  <c r="S513" i="9"/>
  <c r="S515" i="9"/>
  <c r="S517" i="9"/>
  <c r="S519" i="9"/>
  <c r="S521" i="9"/>
  <c r="S523" i="9"/>
  <c r="S525" i="9"/>
  <c r="S527" i="9"/>
  <c r="S529" i="9"/>
  <c r="S531" i="9"/>
  <c r="S533" i="9"/>
  <c r="S535" i="9"/>
  <c r="S537" i="9"/>
  <c r="S539" i="9"/>
  <c r="S541" i="9"/>
  <c r="S543" i="9"/>
  <c r="S545" i="9"/>
  <c r="S547" i="9"/>
  <c r="S549" i="9"/>
  <c r="S551" i="9"/>
  <c r="S553" i="9"/>
  <c r="S555" i="9"/>
  <c r="S557" i="9"/>
  <c r="S559" i="9"/>
  <c r="S561" i="9"/>
  <c r="S563" i="9"/>
  <c r="S565" i="9"/>
  <c r="S567" i="9"/>
  <c r="S569" i="9"/>
  <c r="S571" i="9"/>
  <c r="S573" i="9"/>
  <c r="S575" i="9"/>
  <c r="S577" i="9"/>
  <c r="S579" i="9"/>
  <c r="S581" i="9"/>
  <c r="S583" i="9"/>
  <c r="S585" i="9"/>
  <c r="S587" i="9"/>
  <c r="S589" i="9"/>
  <c r="S591" i="9"/>
  <c r="S211" i="9"/>
  <c r="S209" i="9"/>
  <c r="S207" i="9"/>
  <c r="S205" i="9"/>
  <c r="S203" i="9"/>
  <c r="S201" i="9"/>
  <c r="S199" i="9"/>
  <c r="S197" i="9"/>
  <c r="S195" i="9"/>
  <c r="S193" i="9"/>
  <c r="S191" i="9"/>
  <c r="S189" i="9"/>
  <c r="S187" i="9"/>
  <c r="S185" i="9"/>
  <c r="S183" i="9"/>
  <c r="S181" i="9"/>
  <c r="S179" i="9"/>
  <c r="S177" i="9"/>
  <c r="S175" i="9"/>
  <c r="S173" i="9"/>
  <c r="S169" i="9"/>
  <c r="S167" i="9"/>
  <c r="S165" i="9"/>
  <c r="S163" i="9"/>
  <c r="S159" i="9"/>
  <c r="S157" i="9"/>
  <c r="S208" i="9"/>
  <c r="S206" i="9"/>
  <c r="S204" i="9"/>
  <c r="S200" i="9"/>
  <c r="S198" i="9"/>
  <c r="S194" i="9"/>
  <c r="S190" i="9"/>
  <c r="S188" i="9"/>
  <c r="S186" i="9"/>
  <c r="S184" i="9"/>
  <c r="S180" i="9"/>
  <c r="S178" i="9"/>
  <c r="S176" i="9"/>
  <c r="S174" i="9"/>
  <c r="S172" i="9"/>
  <c r="S170" i="9"/>
  <c r="S168" i="9"/>
  <c r="S166" i="9"/>
  <c r="S164" i="9"/>
  <c r="S162" i="9"/>
  <c r="S160" i="9"/>
  <c r="S158" i="9"/>
  <c r="S154" i="9"/>
  <c r="S152" i="9"/>
  <c r="S148" i="9"/>
  <c r="S155" i="9"/>
  <c r="S153" i="9"/>
  <c r="S151" i="9"/>
  <c r="S149" i="9"/>
  <c r="S147" i="9"/>
  <c r="S143" i="9"/>
  <c r="S141" i="9"/>
  <c r="S139" i="9"/>
  <c r="S137" i="9"/>
  <c r="S135" i="9"/>
  <c r="S133" i="9"/>
  <c r="S131" i="9"/>
  <c r="S129" i="9"/>
  <c r="S125" i="9"/>
  <c r="S123" i="9"/>
  <c r="S121" i="9"/>
  <c r="S117" i="9"/>
  <c r="S115" i="9"/>
  <c r="S113" i="9"/>
  <c r="S109" i="9"/>
  <c r="S107" i="9"/>
  <c r="S103" i="9"/>
  <c r="S99" i="9"/>
  <c r="S97" i="9"/>
  <c r="S95" i="9"/>
  <c r="S93" i="9"/>
  <c r="S89" i="9"/>
  <c r="S87" i="9"/>
  <c r="S83" i="9"/>
  <c r="S81" i="9"/>
  <c r="S79" i="9"/>
  <c r="S77" i="9"/>
  <c r="S75" i="9"/>
  <c r="S71" i="9"/>
  <c r="S69" i="9"/>
  <c r="S67" i="9"/>
  <c r="S61" i="9"/>
  <c r="S59" i="9"/>
  <c r="S57" i="9"/>
  <c r="S55" i="9"/>
  <c r="S53" i="9"/>
  <c r="S51" i="9"/>
  <c r="S49" i="9"/>
  <c r="S45" i="9"/>
  <c r="S43" i="9"/>
  <c r="S41" i="9"/>
  <c r="S39" i="9"/>
  <c r="S37" i="9"/>
  <c r="S35" i="9"/>
  <c r="S31" i="9"/>
  <c r="S27" i="9"/>
  <c r="S25" i="9"/>
  <c r="S23" i="9"/>
  <c r="S19" i="9"/>
  <c r="S17" i="9"/>
  <c r="S15" i="9"/>
  <c r="S13" i="9"/>
  <c r="S11" i="9"/>
  <c r="S9" i="9"/>
  <c r="S7" i="9"/>
  <c r="S146" i="9"/>
  <c r="S144" i="9"/>
  <c r="S142" i="9"/>
  <c r="S138" i="9"/>
  <c r="S136" i="9"/>
  <c r="S134" i="9"/>
  <c r="S132" i="9"/>
  <c r="S130" i="9"/>
  <c r="S128" i="9"/>
  <c r="S126" i="9"/>
  <c r="S124" i="9"/>
  <c r="S122" i="9"/>
  <c r="S120" i="9"/>
  <c r="S118" i="9"/>
  <c r="S114" i="9"/>
  <c r="S112" i="9"/>
  <c r="S110" i="9"/>
  <c r="S108" i="9"/>
  <c r="S106" i="9"/>
  <c r="S104" i="9"/>
  <c r="S102" i="9"/>
  <c r="S100" i="9"/>
  <c r="S98" i="9"/>
  <c r="S92" i="9"/>
  <c r="S90" i="9"/>
  <c r="S88" i="9"/>
  <c r="S86" i="9"/>
  <c r="S84" i="9"/>
  <c r="S82" i="9"/>
  <c r="S80" i="9"/>
  <c r="S78" i="9"/>
  <c r="S76" i="9"/>
  <c r="S74" i="9"/>
  <c r="S72" i="9"/>
  <c r="S68" i="9"/>
  <c r="S66" i="9"/>
  <c r="S64" i="9"/>
  <c r="S60" i="9"/>
  <c r="S58" i="9"/>
  <c r="S56" i="9"/>
  <c r="S52" i="9"/>
  <c r="S50" i="9"/>
  <c r="S48" i="9"/>
  <c r="S46" i="9"/>
  <c r="S44" i="9"/>
  <c r="S42" i="9"/>
  <c r="S40" i="9"/>
  <c r="S36" i="9"/>
  <c r="S34" i="9"/>
  <c r="S32" i="9"/>
  <c r="S30" i="9"/>
  <c r="S28" i="9"/>
  <c r="S26" i="9"/>
  <c r="S24" i="9"/>
  <c r="S22" i="9"/>
  <c r="S20" i="9"/>
  <c r="S18" i="9"/>
  <c r="S16" i="9"/>
  <c r="S14" i="9"/>
  <c r="S12" i="9"/>
  <c r="S10" i="9"/>
  <c r="S8" i="9"/>
  <c r="S6" i="9"/>
  <c r="Q9" i="57" l="1"/>
  <c r="Q10" i="57"/>
  <c r="Q11" i="57"/>
  <c r="Q12" i="57"/>
  <c r="Q13" i="57"/>
  <c r="Q14" i="57"/>
  <c r="Q15" i="57"/>
  <c r="Q16" i="57"/>
  <c r="Q17" i="57"/>
  <c r="Q18" i="57"/>
  <c r="Q19" i="57"/>
  <c r="Q20" i="57"/>
  <c r="Q21" i="57"/>
  <c r="Q22" i="57"/>
  <c r="Q8" i="57"/>
  <c r="J1" i="3" l="1"/>
  <c r="B20" i="80" s="1"/>
  <c r="AP8" i="14" l="1"/>
  <c r="P42" i="5"/>
  <c r="N58" i="3"/>
  <c r="F5" i="55" l="1"/>
  <c r="D5" i="55"/>
  <c r="I5" i="55"/>
  <c r="E5" i="55"/>
  <c r="J40" i="6"/>
  <c r="C5" i="55"/>
  <c r="H5" i="55"/>
  <c r="F12" i="6"/>
  <c r="B8" i="3"/>
  <c r="B309" i="80" l="1"/>
  <c r="B55" i="80"/>
  <c r="F21" i="3"/>
  <c r="E31" i="2"/>
  <c r="E48" i="2"/>
  <c r="E50" i="3"/>
  <c r="E42" i="3"/>
  <c r="E46" i="3"/>
  <c r="E39" i="2"/>
  <c r="E35" i="2"/>
  <c r="E45" i="2"/>
  <c r="E52" i="2"/>
  <c r="C4" i="55"/>
  <c r="E27" i="2"/>
  <c r="E42" i="2"/>
  <c r="F42" i="3" l="1"/>
  <c r="L21" i="3"/>
  <c r="F46" i="3"/>
  <c r="O62" i="2"/>
  <c r="X62" i="2" s="1"/>
  <c r="O61" i="2"/>
  <c r="X61" i="2" s="1"/>
  <c r="O60" i="2"/>
  <c r="O58" i="2"/>
  <c r="X58" i="2" s="1"/>
  <c r="O57" i="2"/>
  <c r="X57" i="2" s="1"/>
  <c r="O56" i="2"/>
  <c r="F27" i="3"/>
  <c r="T62" i="2"/>
  <c r="T60" i="2"/>
  <c r="T57" i="2"/>
  <c r="T56" i="2"/>
  <c r="T61" i="2"/>
  <c r="T58" i="2"/>
  <c r="L27" i="3" l="1"/>
  <c r="M27" i="3" s="1"/>
  <c r="M21" i="3"/>
  <c r="N21" i="3"/>
  <c r="X56" i="2"/>
  <c r="Y56" i="2" s="1"/>
  <c r="X60" i="2"/>
  <c r="Y60" i="2" s="1"/>
  <c r="Y61" i="2"/>
  <c r="Y62" i="2"/>
  <c r="Y57" i="2"/>
  <c r="Y58" i="2"/>
  <c r="P57" i="2"/>
  <c r="Q57" i="2" s="1"/>
  <c r="R57" i="2" s="1"/>
  <c r="Q9" i="73"/>
  <c r="AS18" i="73"/>
  <c r="Q16" i="73"/>
  <c r="P60" i="2"/>
  <c r="P56" i="2"/>
  <c r="P61" i="2"/>
  <c r="P62" i="2"/>
  <c r="Q62" i="2" s="1"/>
  <c r="P58" i="2"/>
  <c r="Q58" i="2" s="1"/>
  <c r="R58" i="2" s="1"/>
  <c r="X2" i="3"/>
  <c r="O1" i="3"/>
  <c r="B45" i="80" s="1"/>
  <c r="H1" i="3"/>
  <c r="B4" i="80" s="1"/>
  <c r="Q62" i="6"/>
  <c r="F26" i="3"/>
  <c r="L26" i="3" s="1"/>
  <c r="F25" i="3"/>
  <c r="L25" i="3" s="1"/>
  <c r="T9" i="73"/>
  <c r="U56" i="2"/>
  <c r="S16" i="73"/>
  <c r="U57" i="2"/>
  <c r="T16" i="73"/>
  <c r="J16" i="73"/>
  <c r="J9" i="73"/>
  <c r="S9" i="73"/>
  <c r="U62" i="2"/>
  <c r="U58" i="2"/>
  <c r="U60" i="2"/>
  <c r="P12" i="3"/>
  <c r="U61" i="2"/>
  <c r="I9" i="73" l="1"/>
  <c r="B261" i="80"/>
  <c r="B9" i="80"/>
  <c r="N27" i="3"/>
  <c r="I7" i="78"/>
  <c r="I44" i="78" s="1"/>
  <c r="N25" i="3"/>
  <c r="M25" i="3"/>
  <c r="M26" i="3"/>
  <c r="N26" i="3"/>
  <c r="I16" i="73"/>
  <c r="P16" i="73"/>
  <c r="P9" i="73"/>
  <c r="W62" i="2"/>
  <c r="W61" i="2"/>
  <c r="V9" i="73"/>
  <c r="O9" i="73" s="1"/>
  <c r="N9" i="73" s="1"/>
  <c r="M9" i="73" s="1"/>
  <c r="W60" i="2"/>
  <c r="V16" i="73"/>
  <c r="W57" i="2"/>
  <c r="W56" i="2"/>
  <c r="W58" i="2"/>
  <c r="Q60" i="2"/>
  <c r="R60" i="2" s="1"/>
  <c r="Q56" i="2"/>
  <c r="R56" i="2" s="1"/>
  <c r="R62" i="2"/>
  <c r="Q61" i="2"/>
  <c r="R61" i="2" s="1"/>
  <c r="X3" i="3"/>
  <c r="F23" i="3"/>
  <c r="I3" i="63"/>
  <c r="K6" i="43"/>
  <c r="K5" i="43"/>
  <c r="U9" i="73"/>
  <c r="U16" i="73"/>
  <c r="J4" i="43"/>
  <c r="K7" i="43"/>
  <c r="F44" i="3" l="1"/>
  <c r="L23" i="3"/>
  <c r="F48" i="3"/>
  <c r="AJ9" i="73"/>
  <c r="W9" i="73"/>
  <c r="AB9" i="73"/>
  <c r="W16" i="73"/>
  <c r="O16" i="73"/>
  <c r="N16" i="73" s="1"/>
  <c r="M16" i="73" s="1"/>
  <c r="AB16" i="73"/>
  <c r="AJ16" i="73"/>
  <c r="T10" i="2"/>
  <c r="T7" i="2"/>
  <c r="T8" i="2"/>
  <c r="T6" i="2"/>
  <c r="Q58" i="6"/>
  <c r="Q59" i="6"/>
  <c r="Q60" i="6"/>
  <c r="I21" i="14"/>
  <c r="X16" i="73"/>
  <c r="X9" i="73"/>
  <c r="M23" i="3" l="1"/>
  <c r="N23" i="3"/>
  <c r="Y9" i="73"/>
  <c r="E6" i="63" a="1"/>
  <c r="E6" i="63" s="1"/>
  <c r="R10" i="14"/>
  <c r="T7" i="5" a="1"/>
  <c r="J3" i="57"/>
  <c r="Z9" i="2"/>
  <c r="A11" i="58"/>
  <c r="Z8" i="2"/>
  <c r="B9" i="33"/>
  <c r="B434" i="80" l="1"/>
  <c r="B411" i="80"/>
  <c r="B235" i="80"/>
  <c r="B212" i="80"/>
  <c r="Y16" i="73"/>
  <c r="T7" i="5"/>
  <c r="E25" i="63"/>
  <c r="E30" i="63" s="1" a="1"/>
  <c r="E30" i="63" s="1"/>
  <c r="E35" i="63" s="1" a="1"/>
  <c r="E35" i="63" s="1"/>
  <c r="E40" i="63" s="1" a="1"/>
  <c r="E40" i="63" s="1"/>
  <c r="E45" i="63" s="1" a="1"/>
  <c r="E45" i="63" s="1"/>
  <c r="E50" i="63" s="1" a="1"/>
  <c r="E50" i="63" s="1"/>
  <c r="E55" i="63" s="1" a="1"/>
  <c r="E55" i="63" s="1"/>
  <c r="E60" i="63" s="1" a="1"/>
  <c r="E60" i="63" s="1"/>
  <c r="E65" i="63" s="1" a="1"/>
  <c r="E65" i="63" s="1"/>
  <c r="E70" i="63" s="1" a="1"/>
  <c r="E70" i="63" s="1"/>
  <c r="E75" i="63" s="1" a="1"/>
  <c r="E75" i="63" s="1"/>
  <c r="E80" i="63" s="1" a="1"/>
  <c r="E80" i="63" s="1"/>
  <c r="E85" i="63" s="1" a="1"/>
  <c r="E85" i="63" s="1"/>
  <c r="E90" i="63" s="1" a="1"/>
  <c r="E90" i="63" s="1"/>
  <c r="E17" i="63"/>
  <c r="E9" i="63"/>
  <c r="E28" i="63"/>
  <c r="E33" i="63" s="1" a="1"/>
  <c r="E33" i="63" s="1"/>
  <c r="E38" i="63" s="1" a="1"/>
  <c r="E38" i="63" s="1"/>
  <c r="E43" i="63" s="1" a="1"/>
  <c r="E43" i="63" s="1"/>
  <c r="E48" i="63" s="1" a="1"/>
  <c r="E48" i="63" s="1"/>
  <c r="E53" i="63" s="1" a="1"/>
  <c r="E53" i="63" s="1"/>
  <c r="E58" i="63" s="1" a="1"/>
  <c r="E58" i="63" s="1"/>
  <c r="E63" i="63" s="1" a="1"/>
  <c r="E63" i="63" s="1"/>
  <c r="E68" i="63" s="1" a="1"/>
  <c r="E68" i="63" s="1"/>
  <c r="E73" i="63" s="1" a="1"/>
  <c r="E73" i="63" s="1"/>
  <c r="E78" i="63" s="1" a="1"/>
  <c r="E78" i="63" s="1"/>
  <c r="E83" i="63" s="1" a="1"/>
  <c r="E83" i="63" s="1"/>
  <c r="E88" i="63" s="1" a="1"/>
  <c r="E88" i="63" s="1"/>
  <c r="E93" i="63" s="1" a="1"/>
  <c r="E93" i="63" s="1"/>
  <c r="E20" i="63"/>
  <c r="E12" i="63"/>
  <c r="E27" i="63"/>
  <c r="E32" i="63" s="1" a="1"/>
  <c r="E32" i="63" s="1"/>
  <c r="E37" i="63" s="1" a="1"/>
  <c r="E37" i="63" s="1"/>
  <c r="E42" i="63" s="1" a="1"/>
  <c r="E42" i="63" s="1"/>
  <c r="E47" i="63" s="1" a="1"/>
  <c r="E47" i="63" s="1"/>
  <c r="E52" i="63" s="1" a="1"/>
  <c r="E52" i="63" s="1"/>
  <c r="E57" i="63" s="1" a="1"/>
  <c r="E57" i="63" s="1"/>
  <c r="E62" i="63" s="1" a="1"/>
  <c r="E62" i="63" s="1"/>
  <c r="E67" i="63" s="1" a="1"/>
  <c r="E67" i="63" s="1"/>
  <c r="E72" i="63" s="1" a="1"/>
  <c r="E72" i="63" s="1"/>
  <c r="E77" i="63" s="1" a="1"/>
  <c r="E77" i="63" s="1"/>
  <c r="E82" i="63" s="1" a="1"/>
  <c r="E82" i="63" s="1"/>
  <c r="E87" i="63" s="1" a="1"/>
  <c r="E87" i="63" s="1"/>
  <c r="E92" i="63" s="1" a="1"/>
  <c r="E92" i="63" s="1"/>
  <c r="E23" i="63"/>
  <c r="E19" i="63"/>
  <c r="E15" i="63"/>
  <c r="E11" i="63"/>
  <c r="E7" i="63"/>
  <c r="E21" i="63"/>
  <c r="E13" i="63"/>
  <c r="E24" i="63"/>
  <c r="E29" i="63" s="1" a="1"/>
  <c r="E29" i="63" s="1"/>
  <c r="E34" i="63" s="1" a="1"/>
  <c r="E34" i="63" s="1"/>
  <c r="E39" i="63" s="1" a="1"/>
  <c r="E39" i="63" s="1"/>
  <c r="E44" i="63" s="1" a="1"/>
  <c r="E44" i="63" s="1"/>
  <c r="E49" i="63" s="1" a="1"/>
  <c r="E49" i="63" s="1"/>
  <c r="E54" i="63" s="1" a="1"/>
  <c r="E54" i="63" s="1"/>
  <c r="E59" i="63" s="1" a="1"/>
  <c r="E59" i="63" s="1"/>
  <c r="E64" i="63" s="1" a="1"/>
  <c r="E64" i="63" s="1"/>
  <c r="E69" i="63" s="1" a="1"/>
  <c r="E69" i="63" s="1"/>
  <c r="E74" i="63" s="1" a="1"/>
  <c r="E74" i="63" s="1"/>
  <c r="E79" i="63" s="1" a="1"/>
  <c r="E79" i="63" s="1"/>
  <c r="E84" i="63" s="1" a="1"/>
  <c r="E84" i="63" s="1"/>
  <c r="E89" i="63" s="1" a="1"/>
  <c r="E89" i="63" s="1"/>
  <c r="E94" i="63" s="1" a="1"/>
  <c r="E94" i="63" s="1"/>
  <c r="E16" i="63"/>
  <c r="E8" i="63"/>
  <c r="E26" i="63"/>
  <c r="E31" i="63" s="1" a="1"/>
  <c r="E31" i="63" s="1"/>
  <c r="E36" i="63" s="1" a="1"/>
  <c r="E36" i="63" s="1"/>
  <c r="E41" i="63" s="1" a="1"/>
  <c r="E41" i="63" s="1"/>
  <c r="E46" i="63" s="1" a="1"/>
  <c r="E46" i="63" s="1"/>
  <c r="E51" i="63" s="1" a="1"/>
  <c r="E51" i="63" s="1"/>
  <c r="E56" i="63" s="1" a="1"/>
  <c r="E56" i="63" s="1"/>
  <c r="E61" i="63" s="1" a="1"/>
  <c r="E61" i="63" s="1"/>
  <c r="E66" i="63" s="1" a="1"/>
  <c r="E66" i="63" s="1"/>
  <c r="E71" i="63" s="1" a="1"/>
  <c r="E71" i="63" s="1"/>
  <c r="E76" i="63" s="1" a="1"/>
  <c r="E76" i="63" s="1"/>
  <c r="E81" i="63" s="1" a="1"/>
  <c r="E81" i="63" s="1"/>
  <c r="E86" i="63" s="1" a="1"/>
  <c r="E86" i="63" s="1"/>
  <c r="E91" i="63" s="1" a="1"/>
  <c r="E91" i="63" s="1"/>
  <c r="E22" i="63"/>
  <c r="E18" i="63"/>
  <c r="E14" i="63"/>
  <c r="E10" i="63"/>
  <c r="B15" i="15" l="1"/>
  <c r="C14" i="15"/>
  <c r="C15" i="15"/>
  <c r="C10" i="15"/>
  <c r="B10" i="15"/>
  <c r="D32" i="15"/>
  <c r="D20" i="15"/>
  <c r="D23" i="15"/>
  <c r="J9" i="15"/>
  <c r="B11" i="15"/>
  <c r="D12" i="15"/>
  <c r="D28" i="15"/>
  <c r="C11" i="15"/>
  <c r="D11" i="15"/>
  <c r="D24" i="15"/>
  <c r="D26" i="15"/>
  <c r="D13" i="15"/>
  <c r="D30" i="15"/>
  <c r="D29" i="15"/>
  <c r="D21" i="15"/>
  <c r="D22" i="15"/>
  <c r="D31" i="15"/>
  <c r="D33" i="15"/>
  <c r="D27" i="15"/>
  <c r="D25" i="15"/>
  <c r="G24" i="2" l="1"/>
  <c r="H24" i="2" s="1"/>
  <c r="G25" i="2"/>
  <c r="H25" i="2" s="1"/>
  <c r="T40" i="57"/>
  <c r="M40" i="57"/>
  <c r="G40" i="57"/>
  <c r="T39" i="57"/>
  <c r="M39" i="57"/>
  <c r="G39" i="57"/>
  <c r="M38" i="57"/>
  <c r="G38" i="57"/>
  <c r="T36" i="57"/>
  <c r="T35" i="57"/>
  <c r="T32" i="57"/>
  <c r="T31" i="57"/>
  <c r="T28" i="57"/>
  <c r="T27" i="57"/>
  <c r="U23" i="57"/>
  <c r="T23" i="57"/>
  <c r="S23" i="57"/>
  <c r="P23" i="57"/>
  <c r="O23" i="57"/>
  <c r="N23" i="57"/>
  <c r="M23" i="57"/>
  <c r="L23" i="57"/>
  <c r="K23" i="57"/>
  <c r="J23" i="57"/>
  <c r="I23" i="57"/>
  <c r="G23" i="57"/>
  <c r="F23" i="57"/>
  <c r="R22" i="57"/>
  <c r="H22" i="57"/>
  <c r="E22" i="57"/>
  <c r="R21" i="57"/>
  <c r="H21" i="57"/>
  <c r="E21" i="57"/>
  <c r="R20" i="57"/>
  <c r="H20" i="57"/>
  <c r="E20" i="57"/>
  <c r="R19" i="57"/>
  <c r="H19" i="57"/>
  <c r="E19" i="57"/>
  <c r="R18" i="57"/>
  <c r="H18" i="57"/>
  <c r="E18" i="57"/>
  <c r="R17" i="57"/>
  <c r="H17" i="57"/>
  <c r="E17" i="57"/>
  <c r="R16" i="57"/>
  <c r="H16" i="57"/>
  <c r="E16" i="57"/>
  <c r="R15" i="57"/>
  <c r="H15" i="57"/>
  <c r="E15" i="57"/>
  <c r="R14" i="57"/>
  <c r="H14" i="57"/>
  <c r="E14" i="57"/>
  <c r="R13" i="57"/>
  <c r="H13" i="57"/>
  <c r="E13" i="57"/>
  <c r="R12" i="57"/>
  <c r="H12" i="57"/>
  <c r="E12" i="57"/>
  <c r="R11" i="57"/>
  <c r="H11" i="57"/>
  <c r="E11" i="57"/>
  <c r="R10" i="57"/>
  <c r="H10" i="57"/>
  <c r="E10" i="57"/>
  <c r="R9" i="57"/>
  <c r="H9" i="57"/>
  <c r="E9" i="57"/>
  <c r="R8" i="57"/>
  <c r="H8" i="57"/>
  <c r="E8" i="57"/>
  <c r="Q7" i="57"/>
  <c r="H7" i="57"/>
  <c r="AM17" i="14"/>
  <c r="Q3" i="57"/>
  <c r="M3" i="57"/>
  <c r="Z6" i="2" a="1"/>
  <c r="O3" i="57"/>
  <c r="B413" i="80" l="1"/>
  <c r="B412" i="80"/>
  <c r="B410" i="80"/>
  <c r="B214" i="80"/>
  <c r="B213" i="80"/>
  <c r="B211" i="80"/>
  <c r="J24" i="2"/>
  <c r="O24" i="2" s="1"/>
  <c r="J25" i="2"/>
  <c r="H23" i="2"/>
  <c r="Z6" i="2"/>
  <c r="H23" i="57"/>
  <c r="D10" i="57"/>
  <c r="C10" i="57" s="1"/>
  <c r="D14" i="57"/>
  <c r="C14" i="57" s="1"/>
  <c r="D18" i="57"/>
  <c r="C18" i="57" s="1"/>
  <c r="D22" i="57"/>
  <c r="C22" i="57" s="1"/>
  <c r="M33" i="57"/>
  <c r="D12" i="57"/>
  <c r="C12" i="57" s="1"/>
  <c r="D16" i="57"/>
  <c r="C16" i="57" s="1"/>
  <c r="D20" i="57"/>
  <c r="C20" i="57" s="1"/>
  <c r="M30" i="57"/>
  <c r="M37" i="57"/>
  <c r="R23" i="57"/>
  <c r="M42" i="57" s="1"/>
  <c r="M35" i="57"/>
  <c r="D8" i="57"/>
  <c r="C8" i="57" s="1"/>
  <c r="D9" i="57"/>
  <c r="C9" i="57" s="1"/>
  <c r="M34" i="57"/>
  <c r="D13" i="57"/>
  <c r="C13" i="57" s="1"/>
  <c r="D15" i="57"/>
  <c r="C15" i="57" s="1"/>
  <c r="D17" i="57"/>
  <c r="C17" i="57" s="1"/>
  <c r="D19" i="57"/>
  <c r="C19" i="57" s="1"/>
  <c r="D21" i="57"/>
  <c r="C21" i="57" s="1"/>
  <c r="E23" i="57"/>
  <c r="Q23" i="57"/>
  <c r="G36" i="57"/>
  <c r="D11" i="57"/>
  <c r="C11" i="57" s="1"/>
  <c r="G29" i="57"/>
  <c r="G31" i="57"/>
  <c r="M32" i="57"/>
  <c r="G34" i="57"/>
  <c r="G37" i="57"/>
  <c r="M29" i="57"/>
  <c r="G30" i="57"/>
  <c r="G33" i="57"/>
  <c r="G35" i="57"/>
  <c r="M36" i="57"/>
  <c r="M31" i="57"/>
  <c r="G32" i="57"/>
  <c r="T24" i="2"/>
  <c r="J7" i="73"/>
  <c r="I7" i="73" l="1"/>
  <c r="X24" i="2"/>
  <c r="Y24" i="2" s="1"/>
  <c r="Q7" i="73"/>
  <c r="O25" i="2"/>
  <c r="I25" i="2"/>
  <c r="P24" i="2"/>
  <c r="O23" i="2"/>
  <c r="D23" i="57"/>
  <c r="C23" i="57" s="1"/>
  <c r="G42" i="57"/>
  <c r="E5" i="57"/>
  <c r="S7" i="73"/>
  <c r="T25" i="2"/>
  <c r="T23" i="2"/>
  <c r="T7" i="73"/>
  <c r="J6" i="73"/>
  <c r="U24" i="2"/>
  <c r="J8" i="73"/>
  <c r="I8" i="73" l="1"/>
  <c r="I6" i="73"/>
  <c r="X25" i="2"/>
  <c r="Y25" i="2" s="1"/>
  <c r="X23" i="2"/>
  <c r="Y23" i="2" s="1"/>
  <c r="P7" i="73"/>
  <c r="V7" i="73"/>
  <c r="O7" i="73" s="1"/>
  <c r="N7" i="73" s="1"/>
  <c r="M7" i="73" s="1"/>
  <c r="W24" i="2"/>
  <c r="Q8" i="73"/>
  <c r="Q24" i="2"/>
  <c r="R24" i="2" s="1"/>
  <c r="Q6" i="73"/>
  <c r="AT18" i="73"/>
  <c r="P25" i="2"/>
  <c r="P23" i="2"/>
  <c r="G54" i="2"/>
  <c r="C41" i="2" a="1"/>
  <c r="C41" i="2" s="1"/>
  <c r="G41" i="2" s="1"/>
  <c r="C36" i="2" a="1"/>
  <c r="C36" i="2" s="1"/>
  <c r="G36" i="2" s="1"/>
  <c r="C32" i="2" a="1"/>
  <c r="C32" i="2" s="1"/>
  <c r="G32" i="2" s="1"/>
  <c r="G53" i="2"/>
  <c r="C47" i="2" a="1"/>
  <c r="C47" i="2" s="1"/>
  <c r="G47" i="2" s="1"/>
  <c r="C44" i="2" a="1"/>
  <c r="C44" i="2" s="1"/>
  <c r="G44" i="2" s="1"/>
  <c r="C33" i="2" a="1"/>
  <c r="C33" i="2" s="1"/>
  <c r="G33" i="2" s="1"/>
  <c r="G50" i="2"/>
  <c r="C43" i="2" a="1"/>
  <c r="C43" i="2" s="1"/>
  <c r="G43" i="2" s="1"/>
  <c r="C40" i="2" a="1"/>
  <c r="C40" i="2" s="1"/>
  <c r="G40" i="2" s="1"/>
  <c r="C37" i="2" a="1"/>
  <c r="C37" i="2" s="1"/>
  <c r="G37" i="2" s="1"/>
  <c r="C49" i="2" a="1"/>
  <c r="C49" i="2" s="1"/>
  <c r="G49" i="2" s="1"/>
  <c r="C46" i="2" a="1"/>
  <c r="C46" i="2" s="1"/>
  <c r="G46" i="2" s="1"/>
  <c r="G29" i="2"/>
  <c r="G28" i="2"/>
  <c r="H28" i="2" s="1"/>
  <c r="F4" i="55"/>
  <c r="F3" i="55"/>
  <c r="F2" i="55"/>
  <c r="E2" i="55"/>
  <c r="D3" i="55"/>
  <c r="H2" i="55"/>
  <c r="S8" i="73"/>
  <c r="I4" i="55"/>
  <c r="U23" i="2"/>
  <c r="D2" i="55"/>
  <c r="E3" i="55"/>
  <c r="U7" i="73"/>
  <c r="T8" i="73"/>
  <c r="S6" i="73"/>
  <c r="E4" i="55"/>
  <c r="C3" i="55"/>
  <c r="H4" i="55"/>
  <c r="I2" i="55"/>
  <c r="H3" i="55"/>
  <c r="C2" i="55"/>
  <c r="D4" i="55"/>
  <c r="T6" i="73"/>
  <c r="J5" i="73"/>
  <c r="U25" i="2"/>
  <c r="I3" i="55"/>
  <c r="P8" i="73" l="1"/>
  <c r="P6" i="73"/>
  <c r="W25" i="2"/>
  <c r="V8" i="73"/>
  <c r="O8" i="73" s="1"/>
  <c r="N8" i="73" s="1"/>
  <c r="M8" i="73" s="1"/>
  <c r="V6" i="73"/>
  <c r="W23" i="2"/>
  <c r="W7" i="73"/>
  <c r="AJ7" i="73"/>
  <c r="AB7" i="73"/>
  <c r="Q25" i="2"/>
  <c r="R25" i="2" s="1"/>
  <c r="Q23" i="2"/>
  <c r="R23" i="2" s="1"/>
  <c r="J46" i="2"/>
  <c r="H46" i="2"/>
  <c r="H43" i="2"/>
  <c r="J43" i="2"/>
  <c r="C35" i="2"/>
  <c r="G35" i="2" s="1"/>
  <c r="C31" i="2"/>
  <c r="G31" i="2" s="1"/>
  <c r="H32" i="2"/>
  <c r="J32" i="2"/>
  <c r="J40" i="2"/>
  <c r="H40" i="2"/>
  <c r="C42" i="2"/>
  <c r="G42" i="2" s="1"/>
  <c r="J36" i="2"/>
  <c r="H36" i="2"/>
  <c r="C45" i="2"/>
  <c r="G45" i="2" s="1"/>
  <c r="C39" i="2"/>
  <c r="G39" i="2" s="1"/>
  <c r="H49" i="2"/>
  <c r="J49" i="2"/>
  <c r="C48" i="2"/>
  <c r="G48" i="2" s="1"/>
  <c r="J53" i="2"/>
  <c r="O53" i="2" s="1"/>
  <c r="X53" i="2" s="1"/>
  <c r="H53" i="2"/>
  <c r="G52" i="2"/>
  <c r="C27" i="2"/>
  <c r="G27" i="2" s="1"/>
  <c r="J28" i="2"/>
  <c r="U6" i="73"/>
  <c r="T53" i="2"/>
  <c r="U8" i="73"/>
  <c r="H34" i="73" l="1"/>
  <c r="U10" i="73"/>
  <c r="Y53" i="2"/>
  <c r="W6" i="73"/>
  <c r="AC6" i="73"/>
  <c r="AJ6" i="73"/>
  <c r="W8" i="73"/>
  <c r="AJ8" i="73"/>
  <c r="AB8" i="73"/>
  <c r="H35" i="2"/>
  <c r="J35" i="2"/>
  <c r="I35" i="2" s="1"/>
  <c r="H52" i="2"/>
  <c r="J52" i="2"/>
  <c r="O52" i="2" s="1"/>
  <c r="H41" i="2"/>
  <c r="J41" i="2"/>
  <c r="I40" i="2"/>
  <c r="O40" i="2"/>
  <c r="X40" i="2" s="1"/>
  <c r="I49" i="2"/>
  <c r="O49" i="2"/>
  <c r="X49" i="2" s="1"/>
  <c r="H47" i="2"/>
  <c r="J47" i="2"/>
  <c r="J44" i="2"/>
  <c r="H44" i="2"/>
  <c r="I32" i="2"/>
  <c r="O32" i="2"/>
  <c r="X32" i="2" s="1"/>
  <c r="J37" i="2"/>
  <c r="H37" i="2"/>
  <c r="J50" i="2"/>
  <c r="H50" i="2"/>
  <c r="I36" i="2"/>
  <c r="O36" i="2"/>
  <c r="X36" i="2" s="1"/>
  <c r="I43" i="2"/>
  <c r="O43" i="2"/>
  <c r="X43" i="2" s="1"/>
  <c r="P53" i="2"/>
  <c r="Q53" i="2" s="1"/>
  <c r="R53" i="2" s="1"/>
  <c r="H45" i="2"/>
  <c r="J45" i="2"/>
  <c r="H42" i="2"/>
  <c r="J42" i="2"/>
  <c r="H31" i="2"/>
  <c r="J31" i="2"/>
  <c r="H54" i="2"/>
  <c r="J54" i="2"/>
  <c r="O54" i="2" s="1"/>
  <c r="X54" i="2" s="1"/>
  <c r="H48" i="2"/>
  <c r="J48" i="2"/>
  <c r="J39" i="2"/>
  <c r="H39" i="2"/>
  <c r="H33" i="2"/>
  <c r="J33" i="2"/>
  <c r="O46" i="2"/>
  <c r="X46" i="2" s="1"/>
  <c r="I46" i="2"/>
  <c r="J27" i="2"/>
  <c r="H27" i="2"/>
  <c r="J29" i="2"/>
  <c r="H29" i="2"/>
  <c r="O28" i="2"/>
  <c r="X28" i="2" s="1"/>
  <c r="I28" i="2"/>
  <c r="E37" i="5"/>
  <c r="I7" i="79" s="1"/>
  <c r="AB6" i="73"/>
  <c r="X7" i="73"/>
  <c r="AD6" i="73"/>
  <c r="T46" i="2"/>
  <c r="T43" i="2"/>
  <c r="Y7" i="73" l="1"/>
  <c r="T28" i="2"/>
  <c r="T54" i="2"/>
  <c r="T36" i="2"/>
  <c r="T32" i="2"/>
  <c r="X8" i="73"/>
  <c r="B8" i="5"/>
  <c r="X6" i="73"/>
  <c r="T40" i="2"/>
  <c r="U53" i="2"/>
  <c r="T52" i="2"/>
  <c r="T49" i="2"/>
  <c r="B397" i="80" l="1"/>
  <c r="B197" i="80"/>
  <c r="X52" i="2"/>
  <c r="Y52" i="2" s="1"/>
  <c r="Y32" i="2"/>
  <c r="Y40" i="2"/>
  <c r="Y54" i="2"/>
  <c r="Y46" i="2"/>
  <c r="Y43" i="2"/>
  <c r="Y28" i="2"/>
  <c r="Y36" i="2"/>
  <c r="Y49" i="2"/>
  <c r="Y6" i="73"/>
  <c r="Y8" i="73"/>
  <c r="W53" i="2"/>
  <c r="P40" i="2"/>
  <c r="Q40" i="2" s="1"/>
  <c r="R40" i="2" s="1"/>
  <c r="Q15" i="73"/>
  <c r="J63" i="2"/>
  <c r="I33" i="2"/>
  <c r="O33" i="2"/>
  <c r="X33" i="2" s="1"/>
  <c r="I48" i="2"/>
  <c r="O48" i="2"/>
  <c r="X48" i="2" s="1"/>
  <c r="I31" i="2"/>
  <c r="O31" i="2"/>
  <c r="O45" i="2"/>
  <c r="X45" i="2" s="1"/>
  <c r="I45" i="2"/>
  <c r="P43" i="2"/>
  <c r="Q43" i="2" s="1"/>
  <c r="R43" i="2" s="1"/>
  <c r="P32" i="2"/>
  <c r="Q32" i="2" s="1"/>
  <c r="O47" i="2"/>
  <c r="X47" i="2" s="1"/>
  <c r="I47" i="2"/>
  <c r="P52" i="2"/>
  <c r="O50" i="2"/>
  <c r="X50" i="2" s="1"/>
  <c r="I50" i="2"/>
  <c r="P54" i="2"/>
  <c r="Q54" i="2" s="1"/>
  <c r="O42" i="2"/>
  <c r="X42" i="2" s="1"/>
  <c r="I42" i="2"/>
  <c r="P36" i="2"/>
  <c r="Q36" i="2" s="1"/>
  <c r="P49" i="2"/>
  <c r="Q49" i="2" s="1"/>
  <c r="I41" i="2"/>
  <c r="O41" i="2"/>
  <c r="X41" i="2" s="1"/>
  <c r="O35" i="2"/>
  <c r="P46" i="2"/>
  <c r="Q46" i="2" s="1"/>
  <c r="R46" i="2" s="1"/>
  <c r="I39" i="2"/>
  <c r="O39" i="2"/>
  <c r="I37" i="2"/>
  <c r="O37" i="2"/>
  <c r="X37" i="2" s="1"/>
  <c r="I44" i="2"/>
  <c r="O44" i="2"/>
  <c r="X44" i="2" s="1"/>
  <c r="P28" i="2"/>
  <c r="Q28" i="2" s="1"/>
  <c r="R28" i="2" s="1"/>
  <c r="I29" i="2"/>
  <c r="O29" i="2"/>
  <c r="X29" i="2" s="1"/>
  <c r="I27" i="2"/>
  <c r="O27" i="2"/>
  <c r="C10" i="33"/>
  <c r="J1" i="5"/>
  <c r="W2" i="5" s="1"/>
  <c r="T35" i="2"/>
  <c r="T39" i="2"/>
  <c r="T29" i="2"/>
  <c r="T45" i="2"/>
  <c r="T48" i="2"/>
  <c r="U36" i="2"/>
  <c r="U43" i="2"/>
  <c r="J15" i="73"/>
  <c r="T33" i="2"/>
  <c r="T44" i="2"/>
  <c r="J11" i="73"/>
  <c r="T31" i="2"/>
  <c r="T27" i="2"/>
  <c r="U52" i="2"/>
  <c r="S15" i="73"/>
  <c r="U49" i="2"/>
  <c r="T47" i="2"/>
  <c r="T41" i="2"/>
  <c r="T15" i="73"/>
  <c r="T42" i="2"/>
  <c r="T37" i="2"/>
  <c r="U32" i="2"/>
  <c r="U54" i="2"/>
  <c r="U28" i="2"/>
  <c r="U40" i="2"/>
  <c r="U46" i="2"/>
  <c r="T50" i="2"/>
  <c r="J12" i="73"/>
  <c r="I12" i="73" l="1"/>
  <c r="I15" i="73"/>
  <c r="I11" i="73"/>
  <c r="X39" i="2"/>
  <c r="Y39" i="2" s="1"/>
  <c r="X35" i="2"/>
  <c r="Y35" i="2" s="1"/>
  <c r="X31" i="2"/>
  <c r="Y31" i="2" s="1"/>
  <c r="X27" i="2"/>
  <c r="P15" i="73"/>
  <c r="Y41" i="2"/>
  <c r="Y37" i="2"/>
  <c r="Y42" i="2"/>
  <c r="Y48" i="2"/>
  <c r="Y29" i="2"/>
  <c r="Y50" i="2"/>
  <c r="Y33" i="2"/>
  <c r="Y44" i="2"/>
  <c r="Y47" i="2"/>
  <c r="Y45" i="2"/>
  <c r="V15" i="73"/>
  <c r="W36" i="2"/>
  <c r="W46" i="2"/>
  <c r="W49" i="2"/>
  <c r="W52" i="2"/>
  <c r="W40" i="2"/>
  <c r="W54" i="2"/>
  <c r="W28" i="2"/>
  <c r="W32" i="2"/>
  <c r="T63" i="2"/>
  <c r="P47" i="2"/>
  <c r="Q47" i="2" s="1"/>
  <c r="R47" i="2" s="1"/>
  <c r="P44" i="2"/>
  <c r="Q44" i="2" s="1"/>
  <c r="R44" i="2" s="1"/>
  <c r="Q12" i="73"/>
  <c r="Q52" i="2"/>
  <c r="R52" i="2" s="1"/>
  <c r="O63" i="2"/>
  <c r="Q11" i="73"/>
  <c r="P39" i="2"/>
  <c r="Q14" i="73"/>
  <c r="Q13" i="73"/>
  <c r="I63" i="2"/>
  <c r="R54" i="2"/>
  <c r="R32" i="2"/>
  <c r="R49" i="2"/>
  <c r="P48" i="2"/>
  <c r="Q48" i="2" s="1"/>
  <c r="P35" i="2"/>
  <c r="R36" i="2"/>
  <c r="P45" i="2"/>
  <c r="Q45" i="2" s="1"/>
  <c r="P31" i="2"/>
  <c r="P33" i="2"/>
  <c r="Q33" i="2" s="1"/>
  <c r="P37" i="2"/>
  <c r="Q37" i="2" s="1"/>
  <c r="P41" i="2"/>
  <c r="Q41" i="2" s="1"/>
  <c r="R41" i="2" s="1"/>
  <c r="P42" i="2"/>
  <c r="Q42" i="2" s="1"/>
  <c r="R42" i="2" s="1"/>
  <c r="P50" i="2"/>
  <c r="Q50" i="2" s="1"/>
  <c r="R50" i="2" s="1"/>
  <c r="P29" i="2"/>
  <c r="P27" i="2"/>
  <c r="H1" i="2"/>
  <c r="B76" i="80" s="1"/>
  <c r="F2" i="26"/>
  <c r="U37" i="2"/>
  <c r="J13" i="73"/>
  <c r="U42" i="2"/>
  <c r="S14" i="73"/>
  <c r="U45" i="2"/>
  <c r="U35" i="2"/>
  <c r="J14" i="73"/>
  <c r="U33" i="2"/>
  <c r="T14" i="73"/>
  <c r="S11" i="73"/>
  <c r="T11" i="73"/>
  <c r="U47" i="2"/>
  <c r="U27" i="2"/>
  <c r="U48" i="2"/>
  <c r="U50" i="2"/>
  <c r="T12" i="73"/>
  <c r="U29" i="2"/>
  <c r="S13" i="73"/>
  <c r="Z16" i="14"/>
  <c r="U41" i="2"/>
  <c r="U15" i="73"/>
  <c r="U39" i="2"/>
  <c r="U31" i="2"/>
  <c r="F71" i="2"/>
  <c r="T13" i="73"/>
  <c r="U44" i="2"/>
  <c r="S12" i="73"/>
  <c r="J51" i="6"/>
  <c r="M2" i="73" l="1"/>
  <c r="B126" i="80"/>
  <c r="I13" i="73"/>
  <c r="Z2" i="2"/>
  <c r="B97" i="80" s="1"/>
  <c r="I14" i="73"/>
  <c r="X63" i="2"/>
  <c r="Y27" i="2"/>
  <c r="P14" i="73"/>
  <c r="P13" i="73"/>
  <c r="P12" i="73"/>
  <c r="X66" i="2"/>
  <c r="U66" i="2"/>
  <c r="W66" i="2"/>
  <c r="W67" i="2" s="1"/>
  <c r="W15" i="73"/>
  <c r="O15" i="73"/>
  <c r="N15" i="73" s="1"/>
  <c r="M15" i="73" s="1"/>
  <c r="AB15" i="73"/>
  <c r="AJ15" i="73"/>
  <c r="V11" i="73"/>
  <c r="O11" i="73" s="1"/>
  <c r="N11" i="73" s="1"/>
  <c r="M11" i="73" s="1"/>
  <c r="V14" i="73"/>
  <c r="V13" i="73"/>
  <c r="V12" i="73"/>
  <c r="W50" i="2"/>
  <c r="W27" i="2"/>
  <c r="W44" i="2"/>
  <c r="W41" i="2"/>
  <c r="W37" i="2"/>
  <c r="W33" i="2"/>
  <c r="W29" i="2"/>
  <c r="W45" i="2"/>
  <c r="W48" i="2"/>
  <c r="W31" i="2"/>
  <c r="W47" i="2"/>
  <c r="W35" i="2"/>
  <c r="U63" i="2"/>
  <c r="P63" i="2"/>
  <c r="Q35" i="2"/>
  <c r="R35" i="2" s="1"/>
  <c r="Q31" i="2"/>
  <c r="R31" i="2" s="1"/>
  <c r="Q27" i="2"/>
  <c r="R27" i="2" s="1"/>
  <c r="Q39" i="2"/>
  <c r="R39" i="2" s="1"/>
  <c r="P11" i="73"/>
  <c r="Q17" i="73"/>
  <c r="O66" i="2"/>
  <c r="R45" i="2"/>
  <c r="R48" i="2"/>
  <c r="R33" i="2"/>
  <c r="R37" i="2"/>
  <c r="Q29" i="2"/>
  <c r="R29" i="2" s="1"/>
  <c r="K202" i="17" a="1"/>
  <c r="K202" i="17" s="1"/>
  <c r="K200" i="17" a="1"/>
  <c r="K200" i="17" s="1"/>
  <c r="J200" i="17" a="1"/>
  <c r="J200" i="17" s="1"/>
  <c r="L198" i="17"/>
  <c r="J10" i="73"/>
  <c r="U11" i="73"/>
  <c r="U14" i="73"/>
  <c r="U12" i="73"/>
  <c r="U13" i="73"/>
  <c r="X67" i="2" l="1"/>
  <c r="U17" i="73"/>
  <c r="U67" i="2"/>
  <c r="P66" i="2"/>
  <c r="X18" i="73"/>
  <c r="W12" i="73"/>
  <c r="O12" i="73"/>
  <c r="N12" i="73" s="1"/>
  <c r="M12" i="73" s="1"/>
  <c r="W13" i="73"/>
  <c r="O13" i="73"/>
  <c r="N13" i="73" s="1"/>
  <c r="M13" i="73" s="1"/>
  <c r="W14" i="73"/>
  <c r="O14" i="73"/>
  <c r="N14" i="73" s="1"/>
  <c r="M14" i="73" s="1"/>
  <c r="AJ11" i="73"/>
  <c r="W11" i="73"/>
  <c r="AB12" i="73"/>
  <c r="AJ12" i="73"/>
  <c r="AB14" i="73"/>
  <c r="AJ14" i="73"/>
  <c r="AB13" i="73"/>
  <c r="AJ13" i="73"/>
  <c r="AB11" i="73"/>
  <c r="V18" i="73"/>
  <c r="U65" i="2"/>
  <c r="V17" i="73"/>
  <c r="Q18" i="73"/>
  <c r="Q20" i="73" s="1"/>
  <c r="Q63" i="2"/>
  <c r="Q66" i="2" s="1"/>
  <c r="R63" i="2"/>
  <c r="D71" i="2"/>
  <c r="H71" i="2" s="1"/>
  <c r="J201" i="17"/>
  <c r="X15" i="73"/>
  <c r="J17" i="73"/>
  <c r="M8" i="14"/>
  <c r="X13" i="73"/>
  <c r="X11" i="73"/>
  <c r="L2" i="73" l="1"/>
  <c r="Y15" i="73"/>
  <c r="V20" i="73"/>
  <c r="H35" i="73"/>
  <c r="H36" i="73" s="1"/>
  <c r="J19" i="73"/>
  <c r="D69" i="2"/>
  <c r="R66" i="2"/>
  <c r="J10" i="45"/>
  <c r="J10" i="44"/>
  <c r="J10" i="43"/>
  <c r="J10" i="42"/>
  <c r="J11" i="41"/>
  <c r="H25" i="40"/>
  <c r="H24" i="40" a="1"/>
  <c r="H24" i="40" s="1"/>
  <c r="H23" i="40" a="1"/>
  <c r="H23" i="40" s="1"/>
  <c r="H22" i="40" a="1"/>
  <c r="H22" i="40" s="1"/>
  <c r="J14" i="40"/>
  <c r="Y5" i="42"/>
  <c r="J6" i="42"/>
  <c r="J8" i="40"/>
  <c r="Y6" i="42"/>
  <c r="W5" i="44"/>
  <c r="K8" i="40"/>
  <c r="Y5" i="43"/>
  <c r="W3" i="44"/>
  <c r="J10" i="40"/>
  <c r="K5" i="41"/>
  <c r="J12" i="42"/>
  <c r="K7" i="45"/>
  <c r="I17" i="73"/>
  <c r="X12" i="73"/>
  <c r="K9" i="40"/>
  <c r="J2" i="45"/>
  <c r="K3" i="43"/>
  <c r="I32" i="40"/>
  <c r="I31" i="40"/>
  <c r="J6" i="44"/>
  <c r="U7" i="45"/>
  <c r="J4" i="45"/>
  <c r="J7" i="45"/>
  <c r="Y9" i="42"/>
  <c r="K4" i="42"/>
  <c r="J4" i="42"/>
  <c r="J6" i="43"/>
  <c r="K7" i="44"/>
  <c r="K5" i="42"/>
  <c r="J2" i="42"/>
  <c r="K4" i="41"/>
  <c r="X14" i="73"/>
  <c r="K11" i="40"/>
  <c r="I34" i="40"/>
  <c r="Y8" i="43"/>
  <c r="Y4" i="42"/>
  <c r="I33" i="40"/>
  <c r="K4" i="45"/>
  <c r="J4" i="44"/>
  <c r="W4" i="44"/>
  <c r="W7" i="44"/>
  <c r="U4" i="45"/>
  <c r="K5" i="44"/>
  <c r="K6" i="41"/>
  <c r="J2" i="43"/>
  <c r="K7" i="42"/>
  <c r="J12" i="44"/>
  <c r="J6" i="40"/>
  <c r="K7" i="40"/>
  <c r="K4" i="43"/>
  <c r="W6" i="44"/>
  <c r="Y3" i="42"/>
  <c r="U6" i="45"/>
  <c r="J7" i="41"/>
  <c r="I30" i="40"/>
  <c r="J5" i="41"/>
  <c r="Y7" i="43"/>
  <c r="Y7" i="42"/>
  <c r="K4" i="44"/>
  <c r="J13" i="41"/>
  <c r="K3" i="44"/>
  <c r="K3" i="42"/>
  <c r="J16" i="40"/>
  <c r="J2" i="44"/>
  <c r="J3" i="41"/>
  <c r="K8" i="41"/>
  <c r="F69" i="2" l="1"/>
  <c r="B125" i="80" s="1"/>
  <c r="X17" i="73"/>
  <c r="Y12" i="73"/>
  <c r="Y11" i="73"/>
  <c r="Y14" i="73"/>
  <c r="Y13" i="73"/>
  <c r="Q19" i="73"/>
  <c r="O17" i="73" s="1"/>
  <c r="V19" i="73"/>
  <c r="V21" i="73" s="1"/>
  <c r="G34" i="73"/>
  <c r="H38" i="73"/>
  <c r="G36" i="73"/>
  <c r="G38" i="73" s="1"/>
  <c r="F22" i="3"/>
  <c r="I6" i="78" s="1"/>
  <c r="K6" i="45"/>
  <c r="I11" i="3"/>
  <c r="K10" i="40"/>
  <c r="K7" i="41"/>
  <c r="K6" i="42"/>
  <c r="K6" i="44"/>
  <c r="J50" i="6"/>
  <c r="B268" i="80" l="1"/>
  <c r="B14" i="80"/>
  <c r="I43" i="78"/>
  <c r="G29" i="78"/>
  <c r="L22" i="3"/>
  <c r="F43" i="3"/>
  <c r="I10" i="78" s="1"/>
  <c r="I47" i="78" s="1"/>
  <c r="F47" i="3"/>
  <c r="I8" i="78" s="1"/>
  <c r="I45" i="78" s="1"/>
  <c r="H69" i="2"/>
  <c r="G76" i="2"/>
  <c r="X19" i="73"/>
  <c r="Q21" i="73"/>
  <c r="G18" i="3"/>
  <c r="G50" i="3" s="1"/>
  <c r="U11" i="14"/>
  <c r="U12" i="14"/>
  <c r="D29" i="5"/>
  <c r="E21" i="3"/>
  <c r="M8" i="16"/>
  <c r="D36" i="5"/>
  <c r="E29" i="3"/>
  <c r="E32" i="3"/>
  <c r="E38" i="3"/>
  <c r="E35" i="3"/>
  <c r="D20" i="5"/>
  <c r="E25" i="3"/>
  <c r="O75" i="2"/>
  <c r="D26" i="5"/>
  <c r="U9" i="14"/>
  <c r="D23" i="5"/>
  <c r="B104" i="80" l="1"/>
  <c r="N22" i="3"/>
  <c r="N53" i="3" s="1"/>
  <c r="N55" i="3" s="1"/>
  <c r="M22" i="3"/>
  <c r="M53" i="3" s="1"/>
  <c r="M55" i="3" s="1"/>
  <c r="L53" i="3"/>
  <c r="L55" i="3" s="1"/>
  <c r="G51" i="3"/>
  <c r="G52" i="3"/>
  <c r="U64" i="2"/>
  <c r="O6" i="73"/>
  <c r="N6" i="73" s="1"/>
  <c r="M6" i="73" s="1"/>
  <c r="N17" i="73"/>
  <c r="K15" i="16"/>
  <c r="AE9" i="6"/>
  <c r="K7" i="16"/>
  <c r="P10" i="14"/>
  <c r="S8" i="17"/>
  <c r="F26" i="6"/>
  <c r="R55" i="3" l="1"/>
  <c r="H52" i="3"/>
  <c r="J52" i="3"/>
  <c r="O52" i="3" s="1"/>
  <c r="W52" i="3" s="1"/>
  <c r="H50" i="3"/>
  <c r="J50" i="3"/>
  <c r="O50" i="3" s="1"/>
  <c r="W50" i="3" s="1"/>
  <c r="J51" i="3"/>
  <c r="O51" i="3" s="1"/>
  <c r="W51" i="3" s="1"/>
  <c r="H51" i="3"/>
  <c r="H194" i="17"/>
  <c r="J192" i="17"/>
  <c r="J191" i="17"/>
  <c r="K186" i="17" a="1"/>
  <c r="K186" i="17" s="1"/>
  <c r="P6" i="17"/>
  <c r="J140" i="17"/>
  <c r="I146" i="17" s="1"/>
  <c r="Q13" i="2"/>
  <c r="B83" i="80" s="1"/>
  <c r="E39" i="26"/>
  <c r="E41" i="26"/>
  <c r="E38" i="26"/>
  <c r="E37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3" i="26"/>
  <c r="F34" i="26"/>
  <c r="C37" i="26"/>
  <c r="K9" i="16"/>
  <c r="K11" i="16"/>
  <c r="U7" i="17"/>
  <c r="K10" i="16"/>
  <c r="P51" i="3" l="1"/>
  <c r="Q51" i="3" s="1"/>
  <c r="R51" i="3" s="1"/>
  <c r="P50" i="3"/>
  <c r="P52" i="3"/>
  <c r="Q52" i="3" s="1"/>
  <c r="R52" i="3" s="1"/>
  <c r="P7" i="17"/>
  <c r="Q12" i="17" s="1"/>
  <c r="K12" i="16"/>
  <c r="Q18" i="17"/>
  <c r="N172" i="17"/>
  <c r="O9" i="17"/>
  <c r="N171" i="17"/>
  <c r="K182" i="17" a="1"/>
  <c r="K182" i="17" s="1"/>
  <c r="K183" i="17" s="1"/>
  <c r="O177" i="17"/>
  <c r="N177" i="17"/>
  <c r="N175" i="17" a="1"/>
  <c r="N175" i="17" s="1"/>
  <c r="L143" i="17" a="1"/>
  <c r="L143" i="17" s="1"/>
  <c r="L144" i="17"/>
  <c r="L140" i="17"/>
  <c r="L139" i="17"/>
  <c r="I142" i="17" a="1"/>
  <c r="I142" i="17" s="1"/>
  <c r="I143" i="17" s="1"/>
  <c r="M145" i="17"/>
  <c r="J164" i="17"/>
  <c r="K164" i="17" s="1"/>
  <c r="J165" i="17"/>
  <c r="M171" i="17"/>
  <c r="I174" i="17"/>
  <c r="O8" i="17"/>
  <c r="I182" i="17"/>
  <c r="H182" i="17"/>
  <c r="G180" i="17"/>
  <c r="F179" i="17"/>
  <c r="Q27" i="17"/>
  <c r="Q26" i="17"/>
  <c r="Q25" i="17"/>
  <c r="Q24" i="17"/>
  <c r="Q23" i="17"/>
  <c r="Q22" i="17"/>
  <c r="Q21" i="17"/>
  <c r="Q20" i="17"/>
  <c r="Q19" i="17"/>
  <c r="Q17" i="17"/>
  <c r="Q16" i="17"/>
  <c r="Q11" i="17"/>
  <c r="K159" i="17"/>
  <c r="O11" i="17"/>
  <c r="O11" i="78"/>
  <c r="G178" i="17"/>
  <c r="G181" i="17"/>
  <c r="K11" i="78"/>
  <c r="N11" i="78" l="1"/>
  <c r="J11" i="78"/>
  <c r="Q50" i="3"/>
  <c r="R50" i="3" s="1"/>
  <c r="O155" i="17"/>
  <c r="L170" i="17"/>
  <c r="K165" i="17"/>
  <c r="I170" i="17" s="1"/>
  <c r="K184" i="17"/>
  <c r="K185" i="17" s="1"/>
  <c r="I144" i="17"/>
  <c r="I145" i="17" s="1"/>
  <c r="G179" i="17"/>
  <c r="H181" i="17"/>
  <c r="A18" i="14"/>
  <c r="J16" i="14"/>
  <c r="K8" i="14"/>
  <c r="B18" i="14"/>
  <c r="C18" i="14"/>
  <c r="J15" i="14"/>
  <c r="A20" i="14"/>
  <c r="U829" i="9"/>
  <c r="F15" i="14"/>
  <c r="I6" i="5" l="1"/>
  <c r="F18" i="5"/>
  <c r="F37" i="5" l="1" a="1"/>
  <c r="F37" i="5" s="1"/>
  <c r="G37" i="5" s="1"/>
  <c r="F38" i="5" a="1"/>
  <c r="F38" i="5" s="1"/>
  <c r="G38" i="5" s="1"/>
  <c r="H38" i="5" s="1"/>
  <c r="F36" i="5" a="1"/>
  <c r="F36" i="5" s="1"/>
  <c r="G36" i="5" s="1"/>
  <c r="F22" i="5" a="1"/>
  <c r="F22" i="5" s="1"/>
  <c r="F21" i="5" a="1"/>
  <c r="F21" i="5" s="1"/>
  <c r="G21" i="5" s="1"/>
  <c r="M21" i="5" s="1"/>
  <c r="F24" i="5" a="1"/>
  <c r="F24" i="5" s="1"/>
  <c r="G24" i="5" s="1"/>
  <c r="F26" i="5" a="1"/>
  <c r="F26" i="5" s="1"/>
  <c r="G26" i="5" s="1"/>
  <c r="F23" i="5" a="1"/>
  <c r="F23" i="5" s="1"/>
  <c r="G23" i="5" s="1"/>
  <c r="M23" i="5" s="1"/>
  <c r="F27" i="5" a="1"/>
  <c r="F27" i="5" s="1"/>
  <c r="G27" i="5" s="1"/>
  <c r="M27" i="5" s="1"/>
  <c r="F20" i="5" a="1"/>
  <c r="F20" i="5" s="1"/>
  <c r="F25" i="5" a="1"/>
  <c r="F25" i="5" s="1"/>
  <c r="G25" i="5" s="1"/>
  <c r="M25" i="5" s="1"/>
  <c r="F28" i="5" a="1"/>
  <c r="F28" i="5" s="1"/>
  <c r="G28" i="5" s="1"/>
  <c r="G31" i="5"/>
  <c r="G30" i="5"/>
  <c r="G29" i="5"/>
  <c r="M29" i="5" s="1"/>
  <c r="H31" i="5" l="1"/>
  <c r="I31" i="5" s="1"/>
  <c r="J31" i="5" s="1"/>
  <c r="M31" i="5"/>
  <c r="N29" i="5"/>
  <c r="O29" i="5"/>
  <c r="H30" i="5"/>
  <c r="I30" i="5" s="1"/>
  <c r="J30" i="5" s="1"/>
  <c r="M30" i="5"/>
  <c r="I32" i="79"/>
  <c r="H28" i="5"/>
  <c r="I28" i="5" s="1"/>
  <c r="J28" i="5" s="1"/>
  <c r="M28" i="5"/>
  <c r="N23" i="5"/>
  <c r="O23" i="5"/>
  <c r="H24" i="5"/>
  <c r="I24" i="5" s="1"/>
  <c r="J24" i="5" s="1"/>
  <c r="M24" i="5"/>
  <c r="N25" i="5"/>
  <c r="O25" i="5"/>
  <c r="N27" i="5"/>
  <c r="O27" i="5"/>
  <c r="H26" i="5"/>
  <c r="I26" i="5" s="1"/>
  <c r="J26" i="5" s="1"/>
  <c r="M26" i="5"/>
  <c r="N21" i="5"/>
  <c r="O21" i="5"/>
  <c r="G22" i="5"/>
  <c r="G20" i="5"/>
  <c r="M20" i="5" s="1"/>
  <c r="H37" i="5"/>
  <c r="I37" i="5" s="1"/>
  <c r="J37" i="5" s="1"/>
  <c r="H36" i="5"/>
  <c r="I36" i="5" s="1"/>
  <c r="I38" i="5"/>
  <c r="H29" i="5"/>
  <c r="I29" i="5" s="1"/>
  <c r="J29" i="5" s="1"/>
  <c r="H27" i="5"/>
  <c r="I27" i="5" s="1"/>
  <c r="J27" i="5" s="1"/>
  <c r="H25" i="5"/>
  <c r="I25" i="5" s="1"/>
  <c r="J25" i="5" s="1"/>
  <c r="H23" i="5"/>
  <c r="I23" i="5" s="1"/>
  <c r="J23" i="5" s="1"/>
  <c r="H21" i="5"/>
  <c r="I21" i="5" s="1"/>
  <c r="J21" i="5" s="1"/>
  <c r="I39" i="5" l="1"/>
  <c r="O30" i="5"/>
  <c r="N30" i="5"/>
  <c r="N31" i="5"/>
  <c r="O31" i="5"/>
  <c r="J36" i="5"/>
  <c r="J38" i="5"/>
  <c r="H22" i="5"/>
  <c r="I22" i="5" s="1"/>
  <c r="J22" i="5" s="1"/>
  <c r="M22" i="5"/>
  <c r="M32" i="5" s="1"/>
  <c r="M34" i="5" s="1"/>
  <c r="O26" i="5"/>
  <c r="N26" i="5"/>
  <c r="O24" i="5"/>
  <c r="N24" i="5"/>
  <c r="O28" i="5"/>
  <c r="N28" i="5"/>
  <c r="N20" i="5"/>
  <c r="O20" i="5"/>
  <c r="H20" i="5"/>
  <c r="I20" i="5" s="1"/>
  <c r="K7" i="79"/>
  <c r="N7" i="79"/>
  <c r="J7" i="79" l="1"/>
  <c r="J39" i="5"/>
  <c r="I40" i="5"/>
  <c r="O22" i="5"/>
  <c r="O32" i="5" s="1"/>
  <c r="O34" i="5" s="1"/>
  <c r="N22" i="5"/>
  <c r="N32" i="5" s="1"/>
  <c r="N34" i="5" s="1"/>
  <c r="J20" i="5"/>
  <c r="J32" i="5" s="1"/>
  <c r="I32" i="5"/>
  <c r="K37" i="5"/>
  <c r="P37" i="5" s="1"/>
  <c r="N6" i="79"/>
  <c r="N8" i="79" l="1"/>
  <c r="M6" i="79"/>
  <c r="P34" i="5"/>
  <c r="K24" i="5"/>
  <c r="P24" i="5" s="1"/>
  <c r="K30" i="5"/>
  <c r="K27" i="5"/>
  <c r="P27" i="5" s="1"/>
  <c r="K20" i="5"/>
  <c r="K31" i="5"/>
  <c r="P31" i="5" s="1"/>
  <c r="K36" i="5"/>
  <c r="K28" i="5"/>
  <c r="K21" i="5"/>
  <c r="P21" i="5" s="1"/>
  <c r="K25" i="5"/>
  <c r="K38" i="5"/>
  <c r="K6" i="79"/>
  <c r="J6" i="79" l="1"/>
  <c r="K8" i="79"/>
  <c r="P36" i="5"/>
  <c r="K39" i="5"/>
  <c r="M7" i="79"/>
  <c r="P25" i="5"/>
  <c r="P28" i="5"/>
  <c r="K29" i="5"/>
  <c r="P29" i="5" s="1"/>
  <c r="P20" i="5"/>
  <c r="K23" i="5"/>
  <c r="P23" i="5" s="1"/>
  <c r="P38" i="5"/>
  <c r="K22" i="5"/>
  <c r="P22" i="5" s="1"/>
  <c r="K26" i="5"/>
  <c r="P26" i="5" s="1"/>
  <c r="J40" i="5"/>
  <c r="P30" i="5"/>
  <c r="J8" i="79" l="1"/>
  <c r="F44" i="5" s="1"/>
  <c r="Q43" i="5" s="1"/>
  <c r="P39" i="5"/>
  <c r="K10" i="79"/>
  <c r="I21" i="79" s="1"/>
  <c r="H21" i="79" s="1"/>
  <c r="P32" i="5"/>
  <c r="P40" i="5" s="1"/>
  <c r="K32" i="5"/>
  <c r="K40" i="5" s="1"/>
  <c r="D44" i="5" l="1"/>
  <c r="H44" i="5" s="1"/>
  <c r="I5" i="3" l="1"/>
  <c r="B16" i="80" s="1"/>
  <c r="P4" i="17" l="1"/>
  <c r="J166" i="17"/>
  <c r="I168" i="17" s="1" a="1"/>
  <c r="I168" i="17" s="1"/>
  <c r="I169" i="17" l="1"/>
  <c r="I171" i="17" s="1"/>
  <c r="I172" i="17" a="1"/>
  <c r="I172" i="17" s="1"/>
  <c r="L169" i="17" a="1"/>
  <c r="L169" i="17" s="1"/>
  <c r="O10" i="17" a="1"/>
  <c r="O10" i="17" s="1"/>
  <c r="P5" i="17" l="1"/>
  <c r="O12" i="17" l="1" a="1"/>
  <c r="O12" i="17" s="1"/>
  <c r="P10" i="17" a="1"/>
  <c r="P10" i="17" s="1"/>
  <c r="P11" i="17" a="1"/>
  <c r="P11" i="17" s="1"/>
  <c r="I3" i="3" l="1"/>
  <c r="B50" i="80" s="1"/>
  <c r="I7" i="3"/>
  <c r="B5" i="80" s="1"/>
  <c r="I6" i="3" l="1"/>
  <c r="B18" i="80" s="1"/>
  <c r="C48" i="3"/>
  <c r="C43" i="3"/>
  <c r="C23" i="3"/>
  <c r="C44" i="3"/>
  <c r="C22" i="3"/>
  <c r="C47" i="3"/>
  <c r="C46" i="3" l="1"/>
  <c r="G46" i="3" s="1"/>
  <c r="G48" i="3"/>
  <c r="G47" i="3"/>
  <c r="C42" i="3"/>
  <c r="G42" i="3" s="1"/>
  <c r="G44" i="3"/>
  <c r="G43" i="3"/>
  <c r="G22" i="3"/>
  <c r="H22" i="3" s="1"/>
  <c r="C21" i="3"/>
  <c r="G21" i="3" s="1"/>
  <c r="G23" i="3"/>
  <c r="H23" i="3" s="1"/>
  <c r="C26" i="3"/>
  <c r="J44" i="3" l="1"/>
  <c r="O44" i="3" s="1"/>
  <c r="H44" i="3"/>
  <c r="J47" i="3"/>
  <c r="O47" i="3" s="1"/>
  <c r="W47" i="3" s="1"/>
  <c r="H47" i="3"/>
  <c r="J46" i="3"/>
  <c r="O46" i="3" s="1"/>
  <c r="W46" i="3" s="1"/>
  <c r="H46" i="3"/>
  <c r="J43" i="3"/>
  <c r="O43" i="3" s="1"/>
  <c r="W43" i="3" s="1"/>
  <c r="H43" i="3"/>
  <c r="J42" i="3"/>
  <c r="O42" i="3" s="1"/>
  <c r="W42" i="3" s="1"/>
  <c r="H42" i="3"/>
  <c r="J48" i="3"/>
  <c r="O48" i="3" s="1"/>
  <c r="H48" i="3"/>
  <c r="G26" i="3"/>
  <c r="H26" i="3" s="1"/>
  <c r="J22" i="3"/>
  <c r="O22" i="3" s="1"/>
  <c r="W22" i="3" s="1"/>
  <c r="H21" i="3"/>
  <c r="J21" i="3"/>
  <c r="O21" i="3" s="1"/>
  <c r="J23" i="3"/>
  <c r="O23" i="3" s="1"/>
  <c r="C27" i="3"/>
  <c r="O8" i="78"/>
  <c r="W23" i="3" l="1"/>
  <c r="W48" i="3"/>
  <c r="W44" i="3"/>
  <c r="W21" i="3"/>
  <c r="P48" i="3"/>
  <c r="Q48" i="3" s="1"/>
  <c r="P42" i="3"/>
  <c r="Q42" i="3" s="1"/>
  <c r="R42" i="3" s="1"/>
  <c r="P43" i="3"/>
  <c r="Q43" i="3" s="1"/>
  <c r="R43" i="3" s="1"/>
  <c r="P46" i="3"/>
  <c r="Q46" i="3" s="1"/>
  <c r="R46" i="3" s="1"/>
  <c r="P47" i="3"/>
  <c r="Q47" i="3" s="1"/>
  <c r="R47" i="3" s="1"/>
  <c r="P44" i="3"/>
  <c r="Q44" i="3" s="1"/>
  <c r="R44" i="3" s="1"/>
  <c r="P23" i="3"/>
  <c r="P21" i="3"/>
  <c r="P22" i="3"/>
  <c r="G27" i="3"/>
  <c r="I22" i="3"/>
  <c r="J26" i="3"/>
  <c r="C25" i="3"/>
  <c r="G25" i="3" s="1"/>
  <c r="I21" i="3"/>
  <c r="I23" i="3"/>
  <c r="K6" i="78"/>
  <c r="K10" i="78"/>
  <c r="O6" i="78"/>
  <c r="K9" i="82"/>
  <c r="C30" i="3"/>
  <c r="O10" i="78"/>
  <c r="K6" i="82"/>
  <c r="K8" i="78"/>
  <c r="J6" i="82" l="1"/>
  <c r="J9" i="82"/>
  <c r="J10" i="78"/>
  <c r="N10" i="78"/>
  <c r="J6" i="78"/>
  <c r="J8" i="78"/>
  <c r="N6" i="78"/>
  <c r="N8" i="78"/>
  <c r="R48" i="3"/>
  <c r="I26" i="3"/>
  <c r="O26" i="3"/>
  <c r="W26" i="3" s="1"/>
  <c r="Q21" i="3"/>
  <c r="R21" i="3" s="1"/>
  <c r="Q23" i="3"/>
  <c r="R23" i="3" s="1"/>
  <c r="Q22" i="3"/>
  <c r="R22" i="3" s="1"/>
  <c r="H27" i="3"/>
  <c r="J27" i="3"/>
  <c r="H25" i="3"/>
  <c r="J25" i="3"/>
  <c r="O25" i="3" s="1"/>
  <c r="G30" i="3"/>
  <c r="H30" i="3" s="1"/>
  <c r="C31" i="3"/>
  <c r="K5" i="82"/>
  <c r="J5" i="82" l="1"/>
  <c r="W25" i="3"/>
  <c r="P26" i="3"/>
  <c r="P25" i="3"/>
  <c r="Q25" i="3" s="1"/>
  <c r="R25" i="3" s="1"/>
  <c r="I27" i="3"/>
  <c r="O27" i="3"/>
  <c r="C29" i="3"/>
  <c r="G29" i="3" s="1"/>
  <c r="I25" i="3"/>
  <c r="J30" i="3"/>
  <c r="O30" i="3" s="1"/>
  <c r="W30" i="3" s="1"/>
  <c r="G31" i="3"/>
  <c r="H31" i="3" s="1"/>
  <c r="C33" i="3"/>
  <c r="K7" i="78"/>
  <c r="W27" i="3" l="1"/>
  <c r="J7" i="78"/>
  <c r="Q26" i="3"/>
  <c r="P30" i="3"/>
  <c r="P27" i="3"/>
  <c r="Q27" i="3" s="1"/>
  <c r="J31" i="3"/>
  <c r="H29" i="3"/>
  <c r="J29" i="3"/>
  <c r="I30" i="3"/>
  <c r="G33" i="3"/>
  <c r="H33" i="3" s="1"/>
  <c r="O7" i="78"/>
  <c r="C34" i="3"/>
  <c r="N7" i="78" l="1"/>
  <c r="R27" i="3"/>
  <c r="O29" i="3"/>
  <c r="I31" i="3"/>
  <c r="O31" i="3"/>
  <c r="W31" i="3" s="1"/>
  <c r="Q30" i="3"/>
  <c r="R30" i="3" s="1"/>
  <c r="R26" i="3"/>
  <c r="C32" i="3"/>
  <c r="G32" i="3" s="1"/>
  <c r="I29" i="3"/>
  <c r="J33" i="3"/>
  <c r="O33" i="3" s="1"/>
  <c r="W33" i="3" s="1"/>
  <c r="G34" i="3"/>
  <c r="H34" i="3" s="1"/>
  <c r="C36" i="3"/>
  <c r="W29" i="3" l="1"/>
  <c r="P29" i="3"/>
  <c r="Q29" i="3" s="1"/>
  <c r="P33" i="3"/>
  <c r="P31" i="3"/>
  <c r="H32" i="3"/>
  <c r="J32" i="3"/>
  <c r="J34" i="3"/>
  <c r="O34" i="3" s="1"/>
  <c r="W34" i="3" s="1"/>
  <c r="I33" i="3"/>
  <c r="G36" i="3"/>
  <c r="H36" i="3" s="1"/>
  <c r="C37" i="3"/>
  <c r="R29" i="3" l="1"/>
  <c r="O32" i="3"/>
  <c r="Q31" i="3"/>
  <c r="Q33" i="3"/>
  <c r="R33" i="3" s="1"/>
  <c r="P34" i="3"/>
  <c r="Q34" i="3" s="1"/>
  <c r="R34" i="3" s="1"/>
  <c r="C35" i="3"/>
  <c r="G35" i="3" s="1"/>
  <c r="I34" i="3"/>
  <c r="J36" i="3"/>
  <c r="O36" i="3" s="1"/>
  <c r="W36" i="3" s="1"/>
  <c r="I32" i="3"/>
  <c r="G37" i="3"/>
  <c r="H37" i="3" s="1"/>
  <c r="C39" i="3"/>
  <c r="W32" i="3" l="1"/>
  <c r="P32" i="3"/>
  <c r="Q32" i="3" s="1"/>
  <c r="R32" i="3" s="1"/>
  <c r="R31" i="3"/>
  <c r="P36" i="3"/>
  <c r="Q36" i="3" s="1"/>
  <c r="R36" i="3" s="1"/>
  <c r="G39" i="3"/>
  <c r="H39" i="3" s="1"/>
  <c r="I36" i="3"/>
  <c r="J37" i="3"/>
  <c r="O37" i="3" s="1"/>
  <c r="W37" i="3" s="1"/>
  <c r="H35" i="3"/>
  <c r="J35" i="3"/>
  <c r="C40" i="3"/>
  <c r="O35" i="3" l="1"/>
  <c r="P37" i="3"/>
  <c r="Q37" i="3" s="1"/>
  <c r="R37" i="3" s="1"/>
  <c r="C38" i="3"/>
  <c r="G38" i="3" s="1"/>
  <c r="J39" i="3"/>
  <c r="O39" i="3" s="1"/>
  <c r="W39" i="3" s="1"/>
  <c r="I35" i="3"/>
  <c r="I37" i="3"/>
  <c r="G40" i="3"/>
  <c r="H40" i="3" s="1"/>
  <c r="W35" i="3" l="1"/>
  <c r="P35" i="3"/>
  <c r="Q35" i="3" s="1"/>
  <c r="P39" i="3"/>
  <c r="Q39" i="3" s="1"/>
  <c r="J40" i="3"/>
  <c r="I39" i="3"/>
  <c r="H38" i="3"/>
  <c r="J38" i="3"/>
  <c r="O38" i="3" s="1"/>
  <c r="W38" i="3" s="1"/>
  <c r="O40" i="3" l="1"/>
  <c r="J53" i="3"/>
  <c r="R35" i="3"/>
  <c r="P38" i="3"/>
  <c r="Q38" i="3" s="1"/>
  <c r="R39" i="3"/>
  <c r="I38" i="3"/>
  <c r="I40" i="3"/>
  <c r="K7" i="82"/>
  <c r="K8" i="82"/>
  <c r="J8" i="82" l="1"/>
  <c r="J7" i="82"/>
  <c r="K10" i="82"/>
  <c r="W40" i="3"/>
  <c r="W53" i="3" s="1"/>
  <c r="V52" i="3" s="1"/>
  <c r="O53" i="3"/>
  <c r="P40" i="3"/>
  <c r="Q40" i="3" s="1"/>
  <c r="Q53" i="3" s="1"/>
  <c r="Q56" i="3" s="1"/>
  <c r="I53" i="3"/>
  <c r="R38" i="3"/>
  <c r="K9" i="78"/>
  <c r="O9" i="78"/>
  <c r="K12" i="82" l="1"/>
  <c r="O13" i="78"/>
  <c r="O12" i="78"/>
  <c r="J9" i="78"/>
  <c r="N9" i="78"/>
  <c r="K12" i="78" s="1"/>
  <c r="J12" i="78" s="1"/>
  <c r="F59" i="3" s="1"/>
  <c r="O56" i="3"/>
  <c r="R40" i="3"/>
  <c r="R53" i="3" s="1"/>
  <c r="P53" i="3" l="1"/>
  <c r="P56" i="3" s="1"/>
  <c r="K14" i="78"/>
  <c r="I29" i="78" s="1"/>
  <c r="H29" i="78" s="1"/>
  <c r="R56" i="3"/>
  <c r="D59" i="3"/>
  <c r="L60" i="3"/>
  <c r="X50" i="6"/>
  <c r="B32" i="80" l="1"/>
  <c r="B286" i="80"/>
  <c r="H59" i="3"/>
  <c r="X21" i="73"/>
  <c r="W17" i="73"/>
  <c r="W20" i="73" s="1"/>
  <c r="X20" i="73"/>
  <c r="Y5" i="9"/>
  <c r="H39" i="6"/>
  <c r="H37" i="6"/>
  <c r="H35" i="6"/>
  <c r="H33" i="6"/>
  <c r="H31" i="6"/>
  <c r="H29" i="6"/>
  <c r="H38" i="6"/>
  <c r="H36" i="6"/>
  <c r="H34" i="6"/>
  <c r="H32" i="6"/>
  <c r="H30" i="6"/>
  <c r="H28" i="6"/>
  <c r="Q61" i="6"/>
  <c r="G37" i="6"/>
  <c r="G28" i="6"/>
  <c r="G38" i="6"/>
  <c r="H18" i="6"/>
  <c r="H25" i="6"/>
  <c r="H19" i="6"/>
  <c r="H24" i="6"/>
  <c r="H22" i="6"/>
  <c r="H48" i="6"/>
  <c r="H58" i="6"/>
  <c r="H16" i="6"/>
  <c r="H6" i="6"/>
  <c r="G16" i="6"/>
  <c r="G39" i="6"/>
  <c r="G34" i="6"/>
  <c r="G36" i="6"/>
  <c r="H26" i="6"/>
  <c r="H21" i="6"/>
  <c r="H15" i="6"/>
  <c r="G18" i="6"/>
  <c r="H8" i="6"/>
  <c r="H42" i="6"/>
  <c r="G21" i="6"/>
  <c r="G25" i="6"/>
  <c r="H27" i="6"/>
  <c r="H44" i="6"/>
  <c r="H2" i="6"/>
  <c r="G42" i="6"/>
  <c r="G24" i="6"/>
  <c r="G8" i="6"/>
  <c r="G2" i="6"/>
  <c r="G48" i="6"/>
  <c r="G27" i="6"/>
  <c r="G33" i="6"/>
  <c r="G29" i="6"/>
  <c r="G32" i="6"/>
  <c r="H45" i="6"/>
  <c r="G45" i="6" s="1"/>
  <c r="H7" i="6"/>
  <c r="H3" i="6"/>
  <c r="G3" i="6" s="1"/>
  <c r="H59" i="6"/>
  <c r="H62" i="6"/>
  <c r="G7" i="6"/>
  <c r="H17" i="6"/>
  <c r="G17" i="6" s="1"/>
  <c r="H43" i="6"/>
  <c r="G43" i="6" s="1"/>
  <c r="H23" i="6"/>
  <c r="H5" i="6"/>
  <c r="G5" i="6" s="1"/>
  <c r="H14" i="6"/>
  <c r="G14" i="6" s="1"/>
  <c r="H68" i="6"/>
  <c r="G68" i="6" s="1"/>
  <c r="G23" i="6"/>
  <c r="G6" i="6"/>
  <c r="G31" i="6"/>
  <c r="G35" i="6"/>
  <c r="G30" i="6"/>
  <c r="H10" i="6"/>
  <c r="H4" i="6"/>
  <c r="G4" i="6" s="1"/>
  <c r="H46" i="6"/>
  <c r="H20" i="6"/>
  <c r="G20" i="6" s="1"/>
  <c r="H12" i="6"/>
  <c r="H9" i="6"/>
  <c r="G19" i="6"/>
  <c r="H47" i="6"/>
  <c r="G47" i="6" s="1"/>
  <c r="H60" i="6"/>
  <c r="H13" i="6"/>
  <c r="G13" i="6"/>
  <c r="H41" i="6"/>
  <c r="G41" i="6"/>
  <c r="H11" i="6"/>
  <c r="G59" i="6"/>
  <c r="G15" i="6"/>
  <c r="G62" i="6"/>
  <c r="G9" i="6"/>
  <c r="G60" i="6"/>
  <c r="G58" i="6"/>
  <c r="G44" i="6"/>
  <c r="G22" i="6"/>
  <c r="J9" i="6"/>
  <c r="J15" i="6"/>
  <c r="J59" i="6"/>
  <c r="J41" i="6"/>
  <c r="X13" i="6"/>
  <c r="J19" i="6"/>
  <c r="G12" i="6"/>
  <c r="J20" i="6"/>
  <c r="X4" i="6"/>
  <c r="G10" i="6"/>
  <c r="J30" i="6"/>
  <c r="X35" i="6"/>
  <c r="X31" i="6"/>
  <c r="J6" i="6"/>
  <c r="J23" i="6"/>
  <c r="J14" i="6"/>
  <c r="J5" i="6"/>
  <c r="X17" i="6"/>
  <c r="J7" i="6"/>
  <c r="X3" i="6"/>
  <c r="X45" i="6"/>
  <c r="J32" i="6"/>
  <c r="X29" i="6"/>
  <c r="X33" i="6"/>
  <c r="X8" i="6"/>
  <c r="X24" i="6"/>
  <c r="X42" i="6"/>
  <c r="J25" i="6"/>
  <c r="J21" i="6"/>
  <c r="J18" i="6"/>
  <c r="G26" i="6"/>
  <c r="J36" i="6"/>
  <c r="J34" i="6"/>
  <c r="J39" i="6"/>
  <c r="J16" i="6"/>
  <c r="J38" i="6"/>
  <c r="X28" i="6"/>
  <c r="J37" i="6"/>
  <c r="X43" i="6"/>
  <c r="J44" i="6"/>
  <c r="J60" i="6"/>
  <c r="J43" i="6"/>
  <c r="X44" i="6"/>
  <c r="J47" i="6"/>
  <c r="J58" i="6"/>
  <c r="X9" i="6"/>
  <c r="J62" i="6"/>
  <c r="X15" i="6"/>
  <c r="G11" i="6"/>
  <c r="X41" i="6"/>
  <c r="J13" i="6"/>
  <c r="X19" i="6"/>
  <c r="X20" i="6"/>
  <c r="G46" i="6"/>
  <c r="J4" i="6"/>
  <c r="X30" i="6"/>
  <c r="J35" i="6"/>
  <c r="J31" i="6"/>
  <c r="X6" i="6"/>
  <c r="X23" i="6"/>
  <c r="J68" i="6"/>
  <c r="X14" i="6"/>
  <c r="X5" i="6"/>
  <c r="J17" i="6"/>
  <c r="X7" i="6"/>
  <c r="J3" i="6"/>
  <c r="J45" i="6"/>
  <c r="X32" i="6"/>
  <c r="J29" i="6"/>
  <c r="J33" i="6"/>
  <c r="J8" i="6"/>
  <c r="J24" i="6"/>
  <c r="J42" i="6"/>
  <c r="X25" i="6"/>
  <c r="X21" i="6"/>
  <c r="X18" i="6"/>
  <c r="X36" i="6"/>
  <c r="X34" i="6"/>
  <c r="X39" i="6"/>
  <c r="X16" i="6"/>
  <c r="X38" i="6"/>
  <c r="J28" i="6"/>
  <c r="X37" i="6"/>
  <c r="J22" i="6"/>
  <c r="J27" i="6"/>
  <c r="J48" i="6"/>
  <c r="X22" i="6"/>
  <c r="X27" i="6"/>
  <c r="X48" i="6"/>
  <c r="X2" i="6"/>
  <c r="B254" i="80" l="1"/>
  <c r="B2" i="80"/>
  <c r="J46" i="6"/>
  <c r="X11" i="6"/>
  <c r="J26" i="6"/>
  <c r="J10" i="6"/>
  <c r="X12" i="6"/>
  <c r="X46" i="6"/>
  <c r="J11" i="6"/>
  <c r="X26" i="6"/>
  <c r="X10" i="6"/>
  <c r="J12" i="6"/>
</calcChain>
</file>

<file path=xl/comments1.xml><?xml version="1.0" encoding="utf-8"?>
<comments xmlns="http://schemas.openxmlformats.org/spreadsheetml/2006/main">
  <authors>
    <author>Пользователь</author>
  </authors>
  <commentList>
    <comment ref="K16" authorId="0" shapeId="0">
      <text>
        <r>
          <rPr>
            <b/>
            <sz val="8"/>
            <color indexed="81"/>
            <rFont val="Tahoma"/>
            <family val="2"/>
            <charset val="204"/>
          </rPr>
          <t>Пользователь:</t>
        </r>
        <r>
          <rPr>
            <sz val="8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volond</author>
    <author>FOREST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заголовок столбца с листа Техкарты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volond:</t>
        </r>
        <r>
          <rPr>
            <sz val="9"/>
            <color indexed="81"/>
            <rFont val="Tahoma"/>
            <family val="2"/>
            <charset val="204"/>
          </rPr>
          <t xml:space="preserve">
Используйте этот столбец для того что бы задать проверку 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Контроли которые загружаются при старте формы
</t>
        </r>
      </text>
    </comment>
  </commentList>
</comments>
</file>

<file path=xl/comments3.xml><?xml version="1.0" encoding="utf-8"?>
<comments xmlns="http://schemas.openxmlformats.org/spreadsheetml/2006/main">
  <authors>
    <author>Автор</author>
    <author>FOREST</author>
  </authors>
  <commentList>
    <comment ref="F23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=gPl
Формула для расчета
</t>
        </r>
      </text>
    </comment>
    <comment ref="Q7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O7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  <comment ref="O75" authorId="1" shapeId="0">
      <text>
        <r>
          <rPr>
            <b/>
            <sz val="9"/>
            <color indexed="81"/>
            <rFont val="Tahoma"/>
            <family val="2"/>
            <charset val="204"/>
          </rPr>
          <t>FOREST:</t>
        </r>
        <r>
          <rPr>
            <sz val="9"/>
            <color indexed="81"/>
            <rFont val="Tahoma"/>
            <family val="2"/>
            <charset val="204"/>
          </rPr>
          <t xml:space="preserve">
gSumDog</t>
        </r>
      </text>
    </comment>
  </commentList>
</comments>
</file>

<file path=xl/comments4.xml><?xml version="1.0" encoding="utf-8"?>
<comments xmlns="http://schemas.openxmlformats.org/spreadsheetml/2006/main">
  <authors>
    <author>FOREST</author>
  </authors>
  <commentList>
    <comment ref="S48" authorId="0" shapeId="0">
      <text>
        <r>
          <rPr>
            <sz val="9"/>
            <color indexed="81"/>
            <rFont val="Tahoma"/>
            <family val="2"/>
            <charset val="204"/>
          </rPr>
          <t xml:space="preserve">{"name":"jsonTexzavdannya"}
</t>
        </r>
      </text>
    </comment>
  </commentList>
</comments>
</file>

<file path=xl/comments5.xml><?xml version="1.0" encoding="utf-8"?>
<comments xmlns="http://schemas.openxmlformats.org/spreadsheetml/2006/main">
  <authors>
    <author>Автор</author>
  </authors>
  <commentList>
    <comment ref="A24" authorId="0" shapeId="0">
      <text>
        <r>
          <rPr>
            <b/>
            <sz val="8"/>
            <color indexed="81"/>
            <rFont val="Tahoma"/>
            <family val="2"/>
            <charset val="204"/>
          </rPr>
          <t>Автор:</t>
        </r>
        <r>
          <rPr>
            <sz val="8"/>
            <color indexed="81"/>
            <rFont val="Tahoma"/>
            <family val="2"/>
            <charset val="204"/>
          </rPr>
          <t xml:space="preserve">
Если шрифт операции темносерый тогда не считаем обьем работ</t>
        </r>
      </text>
    </comment>
    <comment ref="M62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gDataS</t>
        </r>
      </text>
    </comment>
    <comment ref="K6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gdLK</t>
        </r>
      </text>
    </comment>
  </commentList>
</comments>
</file>

<file path=xl/comments6.xml><?xml version="1.0" encoding="utf-8"?>
<comments xmlns="http://schemas.openxmlformats.org/spreadsheetml/2006/main">
  <authors>
    <author>Автор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  <comment ref="C29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Vukon
nVukon</t>
        </r>
      </text>
    </comment>
  </commentList>
</comments>
</file>

<file path=xl/connections.xml><?xml version="1.0" encoding="utf-8"?>
<connections xmlns="http://schemas.openxmlformats.org/spreadsheetml/2006/main">
  <connection id="1" keepAlive="1" name="Запрос — Full" description="Соединение с запросом &quot;Full&quot; в книге." type="5" refreshedVersion="0" background="1">
    <dbPr connection="Provider=Microsoft.Mashup.OleDb.1;Data Source=$Workbook$;Location=Full" command="SELECT * FROM [Full]"/>
  </connection>
  <connection id="2" keepAlive="1" name="Запрос — Full (2)" description="Соединение с запросом &quot;Full (2)&quot; в книге." type="5" refreshedVersion="6" background="1" saveData="1">
    <dbPr connection="Provider=Microsoft.Mashup.OleDb.1;Data Source=$Workbook$;Location=Full (2);Extended Properties=&quot;&quot;" command="SELECT * FROM [Full (2)]"/>
  </connection>
  <connection id="3" keepAlive="1" name="Запрос — Like" description="Соединение с запросом &quot;Like&quot; в книге." type="5" refreshedVersion="0" background="1">
    <dbPr connection="Provider=Microsoft.Mashup.OleDb.1;Data Source=$Workbook$;Location=Like" command="SELECT * FROM [Like]"/>
  </connection>
  <connection id="4" keepAlive="1" name="Запрос — ListColumn" description="Соединение с запросом &quot;ListColumn&quot; в книге." type="5" refreshedVersion="0" background="1">
    <dbPr connection="Provider=Microsoft.Mashup.OleDb.1;Data Source=$Workbook$;Location=ListColumn" command="SELECT * FROM [ListColumn]"/>
  </connection>
  <connection id="5" keepAlive="1" name="Запрос — ListColumnsNames" description="Соединение с запросом &quot;ListColumnsNames&quot; в книге." type="5" refreshedVersion="0" background="1">
    <dbPr connection="Provider=Microsoft.Mashup.OleDb.1;Data Source=$Workbook$;Location=ListColumnsNames" command="SELECT * FROM [ListColumnsNames]"/>
  </connection>
  <connection id="6" keepAlive="1" name="Запрос — Merge1" description="Соединение с запросом &quot;Merge1&quot; в книге." type="5" refreshedVersion="6" background="1" saveData="1">
    <dbPr connection="Provider=Microsoft.Mashup.OleDb.1;Data Source=$Workbook$;Location=Merge1;Extended Properties=&quot;&quot;" command="SELECT * FROM [Merge1]"/>
  </connection>
  <connection id="7" keepAlive="1" name="Запрос — RemoveBlankColumns" description="Соединение с запросом &quot;RemoveBlankColumns&quot; в книге." type="5" refreshedVersion="0" background="1">
    <dbPr connection="Provider=Microsoft.Mashup.OleDb.1;Data Source=$Workbook$;Location=RemoveBlankColumns" command="SELECT * FROM [RemoveBlankColumns]"/>
  </connection>
  <connection id="8" keepAlive="1" name="Запрос — SheetNAme" description="Соединение с запросом &quot;SheetNAme&quot; в книге." type="5" refreshedVersion="6" background="1" saveData="1">
    <dbPr connection="Provider=Microsoft.Mashup.OleDb.1;Data Source=$Workbook$;Location=SheetNAme;Extended Properties=&quot;&quot;" command="SELECT * FROM [SheetNAme]"/>
  </connection>
  <connection id="9" keepAlive="1" name="Запрос — ZVZP_Full" description="Соединение с запросом &quot;ZVZP_Full&quot; в книге." type="5" refreshedVersion="0" background="1">
    <dbPr connection="Provider=Microsoft.Mashup.OleDb.1;Data Source=$Workbook$;Location=ZVZP_Full" command="SELECT * FROM [ZVZP_Full]"/>
  </connection>
  <connection id="10" keepAlive="1" name="Запрос — Вызванная функция" description="Соединение с запросом &quot;Вызванная функция&quot; в книге." type="5" refreshedVersion="6" background="1">
    <dbPr connection="Provider=Microsoft.Mashup.OleDb.1;Data Source=$Workbook$;Location=Вызванная функция;Extended Properties=&quot;&quot;" command="SELECT * FROM [Вызванная функция]"/>
  </connection>
  <connection id="11" keepAlive="1" name="Запрос — Вызванная функция (4)" description="Соединение с запросом &quot;Вызванная функция (4)&quot; в книге." type="5" refreshedVersion="6" background="1">
    <dbPr connection="Provider=Microsoft.Mashup.OleDb.1;Data Source=$Workbook$;Location=Вызванная функция (4);Extended Properties=&quot;&quot;" command="SELECT * FROM [Вызванная функция (4)]"/>
  </connection>
  <connection id="12" keepAlive="1" name="Запрос — Вызванная функцияListColumnsNames" description="Соединение с запросом &quot;Вызванная функцияListColumnsNames&quot; в книге." type="5" refreshedVersion="6" background="1">
    <dbPr connection="Provider=Microsoft.Mashup.OleDb.1;Data Source=$Workbook$;Location=Вызванная функцияListColumnsNames;Extended Properties=&quot;&quot;" command="SELECT * FROM [Вызванная функцияListColumnsNames]"/>
  </connection>
  <connection id="13" keepAlive="1" name="Запрос — ДілянкаПоЛК" description="Соединение с запросом &quot;ДілянкаПоЛК&quot; в книге." type="5" refreshedVersion="6" background="1" saveData="1">
    <dbPr connection="Provider=Microsoft.Mashup.OleDb.1;Data Source=$Workbook$;Location=ДілянкаПоЛК;Extended Properties=&quot;&quot;" command="SELECT * FROM [ДілянкаПоЛК]"/>
  </connection>
  <connection id="14" keepAlive="1" name="Запрос — ДоговораПодрядаЕОД" description="Соединение с запросом &quot;ДоговораПодрядаЕОД&quot; в книге." type="5" refreshedVersion="6" background="1" saveData="1">
    <dbPr connection="Provider=Microsoft.Mashup.OleDb.1;Data Source=$Workbook$;Location=ДоговораПодрядаЕОД;Extended Properties=&quot;&quot;" command="SELECT * FROM [ДоговораПодрядаЕОД]"/>
  </connection>
  <connection id="15" keepAlive="1" name="Запрос — Запрос2" description="Соединение с запросом &quot;Запрос2&quot; в книге." type="5" refreshedVersion="0" background="1">
    <dbPr connection="Provider=Microsoft.Mashup.OleDb.1;Data Source=$Workbook$;Location=Запрос2" command="SELECT * FROM [Запрос2]"/>
  </connection>
  <connection id="16" keepAlive="1" name="Запрос — ІнформаціяДляСтроки7 (2)" description="Соединение с запросом &quot;ІнформаціяДляСтроки7 (2)&quot; в книге." type="5" refreshedVersion="6" background="1" saveData="1">
    <dbPr connection="Provider=Microsoft.Mashup.OleDb.1;Data Source=$Workbook$;Location=ІнформаціяДляСтроки7 (2);Extended Properties=&quot;&quot;" command="SELECT * FROM [ІнформаціяДляСтроки7 (2)]"/>
  </connection>
  <connection id="17" keepAlive="1" name="Запрос — КоэфРГК" description="Соединение с запросом &quot;КоэфРГК&quot; в книге." type="5" refreshedVersion="0" background="1">
    <dbPr connection="Provider=Microsoft.Mashup.OleDb.1;Data Source=$Workbook$;Location=КоэфРГК" command="SELECT * FROM [КоэфРГК]"/>
  </connection>
  <connection id="18" keepAlive="1" name="Запрос — Майстри" description="Соединение с запросом &quot;Майстри&quot; в книге." type="5" refreshedVersion="6" background="1" saveData="1">
    <dbPr connection="Provider=Microsoft.Mashup.OleDb.1;Data Source=$Workbook$;Location=Майстри;Extended Properties=&quot;&quot;" command="SELECT * FROM [Майстри]"/>
  </connection>
  <connection id="19" keepAlive="1" name="Запрос — Путь" description="Соединение с запросом &quot;Путь&quot; в книге." type="5" refreshedVersion="0" background="1">
    <dbPr connection="Provider=Microsoft.Mashup.OleDb.1;Data Source=$Workbook$;Location=Путь" command="SELECT * FROM [Путь]"/>
  </connection>
  <connection id="20" keepAlive="1" name="Запрос — РеестрЛКЕОД" description="Соединение с запросом &quot;РеестрЛКЕОД&quot; в книге." type="5" refreshedVersion="6" background="1" saveData="1">
    <dbPr connection="Provider=Microsoft.Mashup.OleDb.1;Data Source=$Workbook$;Location=РеестрЛКЕОД;Extended Properties=&quot;&quot;" command="SELECT * FROM [РеестрЛКЕОД]"/>
  </connection>
  <connection id="21" keepAlive="1" name="Запрос — РеестрЛКЕОДConect" description="Соединение с запросом &quot;РеестрЛКЕОДConect&quot; в книге." type="5" refreshedVersion="6" background="1" saveData="1">
    <dbPr connection="Provider=Microsoft.Mashup.OleDb.1;Data Source=$Workbook$;Location=РеестрЛКЕОДConect;Extended Properties=&quot;&quot;" command="SELECT * FROM [РеестрЛКЕОДConect]"/>
  </connection>
  <connection id="22" keepAlive="1" name="Запрос — Сведено" description="Соединение с запросом &quot;Сведено&quot; в книге." type="5" refreshedVersion="0" background="1">
    <dbPr connection="Provider=Microsoft.Mashup.OleDb.1;Data Source=$Workbook$;Location=Сведено" command="SELECT * FROM [Сведено]"/>
  </connection>
</connections>
</file>

<file path=xl/sharedStrings.xml><?xml version="1.0" encoding="utf-8"?>
<sst xmlns="http://schemas.openxmlformats.org/spreadsheetml/2006/main" count="23415" uniqueCount="5445">
  <si>
    <t>"Затверджую"</t>
  </si>
  <si>
    <t>Директор</t>
  </si>
  <si>
    <t>ДП "Звенигородське лісове господарство"</t>
  </si>
  <si>
    <t>Розряд висот</t>
  </si>
  <si>
    <t>Чорнобильська зона</t>
  </si>
  <si>
    <t>А.П. Проценко</t>
  </si>
  <si>
    <t>Умови роботи</t>
  </si>
  <si>
    <t>од.вим</t>
  </si>
  <si>
    <t>норми</t>
  </si>
  <si>
    <t>з/плата</t>
  </si>
  <si>
    <t xml:space="preserve">Додаткова </t>
  </si>
  <si>
    <t xml:space="preserve">Нарахування </t>
  </si>
  <si>
    <t>Всього</t>
  </si>
  <si>
    <t>норма</t>
  </si>
  <si>
    <t>тарифний</t>
  </si>
  <si>
    <t xml:space="preserve">годинна </t>
  </si>
  <si>
    <t>об"єм</t>
  </si>
  <si>
    <t>виробітку</t>
  </si>
  <si>
    <t>часу год.</t>
  </si>
  <si>
    <t>машино</t>
  </si>
  <si>
    <t>нормо</t>
  </si>
  <si>
    <t>по б/п</t>
  </si>
  <si>
    <t>заробітна</t>
  </si>
  <si>
    <t xml:space="preserve">на заробітну </t>
  </si>
  <si>
    <t>прямих</t>
  </si>
  <si>
    <t>вироб</t>
  </si>
  <si>
    <t>розряд</t>
  </si>
  <si>
    <t>тарифна</t>
  </si>
  <si>
    <t>робіт</t>
  </si>
  <si>
    <t>годин</t>
  </si>
  <si>
    <t>"Штіль"</t>
  </si>
  <si>
    <t>плата</t>
  </si>
  <si>
    <t xml:space="preserve">плату </t>
  </si>
  <si>
    <t>витрат</t>
  </si>
  <si>
    <t>ставка</t>
  </si>
  <si>
    <t>коефіцієнт</t>
  </si>
  <si>
    <t>Прибирання небезпечних дерев</t>
  </si>
  <si>
    <t>га</t>
  </si>
  <si>
    <t>6+4</t>
  </si>
  <si>
    <t>кбм</t>
  </si>
  <si>
    <t>тверді породи</t>
  </si>
  <si>
    <t>Граб</t>
  </si>
  <si>
    <t>5+5</t>
  </si>
  <si>
    <t>Зачищ.сучків після розкр.хлистів</t>
  </si>
  <si>
    <t xml:space="preserve"> Укладання дров у стоси</t>
  </si>
  <si>
    <t>Разом витрат</t>
  </si>
  <si>
    <t>Ціна за 1 літр</t>
  </si>
  <si>
    <t>Вартість ПММ</t>
  </si>
  <si>
    <t>Загальні прямі витрати</t>
  </si>
  <si>
    <t>Вартість заготовки 1 кбм.в сортиментах</t>
  </si>
  <si>
    <t>Прямі витрати лісгопу на 1 м3</t>
  </si>
  <si>
    <t>Підприємець</t>
  </si>
  <si>
    <t xml:space="preserve">Економічний ефект на 1 м3 </t>
  </si>
  <si>
    <t>Всі витрати бригади на заготівлю</t>
  </si>
  <si>
    <t>Лісництво</t>
  </si>
  <si>
    <t>Квартал</t>
  </si>
  <si>
    <t>Відділ</t>
  </si>
  <si>
    <t>Площа</t>
  </si>
  <si>
    <t>Вид рубки</t>
  </si>
  <si>
    <t>Кількість дерев</t>
  </si>
  <si>
    <t>Ліквідний запас м3</t>
  </si>
  <si>
    <t>Загальний запас м3</t>
  </si>
  <si>
    <t>Кількість неліквіду м3</t>
  </si>
  <si>
    <t>Середній об"єм хлиста</t>
  </si>
  <si>
    <t>Запас на 1 га</t>
  </si>
  <si>
    <t>Кут схилу</t>
  </si>
  <si>
    <t>Загальний коефіцієнт</t>
  </si>
  <si>
    <t>Дата тарифних ставок</t>
  </si>
  <si>
    <t>Виконавець</t>
  </si>
  <si>
    <t>шт</t>
  </si>
  <si>
    <t>4+2</t>
  </si>
  <si>
    <t>Хвойні та м'яколистяні породи</t>
  </si>
  <si>
    <t>Твердолистяні породи</t>
  </si>
  <si>
    <t>Вибираєма маса підліску з 1 га скм</t>
  </si>
  <si>
    <t xml:space="preserve">                            Граб</t>
  </si>
  <si>
    <t>Звалювання лісу бензомомоторними пилами</t>
  </si>
  <si>
    <t>Середній діаметр пня</t>
  </si>
  <si>
    <t>Захаращеність лісосіки</t>
  </si>
  <si>
    <t>слабка</t>
  </si>
  <si>
    <t>важкі</t>
  </si>
  <si>
    <t>Морозова</t>
  </si>
  <si>
    <t>Спалювання гілок та сучків</t>
  </si>
  <si>
    <r>
      <t>Фансировина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   Граб</t>
    </r>
  </si>
  <si>
    <r>
      <t xml:space="preserve">Дрова паливні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</si>
  <si>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м"які породи</t>
  </si>
  <si>
    <t>Збирання і склад вкупи верхов.</t>
  </si>
  <si>
    <t>Економічний ефект на 1м3</t>
  </si>
  <si>
    <t>Лісорубний квиток №</t>
  </si>
  <si>
    <t>Всі витрати бригади на заготівлю в сортиментах</t>
  </si>
  <si>
    <t>Вибираєма маса з 1 га</t>
  </si>
  <si>
    <t>"Хускварна"</t>
  </si>
  <si>
    <t>хворост довжиною до 2 м. м"які породи</t>
  </si>
  <si>
    <t>хворост довж. 2,1-4 м.     м"які породи</t>
  </si>
  <si>
    <t>хворост довж. 4,1-6 м.     м"які породи</t>
  </si>
  <si>
    <t>поліна(дрова довж.1 м.)    м"які породи</t>
  </si>
  <si>
    <t xml:space="preserve">                                                 колючі</t>
  </si>
  <si>
    <t xml:space="preserve">                                                колючі</t>
  </si>
  <si>
    <t>На механізовані роботи</t>
  </si>
  <si>
    <t xml:space="preserve">Прямі витрати лісгоспу </t>
  </si>
  <si>
    <t>виробітку з коєфіціентом</t>
  </si>
  <si>
    <t>скм</t>
  </si>
  <si>
    <t>Перевод у м3</t>
  </si>
  <si>
    <t>Спилювання дерев товщиною в окоренку 4 см з переход для заправки кущоріза , технічного обсуговування механізму</t>
  </si>
  <si>
    <t>Всі витрати бригади на заготівлю в хлистах</t>
  </si>
  <si>
    <t>РГК</t>
  </si>
  <si>
    <t>РД</t>
  </si>
  <si>
    <t>Молодняки механізовані</t>
  </si>
  <si>
    <t>Хл</t>
  </si>
  <si>
    <t xml:space="preserve">                                     ТЕХНОЛОГІЧНА  КАРТА  до Договору №</t>
  </si>
  <si>
    <t>Лісорубний квиток від</t>
  </si>
  <si>
    <t xml:space="preserve">Головна порода </t>
  </si>
  <si>
    <t>Катеринопільське</t>
  </si>
  <si>
    <t>Козачанське</t>
  </si>
  <si>
    <t>Вільхівецьке</t>
  </si>
  <si>
    <t>Пехівське</t>
  </si>
  <si>
    <t>Шполянське</t>
  </si>
  <si>
    <t>Хлипнівське</t>
  </si>
  <si>
    <t>Ділянка</t>
  </si>
  <si>
    <t>Номер</t>
  </si>
  <si>
    <t>Дата початку</t>
  </si>
  <si>
    <t>Дата закінчення</t>
  </si>
  <si>
    <t>Ділова</t>
  </si>
  <si>
    <t>Дров'яна</t>
  </si>
  <si>
    <t>Всього куб. м.</t>
  </si>
  <si>
    <t>ПРЖ</t>
  </si>
  <si>
    <t>103 кв (4 вид) 0 діл.</t>
  </si>
  <si>
    <t>СРВ</t>
  </si>
  <si>
    <t>105 кв (3 вид) 0 діл.</t>
  </si>
  <si>
    <t>СЛР</t>
  </si>
  <si>
    <t>106 кв (4 вид) 1 діл.</t>
  </si>
  <si>
    <t>107 кв (4 вид) 0 діл.</t>
  </si>
  <si>
    <t>108 кв (4 вид) 0 діл.</t>
  </si>
  <si>
    <t>4,0</t>
  </si>
  <si>
    <t>108 кв (7 вид) 0 діл.</t>
  </si>
  <si>
    <t>ПРЧ</t>
  </si>
  <si>
    <t>108 кв (8 вид) 0 діл.</t>
  </si>
  <si>
    <t>18,0</t>
  </si>
  <si>
    <t>108 кв (9 вид) 0 діл.</t>
  </si>
  <si>
    <t>108 кв (9 вид) 1 діл.</t>
  </si>
  <si>
    <t>109 кв (2 вид) 0 діл.</t>
  </si>
  <si>
    <t>ПРХ</t>
  </si>
  <si>
    <t>109 кв (6 вид) 0 діл.</t>
  </si>
  <si>
    <t>5,0</t>
  </si>
  <si>
    <t>109 кв (7 вид) 0 діл.</t>
  </si>
  <si>
    <t>28,0</t>
  </si>
  <si>
    <t>11 кв (9 вид) 0 діл.</t>
  </si>
  <si>
    <t>110 кв (3 вид) 0 діл.</t>
  </si>
  <si>
    <t>32,0</t>
  </si>
  <si>
    <t>110 кв (5 вид) 1 діл.</t>
  </si>
  <si>
    <t>112 кв (3 вид) 0 діл.</t>
  </si>
  <si>
    <t>113 кв (1 вид) 0 діл.</t>
  </si>
  <si>
    <t>114 кв (1 вид) 0 діл.</t>
  </si>
  <si>
    <t>СРС</t>
  </si>
  <si>
    <t>117 кв (1 вид) 1 діл.</t>
  </si>
  <si>
    <t>120 кв (2 вид) 0 діл.</t>
  </si>
  <si>
    <t>124 кв (8 вид) 0 діл.</t>
  </si>
  <si>
    <t>125 кв (12 вид) 0 діл.</t>
  </si>
  <si>
    <t>125 кв (14 вид) 1 діл.</t>
  </si>
  <si>
    <t>125 кв (17 вид) 0 діл.</t>
  </si>
  <si>
    <t>125 кв (19 вид) 0 діл.</t>
  </si>
  <si>
    <t>127 кв (12 вид) 0 діл.</t>
  </si>
  <si>
    <t>127 кв (29 вид) 0 діл.</t>
  </si>
  <si>
    <t>127 кв (33 вид)  діл.</t>
  </si>
  <si>
    <t>127 кв (6 вид) 0 діл.</t>
  </si>
  <si>
    <t>129 кв (1 вид) 0 діл.</t>
  </si>
  <si>
    <t>129 кв (13 вид) 0 діл.</t>
  </si>
  <si>
    <t>129 кв (2 вид) 0 діл.</t>
  </si>
  <si>
    <t>129 кв (8 вид) 0 діл.</t>
  </si>
  <si>
    <t>130 кв (1 вид) 1 діл.</t>
  </si>
  <si>
    <t>131 кв (1 вид) 0 діл.</t>
  </si>
  <si>
    <t>131 кв (13 вид) 0 діл.</t>
  </si>
  <si>
    <t>131 кв (2 вид) 0 діл.</t>
  </si>
  <si>
    <t>133 кв (7 вид) 0 діл.</t>
  </si>
  <si>
    <t>134 кв (8 вид) 0 діл.</t>
  </si>
  <si>
    <t>137 кв (14 вид) 1 діл.</t>
  </si>
  <si>
    <t>137 кв (9 вид) 1 діл.</t>
  </si>
  <si>
    <t>16 кв (7 вид) 0 діл.</t>
  </si>
  <si>
    <t>16 кв (8 вид) 0 діл.</t>
  </si>
  <si>
    <t>18 кв (5 вид) 0 діл.</t>
  </si>
  <si>
    <t>18 кв (6 вид) 0 діл.</t>
  </si>
  <si>
    <t>19 кв (6 вид) 0 діл.</t>
  </si>
  <si>
    <t>20 кв (15 вид) 0 діл.</t>
  </si>
  <si>
    <t>22 кв (1 вид) 0 діл.</t>
  </si>
  <si>
    <t>34 кв (5 вид) 0 діл.</t>
  </si>
  <si>
    <t>39 кв (2 вид) 0 діл.</t>
  </si>
  <si>
    <t>39 кв (3 вид) 0 діл.</t>
  </si>
  <si>
    <t>40 кв (2 вид) 0 діл.</t>
  </si>
  <si>
    <t>41 кв (3 вид) 0 діл.</t>
  </si>
  <si>
    <t>42 кв (1 вид) 0 діл.</t>
  </si>
  <si>
    <t>42 кв (3 вид) 0 діл.</t>
  </si>
  <si>
    <t>БЛШ</t>
  </si>
  <si>
    <t>44 кв (1 вид) 1 діл.</t>
  </si>
  <si>
    <t>44 кв (2 вид) 1 діл.</t>
  </si>
  <si>
    <t>44 кв (5 вид) 0 діл.</t>
  </si>
  <si>
    <t>45 кв (5 вид) 0 діл.</t>
  </si>
  <si>
    <t>47 кв (4 вид) 0 діл.</t>
  </si>
  <si>
    <t>48 кв (2 вид) 1 діл.</t>
  </si>
  <si>
    <t>5 кв (4 вид) 0 діл.</t>
  </si>
  <si>
    <t>51 кв (1 вид) 0 діл.</t>
  </si>
  <si>
    <t>52 кв (4 вид) 0 діл.</t>
  </si>
  <si>
    <t>53 кв (1 вид) 0 діл.</t>
  </si>
  <si>
    <t>55 кв (1 вид) 0 діл.</t>
  </si>
  <si>
    <t>57 кв (1 вид) 0 діл.</t>
  </si>
  <si>
    <t>57 кв (3 вид) 0 діл.</t>
  </si>
  <si>
    <t>58 кв (3 вид) 0 діл.</t>
  </si>
  <si>
    <t>59 кв (1 вид) 0 діл.</t>
  </si>
  <si>
    <t>59 кв (3 вид) 0 діл.</t>
  </si>
  <si>
    <t>59 кв (7 вид) 0 діл.</t>
  </si>
  <si>
    <t>60 кв (3 вид) 0 діл.</t>
  </si>
  <si>
    <t>61 кв (1 вид) 0 діл.</t>
  </si>
  <si>
    <t>41,0</t>
  </si>
  <si>
    <t>62 кв (5 вид) 0 діл.</t>
  </si>
  <si>
    <t>63 кв (3 вид) 0 діл.</t>
  </si>
  <si>
    <t>64 кв (7 вид) 0 діл.</t>
  </si>
  <si>
    <t>69 кв (2 вид) 1 діл.</t>
  </si>
  <si>
    <t>70 кв (3 вид) 0 діл.</t>
  </si>
  <si>
    <t>72 кв (4 вид) 0 діл.</t>
  </si>
  <si>
    <t>74 кв (1 вид) 0 діл.</t>
  </si>
  <si>
    <t>75 кв (1 вид) 0 діл.</t>
  </si>
  <si>
    <t>75 кв (1 вид) 1 діл.</t>
  </si>
  <si>
    <t>76 кв (1 вид) 0 діл.</t>
  </si>
  <si>
    <t>76 кв (3 вид) 0 діл.</t>
  </si>
  <si>
    <t>76 кв (5 вид) 0 діл.</t>
  </si>
  <si>
    <t>77 кв (4 вид) 0 діл.</t>
  </si>
  <si>
    <t>78 кв (1 вид) 0 діл.</t>
  </si>
  <si>
    <t>79 кв (10 вид) 1 діл.</t>
  </si>
  <si>
    <t>79 кв (11 вид) 1 діл.</t>
  </si>
  <si>
    <t>79 кв (16 вид) 1 діл.</t>
  </si>
  <si>
    <t>79 кв (18 вид) 0 діл.</t>
  </si>
  <si>
    <t>79 кв (4 вид) 0 діл.</t>
  </si>
  <si>
    <t>80 кв (2 вид) 0 діл.</t>
  </si>
  <si>
    <t>80 кв (9 вид) 0 діл.</t>
  </si>
  <si>
    <t>81 кв (2 вид) 0 діл.</t>
  </si>
  <si>
    <t>82 кв (1 вид) 0 діл.</t>
  </si>
  <si>
    <t>82 кв (2 вид) 0 діл.</t>
  </si>
  <si>
    <t>83 кв (5 вид) 1 діл.</t>
  </si>
  <si>
    <t>83 кв (6 вид) 0 діл.</t>
  </si>
  <si>
    <t>84 кв (1 вид) 0 діл.</t>
  </si>
  <si>
    <t>84 кв (10 вид) 0 діл.</t>
  </si>
  <si>
    <t>85 кв (11 вид) 0 діл.</t>
  </si>
  <si>
    <t>85 кв (11 вид) 1 діл.</t>
  </si>
  <si>
    <t>85 кв (8 вид) 0 діл.</t>
  </si>
  <si>
    <t>87 кв (10 вид) 0 діл.</t>
  </si>
  <si>
    <t>88 кв (7 вид) 0 діл.</t>
  </si>
  <si>
    <t>88 кв (8 вид) 0 діл.</t>
  </si>
  <si>
    <t>9 кв (2 вид) 2 діл.</t>
  </si>
  <si>
    <t>9 кв (2 вид) 3 діл.</t>
  </si>
  <si>
    <t>90 кв (6 вид) 1 діл.</t>
  </si>
  <si>
    <t>90 кв (6 вид) 2 діл.</t>
  </si>
  <si>
    <t>91 кв (5 вид) 0 діл.</t>
  </si>
  <si>
    <t>92 кв (2 вид) 0 діл.</t>
  </si>
  <si>
    <t>93 кв (4 вид) 1 діл.</t>
  </si>
  <si>
    <t>93 кв (4 вид) 2 діл.</t>
  </si>
  <si>
    <t>94 кв (2 вид) 0 діл.</t>
  </si>
  <si>
    <t>94 кв (2 вид) 1 діл.</t>
  </si>
  <si>
    <t>94 кв (4 вид) 0 діл.</t>
  </si>
  <si>
    <t>98 кв (1 вид) 0 діл.</t>
  </si>
  <si>
    <t>98 кв (11 вид) 0 діл.</t>
  </si>
  <si>
    <t>10 кв (11 вид) 0 діл.</t>
  </si>
  <si>
    <t>10 кв (2 вид) 0 діл.</t>
  </si>
  <si>
    <t>10 кв (6 вид) 0 діл.</t>
  </si>
  <si>
    <t>100 кв (1 вид) 0 діл.</t>
  </si>
  <si>
    <t>106 кв (5 вид) 0 діл.</t>
  </si>
  <si>
    <t>106 кв (8 вид) 0 діл.</t>
  </si>
  <si>
    <t>11 кв (1 вид) 2 діл.</t>
  </si>
  <si>
    <t>11 кв (2 вид) 0 діл.</t>
  </si>
  <si>
    <t>11 кв (3 вид) 0 діл.</t>
  </si>
  <si>
    <t>111 кв (13 вид) 0 діл.</t>
  </si>
  <si>
    <t>24,0</t>
  </si>
  <si>
    <t>111 кв (15 вид) 1 діл.</t>
  </si>
  <si>
    <t>114 кв (1 вид) 1 діл.</t>
  </si>
  <si>
    <t>114 кв (3 вид) 1 діл.</t>
  </si>
  <si>
    <t>13 кв (2 вид) 0 діл.</t>
  </si>
  <si>
    <t>15 кв (4 вид) 0 діл.</t>
  </si>
  <si>
    <t>15 кв (4 вид) 1 діл.</t>
  </si>
  <si>
    <t>17 кв (2 вид) 0 діл.</t>
  </si>
  <si>
    <t>2 кв (20 вид) 0 діл.</t>
  </si>
  <si>
    <t>2 кв (4 вид) 0 діл.</t>
  </si>
  <si>
    <t>20 кв (4 вид) 0 діл.</t>
  </si>
  <si>
    <t>23 кв (2 вид) 0 діл.</t>
  </si>
  <si>
    <t>23 кв (3 вид) 0 діл.</t>
  </si>
  <si>
    <t>23 кв (6 вид) 0 діл.</t>
  </si>
  <si>
    <t>23 кв (9 вид) 0 діл.</t>
  </si>
  <si>
    <t>27 кв (4 вид) 0 діл.</t>
  </si>
  <si>
    <t>27 кв (7 вид) 0 діл.</t>
  </si>
  <si>
    <t>38 кв (3 вид) 1 діл.</t>
  </si>
  <si>
    <t>4 кв (7 вид) 1 діл.</t>
  </si>
  <si>
    <t>40 кв (1 вид) 0 діл.</t>
  </si>
  <si>
    <t>41 кв (4 вид) 0 діл.</t>
  </si>
  <si>
    <t>45 кв (1 вид) 1 діл.</t>
  </si>
  <si>
    <t>49 кв (4 вид) 0 діл.</t>
  </si>
  <si>
    <t>49 кв (5 вид) 0 діл.</t>
  </si>
  <si>
    <t>5 кв (2 вид) 0 діл.</t>
  </si>
  <si>
    <t>5 кв (3 вид) 0 діл.</t>
  </si>
  <si>
    <t>5 кв (7 вид) 0 діл.</t>
  </si>
  <si>
    <t>66 кв (6 вид) 0 діл.</t>
  </si>
  <si>
    <t>69 кв (4 вид) 0 діл.</t>
  </si>
  <si>
    <t>69 кв (6 вид) 0 діл.</t>
  </si>
  <si>
    <t>7 кв (4 вид) 0 діл.</t>
  </si>
  <si>
    <t>7 кв (6 вид) 0 діл.</t>
  </si>
  <si>
    <t>72 кв (3 вид) 0 діл.</t>
  </si>
  <si>
    <t>77 кв (6 вид) 0 діл.</t>
  </si>
  <si>
    <t>78 кв (15 вид) 0 діл.</t>
  </si>
  <si>
    <t>8 кв (1 вид) 1 діл.</t>
  </si>
  <si>
    <t>82 кв (6 вид) 0 діл.</t>
  </si>
  <si>
    <t>83 кв (1 вид) 1 діл.</t>
  </si>
  <si>
    <t>84 кв (2 вид) 0 діл.</t>
  </si>
  <si>
    <t>84 кв (9 вид) 0 діл.</t>
  </si>
  <si>
    <t>87 кв (11 вид) 0 діл.</t>
  </si>
  <si>
    <t>88 кв (14 вид) 0 діл.</t>
  </si>
  <si>
    <t>9 кв (4 вид) 0 діл.</t>
  </si>
  <si>
    <t>94 кв (7 вид) 0 діл.</t>
  </si>
  <si>
    <t>96 кв (11 вид) 0 діл.</t>
  </si>
  <si>
    <t>97 кв (6 вид) 0 діл.</t>
  </si>
  <si>
    <t>97 кв (7 вид) 0 діл.</t>
  </si>
  <si>
    <t>97 кв (9 вид) 0 діл.</t>
  </si>
  <si>
    <t>99 кв (5 вид) 0 діл.</t>
  </si>
  <si>
    <t>99 кв (8 вид) 0 діл.</t>
  </si>
  <si>
    <t>10 кв (3 вид) 0 діл.</t>
  </si>
  <si>
    <t>101 кв (6 вид) 1 діл.</t>
  </si>
  <si>
    <t>105 кв (7 вид) 0 діл.</t>
  </si>
  <si>
    <t>Розробка ЛЕП</t>
  </si>
  <si>
    <t>106 кв (16 вид) 1 діл.</t>
  </si>
  <si>
    <t>12 кв (7 вид) 0 діл.</t>
  </si>
  <si>
    <t>14 кв (5 вид) 0 діл.</t>
  </si>
  <si>
    <t>Інші рубки.</t>
  </si>
  <si>
    <t>14 кв (5 вид) 2 діл.</t>
  </si>
  <si>
    <t>14 кв (6 вид) 0 діл.</t>
  </si>
  <si>
    <t>14 кв (7 вид) 0 діл.</t>
  </si>
  <si>
    <t>15 кв (15 вид) 0 діл.</t>
  </si>
  <si>
    <t>15 кв (17 вид) 0 діл.</t>
  </si>
  <si>
    <t>16 кв (3 вид) 0 діл.</t>
  </si>
  <si>
    <t>17 кв (3 вид) 0 діл.</t>
  </si>
  <si>
    <t>18 кв (10 вид) 0 діл.</t>
  </si>
  <si>
    <t>18 кв (11 вид) 0 діл.</t>
  </si>
  <si>
    <t>18 кв (12 вид) 0 діл.</t>
  </si>
  <si>
    <t>18 кв (6 вид) 1 діл.</t>
  </si>
  <si>
    <t>18 кв (7 вид) 1 діл.</t>
  </si>
  <si>
    <t>19 кв (1 вид) 0 діл.</t>
  </si>
  <si>
    <t>19 кв (12 вид) 0 діл.</t>
  </si>
  <si>
    <t>2 кв (6 вид) 0 діл.</t>
  </si>
  <si>
    <t>20 кв (11 вид) 0 діл.</t>
  </si>
  <si>
    <t>20 кв (9 вид) 0 діл.</t>
  </si>
  <si>
    <t>21 кв (12 вид) 0 діл.</t>
  </si>
  <si>
    <t>22 кв (10 вид) 0 діл.</t>
  </si>
  <si>
    <t>22 кв (11 вид) 0 діл.</t>
  </si>
  <si>
    <t>22 кв (5 вид) 0 діл.</t>
  </si>
  <si>
    <t>22 кв (7 вид) 0 діл.</t>
  </si>
  <si>
    <t>22 кв (7 вид) 1 діл.</t>
  </si>
  <si>
    <t>22 кв (8 вид) 0 діл.</t>
  </si>
  <si>
    <t>22 кв (8 вид) 1 діл.</t>
  </si>
  <si>
    <t>22 кв (9 вид) 0 діл.</t>
  </si>
  <si>
    <t>24 кв (11 вид) 0 діл.</t>
  </si>
  <si>
    <t>24 кв (6 вид) 0 діл.</t>
  </si>
  <si>
    <t>26 кв (1 вид) 0 діл.</t>
  </si>
  <si>
    <t>26 кв (5 вид) 0 діл.</t>
  </si>
  <si>
    <t>29 кв (6 вид) 0 діл.</t>
  </si>
  <si>
    <t>29 кв (6 вид) 2 діл.</t>
  </si>
  <si>
    <t>31 кв (14 вид) 1 діл.</t>
  </si>
  <si>
    <t>33 кв (1 вид) 0 діл.</t>
  </si>
  <si>
    <t>37 кв (1 вид) 0 діл.</t>
  </si>
  <si>
    <t>37 кв (13 вид) 0 діл.</t>
  </si>
  <si>
    <t>37 кв (14 вид) 0 діл.</t>
  </si>
  <si>
    <t>37 кв (3 вид) 1 діл.</t>
  </si>
  <si>
    <t>37 кв (5 вид) 0 діл.</t>
  </si>
  <si>
    <t>38 кв (10 вид) 0 діл.</t>
  </si>
  <si>
    <t>38 кв (13 вид) 0 діл.</t>
  </si>
  <si>
    <t>38 кв (6 вид) 0 діл.</t>
  </si>
  <si>
    <t>38 кв (8 вид) 0 діл.</t>
  </si>
  <si>
    <t>4 кв (10 вид) 0 діл.</t>
  </si>
  <si>
    <t>42 кв (2 вид) 0 діл.</t>
  </si>
  <si>
    <t>42 кв (4 вид) 0 діл.</t>
  </si>
  <si>
    <t>42 кв (5 вид) 0 діл.</t>
  </si>
  <si>
    <t>42 кв (6 вид) 0 діл.</t>
  </si>
  <si>
    <t>42 кв (7 вид) 0 діл.</t>
  </si>
  <si>
    <t>42 кв (8 вид) 0 діл.</t>
  </si>
  <si>
    <t>43 кв (1 вид) 0 діл.</t>
  </si>
  <si>
    <t>43 кв (4 вид) 1 діл.</t>
  </si>
  <si>
    <t>43 кв (5 вид) 0 діл.</t>
  </si>
  <si>
    <t>43 кв (6 вид) 0 діл.</t>
  </si>
  <si>
    <t>44 кв (11 вид) 1 діл.</t>
  </si>
  <si>
    <t>44 кв (12 вид) 1 діл.</t>
  </si>
  <si>
    <t>44 кв (2 вид) 0 діл.</t>
  </si>
  <si>
    <t>44 кв (3 вид) 0 діл.</t>
  </si>
  <si>
    <t>44 кв (3 вид) 1 діл.</t>
  </si>
  <si>
    <t>44 кв (4 вид) 0 діл.</t>
  </si>
  <si>
    <t>44 кв (7 вид) 1 діл.</t>
  </si>
  <si>
    <t>48 кв (3 вид) 1 діл.</t>
  </si>
  <si>
    <t>48 кв (5 вид) 1 діл.</t>
  </si>
  <si>
    <t>49 кв (1 вид) 1 діл.</t>
  </si>
  <si>
    <t>49 кв (4 вид) 1 діл.</t>
  </si>
  <si>
    <t>49 кв (5 вид) 1 діл.</t>
  </si>
  <si>
    <t>49 кв (8 вид) 0 діл.</t>
  </si>
  <si>
    <t>50 кв (10 вид) 1 діл.</t>
  </si>
  <si>
    <t>50 кв (8 вид) 0 діл.</t>
  </si>
  <si>
    <t>51 кв (1 вид) 1 діл.</t>
  </si>
  <si>
    <t>51 кв (3 вид) 0 діл.</t>
  </si>
  <si>
    <t>51 кв (7 вид) 1 діл.</t>
  </si>
  <si>
    <t>53 кв (1 вид) 1 діл.</t>
  </si>
  <si>
    <t>53 кв (4 вид) 1 діл.</t>
  </si>
  <si>
    <t>54 кв (2 вид) 0 діл.</t>
  </si>
  <si>
    <t>55 кв (6 вид) 0 діл.</t>
  </si>
  <si>
    <t>57 кв (5 вид) 0 діл.</t>
  </si>
  <si>
    <t>58 кв (14 вид) 0 діл.</t>
  </si>
  <si>
    <t>58 кв (9 вид)  діл.</t>
  </si>
  <si>
    <t>6 кв (11 вид) 0 діл.</t>
  </si>
  <si>
    <t>6 кв (6 вид) 0 діл.</t>
  </si>
  <si>
    <t>65 кв (3 вид) 0 діл.</t>
  </si>
  <si>
    <t>65 кв (4 вид) 0 діл.</t>
  </si>
  <si>
    <t>65 кв (6 вид) 1 діл.</t>
  </si>
  <si>
    <t>68 кв (1 вид) 1 діл.</t>
  </si>
  <si>
    <t>69 кв (3 вид) 0 діл.</t>
  </si>
  <si>
    <t>69 кв (4 вид) 1 діл.</t>
  </si>
  <si>
    <t>69 кв (5 вид) 0 діл.</t>
  </si>
  <si>
    <t>71 кв (9 вид) 0 діл.</t>
  </si>
  <si>
    <t>38,0</t>
  </si>
  <si>
    <t>72 кв (2 вид) 0 діл.</t>
  </si>
  <si>
    <t>73 кв (1 вид) 0 діл.</t>
  </si>
  <si>
    <t>73 кв (1 вид) 1 діл.</t>
  </si>
  <si>
    <t>79 кв (16 вид) 0 діл.</t>
  </si>
  <si>
    <t>80 кв (14 вид) 1 діл.</t>
  </si>
  <si>
    <t>81 кв (1 вид) 0 діл.</t>
  </si>
  <si>
    <t>81 кв (3 вид) 1 діл.</t>
  </si>
  <si>
    <t>81 кв (4 вид) 1 діл.</t>
  </si>
  <si>
    <t>81 кв (4 вид) 2 діл.</t>
  </si>
  <si>
    <t>81 кв (4 вид) 3 діл.</t>
  </si>
  <si>
    <t>83 кв (13 вид) 0 діл.</t>
  </si>
  <si>
    <t>84 кв (8 вид) 0 діл.</t>
  </si>
  <si>
    <t>87 кв (11 вид) 1 діл.</t>
  </si>
  <si>
    <t>87 кв (11 вид) 2 діл.</t>
  </si>
  <si>
    <t>87 кв (17 вид) 3 діл.</t>
  </si>
  <si>
    <t>87 кв (18 вид) 0 діл.</t>
  </si>
  <si>
    <t>87 кв (21 вид) 0 діл.</t>
  </si>
  <si>
    <t>87 кв (6 вид) 0 діл.</t>
  </si>
  <si>
    <t>88 кв (1 вид) 0 діл.</t>
  </si>
  <si>
    <t>88 кв (1 вид) 3 діл.</t>
  </si>
  <si>
    <t>88 кв (6 вид) 0 діл.</t>
  </si>
  <si>
    <t>90 кв (4 вид)  діл.</t>
  </si>
  <si>
    <t>91 кв (10 вид) 1 діл.</t>
  </si>
  <si>
    <t>91 кв (10 вид) 2 діл.</t>
  </si>
  <si>
    <t>91 кв (7 вид) 2 діл.</t>
  </si>
  <si>
    <t>Нижній склад</t>
  </si>
  <si>
    <t>1 кв (1 вид) 0 діл.</t>
  </si>
  <si>
    <t>1 кв (10 вид) 0 діл.</t>
  </si>
  <si>
    <t>1 кв (10 вид) 1 діл.</t>
  </si>
  <si>
    <t>1 кв (11 вид) 0 діл.</t>
  </si>
  <si>
    <t>1 кв (3 вид) 0 діл.</t>
  </si>
  <si>
    <t>1 кв (4 вид) 0 діл.</t>
  </si>
  <si>
    <t>2 кв (21 вид) 0 діл.</t>
  </si>
  <si>
    <t>21 кв (11 вид) 0 діл.</t>
  </si>
  <si>
    <t>РТЛД</t>
  </si>
  <si>
    <t>23 кв (3 вид) 2 діл.</t>
  </si>
  <si>
    <t>23 кв (5 вид) 0 діл.</t>
  </si>
  <si>
    <t>23 кв (7 вид) 0 діл.</t>
  </si>
  <si>
    <t>24 кв (1 вид) 1 діл.</t>
  </si>
  <si>
    <t>25 кв (1 вид) 0 діл.</t>
  </si>
  <si>
    <t>26 кв (8 вид) 0 діл.</t>
  </si>
  <si>
    <t>27 кв (1 вид) 0 діл.</t>
  </si>
  <si>
    <t>27 кв (10 вид) 0 діл.</t>
  </si>
  <si>
    <t>27 кв (5 вид) 0 діл.</t>
  </si>
  <si>
    <t>27 кв (9 вид) 0 діл.</t>
  </si>
  <si>
    <t>28 кв (1 вид)  діл.</t>
  </si>
  <si>
    <t>28 кв (4 вид) 0 діл.</t>
  </si>
  <si>
    <t>30 кв (1 вид) 0 діл.</t>
  </si>
  <si>
    <t>30 кв (3 вид) 0 діл.</t>
  </si>
  <si>
    <t>30 кв (3 вид) 1 діл.</t>
  </si>
  <si>
    <t>32 кв (10 вид) 0 діл.</t>
  </si>
  <si>
    <t>32 кв (12 вид) 0 діл.</t>
  </si>
  <si>
    <t>32 кв (13 вид) 0 діл.</t>
  </si>
  <si>
    <t>33 кв (1 вид) 1 діл.</t>
  </si>
  <si>
    <t>34 кв (2 вид) 0 діл.</t>
  </si>
  <si>
    <t>34 кв (3 вид) 0 діл.</t>
  </si>
  <si>
    <t>34 кв (4 вид) 0 діл.</t>
  </si>
  <si>
    <t>35 кв (4 вид) 0 діл.</t>
  </si>
  <si>
    <t>36 кв (1 вид) 0 діл.</t>
  </si>
  <si>
    <t>38 кв (1 вид) 0 діл.</t>
  </si>
  <si>
    <t>40 кв (5 вид) 0 діл.</t>
  </si>
  <si>
    <t>41 кв (1 вид) 0 діл.</t>
  </si>
  <si>
    <t>РКП</t>
  </si>
  <si>
    <t>41 кв (14 вид) 1 діл.</t>
  </si>
  <si>
    <t>41 кв (15 вид) 0 діл.</t>
  </si>
  <si>
    <t>41 кв (2 вид) 0 діл.</t>
  </si>
  <si>
    <t>41 кв (8 вид) 0 діл.</t>
  </si>
  <si>
    <t>42 кв (1 вид) 1 діл.</t>
  </si>
  <si>
    <t>42 кв (3 вид) 1 діл.</t>
  </si>
  <si>
    <t>45 кв (1 вид) 0 діл.</t>
  </si>
  <si>
    <t>46 кв (4 вид) 0 діл.</t>
  </si>
  <si>
    <t>46 кв (5 вид) 0 діл.</t>
  </si>
  <si>
    <t>47 кв (3 вид) 0 діл.</t>
  </si>
  <si>
    <t>48 кв (3 вид) 0 діл.</t>
  </si>
  <si>
    <t>49 кв (7 вид) 0 діл.</t>
  </si>
  <si>
    <t>50 кв (1 вид) 0 діл.</t>
  </si>
  <si>
    <t>50 кв (3 вид) 0 діл.</t>
  </si>
  <si>
    <t>51 кв (5 вид) 0 діл.</t>
  </si>
  <si>
    <t>52 кв (1 вид) 0 діл.</t>
  </si>
  <si>
    <t>52 кв (2 вид) 0 діл.</t>
  </si>
  <si>
    <t>52 кв (5 вид) 0 діл.</t>
  </si>
  <si>
    <t>52 кв (8 вид) 0 діл.</t>
  </si>
  <si>
    <t>53 кв (2 вид) 0 діл.</t>
  </si>
  <si>
    <t>53 кв (3 вид) 0 діл.</t>
  </si>
  <si>
    <t>53 кв (6 вид) 0 діл.</t>
  </si>
  <si>
    <t>53 кв (7 вид) 0 діл.</t>
  </si>
  <si>
    <t>54 кв (1 вид) 0 діл.</t>
  </si>
  <si>
    <t>55 кв (4 вид) 0 діл.</t>
  </si>
  <si>
    <t>55 кв (5 вид) 0 діл.</t>
  </si>
  <si>
    <t>55 кв (8 вид) 0 діл.</t>
  </si>
  <si>
    <t>56 кв (2 вид) 0 діл.</t>
  </si>
  <si>
    <t>56 кв (6 вид) 0 діл.</t>
  </si>
  <si>
    <t>56 кв (8 вид) 0 діл.</t>
  </si>
  <si>
    <t>57 кв (12 вид) 0 діл.</t>
  </si>
  <si>
    <t>57 кв (8 вид) 0 діл.</t>
  </si>
  <si>
    <t>Реконструктивні рубки</t>
  </si>
  <si>
    <t>57 кв (8 вид) 1 діл.</t>
  </si>
  <si>
    <t>58 кв (11 вид) 0 діл.</t>
  </si>
  <si>
    <t>58 кв (4 вид) 0 діл.</t>
  </si>
  <si>
    <t>58 кв (7 вид) 0 діл.</t>
  </si>
  <si>
    <t>59 кв (11 вид) 0 діл.</t>
  </si>
  <si>
    <t>60 кв (10 вид) 0 діл.</t>
  </si>
  <si>
    <t>60 кв (11 вид) 0 діл.</t>
  </si>
  <si>
    <t>60 кв (2 вид) 0 діл.</t>
  </si>
  <si>
    <t>60 кв (6 вид) 0 діл.</t>
  </si>
  <si>
    <t>60 кв (8 вид) 0 діл.</t>
  </si>
  <si>
    <t>61 кв (4 вид) 0 діл.</t>
  </si>
  <si>
    <t>61 кв (7 вид) 0 діл.</t>
  </si>
  <si>
    <t>62 кв (1 вид) 0 діл.</t>
  </si>
  <si>
    <t>62 кв (3 вид) 0 діл.</t>
  </si>
  <si>
    <t>65 кв (6 вид) 0 діл.</t>
  </si>
  <si>
    <t>66 кв (1 вид) 0 діл.</t>
  </si>
  <si>
    <t>67 кв (1 вид) 0 діл.</t>
  </si>
  <si>
    <t>67 кв (1 вид) 1 діл.</t>
  </si>
  <si>
    <t>68 кв (1 вид) 0 діл.</t>
  </si>
  <si>
    <t>70 кв (6 вид) 0 діл.</t>
  </si>
  <si>
    <t>71 кв (2 вид) 0 діл.</t>
  </si>
  <si>
    <t>71 кв (3 вид) 0 діл.</t>
  </si>
  <si>
    <t>71 кв (8 вид) 0 діл.</t>
  </si>
  <si>
    <t>72 кв (11 вид) 0 діл.</t>
  </si>
  <si>
    <t>72 кв (12 вид) 0 діл.</t>
  </si>
  <si>
    <t>72 кв (8 вид) 1 діл.</t>
  </si>
  <si>
    <t>73 кв (10 вид) 0 діл.</t>
  </si>
  <si>
    <t>73 кв (9 вид) 0 діл.</t>
  </si>
  <si>
    <t>74 кв (2 вид) 0 діл.</t>
  </si>
  <si>
    <t>74 кв (3 вид) 0 діл.</t>
  </si>
  <si>
    <t>74 кв (5 вид) 0 діл.</t>
  </si>
  <si>
    <t>77 кв (1 вид) 0 діл.</t>
  </si>
  <si>
    <t>77 кв (2 вид) 0 діл.</t>
  </si>
  <si>
    <t>78 кв (12 вид) 0 діл.</t>
  </si>
  <si>
    <t>78 кв (13 вид) 0 діл.</t>
  </si>
  <si>
    <t>78 кв (14 вид) 0 діл.</t>
  </si>
  <si>
    <t>79 кв (12 вид) 0 діл.</t>
  </si>
  <si>
    <t>79 кв (14 вид) 0 діл.</t>
  </si>
  <si>
    <t>80 кв (5 вид) 0 діл.</t>
  </si>
  <si>
    <t>80 кв (7 вид) 0 діл.</t>
  </si>
  <si>
    <t>81 кв (15 вид) 0 діл.</t>
  </si>
  <si>
    <t>81 кв (19 вид) 0 діл.</t>
  </si>
  <si>
    <t>81 кв (20 вид) 0 діл.</t>
  </si>
  <si>
    <t>81 кв (24 вид) 0 діл.</t>
  </si>
  <si>
    <t>1 кв (9 вид) 0 діл.</t>
  </si>
  <si>
    <t>10 кв (5 вид) 0 діл.</t>
  </si>
  <si>
    <t>100 кв (11 вид) 0 діл.</t>
  </si>
  <si>
    <t>100 кв (8 вид) 0 діл.</t>
  </si>
  <si>
    <t>102 кв (1 вид) 1 діл.</t>
  </si>
  <si>
    <t>102 кв (3 вид) 0 діл.</t>
  </si>
  <si>
    <t>102 кв (8 вид) 0 діл.</t>
  </si>
  <si>
    <t>103 кв (7 вид) 0 діл.</t>
  </si>
  <si>
    <t>104 кв (13 вид) 0 діл.</t>
  </si>
  <si>
    <t>104 кв (4 вид) 0 діл.</t>
  </si>
  <si>
    <t>105 кв (5 вид) 0 діл.</t>
  </si>
  <si>
    <t>107 кв (2 вид) 0 діл.</t>
  </si>
  <si>
    <t>107 кв (3 вид) 0 діл.</t>
  </si>
  <si>
    <t>11 кв (1 вид) 0 діл.</t>
  </si>
  <si>
    <t>11 кв (14 вид) 0 діл.</t>
  </si>
  <si>
    <t>11 кв (15 вид) 0 діл.</t>
  </si>
  <si>
    <t>11 кв (16 вид) 0 діл.</t>
  </si>
  <si>
    <t>111 кв (7 вид) 0 діл.</t>
  </si>
  <si>
    <t>111 кв (8 вид) 0 діл.</t>
  </si>
  <si>
    <t>112 кв (7 вид) 0 діл.</t>
  </si>
  <si>
    <t>113 кв (4 вид) 0 діл.</t>
  </si>
  <si>
    <t>114 кв (2 вид) 0 діл.</t>
  </si>
  <si>
    <t>114 кв (5 вид) 0 діл.</t>
  </si>
  <si>
    <t>115 кв (5 вид) 0 діл.</t>
  </si>
  <si>
    <t>115 кв (7 вид) 0 діл.</t>
  </si>
  <si>
    <t>116 кв (1 вид) 0 діл.</t>
  </si>
  <si>
    <t>118 кв (9 вид) 0 діл.</t>
  </si>
  <si>
    <t>119 кв (1 вид) 0 діл.</t>
  </si>
  <si>
    <t>119 кв (2 вид) 0 діл.</t>
  </si>
  <si>
    <t>12 кв (15 вид) 0 діл.</t>
  </si>
  <si>
    <t>12 кв (9 вид) 0 діл.</t>
  </si>
  <si>
    <t>120 кв (14 вид) 0 діл.</t>
  </si>
  <si>
    <t>120 кв (8 вид) 0 діл.</t>
  </si>
  <si>
    <t>121 кв (1 вид) 0 діл.</t>
  </si>
  <si>
    <t>121 кв (2 вид)  діл.</t>
  </si>
  <si>
    <t>122 кв (4 вид) 0 діл.</t>
  </si>
  <si>
    <t>122 кв (5 вид) 0 діл.</t>
  </si>
  <si>
    <t>124 кв (1 вид) 0 діл.</t>
  </si>
  <si>
    <t>125 кв (41 вид) 0 діл.</t>
  </si>
  <si>
    <t>125 кв (48 вид) 0 діл.</t>
  </si>
  <si>
    <t>125 кв (49 вид) 0 діл.</t>
  </si>
  <si>
    <t>127 кв (21 вид) 1 діл.</t>
  </si>
  <si>
    <t>127 кв (31 вид) 0 діл.</t>
  </si>
  <si>
    <t>127 кв (32 вид) 0 діл.</t>
  </si>
  <si>
    <t>127 кв (36 вид) 0 діл.</t>
  </si>
  <si>
    <t>13 кв (3 вид) 0 діл.</t>
  </si>
  <si>
    <t>13 кв (4 вид) 0 діл.</t>
  </si>
  <si>
    <t>13 кв (7 вид) 0 діл.</t>
  </si>
  <si>
    <t>13 кв (8 вид) 0 діл.</t>
  </si>
  <si>
    <t>Розчищення ЛЕП - Вибіркове</t>
  </si>
  <si>
    <t>130 кв (5 вид) 0 діл.</t>
  </si>
  <si>
    <t>130 кв (5 вид) 1 діл.</t>
  </si>
  <si>
    <t>130 кв (7 вид) 1 діл.</t>
  </si>
  <si>
    <t>132 кв (1 вид) 0 діл.</t>
  </si>
  <si>
    <t>132 кв (2 вид) 0 діл.</t>
  </si>
  <si>
    <t>132 кв (20 вид) 0 діл.</t>
  </si>
  <si>
    <t>132 кв (22 вид) 0 діл.</t>
  </si>
  <si>
    <t>132 кв (3 вид) 0 діл.</t>
  </si>
  <si>
    <t>132 кв (5 вид) 0 діл.</t>
  </si>
  <si>
    <t>132 кв (7 вид) 0 діл.</t>
  </si>
  <si>
    <t>132 кв (8 вид) 0 діл.</t>
  </si>
  <si>
    <t>141195</t>
  </si>
  <si>
    <t>133 кв (1 вид) 0 діл.</t>
  </si>
  <si>
    <t>133 кв (19 вид) 0 діл.</t>
  </si>
  <si>
    <t>133 кв (39 вид) 0 діл.</t>
  </si>
  <si>
    <t>133 кв (4 вид) 0 діл.</t>
  </si>
  <si>
    <t>133 кв (9 вид) 0 діл.</t>
  </si>
  <si>
    <t>136 кв (60 вид) 1 діл.</t>
  </si>
  <si>
    <t>137 кв (22 вид) 0 діл.</t>
  </si>
  <si>
    <t>137 кв (24 вид) 0 діл.</t>
  </si>
  <si>
    <t>137 кв (25 вид) 0 діл.</t>
  </si>
  <si>
    <t>139 кв (33 вид) 0 діл.</t>
  </si>
  <si>
    <t>14 кв (12 вид) 0 діл.</t>
  </si>
  <si>
    <t>14 кв (3 вид) 0 діл.</t>
  </si>
  <si>
    <t>15 кв (5 вид) 0 діл.</t>
  </si>
  <si>
    <t>16 кв (5 вид) 0 діл.</t>
  </si>
  <si>
    <t>18 кв (1 вид) 0 діл.</t>
  </si>
  <si>
    <t>18 кв (3 вид) 0 діл.</t>
  </si>
  <si>
    <t>19 кв (2 вид) 0 діл.</t>
  </si>
  <si>
    <t>19 кв (4 вид) 0 діл.</t>
  </si>
  <si>
    <t>19 кв (5 вид) 0 діл.</t>
  </si>
  <si>
    <t>2 кв (7 вид) 0 діл.</t>
  </si>
  <si>
    <t>21 кв (2 вид) 0 діл.</t>
  </si>
  <si>
    <t>21 кв (5 вид) 0 діл.</t>
  </si>
  <si>
    <t>22 кв (2 вид) 0 діл.</t>
  </si>
  <si>
    <t>25 кв (2 вид) 0 діл.</t>
  </si>
  <si>
    <t>25 кв (3 вид) 0 діл.</t>
  </si>
  <si>
    <t>25 кв (4 вид) 0 діл.</t>
  </si>
  <si>
    <t>28 кв (6 вид) 0 діл.</t>
  </si>
  <si>
    <t>31 кв (4 вид) 0 діл.</t>
  </si>
  <si>
    <t>31 кв (5 вид) 0 діл.</t>
  </si>
  <si>
    <t>31 кв (8 вид) 0 діл.</t>
  </si>
  <si>
    <t>32 кв (4 вид) 0 діл.</t>
  </si>
  <si>
    <t>35 кв (1 вид) 0 діл.</t>
  </si>
  <si>
    <t>37 кв (2 вид) 0 діл.</t>
  </si>
  <si>
    <t>37 кв (7 вид) 0 діл.</t>
  </si>
  <si>
    <t>37 кв (8 вид) 0 діл.</t>
  </si>
  <si>
    <t>37 кв (9 вид) 0 діл.</t>
  </si>
  <si>
    <t>38 кв (2 вид) 0 діл.</t>
  </si>
  <si>
    <t>38 кв (4 вид) 1 діл.</t>
  </si>
  <si>
    <t>4 кв (3 вид) 1 діл.</t>
  </si>
  <si>
    <t>4 кв (9 вид) 0 діл.</t>
  </si>
  <si>
    <t>40 кв (3 вид) 0 діл.</t>
  </si>
  <si>
    <t>41 кв (6 вид) 0 діл.</t>
  </si>
  <si>
    <t>42 кв (11 вид) 0 діл.</t>
  </si>
  <si>
    <t>43 кв (9 вид) 0 діл.</t>
  </si>
  <si>
    <t>45 кв (4 вид) 0 діл.</t>
  </si>
  <si>
    <t>50 кв (7 вид) 0 діл.</t>
  </si>
  <si>
    <t>51 кв (10 вид) 0 діл.</t>
  </si>
  <si>
    <t>51 кв (6 вид) 0 діл.</t>
  </si>
  <si>
    <t>51 кв (7 вид) 0 діл.</t>
  </si>
  <si>
    <t>53 кв (4 вид) 0 діл.</t>
  </si>
  <si>
    <t>53 кв (5 вид) 1 діл.</t>
  </si>
  <si>
    <t>54 кв (14 вид) 0 діл.</t>
  </si>
  <si>
    <t>54 кв (16 вид) 0 діл.</t>
  </si>
  <si>
    <t>54 кв (17 вид) 0 діл.</t>
  </si>
  <si>
    <t>54 кв (5 вид) 0 діл.</t>
  </si>
  <si>
    <t>54 кв (6 вид) 0 діл.</t>
  </si>
  <si>
    <t>55 кв (1 вид) 1 діл.</t>
  </si>
  <si>
    <t>55 кв (1 вид) 2 діл.</t>
  </si>
  <si>
    <t>55 кв (5 вид) 2 діл.</t>
  </si>
  <si>
    <t>55 кв (5 вид) 3 діл.</t>
  </si>
  <si>
    <t>55 кв (7 вид) 0 діл.</t>
  </si>
  <si>
    <t>56 кв (4 вид) 0 діл.</t>
  </si>
  <si>
    <t>58 кв (1 вид) 0 діл.</t>
  </si>
  <si>
    <t>58 кв (1 вид) 2 діл.</t>
  </si>
  <si>
    <t>58 кв (15 вид) 0 діл.</t>
  </si>
  <si>
    <t>58 кв (4 вид) 1 діл.</t>
  </si>
  <si>
    <t>59 кв (8 вид) 1 діл.</t>
  </si>
  <si>
    <t>60 кв (3 вид) 1 діл.</t>
  </si>
  <si>
    <t>63 кв (2 вид) 0 діл.</t>
  </si>
  <si>
    <t>67 кв (4 вид) 0 діл.</t>
  </si>
  <si>
    <t>67 кв (4 вид) 1 діл.</t>
  </si>
  <si>
    <t>68 кв (6 вид) 0 діл.</t>
  </si>
  <si>
    <t>69 кв (15 вид) 0 діл.</t>
  </si>
  <si>
    <t>7 кв (1 вид) 0 діл.</t>
  </si>
  <si>
    <t>70 кв (12 вид)  діл.</t>
  </si>
  <si>
    <t>70 кв (4 вид) 0 діл.</t>
  </si>
  <si>
    <t>70 кв (5 вид) 0 діл.</t>
  </si>
  <si>
    <t>70 кв (8 вид) 0 діл.</t>
  </si>
  <si>
    <t>71 кв (1 вид) 0 діл.</t>
  </si>
  <si>
    <t>73 кв (5 вид) 0 діл.</t>
  </si>
  <si>
    <t>74 кв (7 вид) 0 діл.</t>
  </si>
  <si>
    <t>75 кв (2 вид) 2 діл.</t>
  </si>
  <si>
    <t>75 кв (2 вид) 3 діл.</t>
  </si>
  <si>
    <t>77 кв (13 вид) 0 діл.</t>
  </si>
  <si>
    <t>78 кв (7 вид) 0 діл.</t>
  </si>
  <si>
    <t>8 кв (1 вид) 2 діл.</t>
  </si>
  <si>
    <t>8 кв (2 вид) 0 діл.</t>
  </si>
  <si>
    <t>8 кв (7 вид) 1 діл.</t>
  </si>
  <si>
    <t>80 кв (9 вид) 1 діл.</t>
  </si>
  <si>
    <t>82 кв (10 вид) 0 діл.</t>
  </si>
  <si>
    <t>85 кв (28 вид) 0 діл.</t>
  </si>
  <si>
    <t>85 кв (30 вид) 0 діл.</t>
  </si>
  <si>
    <t>85 кв (31 вид) 0 діл.</t>
  </si>
  <si>
    <t>85 кв (7 вид) 0 діл.</t>
  </si>
  <si>
    <t>86 кв (2 вид) 1 діл.</t>
  </si>
  <si>
    <t>86 кв (3 вид) 0 діл.</t>
  </si>
  <si>
    <t>86 кв (4 вид) 0 діл.</t>
  </si>
  <si>
    <t>89 кв (1 вид) 0 діл.</t>
  </si>
  <si>
    <t>89 кв (3 вид) 0 діл.</t>
  </si>
  <si>
    <t>9 кв (6 вид) 0 діл.</t>
  </si>
  <si>
    <t>90 кв (3 вид) 0 діл.</t>
  </si>
  <si>
    <t>90 кв (4 вид) 0 діл.</t>
  </si>
  <si>
    <t>90 кв (4 вид) 1 діл.</t>
  </si>
  <si>
    <t>90 кв (5 вид) 0 діл.</t>
  </si>
  <si>
    <t>90 кв (5 вид) 1 діл.</t>
  </si>
  <si>
    <t>90 кв (7 вид) 1 діл.</t>
  </si>
  <si>
    <t>91 кв (1 вид) 0 діл.</t>
  </si>
  <si>
    <t>92 кв (4 вид) 0 діл.</t>
  </si>
  <si>
    <t>93 кв (10 вид) 0 діл.</t>
  </si>
  <si>
    <t>93 кв (11 вид) 0 діл.</t>
  </si>
  <si>
    <t>94 кв (8 вид) 0 діл.</t>
  </si>
  <si>
    <t>94 кв (9 вид) 0 діл.</t>
  </si>
  <si>
    <t>95 кв (3 вид) 0 діл.</t>
  </si>
  <si>
    <t>95 кв (6 вид) 0 діл.</t>
  </si>
  <si>
    <t>96 кв (4 вид) 0 діл.</t>
  </si>
  <si>
    <t>97 кв (1 вид) 0 діл.</t>
  </si>
  <si>
    <t>98 кв (4 вид) 0 діл.</t>
  </si>
  <si>
    <t>98 кв (8 вид) 0 діл.</t>
  </si>
  <si>
    <t>99 кв (11 вид) 0 діл.</t>
  </si>
  <si>
    <t>101 кв (6 вид) 0 діл.</t>
  </si>
  <si>
    <t>104 кв (1 вид) 2 діл.</t>
  </si>
  <si>
    <t>105 кв (2 вид) 0 діл.</t>
  </si>
  <si>
    <t>105 кв (4 вид) 0 діл.</t>
  </si>
  <si>
    <t>106 кв (3 вид) 0 діл.</t>
  </si>
  <si>
    <t>106 кв (3 вид) 1 діл.</t>
  </si>
  <si>
    <t>107 кв (2 вид) 1 діл.</t>
  </si>
  <si>
    <t>109 кв (1 вид) 0 діл.</t>
  </si>
  <si>
    <t>109 кв (1 вид) 1 діл.</t>
  </si>
  <si>
    <t>109 кв (1 вид) 2 діл.</t>
  </si>
  <si>
    <t>113 кв (3 вид) 0 діл.</t>
  </si>
  <si>
    <t>116 кв (5 вид) 0 діл.</t>
  </si>
  <si>
    <t>116 кв (7 вид) 0 діл.</t>
  </si>
  <si>
    <t>117 кв (1 вид) 0 діл.</t>
  </si>
  <si>
    <t>117 кв (1 вид) 2 діл.</t>
  </si>
  <si>
    <t>118 кв (2 вид) 0 діл.</t>
  </si>
  <si>
    <t>118 кв (3 вид) 0 діл.</t>
  </si>
  <si>
    <t>118 кв (5 вид) 0 діл.</t>
  </si>
  <si>
    <t>118 кв (6 вид) 1 діл.</t>
  </si>
  <si>
    <t>119 кв (8 вид) 0 діл.</t>
  </si>
  <si>
    <t>120 кв (1 вид) 0 діл.</t>
  </si>
  <si>
    <t>121 кв (1 вид) 1 діл.</t>
  </si>
  <si>
    <t>122 кв (1 вид) 1 діл.</t>
  </si>
  <si>
    <t>122 кв (1 вид) 1_1 діл.</t>
  </si>
  <si>
    <t>122 кв (1 вид) 2 діл.</t>
  </si>
  <si>
    <t>122 кв (2 вид) 0 діл.</t>
  </si>
  <si>
    <t>123 кв (4 вид) 0 діл.</t>
  </si>
  <si>
    <t>123 кв (5 вид) 1 діл.</t>
  </si>
  <si>
    <t>126 кв (3 вид) 0 діл.</t>
  </si>
  <si>
    <t>126 кв (4 вид)  діл.</t>
  </si>
  <si>
    <t>126 кв (6 вид)  діл.</t>
  </si>
  <si>
    <t>127 кв (1 вид) 0 діл.</t>
  </si>
  <si>
    <t>127 кв (2 вид) 0 діл.</t>
  </si>
  <si>
    <t>13 кв (1 вид) 0 діл.</t>
  </si>
  <si>
    <t>131 кв (1 вид) 1 діл.</t>
  </si>
  <si>
    <t>131 кв (1 вид) 2 діл.</t>
  </si>
  <si>
    <t>131 кв (1 вид) 2_1 діл.</t>
  </si>
  <si>
    <t>135 кв (8 вид) 0 діл.</t>
  </si>
  <si>
    <t>139 кв (15 вид) 0 діл.</t>
  </si>
  <si>
    <t>140 кв (4 вид) 0 діл.</t>
  </si>
  <si>
    <t>144 кв (1 вид) 0 діл.</t>
  </si>
  <si>
    <t>146 кв (13 вид)  діл.</t>
  </si>
  <si>
    <t>149 кв (1 вид)  діл.</t>
  </si>
  <si>
    <t>149 кв (5 вид) 0 діл.</t>
  </si>
  <si>
    <t>149 кв (6 вид) 0 діл.</t>
  </si>
  <si>
    <t>149 кв (8 вид) 0 діл.</t>
  </si>
  <si>
    <t>151 кв (1 вид) 0 діл.</t>
  </si>
  <si>
    <t>151 кв (10 вид) 0 діл.</t>
  </si>
  <si>
    <t>151 кв (3 вид) 0 діл.</t>
  </si>
  <si>
    <t>151 кв (8 вид) 0 діл.</t>
  </si>
  <si>
    <t>151 кв (9 вид) 0 діл.</t>
  </si>
  <si>
    <t>152 кв (12 вид) 0 діл.</t>
  </si>
  <si>
    <t>152 кв (13 вид) 0 діл.</t>
  </si>
  <si>
    <t>152 кв (14 вид) 0 діл.</t>
  </si>
  <si>
    <t>152 кв (3 вид) 0 діл.</t>
  </si>
  <si>
    <t>153 кв (9 вид) 0 діл.</t>
  </si>
  <si>
    <t>157 кв (11 вид) 0 діл.</t>
  </si>
  <si>
    <t>157 кв (12 вид) 0 діл.</t>
  </si>
  <si>
    <t>157 кв (13 вид) 0 діл.</t>
  </si>
  <si>
    <t>157 кв (28 вид) 0 діл.</t>
  </si>
  <si>
    <t>157 кв (28 вид) 1 діл.</t>
  </si>
  <si>
    <t>159 кв (5 вид) 0 діл.</t>
  </si>
  <si>
    <t>164 кв (3 вид) 0 діл.</t>
  </si>
  <si>
    <t>164 кв (6 вид) 0 діл.</t>
  </si>
  <si>
    <t>165 кв (29 вид) 0 діл.</t>
  </si>
  <si>
    <t>170 кв (11 вид) 0 діл.</t>
  </si>
  <si>
    <t>170 кв (11 вид) 2 діл.</t>
  </si>
  <si>
    <t>2 кв (5 вид) 0 діл.</t>
  </si>
  <si>
    <t>21 кв (2 вид)  діл.</t>
  </si>
  <si>
    <t>21 кв (2 вид) 1 діл.</t>
  </si>
  <si>
    <t>28 кв (10 вид) 0 діл.</t>
  </si>
  <si>
    <t>29 кв (7 вид) 3 діл.</t>
  </si>
  <si>
    <t>3 кв (5 вид) 0 діл.</t>
  </si>
  <si>
    <t>3 кв (5 вид) 1 діл.</t>
  </si>
  <si>
    <t>3 кв (5 вид) 1_1 діл.</t>
  </si>
  <si>
    <t>3 кв (5 вид) 2 діл.</t>
  </si>
  <si>
    <t>3 кв (7 вид) 0 діл.</t>
  </si>
  <si>
    <t>30 кв (2 вид) 1 діл.</t>
  </si>
  <si>
    <t>30 кв (2 вид) 3 діл.</t>
  </si>
  <si>
    <t>30 кв (2 вид) 4 діл.</t>
  </si>
  <si>
    <t>32 кв (2 вид) 0 діл.</t>
  </si>
  <si>
    <t>33 кв (3 вид) 0 діл.</t>
  </si>
  <si>
    <t>34 кв (7 вид) 0 діл.</t>
  </si>
  <si>
    <t>34 кв (7 вид) 1 діл.</t>
  </si>
  <si>
    <t>35 кв (4 вид) 1 діл.</t>
  </si>
  <si>
    <t>35 кв (5 вид) 0 діл.</t>
  </si>
  <si>
    <t>35 кв (6 вид) 0 діл.</t>
  </si>
  <si>
    <t>35 кв (6 вид) 1 діл.</t>
  </si>
  <si>
    <t>4 кв (2 вид) 0 діл.</t>
  </si>
  <si>
    <t>4 кв (2 вид) 1 діл.</t>
  </si>
  <si>
    <t>4 кв (5 вид) 0 діл.</t>
  </si>
  <si>
    <t>41 кв (1 вид) 2 діл.</t>
  </si>
  <si>
    <t>41 кв (3 вид) 1 діл.</t>
  </si>
  <si>
    <t>43 кв (1 вид) 1 діл.</t>
  </si>
  <si>
    <t>43 кв (1 вид) 1_1 діл.</t>
  </si>
  <si>
    <t>46 кв (10 вид) 0 діл.</t>
  </si>
  <si>
    <t>49 кв (1 вид) 0 діл.</t>
  </si>
  <si>
    <t>49 кв (2 вид) 0 діл.</t>
  </si>
  <si>
    <t>52 кв (6 вид) 0 діл.</t>
  </si>
  <si>
    <t>59 кв (2 вид) 0 діл.</t>
  </si>
  <si>
    <t>59 кв (6 вид) 0 діл.</t>
  </si>
  <si>
    <t>6 кв (10 вид) 0 діл.</t>
  </si>
  <si>
    <t>6 кв (12 вид) 0 діл.</t>
  </si>
  <si>
    <t>6 кв (14 вид) 0 діл.</t>
  </si>
  <si>
    <t>61 кв (5 вид) 0 діл.</t>
  </si>
  <si>
    <t>63 кв (1 вид) 0 діл.</t>
  </si>
  <si>
    <t>64 кв (1 вид) 0 діл.</t>
  </si>
  <si>
    <t>65 кв (8 вид) 0 діл.</t>
  </si>
  <si>
    <t>66 кв (8 вид) 0 діл.</t>
  </si>
  <si>
    <t>69 кв (4 вид)  діл.</t>
  </si>
  <si>
    <t>70 кв (2 вид) 0 діл.</t>
  </si>
  <si>
    <t>73 кв (3 вид) 0 діл.</t>
  </si>
  <si>
    <t>74 кв (2 вид) 1 діл.</t>
  </si>
  <si>
    <t>74 кв (2 вид) 2 діл.</t>
  </si>
  <si>
    <t>83 кв (1 вид) 0 діл.</t>
  </si>
  <si>
    <t>88 кв (3 вид)  діл.</t>
  </si>
  <si>
    <t>88 кв (3 вид) 1 діл.</t>
  </si>
  <si>
    <t>89 кв (4 вид) 0 діл.</t>
  </si>
  <si>
    <t>9 кв (13 вид) 0 діл.</t>
  </si>
  <si>
    <t>93 кв (3 вид) 0 діл.</t>
  </si>
  <si>
    <t>95 кв (2 вид) 0 діл.</t>
  </si>
  <si>
    <t>97 кв (3 вид) 0 діл.</t>
  </si>
  <si>
    <t>97 кв (4 вид) 0 діл.</t>
  </si>
  <si>
    <t>99 кв (2 вид) 2 діл.</t>
  </si>
  <si>
    <t>99 кв (2 вид) 3 діл.</t>
  </si>
  <si>
    <t>РеестрЛКЕОД</t>
  </si>
  <si>
    <t>Значение</t>
  </si>
  <si>
    <t>Параметр</t>
  </si>
  <si>
    <t>Значение2</t>
  </si>
  <si>
    <t>Лісгосп</t>
  </si>
  <si>
    <t>Номер договору</t>
  </si>
  <si>
    <t>Сведено</t>
  </si>
  <si>
    <t>Звенигородське ЛГ</t>
  </si>
  <si>
    <t>Морозова О.О. ФОП</t>
  </si>
  <si>
    <t>05\Віл\4_12_МОО-2017</t>
  </si>
  <si>
    <t>106 кв (4 вид) 1 діл. 514154</t>
  </si>
  <si>
    <t>01\Віл\6_12_МОО-2017</t>
  </si>
  <si>
    <t>108 кв (7 вид) 0 діл. 514154</t>
  </si>
  <si>
    <t>07\Віл\3_7_МОО-2017</t>
  </si>
  <si>
    <t>109 кв (2 вид) 0 діл. 556579</t>
  </si>
  <si>
    <t>7\Віл\5_1_МОО-2017</t>
  </si>
  <si>
    <t>109 кв (6 вид) 0 діл. 514175</t>
  </si>
  <si>
    <t>11\Віл\4_11_МОО-2017</t>
  </si>
  <si>
    <t>109 кв (7 вид) 0 діл. 556614</t>
  </si>
  <si>
    <t>11\Віл\1_11_МОО-2017</t>
  </si>
  <si>
    <t>11 кв (9 вид) 0 діл. 556614</t>
  </si>
  <si>
    <t>02\Віл\3_02_МОО-2017</t>
  </si>
  <si>
    <t>110 кв (3 вид) 0 діл. 514188</t>
  </si>
  <si>
    <t>04\Віл\4_01_МОО-2017</t>
  </si>
  <si>
    <t>114 кв (1 вид) 0 діл. 514174</t>
  </si>
  <si>
    <t>07\Віл\2_7_МОО-2017</t>
  </si>
  <si>
    <t>120 кв (2 вид) 0 діл. 556579</t>
  </si>
  <si>
    <t>01\Віл\10_12_МОО-201</t>
  </si>
  <si>
    <t>125 кв (14 вид) 1 діл. 514154</t>
  </si>
  <si>
    <t>10\Віл\10_10_МОО2017</t>
  </si>
  <si>
    <t>125 кв (19 вид) 0 діл. 556608</t>
  </si>
  <si>
    <t>9\Віл\6_9_МОО-2017</t>
  </si>
  <si>
    <t>127 кв (12 вид) 0 діл. 556592</t>
  </si>
  <si>
    <t>9\Віл\1_9_МОО-2017</t>
  </si>
  <si>
    <t>127 кв (29 вид) 0 діл. 556592</t>
  </si>
  <si>
    <t>10\Віл\11_10_МОО2017</t>
  </si>
  <si>
    <t>127 кв (33 вид)  діл. 556608</t>
  </si>
  <si>
    <t>01\Віл\01_02_МОО-201</t>
  </si>
  <si>
    <t>129 кв (1 вид) 0 діл. 514181</t>
  </si>
  <si>
    <t>01\Віл\02_02_МОО-201</t>
  </si>
  <si>
    <t>129 кв (2 вид) 0 діл. 514181</t>
  </si>
  <si>
    <t>01\Віл\8_12_МОО-2017</t>
  </si>
  <si>
    <t>129 кв (8 вид) 0 діл. 514176</t>
  </si>
  <si>
    <t>04\Віл\1_04_МОО-2017</t>
  </si>
  <si>
    <t>130 кв (1 вид) 1 діл. 514154</t>
  </si>
  <si>
    <t>9\Віл\5_9_МОО-2017</t>
  </si>
  <si>
    <t>131 кв (1 вид) 0 діл. 556592</t>
  </si>
  <si>
    <t>9\Віл\4_9_МОО-2017</t>
  </si>
  <si>
    <t>131 кв (2 вид) 0 діл. 556592</t>
  </si>
  <si>
    <t>07\Віл\1_7_МОО-2017</t>
  </si>
  <si>
    <t>133 кв (7 вид) 0 діл. 556579</t>
  </si>
  <si>
    <t>9\Віл\3_9_МОО-2017</t>
  </si>
  <si>
    <t>134 кв (8 вид) 0 діл. 556592</t>
  </si>
  <si>
    <t>9\Віл\2_9_МОО-2017</t>
  </si>
  <si>
    <t>137 кв (14 вид) 1 діл. 556592</t>
  </si>
  <si>
    <t>9\Віл\9_9_МОО-2017</t>
  </si>
  <si>
    <t>16 кв (7 вид) 0 діл. 556592</t>
  </si>
  <si>
    <t>9\Віл\8_9_МОО-2017</t>
  </si>
  <si>
    <t>16 кв (8 вид) 0 діл. 556592</t>
  </si>
  <si>
    <t>10\Віл\1_10_МОО-2017</t>
  </si>
  <si>
    <t>18 кв (5 вид) 0 діл. 556608</t>
  </si>
  <si>
    <t>10\Віл\2_10_МОО-2017</t>
  </si>
  <si>
    <t>18 кв (6 вид) 0 діл. 556608</t>
  </si>
  <si>
    <t>01\Віл\4_12_МОО-2017</t>
  </si>
  <si>
    <t>19 кв (6 вид) 0 діл. 514154</t>
  </si>
  <si>
    <t>05\Віл\2_12_МОО-2017</t>
  </si>
  <si>
    <t>20 кв (15 вид) 0 діл. 514154</t>
  </si>
  <si>
    <t>05\Віл\6_1_МОО-2017</t>
  </si>
  <si>
    <t>34 кв (5 вид) 0 діл. 514174</t>
  </si>
  <si>
    <t>9\Віл\7_9_МОО-2017</t>
  </si>
  <si>
    <t>39 кв (2 вид) 0 діл. 556592</t>
  </si>
  <si>
    <t>10\Віл\3_10_МОО-2017</t>
  </si>
  <si>
    <t>39 кв (3 вид) 0 діл. 556608</t>
  </si>
  <si>
    <t>03\Віл\1_12_МОО-2017</t>
  </si>
  <si>
    <t>44 кв (5 вид) 0 діл. 514154</t>
  </si>
  <si>
    <t>03\Віл\4_03_МОО-2017</t>
  </si>
  <si>
    <t>45 кв (5 вид) 0 діл. 514192</t>
  </si>
  <si>
    <t>04\Віл\3_12_МОО-2017</t>
  </si>
  <si>
    <t>48 кв (2 вид) 1 діл. 514154</t>
  </si>
  <si>
    <t>04\Віл\2_04_МОО-2017</t>
  </si>
  <si>
    <t>51 кв (1 вид) 0 діл. 514175</t>
  </si>
  <si>
    <t>03\Віл\3_03_МОО-2017</t>
  </si>
  <si>
    <t>53 кв (1 вид) 0 діл. 514192</t>
  </si>
  <si>
    <t>05\Віл\3_12_МОО-2017</t>
  </si>
  <si>
    <t>55 кв (1 вид) 0 діл. 514154</t>
  </si>
  <si>
    <t>10\Віл\4_10_МОО-2017</t>
  </si>
  <si>
    <t>57 кв (1 вид) 0 діл. 556608</t>
  </si>
  <si>
    <t>10\Віл\5_10_МОО-2017</t>
  </si>
  <si>
    <t>57 кв (3 вид) 0 діл. 556608</t>
  </si>
  <si>
    <t>01\Віл\11_1_МОО-201</t>
  </si>
  <si>
    <t>60 кв (3 вид) 0 діл. 514175</t>
  </si>
  <si>
    <t>01\Віл\5_12_МОО-2017</t>
  </si>
  <si>
    <t>61 кв (1 вид) 0 діл. 514154</t>
  </si>
  <si>
    <t>01\Віл\1_12_МОО-2017</t>
  </si>
  <si>
    <t>69 кв (2 вид) 1 діл. 514154</t>
  </si>
  <si>
    <t>11\Віл\2_11_МОО-2017</t>
  </si>
  <si>
    <t>72 кв (4 вид) 0 діл. 556614</t>
  </si>
  <si>
    <t>10\Віл\6_10_МОО-2017</t>
  </si>
  <si>
    <t>74 кв (1 вид) 0 діл. 556608</t>
  </si>
  <si>
    <t>10\Віл\7_10_МОО-2017</t>
  </si>
  <si>
    <t>77 кв (4 вид) 0 діл. 556608</t>
  </si>
  <si>
    <t>01\Віл\3_1_МОО-2017</t>
  </si>
  <si>
    <t>78 кв (1 вид) 0 діл. 514175</t>
  </si>
  <si>
    <t>03\Віл\2_12_МОО-2017</t>
  </si>
  <si>
    <t>79 кв (18 вид) 0 діл. 514154</t>
  </si>
  <si>
    <t>01\Віл\9_12_МОО-2017</t>
  </si>
  <si>
    <t>80 кв (9 вид) 0 діл. 514176</t>
  </si>
  <si>
    <t>03\Віл\5_03_МОО-2017</t>
  </si>
  <si>
    <t>83 кв (6 вид) 0 діл. 514154</t>
  </si>
  <si>
    <t>02\Віл\4_02_МОО-2017</t>
  </si>
  <si>
    <t>84 кв (1 вид) 0 діл. 514181</t>
  </si>
  <si>
    <t>01\Віл\7_12_МОО-2017</t>
  </si>
  <si>
    <t>84 кв (10 вид) 0 діл. 514176</t>
  </si>
  <si>
    <t>05\Віл\1_01_МОО-2017</t>
  </si>
  <si>
    <t>88 кв (7 вид) 0 діл. 514175</t>
  </si>
  <si>
    <t>02\Віл\1_02_МОО-2017</t>
  </si>
  <si>
    <t>90 кв (6 вид) 1 діл. 514188</t>
  </si>
  <si>
    <t>07\Віл\4_7_МОО-2017</t>
  </si>
  <si>
    <t>90 кв (6 вид) 2 діл. 556579</t>
  </si>
  <si>
    <t>10\Віл\8_10_МОО-2017</t>
  </si>
  <si>
    <t>91 кв (5 вид) 0 діл. 556608</t>
  </si>
  <si>
    <t>11\Віл\3_11_МОО-2017</t>
  </si>
  <si>
    <t>92 кв (2 вид) 0 діл. 556614</t>
  </si>
  <si>
    <t>01\Віл\2_12_МОО-2017</t>
  </si>
  <si>
    <t>94 кв (2 вид) 1 діл. 514154</t>
  </si>
  <si>
    <t>10\Віл\9_10_МОО-2017</t>
  </si>
  <si>
    <t>94 кв (4 вид) 0 діл. 556608</t>
  </si>
  <si>
    <t>02\Віл\2_02_МОО-2017</t>
  </si>
  <si>
    <t>98 кв (1 вид) 0 діл. 514188</t>
  </si>
  <si>
    <t>ПП "ДНІПРОВСЬКЕ"</t>
  </si>
  <si>
    <t>01\Кат\4_5_ДНІП-2017</t>
  </si>
  <si>
    <t>10 кв (11 вид) 0 діл. 507280</t>
  </si>
  <si>
    <t>01\Кат\6_5_ДНІП-2017</t>
  </si>
  <si>
    <t>10 кв (2 вид) 0 діл. 507280</t>
  </si>
  <si>
    <t>01\Кат\5_5_ДНІП-2017</t>
  </si>
  <si>
    <t>10 кв (6 вид) 0 діл. 507280</t>
  </si>
  <si>
    <t>01\Кат\3_12_МОО-2017</t>
  </si>
  <si>
    <t>100 кв (1 вид) 0 діл. 514169</t>
  </si>
  <si>
    <t>10\Кат\2_10_ДНІП-201</t>
  </si>
  <si>
    <t>106 кв (5 вид) 0 діл. 556602</t>
  </si>
  <si>
    <t>9\Кат\1_9_ДНІП-2017</t>
  </si>
  <si>
    <t>106 кв (8 вид) 0 діл. 556596</t>
  </si>
  <si>
    <t>3\Кат\1_12_ДНІП-2017</t>
  </si>
  <si>
    <t>111 кв (13 вид) 0 діл. 514155</t>
  </si>
  <si>
    <t>11\Кат\1_12_ДНІП-201</t>
  </si>
  <si>
    <t>114 кв (1 вид) 1 діл. 514155</t>
  </si>
  <si>
    <t>6\Кат\1_6_ДНІП-2017</t>
  </si>
  <si>
    <t>13 кв (2 вид) 0 діл. 556576</t>
  </si>
  <si>
    <t>3\Кат\4_12_ДНІП-2017</t>
  </si>
  <si>
    <t>15 кв (4 вид) 1 діл. 514155</t>
  </si>
  <si>
    <t>6\Кат\2_6_ДНІП-2017</t>
  </si>
  <si>
    <t>17 кв (2 вид) 0 діл. 556576</t>
  </si>
  <si>
    <t>6\Кат\3_6_ДНІП-2017</t>
  </si>
  <si>
    <t>20 кв (4 вид) 0 діл. 556576</t>
  </si>
  <si>
    <t>6\Кат\4_6_ДНІП-2017</t>
  </si>
  <si>
    <t>23 кв (2 вид) 0 діл. 556576</t>
  </si>
  <si>
    <t>01\Кат\1_12_ДНІП-201</t>
  </si>
  <si>
    <t>23 кв (3 вид) 0 діл. 514146</t>
  </si>
  <si>
    <t>8\Кат\1_8_ДНІП-2017</t>
  </si>
  <si>
    <t>23 кв (6 вид) 0 діл. 556585</t>
  </si>
  <si>
    <t>6\Кат\5_6_ДНІП-2017</t>
  </si>
  <si>
    <t>23 кв (9 вид) 0 діл. 556576</t>
  </si>
  <si>
    <t>10\Кат\1_10_ДНІП-201</t>
  </si>
  <si>
    <t>27 кв (7 вид) 0 діл. 556602</t>
  </si>
  <si>
    <t>01\Кат\8_1_ДНІП-2017</t>
  </si>
  <si>
    <t>49 кв (4 вид) 0 діл. 514168</t>
  </si>
  <si>
    <t>9\Кат\2_9_ДНІП-2017</t>
  </si>
  <si>
    <t>69 кв (6 вид) 0 діл. 556596</t>
  </si>
  <si>
    <t>3\Кат\2_12_ДНІП-2017</t>
  </si>
  <si>
    <t>78 кв (15 вид) 0 діл. 514155</t>
  </si>
  <si>
    <t>01\Кат\2_12_ДНІП-201</t>
  </si>
  <si>
    <t>8 кв (1 вид) 1 діл. 514155</t>
  </si>
  <si>
    <t>6\Кат\6_6_ДНІП-2017</t>
  </si>
  <si>
    <t>83 кв (1 вид) 1 діл. 514155</t>
  </si>
  <si>
    <t>5\Кат\1_12_ДНІП-2017</t>
  </si>
  <si>
    <t>84 кв (2 вид) 0 діл. 514155</t>
  </si>
  <si>
    <t>3\Кат\3_12_ДНІП-2017</t>
  </si>
  <si>
    <t>84 кв (9 вид) 0 діл. 514155</t>
  </si>
  <si>
    <t>01\Кат\7_5_ДНІП-2017</t>
  </si>
  <si>
    <t>96 кв (11 вид) 0 діл. 514168</t>
  </si>
  <si>
    <t>11\Коз\7_10_МОО-2017</t>
  </si>
  <si>
    <t>10 кв (3 вид) 0 діл. 556607</t>
  </si>
  <si>
    <t>11\Коз\3_10_МОО-2017</t>
  </si>
  <si>
    <t>106 кв (16 вид) 1 діл. 556604</t>
  </si>
  <si>
    <t>6\Коз\1_3_МОО-2017</t>
  </si>
  <si>
    <t>14 кв (5 вид) 0 діл. 514193</t>
  </si>
  <si>
    <t>7\Коз\15_7_МОО-2017</t>
  </si>
  <si>
    <t>14 кв (5 вид) 0 діл. 556583</t>
  </si>
  <si>
    <t>9\Коз\1_8_МОО-2017</t>
  </si>
  <si>
    <t>14 кв (5 вид) 2 діл. 556588</t>
  </si>
  <si>
    <t>6\Коз\2_3_МОО-2017</t>
  </si>
  <si>
    <t>14 кв (6 вид) 0 діл. 514193</t>
  </si>
  <si>
    <t>7\Коз\14_7_МОО-2017</t>
  </si>
  <si>
    <t>14 кв (6 вид) 0 діл. 556583</t>
  </si>
  <si>
    <t>7\Коз\13_7_МОО-2017</t>
  </si>
  <si>
    <t>14 кв (7 вид) 0 діл. 556583</t>
  </si>
  <si>
    <t>02\Коз\1_2_МОО-2017</t>
  </si>
  <si>
    <t>15 кв (15 вид) 0 діл. 514180</t>
  </si>
  <si>
    <t>7\Коз\12_7_МОО-2017</t>
  </si>
  <si>
    <t>17 кв (2 вид) 0 діл. 556583</t>
  </si>
  <si>
    <t>7\Коз\11_7_МОО-2017</t>
  </si>
  <si>
    <t>17 кв (3 вид) 0 діл. 556583</t>
  </si>
  <si>
    <t>7\Коз\4_7_МОО-2017</t>
  </si>
  <si>
    <t>18 кв (11 вид) 0 діл. 556582</t>
  </si>
  <si>
    <t>7\Коз\10_7_МОО-2017</t>
  </si>
  <si>
    <t>18 кв (12 вид) 0 діл. 556582</t>
  </si>
  <si>
    <t>11\Коз\1_11_МОО-2017</t>
  </si>
  <si>
    <t>18 кв (6 вид) 1 діл. 556613</t>
  </si>
  <si>
    <t>5\Коз\15_12_МОО-2017</t>
  </si>
  <si>
    <t>18 кв (7 вид) 1 діл. 514151</t>
  </si>
  <si>
    <t>7\Коз\9_7_МОО-2017</t>
  </si>
  <si>
    <t>22 кв (10 вид) 0 діл. 556582</t>
  </si>
  <si>
    <t>02\Коз\4_2_МОО-2017</t>
  </si>
  <si>
    <t>22 кв (5 вид) 0 діл. 514180</t>
  </si>
  <si>
    <t>05\Коз\14_2_МОО-2017</t>
  </si>
  <si>
    <t>22 кв (7 вид) 1 діл. 514189</t>
  </si>
  <si>
    <t>05\Коз\13_2_МОО-2017</t>
  </si>
  <si>
    <t>22 кв (8 вид) 1 діл. 514189</t>
  </si>
  <si>
    <t>01\Коз\3_1_МОО-2017</t>
  </si>
  <si>
    <t>24 кв (11 вид) 0 діл. 514162</t>
  </si>
  <si>
    <t>02\Коз\2_2_МОО-2017</t>
  </si>
  <si>
    <t>29 кв (6 вид) 0 діл. 514180</t>
  </si>
  <si>
    <t>9\Коз\4_9_МОО-2017</t>
  </si>
  <si>
    <t>29 кв (6 вид) 2 діл. 556597</t>
  </si>
  <si>
    <t>7\Коз\7_7_МОО-2017</t>
  </si>
  <si>
    <t>33 кв (1 вид) 0 діл. 556582</t>
  </si>
  <si>
    <t>9\Коз\2_8_МОО-2017</t>
  </si>
  <si>
    <t>37 кв (1 вид) 0 діл. 556588</t>
  </si>
  <si>
    <t>11\Коз\5_10_МОО-2017</t>
  </si>
  <si>
    <t>37 кв (13 вид) 0 діл. 556607</t>
  </si>
  <si>
    <t>03\Коз\1_12_МОО-2017</t>
  </si>
  <si>
    <t>37 кв (3 вид) 1 діл. 514151</t>
  </si>
  <si>
    <t>11\Коз\6_10_МОО-2017</t>
  </si>
  <si>
    <t>37 кв (5 вид) 0 діл. 556607</t>
  </si>
  <si>
    <t>8\Коз\1_12_МОО-2017</t>
  </si>
  <si>
    <t>4 кв (10 вид) 0 діл. 514151</t>
  </si>
  <si>
    <t>01\Коз\1_1_МОО-2017</t>
  </si>
  <si>
    <t>42 кв (5 вид) 0 діл. 514162</t>
  </si>
  <si>
    <t>01\Коз\2_1_МОО-2017</t>
  </si>
  <si>
    <t>42 кв (6 вид) 0 діл. 514162</t>
  </si>
  <si>
    <t>05\Коз\10_2_МОО-2017</t>
  </si>
  <si>
    <t>44 кв (11 вид) 1 діл. 514189</t>
  </si>
  <si>
    <t>05\Коз\9_02_МОО-2017</t>
  </si>
  <si>
    <t>44 кв (12 вид) 1 діл. 514189</t>
  </si>
  <si>
    <t>05\Коз\12_2_МОО-2017</t>
  </si>
  <si>
    <t>44 кв (3 вид) 1 діл. 514189</t>
  </si>
  <si>
    <t>05\Коз\11_2_МОО-2017</t>
  </si>
  <si>
    <t>44 кв (7 вид) 1 діл. 514189</t>
  </si>
  <si>
    <t>05\Коз\8_02_МОО-2017</t>
  </si>
  <si>
    <t>45 кв (1 вид) 1 діл. 514189</t>
  </si>
  <si>
    <t>05\Коз\7_02_МОО-2017</t>
  </si>
  <si>
    <t>48 кв (3 вид) 1 діл. 514189</t>
  </si>
  <si>
    <t>05\Коз\6_02_МОО-2017</t>
  </si>
  <si>
    <t>48 кв (5 вид) 1 діл. 514189</t>
  </si>
  <si>
    <t>05\Коз\5_02_МОО-2017</t>
  </si>
  <si>
    <t>49 кв (1 вид) 1 діл. 514189</t>
  </si>
  <si>
    <t>05\Коз\4_02_МОО-2017</t>
  </si>
  <si>
    <t>49 кв (4 вид) 1 діл. 514189</t>
  </si>
  <si>
    <t>05\Коз\3_02_МОО-2017</t>
  </si>
  <si>
    <t>49 кв (5 вид) 1 діл. 514189</t>
  </si>
  <si>
    <t>7\Коз\3_3_МОО-2017</t>
  </si>
  <si>
    <t>49 кв (8 вид) 0 діл. 514193</t>
  </si>
  <si>
    <t>7\Коз\1_3_МОО-2017</t>
  </si>
  <si>
    <t>50 кв (8 вид) 0 діл. 514193</t>
  </si>
  <si>
    <t>05\Коз\2_02_МОО-2017</t>
  </si>
  <si>
    <t>51 кв (1 вид) 1 діл. 514189</t>
  </si>
  <si>
    <t>05\Коз\1_02_МОО-2017</t>
  </si>
  <si>
    <t>51 кв (7 вид) 1 діл. 514189</t>
  </si>
  <si>
    <t>01\Коз\5_1_МОО-2017</t>
  </si>
  <si>
    <t>53 кв (1 вид) 1 діл. 514163</t>
  </si>
  <si>
    <t>01\Коз\6_12_МОО-2017</t>
  </si>
  <si>
    <t>53 кв (4 вид) 1 діл. 514151</t>
  </si>
  <si>
    <t>55 кв (3 вид) 0 діл.</t>
  </si>
  <si>
    <t>7\Коз\2_3_МОО-2017</t>
  </si>
  <si>
    <t>55 кв (3 вид) 0 діл. 514193</t>
  </si>
  <si>
    <t>7\Коз\6_7_МОО-2017</t>
  </si>
  <si>
    <t>58 кв (14 вид) 0 діл. 556582</t>
  </si>
  <si>
    <t>9\Коз\5_9_МОО-2017</t>
  </si>
  <si>
    <t>58 кв (9 вид)  діл. 556597</t>
  </si>
  <si>
    <t>02\Коз\1_12_МОО-2017</t>
  </si>
  <si>
    <t>6 кв (6 вид) 0 діл. 514151</t>
  </si>
  <si>
    <t>8\Коз\2_3_МОО-2017</t>
  </si>
  <si>
    <t>65 кв (3 вид) 0 діл. 514193</t>
  </si>
  <si>
    <t>01\Коз\7_1_МОО-2017</t>
  </si>
  <si>
    <t>65 кв (4 вид) 0 діл. 514151</t>
  </si>
  <si>
    <t>11\Коз\2_10_МОО-2017</t>
  </si>
  <si>
    <t>69 кв (4 вид) 1 діл. 514151</t>
  </si>
  <si>
    <t>7\Коз\5_7_МОО-2017</t>
  </si>
  <si>
    <t>72 кв (2 вид) 0 діл. 556582</t>
  </si>
  <si>
    <t>02\Коз\3_2_МОО-2017</t>
  </si>
  <si>
    <t>73 кв (1 вид) 1 діл. 514180</t>
  </si>
  <si>
    <t>11\Коз\2_11_МОО-2017</t>
  </si>
  <si>
    <t>80 кв (14 вид) 1 діл. 556613</t>
  </si>
  <si>
    <t>11\Коз\3_11_МОО-2017</t>
  </si>
  <si>
    <t>81 кв (3 вид) 1 діл. 556613</t>
  </si>
  <si>
    <t>01\Коз\9_1_МОО-2017</t>
  </si>
  <si>
    <t>81 кв (4 вид) 1 діл. 514151</t>
  </si>
  <si>
    <t>9\Коз\3_8_МОО-2017</t>
  </si>
  <si>
    <t>81 кв (4 вид) 2 діл. 556588</t>
  </si>
  <si>
    <t>11\Коз\4_11_МОО-2017</t>
  </si>
  <si>
    <t>81 кв (4 вид) 3 діл. 556613</t>
  </si>
  <si>
    <t>83 кв (13 вид) 0 діл. 556603</t>
  </si>
  <si>
    <t>11\Коз\1_10_МОО-2017</t>
  </si>
  <si>
    <t>84 кв (8 вид) 0 діл. 556603</t>
  </si>
  <si>
    <t>01\Коз\4_1_МОО-2017</t>
  </si>
  <si>
    <t>87 кв (11 вид) 2 діл. 514163</t>
  </si>
  <si>
    <t>02\Коз\5_2_МОО-2017</t>
  </si>
  <si>
    <t>87 кв (6 вид) 0 діл. 514186</t>
  </si>
  <si>
    <t>7\Коз\16_7_МОО-2017</t>
  </si>
  <si>
    <t>88 кв (1 вид) 3 діл. 556584</t>
  </si>
  <si>
    <t>03\Коз\3_03_МОО-2017</t>
  </si>
  <si>
    <t>90 кв (4 вид)  діл. 514193</t>
  </si>
  <si>
    <t>01\Коз\8_1_МОО-2017</t>
  </si>
  <si>
    <t>91 кв (10 вид) 1 діл. 514182</t>
  </si>
  <si>
    <t>03\Коз\4_03_МОО-2017</t>
  </si>
  <si>
    <t>91 кв (10 вид) 2 діл. 514193</t>
  </si>
  <si>
    <t>11\Коз\4_10_МОО-2017</t>
  </si>
  <si>
    <t>91 кв (7 вид) 2 діл. 556607</t>
  </si>
  <si>
    <t>9\Коз\6_9_МОО-2017</t>
  </si>
  <si>
    <t>91 кв (7 вид) 2 діл. 556597</t>
  </si>
  <si>
    <t>06\Пех\4_6_ДНІП-201</t>
  </si>
  <si>
    <t>1 кв (10 вид) 0 діл. 556578</t>
  </si>
  <si>
    <t>09\Пех\4_8_ДНІП-201</t>
  </si>
  <si>
    <t>1 кв (4 вид) 0 діл. 556587</t>
  </si>
  <si>
    <t>06\Пех\3_12_ДНІП-201</t>
  </si>
  <si>
    <t>23 кв (3 вид) 2 діл. 514153</t>
  </si>
  <si>
    <t>09\Пех\1_8_ДНІП-201</t>
  </si>
  <si>
    <t>25 кв (1 вид) 0 діл. 556587</t>
  </si>
  <si>
    <t>01\Пех\4_1_ДНІП-2017</t>
  </si>
  <si>
    <t>26 кв (8 вид) 0 діл. 514157</t>
  </si>
  <si>
    <t>1\Пех\11_1_ДНІП-2017</t>
  </si>
  <si>
    <t>27 кв (1 вид) 0 діл. 514160</t>
  </si>
  <si>
    <t>3\Пех\1_3_ДНІП-2017</t>
  </si>
  <si>
    <t>27 кв (10 вид) 0 діл. 514191</t>
  </si>
  <si>
    <t>09\Пех\9_8_ДНІП-201</t>
  </si>
  <si>
    <t>27 кв (9 вид) 0 діл. 556587</t>
  </si>
  <si>
    <t>01\Пех\5_1_ДНІП-2017</t>
  </si>
  <si>
    <t>28 кв (4 вид) 0 діл. 514157</t>
  </si>
  <si>
    <t>3\Пех\2_3_ДНІП-2017</t>
  </si>
  <si>
    <t>30 кв (3 вид) 0 діл. 514191</t>
  </si>
  <si>
    <t>01\Пех\1_12_ДНІП-201</t>
  </si>
  <si>
    <t>30 кв (3 вид) 1 діл. 514153</t>
  </si>
  <si>
    <t>09\Пех\3_8_ДНІП-201</t>
  </si>
  <si>
    <t>32 кв (10 вид) 0 діл. 556587</t>
  </si>
  <si>
    <t>07\Пех\1_6_ДНІП-201</t>
  </si>
  <si>
    <t>32 кв (12 вид) 0 діл. 556578</t>
  </si>
  <si>
    <t>4\Пех\2_2_ДНІП-2017</t>
  </si>
  <si>
    <t>34 кв (2 вид) 0 діл. 514184</t>
  </si>
  <si>
    <t>5\Пех\2_2_ДНІП-2017</t>
  </si>
  <si>
    <t>5\Пех\1_5_ДНІП-2017</t>
  </si>
  <si>
    <t>34 кв (3 вид) 0 діл. 556573</t>
  </si>
  <si>
    <t>5\Пех\7_2_ДНІП-2017</t>
  </si>
  <si>
    <t>34 кв (4 вид) 0 діл. 514184</t>
  </si>
  <si>
    <t>5\Пех\8_2_ДНІП-2017</t>
  </si>
  <si>
    <t>34 кв (5 вид) 0 діл. 514184</t>
  </si>
  <si>
    <t>09\Пех\8_8_ДНІП-201</t>
  </si>
  <si>
    <t>38 кв (1 вид) 0 діл. 556587</t>
  </si>
  <si>
    <t>09\Пех\7_8_ДНІП-201</t>
  </si>
  <si>
    <t>40 кв (5 вид) 0 діл. 556587</t>
  </si>
  <si>
    <t>11\Пех\1_10_ДНІП-201</t>
  </si>
  <si>
    <t>41 кв (1 вид) 0 діл. 556609</t>
  </si>
  <si>
    <t>01\Пех\6_1_ДНІП-2017</t>
  </si>
  <si>
    <t>41 кв (8 вид) 0 діл. 514178</t>
  </si>
  <si>
    <t>01\Пех\7_1_ДНІП-2017</t>
  </si>
  <si>
    <t>42 кв (1 вид) 0 діл. 514178</t>
  </si>
  <si>
    <t>11\Пех\2_10_ДНІП-201</t>
  </si>
  <si>
    <t>42 кв (2 вид) 0 діл. 556609</t>
  </si>
  <si>
    <t>11\Пех\3_10_ДНІП-201</t>
  </si>
  <si>
    <t>42 кв (3 вид) 0 діл. 556609</t>
  </si>
  <si>
    <t>5\Пех\3_2_ДНІП-2017</t>
  </si>
  <si>
    <t>45 кв (1 вид) 0 діл. 514184</t>
  </si>
  <si>
    <t>5\Пех\5_2_ДНІП-2017</t>
  </si>
  <si>
    <t>46 кв (5 вид) 0 діл. 514184</t>
  </si>
  <si>
    <t>4\Пех\1_2_ДНІП-2017</t>
  </si>
  <si>
    <t>49 кв (4 вид) 0 діл. 514184</t>
  </si>
  <si>
    <t>5\Пех\4_2_ДНІП-2017</t>
  </si>
  <si>
    <t>3\Пех\3_3_ДНІП-2017</t>
  </si>
  <si>
    <t>49 кв (7 вид) 0 діл. 514191</t>
  </si>
  <si>
    <t>5\Пех\6_2_ДНІП-2017</t>
  </si>
  <si>
    <t>50 кв (1 вид) 0 діл. 514184</t>
  </si>
  <si>
    <t>3\Пех\4_3_ДНІП-2017</t>
  </si>
  <si>
    <t>50 кв (3 вид) 0 діл. 514191</t>
  </si>
  <si>
    <t>3\Пех\5_3_ДНІП-2017</t>
  </si>
  <si>
    <t>52 кв (1 вид) 0 діл. 514191</t>
  </si>
  <si>
    <t>01\Пех\9_1_ДНІП-2017</t>
  </si>
  <si>
    <t>52 кв (8 вид) 0 діл. 514178</t>
  </si>
  <si>
    <t>1\Пех\12_1_ДНІП-2017</t>
  </si>
  <si>
    <t>53 кв (3 вид) 0 діл. 514160</t>
  </si>
  <si>
    <t>09\Пех\5_8_ДНІП-201</t>
  </si>
  <si>
    <t>55 кв (4 вид) 0 діл. 556587</t>
  </si>
  <si>
    <t>11\Пех\4_10_ДНІП-201</t>
  </si>
  <si>
    <t>56 кв (8 вид) 0 діл. 556609</t>
  </si>
  <si>
    <t>1\Пех\14_1_ДНІП-2017</t>
  </si>
  <si>
    <t>57 кв (12 вид) 0 діл. 514153</t>
  </si>
  <si>
    <t>Терліс ПП</t>
  </si>
  <si>
    <t>12\Пех\1_11</t>
  </si>
  <si>
    <t>57 кв (8 вид) 1 діл. 514148</t>
  </si>
  <si>
    <t>11\Пех\6_10_ДНІП-201</t>
  </si>
  <si>
    <t>58 кв (7 вид) 0 діл. 556609</t>
  </si>
  <si>
    <t>06\Пех\2_12_ДНІП-201</t>
  </si>
  <si>
    <t>59 кв (11 вид) 0 діл. 514153</t>
  </si>
  <si>
    <t>07\Пех\2_6_ДНІП-201</t>
  </si>
  <si>
    <t>60 кв (10 вид) 0 діл. 556578</t>
  </si>
  <si>
    <t>07\Пех\3_6_ДНІП-201</t>
  </si>
  <si>
    <t>60 кв (11 вид) 0 діл. 556578</t>
  </si>
  <si>
    <t>09\Пех\11_8_ДНІП-201</t>
  </si>
  <si>
    <t>60 кв (2 вид) 0 діл. 556587</t>
  </si>
  <si>
    <t>09\Пех\10_8_ДНІП-201</t>
  </si>
  <si>
    <t>60 кв (3 вид) 0 діл. 556587</t>
  </si>
  <si>
    <t>07\Пех\4_6_ДНІП-201</t>
  </si>
  <si>
    <t>61 кв (4 вид) 0 діл. 556578</t>
  </si>
  <si>
    <t>1\Пех\13_1_ДНІП-2017</t>
  </si>
  <si>
    <t>62 кв (1 вид) 0 діл. 514160</t>
  </si>
  <si>
    <t>01\Пех\8_1_ДНІП-2017</t>
  </si>
  <si>
    <t>66 кв (1 вид) 0 діл. 514178</t>
  </si>
  <si>
    <t>06\Пех\5_6_ДНІП-201</t>
  </si>
  <si>
    <t>68 кв (1 вид) 0 діл. 556578</t>
  </si>
  <si>
    <t>06\Пех\1_12_ДНІП-201</t>
  </si>
  <si>
    <t>71 кв (2 вид) 0 діл. 514153</t>
  </si>
  <si>
    <t>11\Пех\7_10_ДНІП-201</t>
  </si>
  <si>
    <t>71 кв (3 вид) 0 діл. 556609</t>
  </si>
  <si>
    <t>06\Пех\6_6_ДНІП-201</t>
  </si>
  <si>
    <t>71 кв (8 вид) 0 діл. 556578</t>
  </si>
  <si>
    <t>07\Пех\5_6_ДНІП-201</t>
  </si>
  <si>
    <t>71 кв (9 вид) 0 діл. 556578</t>
  </si>
  <si>
    <t>11\Пех\8_11_ДНІП-201</t>
  </si>
  <si>
    <t>72 кв (8 вид) 1 діл. 556610</t>
  </si>
  <si>
    <t>01\Пех\2_1_ДНІП-2017</t>
  </si>
  <si>
    <t>73 кв (1 вид) 0 діл. 514159</t>
  </si>
  <si>
    <t>0\Пех\1_1_ДНІП-2017</t>
  </si>
  <si>
    <t>74 кв (2 вид) 0 діл. 514157</t>
  </si>
  <si>
    <t>01\Пех\3_1_ДНІП-2017</t>
  </si>
  <si>
    <t>74 кв (5 вид) 0 діл. 514159</t>
  </si>
  <si>
    <t>09\Пех\2_8_ДНІП-201</t>
  </si>
  <si>
    <t>77 кв (1 вид) 0 діл. 556587</t>
  </si>
  <si>
    <t>09\Пех\12_9_ДНІП-201</t>
  </si>
  <si>
    <t>77 кв (2 вид) 0 діл. 556600</t>
  </si>
  <si>
    <t>06\Пех\7_1_ДНІП-201</t>
  </si>
  <si>
    <t>78 кв (12 вид) 0 діл. 514157</t>
  </si>
  <si>
    <t>0\Пех\2_1_ДНІП-2017</t>
  </si>
  <si>
    <t>78 кв (13 вид) 0 діл. 514157</t>
  </si>
  <si>
    <t>09\Пех\6_8_ДНІП-201</t>
  </si>
  <si>
    <t>78 кв (14 вид) 0 діл. 556587</t>
  </si>
  <si>
    <t>07\Пех\6_6_ДНІП-201</t>
  </si>
  <si>
    <t>79 кв (12 вид) 0 діл. 556578</t>
  </si>
  <si>
    <t>4\Пех\4_1_ДНІП-2017</t>
  </si>
  <si>
    <t>81 кв (19 вид) 0 діл. 514160</t>
  </si>
  <si>
    <t>4\Пех\5_1_ДНІП-2017</t>
  </si>
  <si>
    <t>81 кв (20 вид) 0 діл. 514159</t>
  </si>
  <si>
    <t>07\Пех\7_6_ДНІП-201</t>
  </si>
  <si>
    <t>81 кв (24 вид) 0 діл. 556578</t>
  </si>
  <si>
    <t>01\Хл\04_01_МОО-2017</t>
  </si>
  <si>
    <t>1 кв (9 вид) 0 діл. 514165</t>
  </si>
  <si>
    <t>01\Хл\05_01_МОО-2017</t>
  </si>
  <si>
    <t>10 кв (5 вид) 0 діл. 514165</t>
  </si>
  <si>
    <t>11\Хл\5_11_МОО-2017\</t>
  </si>
  <si>
    <t>100 кв (11 вид) 0 діл. 556615</t>
  </si>
  <si>
    <t>04\Хл\6_12_МОО-2017</t>
  </si>
  <si>
    <t>100 кв (8 вид) 0 діл. 514152</t>
  </si>
  <si>
    <t>04\Хл\2_01_МОО-2017</t>
  </si>
  <si>
    <t>102 кв (3 вид) 0 діл. 514166</t>
  </si>
  <si>
    <t>04\Хл\2_12_МОО-2017</t>
  </si>
  <si>
    <t>103 кв (7 вид) 0 діл. 514152</t>
  </si>
  <si>
    <t>01\Хл\09_01_МОО-2017</t>
  </si>
  <si>
    <t>104 кв (13 вид) 0 діл. 514165</t>
  </si>
  <si>
    <t>07\Хл\13_07_МОО-2017</t>
  </si>
  <si>
    <t>104 кв (4 вид) 0 діл. 556580</t>
  </si>
  <si>
    <t>9\Хл\7_9_МОО-2017\2</t>
  </si>
  <si>
    <t>105 кв (3 вид) 0 діл. 556591</t>
  </si>
  <si>
    <t>8\Хл\5_8_МОО-2017\2</t>
  </si>
  <si>
    <t>107 кв (2 вид) 0 діл. 556586</t>
  </si>
  <si>
    <t>04\Хл\7_12_МОО-2017</t>
  </si>
  <si>
    <t>107 кв (3 вид) 0 діл. 514152</t>
  </si>
  <si>
    <t>02\Хл\1_02_МОО-2017</t>
  </si>
  <si>
    <t>11 кв (1 вид) 0 діл. 514185</t>
  </si>
  <si>
    <t>01\Хл\28_01_МОО-2017</t>
  </si>
  <si>
    <t>11 кв (14 вид) 0 діл. 514177</t>
  </si>
  <si>
    <t>01\Хл\17_01_МОО-2017</t>
  </si>
  <si>
    <t>11 кв (15 вид) 0 діл. 514177</t>
  </si>
  <si>
    <t>01\Хл\13_01_МОО-2017</t>
  </si>
  <si>
    <t>112 кв (7 вид) 0 діл. 514177</t>
  </si>
  <si>
    <t>11\Хл\4_10_МОО-2017\</t>
  </si>
  <si>
    <t>114 кв (2 вид) 0 діл. 556606</t>
  </si>
  <si>
    <t>03\Хл\4_03_МОО-2017</t>
  </si>
  <si>
    <t>115 кв (5 вид) 0 діл. 514190</t>
  </si>
  <si>
    <t>01\Хл\21_01_МОО-2017</t>
  </si>
  <si>
    <t>115 кв (7 вид) 0 діл. 514177</t>
  </si>
  <si>
    <t>9\Хл\13_1_МОО-2017\</t>
  </si>
  <si>
    <t>116 кв (1 вид) 0 діл. 514152</t>
  </si>
  <si>
    <t>9\Хл\6_9_МОО-2017\2</t>
  </si>
  <si>
    <t>119 кв (2 вид) 0 діл. 556591</t>
  </si>
  <si>
    <t>01\Хл\10_01_МОО-2017</t>
  </si>
  <si>
    <t>12 кв (9 вид) 0 діл. 514165</t>
  </si>
  <si>
    <t>03\Хл\2_03_МОО-2017</t>
  </si>
  <si>
    <t>120 кв (8 вид) 0 діл. 514190</t>
  </si>
  <si>
    <t>07\Хл\10_07_МОО-2017</t>
  </si>
  <si>
    <t>124 кв (1 вид) 0 діл. 556580</t>
  </si>
  <si>
    <t>10\Хл\2_9_МОО-2017\</t>
  </si>
  <si>
    <t>125 кв (41 вид) 0 діл. 556591</t>
  </si>
  <si>
    <t>02\Хл\2_02_МОО-2017</t>
  </si>
  <si>
    <t>125 кв (48 вид) 0 діл. 514185</t>
  </si>
  <si>
    <t>01\Хл\18_01_МОО-2017</t>
  </si>
  <si>
    <t>125 кв (49 вид) 0 діл. 514177</t>
  </si>
  <si>
    <t>9\Хл\5_9_МОО-2017\2</t>
  </si>
  <si>
    <t>127 кв (31 вид) 0 діл. 556591</t>
  </si>
  <si>
    <t>02\Хл\3_02_МОО-2017</t>
  </si>
  <si>
    <t>127 кв (32 вид) 0 діл. 514185</t>
  </si>
  <si>
    <t>07\Хл\5_07_МОО-2017</t>
  </si>
  <si>
    <t>127 кв (36 вид) 0 діл. 556580</t>
  </si>
  <si>
    <t>01\Хл\03_01_МОО-2017</t>
  </si>
  <si>
    <t>13 кв (3 вид) 0 діл. 514165</t>
  </si>
  <si>
    <t>04\Хл\6_01_МОО-2017</t>
  </si>
  <si>
    <t>13 кв (7 вид) 0 діл. 514165</t>
  </si>
  <si>
    <t>04\Хл\1_12_МОО-2017</t>
  </si>
  <si>
    <t>130 кв (5 вид) 1 діл. 514152</t>
  </si>
  <si>
    <t>01\Хл\12_01_МОО-2017</t>
  </si>
  <si>
    <t>132 кв (20 вид) 0 діл. 514177</t>
  </si>
  <si>
    <t>04\Хл\4_12_МОО-2017</t>
  </si>
  <si>
    <t>132 кв (5 вид) 0 діл. 514152</t>
  </si>
  <si>
    <t>04\Хл\3_12_МОО-2017</t>
  </si>
  <si>
    <t>132 кв (7 вид) 0 діл. 514152</t>
  </si>
  <si>
    <t>03\Хл\7_03_МОО-2017</t>
  </si>
  <si>
    <t>132 кв (8 вид) 0 діл. 141195</t>
  </si>
  <si>
    <t>04\Хл\3_01_МОО-2017</t>
  </si>
  <si>
    <t>133 кв (1 вид) 0 діл. 514166</t>
  </si>
  <si>
    <t>04\Хл\8_12_МОО-2017</t>
  </si>
  <si>
    <t>133 кв (19 вид) 0 діл. 514152</t>
  </si>
  <si>
    <t>01\Хл\20_01_МОО-2017</t>
  </si>
  <si>
    <t>133 кв (4 вид) 0 діл. 514177</t>
  </si>
  <si>
    <t>04\Хл\5_12_МОО-2017</t>
  </si>
  <si>
    <t>136 кв (60 вид) 1 діл. 514152</t>
  </si>
  <si>
    <t>07\Хл\9_07_МОО-2017</t>
  </si>
  <si>
    <t>137 кв (24 вид) 0 діл. 556580</t>
  </si>
  <si>
    <t>07\Хл\14_07_МОО-2017</t>
  </si>
  <si>
    <t>137 кв (25 вид) 0 діл. 556580</t>
  </si>
  <si>
    <t>11\Хл\5_10_МОО-2017\</t>
  </si>
  <si>
    <t>139 кв (33 вид) 0 діл. 556606</t>
  </si>
  <si>
    <t>11\Хл\8_10_МОО-2017\</t>
  </si>
  <si>
    <t>14 кв (3 вид) 0 діл. 556606</t>
  </si>
  <si>
    <t>07\Хл\4_07_МОО-2017</t>
  </si>
  <si>
    <t>17 кв (2 вид) 0 діл. 556580</t>
  </si>
  <si>
    <t>01\Хл\14_01_МОО-2017</t>
  </si>
  <si>
    <t>18 кв (6 вид) 0 діл. 514177</t>
  </si>
  <si>
    <t>03\Хл\1_03_МОО-2017</t>
  </si>
  <si>
    <t>19 кв (2 вид) 0 діл. 514190</t>
  </si>
  <si>
    <t>9\Хл\4_9_МОО-2017\2</t>
  </si>
  <si>
    <t>2 кв (7 вид) 0 діл. 556591</t>
  </si>
  <si>
    <t>11\Хл\7_10_МОО-2017\</t>
  </si>
  <si>
    <t>21 кв (2 вид) 0 діл. 556606</t>
  </si>
  <si>
    <t>8\Хл\2_8_МОО-2017\2</t>
  </si>
  <si>
    <t>21 кв (5 вид) 0 діл. 556586</t>
  </si>
  <si>
    <t>11\Хл\2_11_МОО-2017\</t>
  </si>
  <si>
    <t>22 кв (7 вид) 0 діл. 556615</t>
  </si>
  <si>
    <t>04\Хл\5_01_МОО-2017</t>
  </si>
  <si>
    <t>22 кв (8 вид) 0 діл. 514166</t>
  </si>
  <si>
    <t>01\Хл\27_01_МОО-2017</t>
  </si>
  <si>
    <t>23 кв (3 вид) 0 діл. 514177</t>
  </si>
  <si>
    <t>9\Хл\11_9_МОО-2017\</t>
  </si>
  <si>
    <t>31 кв (4 вид) 0 діл. 556591</t>
  </si>
  <si>
    <t>01\Хл\24_01_МОО-2017</t>
  </si>
  <si>
    <t>37 кв (2 вид) 0 діл. 514177</t>
  </si>
  <si>
    <t>03\Хл\3_03_МОО-2017</t>
  </si>
  <si>
    <t>37 кв (8 вид) 0 діл. 514190</t>
  </si>
  <si>
    <t>11\Хл\6_10_МОО-2017\</t>
  </si>
  <si>
    <t>38 кв (1 вид) 0 діл. 556606</t>
  </si>
  <si>
    <t>07\Хл\6_07_МОО-2017</t>
  </si>
  <si>
    <t>38 кв (2 вид) 0 діл. 556580</t>
  </si>
  <si>
    <t>8\Хл\1_1_МОО-2017\2</t>
  </si>
  <si>
    <t>38 кв (4 вид) 1 діл. 514152</t>
  </si>
  <si>
    <t>04\Хл\1_01_МОО-2017</t>
  </si>
  <si>
    <t>4 кв (3 вид) 1 діл. 514166</t>
  </si>
  <si>
    <t>04\Хл\4_01_МОО-2017</t>
  </si>
  <si>
    <t>42 кв (11 вид) 0 діл. 514166</t>
  </si>
  <si>
    <t>01\Хл\26_01_МОО-2017</t>
  </si>
  <si>
    <t>45 кв (5 вид) 0 діл. 514177</t>
  </si>
  <si>
    <t>11\Хл\3_11_МОО-2017\</t>
  </si>
  <si>
    <t>51 кв (10 вид) 0 діл. 556615</t>
  </si>
  <si>
    <t>9\Хл\2_8_МОО-2017\2</t>
  </si>
  <si>
    <t>51 кв (5 вид) 0 діл. 556589</t>
  </si>
  <si>
    <t>9\Хл\1_8_МОО-2017\2</t>
  </si>
  <si>
    <t>51 кв (6 вид) 0 діл. 556589</t>
  </si>
  <si>
    <t>01\Хл\07_01_МОО-2017</t>
  </si>
  <si>
    <t>53 кв (4 вид) 0 діл. 514165</t>
  </si>
  <si>
    <t>01\Хл\29_01_МОО-2017</t>
  </si>
  <si>
    <t>53 кв (5 вид) 1 діл. 514166</t>
  </si>
  <si>
    <t>01\Хл\08_01_МОО-2017</t>
  </si>
  <si>
    <t>53 кв (6 вид) 0 діл. 514165</t>
  </si>
  <si>
    <t>11\Хл\1_10_МОО-2017\</t>
  </si>
  <si>
    <t>54 кв (14 вид) 0 діл. 556606</t>
  </si>
  <si>
    <t>03\Хл\6_03_МОО-2017</t>
  </si>
  <si>
    <t>54 кв (17 вид) 0 діл. 141195</t>
  </si>
  <si>
    <t>11\Хл\9_10_МОО-2017\</t>
  </si>
  <si>
    <t>54 кв (2 вид) 0 діл. 556605</t>
  </si>
  <si>
    <t>01\Хл\19_01_МОО-2017</t>
  </si>
  <si>
    <t>55 кв (1 вид) 0 діл. 514177</t>
  </si>
  <si>
    <t>11\Хл\6_11_МОО-2017\</t>
  </si>
  <si>
    <t>55 кв (1 вид) 2 діл. 556616</t>
  </si>
  <si>
    <t>04\Хл\10_12_МОО-2017</t>
  </si>
  <si>
    <t>55 кв (5 вид) 3 діл. 514152</t>
  </si>
  <si>
    <t>07\Хл\3_07_МОО-2017</t>
  </si>
  <si>
    <t>57 кв (12 вид) 0 діл. 556580</t>
  </si>
  <si>
    <t>9\Хл\12_9_МОО-2017\</t>
  </si>
  <si>
    <t>58 кв (1 вид) 2 діл. 556594</t>
  </si>
  <si>
    <t>10\Хл\1_10_МОО-2017\</t>
  </si>
  <si>
    <t>58 кв (15 вид) 0 діл. 556601</t>
  </si>
  <si>
    <t>04\Хл\9_12_МОО-2017</t>
  </si>
  <si>
    <t>58 кв (4 вид) 1 діл. 514152</t>
  </si>
  <si>
    <t>9\Хл\13_9_МОО-2017\</t>
  </si>
  <si>
    <t>6 кв (6 вид) 0 діл. 556591</t>
  </si>
  <si>
    <t>07\Хл\8_07_МОО-2017</t>
  </si>
  <si>
    <t>60 кв (2 вид) 0 діл. 556580</t>
  </si>
  <si>
    <t>01\Хл\25_01_МОО-2017</t>
  </si>
  <si>
    <t>63 кв (2 вид) 0 діл. 514177</t>
  </si>
  <si>
    <t>01\Хл\23_01_МОО-2017</t>
  </si>
  <si>
    <t>65 кв (6 вид) 0 діл. 514177</t>
  </si>
  <si>
    <t>03\Хл\10_03_МОО-2017</t>
  </si>
  <si>
    <t>69 кв (15 вид) 0 діл. 141195</t>
  </si>
  <si>
    <t>01\Хл\06_01_МОО-2017</t>
  </si>
  <si>
    <t>69 кв (5 вид) 0 діл. 514165</t>
  </si>
  <si>
    <t>9\Хл\10_9_МОО-2017\</t>
  </si>
  <si>
    <t>70 кв (8 вид) 0 діл. 556591</t>
  </si>
  <si>
    <t>07\Хл\11_07_МОО-2017</t>
  </si>
  <si>
    <t>71 кв (2 вид) 0 діл. 556580</t>
  </si>
  <si>
    <t>07\Хл\12_07_МОО-2017</t>
  </si>
  <si>
    <t>73 кв (5 вид) 0 діл. 556580</t>
  </si>
  <si>
    <t>8\Хл\3_8_МОО-2017\2</t>
  </si>
  <si>
    <t>74 кв (7 вид) 0 діл. 556586</t>
  </si>
  <si>
    <t>9\Хл\3_8_МОО-2017\2</t>
  </si>
  <si>
    <t>77 кв (13 вид) 0 діл. 556589</t>
  </si>
  <si>
    <t>10\Хл\2_10_МОО-2017\</t>
  </si>
  <si>
    <t>78 кв (7 вид) 0 діл. 556601</t>
  </si>
  <si>
    <t>01\Хл\01_12_МОО-2017</t>
  </si>
  <si>
    <t>8 кв (1 вид) 2 діл. 514152</t>
  </si>
  <si>
    <t>03\Хл\9_03_МОО-2017</t>
  </si>
  <si>
    <t>80 кв (2 вид) 0 діл. 141195</t>
  </si>
  <si>
    <t>11\Хл\4_11_МОО-2017\</t>
  </si>
  <si>
    <t>81 кв (2 вид) 0 діл. 556615</t>
  </si>
  <si>
    <t>03\Хл\8_03_МОО-2017</t>
  </si>
  <si>
    <t>82 кв (10 вид) 0 діл. 141195</t>
  </si>
  <si>
    <t>01\Хл\02_12_МОО-2017</t>
  </si>
  <si>
    <t>85 кв (30 вид) 0 діл. 514152</t>
  </si>
  <si>
    <t>07\Хл\2_07_МОО-2017</t>
  </si>
  <si>
    <t>85 кв (7 вид) 0 діл. 556580</t>
  </si>
  <si>
    <t>11\Хл\2_10_МОО-2017\</t>
  </si>
  <si>
    <t>86 кв (4 вид) 0 діл. 556606</t>
  </si>
  <si>
    <t>11\Хл\3_10_МОО-2017\</t>
  </si>
  <si>
    <t>89 кв (1 вид) 0 діл. 556606</t>
  </si>
  <si>
    <t>07\Хл\1_07_МОО-2017</t>
  </si>
  <si>
    <t>89 кв (3 вид) 0 діл. 556580</t>
  </si>
  <si>
    <t>11\Хл\1_11_МОО-2017\</t>
  </si>
  <si>
    <t>9 кв (6 вид) 0 діл. 556615</t>
  </si>
  <si>
    <t>03\Хл\5_12_МОО-2017</t>
  </si>
  <si>
    <t>90 кв (3 вид) 0 діл. 514152</t>
  </si>
  <si>
    <t>9\Хл\9_9_МОО-2017\2</t>
  </si>
  <si>
    <t>90 кв (4 вид) 1 діл. 556591</t>
  </si>
  <si>
    <t>06\Хл\2_06_МОО-2017</t>
  </si>
  <si>
    <t>90 кв (5 вид) 0 діл. 556577</t>
  </si>
  <si>
    <t>8\Хл\4_8_МОО-2017\2</t>
  </si>
  <si>
    <t>90 кв (7 вид) 1 діл. 556586</t>
  </si>
  <si>
    <t>01\Хл\11_01_МОО-2017</t>
  </si>
  <si>
    <t>91 кв (1 вид) 0 діл. 514177</t>
  </si>
  <si>
    <t>01\Хл\22_01_МОО-2017</t>
  </si>
  <si>
    <t>92 кв (4 вид) 0 діл. 514177</t>
  </si>
  <si>
    <t>06\Хл\1_01_МОО-2017</t>
  </si>
  <si>
    <t>94 кв (2 вид) 0 діл. 514164</t>
  </si>
  <si>
    <t>9\Хл\8_9_МОО-2017\2</t>
  </si>
  <si>
    <t>94 кв (8 вид) 0 діл. 556591</t>
  </si>
  <si>
    <t>01\Хл\16_01_МОО-2017</t>
  </si>
  <si>
    <t>97 кв (1 вид) 0 діл. 514177</t>
  </si>
  <si>
    <t>07\Хл\7_07_МОО-2017</t>
  </si>
  <si>
    <t>98 кв (8 вид) 0 діл. 556580</t>
  </si>
  <si>
    <t>01\Хл\15_01_МОО-2017</t>
  </si>
  <si>
    <t>99 кв (11 вид) 0 діл. 514177</t>
  </si>
  <si>
    <t>ФОП Степовий Євгеній Олександрович</t>
  </si>
  <si>
    <t>05\Шп\05_12_СТ-2017</t>
  </si>
  <si>
    <t>104 кв (1 вид) 2 діл. 514156</t>
  </si>
  <si>
    <t>03\Шп\06_03_СТ-2017</t>
  </si>
  <si>
    <t>106 кв (3 вид) 0 діл. 514194</t>
  </si>
  <si>
    <t>04\Шп\04_01-2017</t>
  </si>
  <si>
    <t>116 кв (7 вид) 0 діл. 514171</t>
  </si>
  <si>
    <t>06\Шп\03_01_СТ-2017</t>
  </si>
  <si>
    <t>117 кв (1 вид) 0 діл. 514179</t>
  </si>
  <si>
    <t>07\Шп\3_07_СТ-2017</t>
  </si>
  <si>
    <t>117 кв (1 вид) 2 діл. 556581</t>
  </si>
  <si>
    <t>07\Шп\22_01_СТ-2017</t>
  </si>
  <si>
    <t>118 кв (3 вид) 0 діл. 514156</t>
  </si>
  <si>
    <t>01\Шп\10_01_СЄО-2017</t>
  </si>
  <si>
    <t>118 кв (5 вид) 0 діл. 514172</t>
  </si>
  <si>
    <t>11\Шп\10_11_СТ-2017</t>
  </si>
  <si>
    <t>120 кв (1 вид) 0 діл. 556611</t>
  </si>
  <si>
    <t>04\Шп\02_12-2017</t>
  </si>
  <si>
    <t>121 кв (1 вид) 1 діл. 514156</t>
  </si>
  <si>
    <t>9\Шп\06_9_СТЛ-2017/2</t>
  </si>
  <si>
    <t>122 кв (1 вид) 2 діл. 556593</t>
  </si>
  <si>
    <t>11\Шп\11_11_СТ-2017</t>
  </si>
  <si>
    <t>122 кв (2 вид) 0 діл. 556611</t>
  </si>
  <si>
    <t>04\Шп\07_01-2017</t>
  </si>
  <si>
    <t>123 кв (4 вид) 0 діл. 514172</t>
  </si>
  <si>
    <t>07\Шп\18_07_СТ-2017</t>
  </si>
  <si>
    <t>127 кв (1 вид) 0 діл. 556581</t>
  </si>
  <si>
    <t>9\Шп\05_9_СТЛ-2017/2</t>
  </si>
  <si>
    <t>127 кв (2 вид) 0 діл. 556593</t>
  </si>
  <si>
    <t>02\Шп\01_02_СТ-2017</t>
  </si>
  <si>
    <t>13 кв (1 вид) 0 діл. 514187</t>
  </si>
  <si>
    <t>04\Шп\03_12-2017</t>
  </si>
  <si>
    <t>13 кв (3 вид) 0 діл. 514156</t>
  </si>
  <si>
    <t>03\Шп\08_03_СТ-2017</t>
  </si>
  <si>
    <t>131 кв (1 вид) 1 діл. 514194</t>
  </si>
  <si>
    <t>01\Шп\18_01_СЄО-2017</t>
  </si>
  <si>
    <t>131 кв (1 вид) 2 діл. 514179</t>
  </si>
  <si>
    <t>03\Шп\07_03_СТ-2017</t>
  </si>
  <si>
    <t>131 кв (1 вид) 2_1 діл. 514194</t>
  </si>
  <si>
    <t>07\Шп\5_07_СТ-2017</t>
  </si>
  <si>
    <t>139 кв (15 вид) 0 діл. 556581</t>
  </si>
  <si>
    <t>03\Шп\09_03_СТ-2017</t>
  </si>
  <si>
    <t>140 кв (4 вид) 0 діл. 514194</t>
  </si>
  <si>
    <t>05\Шп\1_4_СТ-2017</t>
  </si>
  <si>
    <t>144 кв (1 вид) 0 діл. 556572</t>
  </si>
  <si>
    <t>9\Шп\09_9_СТЛ-2017/2</t>
  </si>
  <si>
    <t>149 кв (1 вид)  діл. 556595</t>
  </si>
  <si>
    <t>9\Шп\10_9_СТЛ-2017/2</t>
  </si>
  <si>
    <t>149 кв (5 вид) 0 діл. 5565951</t>
  </si>
  <si>
    <t>9\Шп\11_9_СТЛ-2017/2</t>
  </si>
  <si>
    <t>149 кв (6 вид) 0 діл. 5565951</t>
  </si>
  <si>
    <t>9\Шп\12_9_СТЛ-2017/2</t>
  </si>
  <si>
    <t>149 кв (8 вид) 0 діл. 5565951</t>
  </si>
  <si>
    <t>07\Шп\13_07_СТ-2017</t>
  </si>
  <si>
    <t>151 кв (1 вид) 0 діл. 556581</t>
  </si>
  <si>
    <t>07\Шп\8_07_СТ-2017</t>
  </si>
  <si>
    <t>151 кв (10 вид) 0 діл. 556581</t>
  </si>
  <si>
    <t>07\Шп\9_07_СТ-2017</t>
  </si>
  <si>
    <t>151 кв (3 вид) 0 діл. 556581</t>
  </si>
  <si>
    <t>07\Шп\10_07_СТ-2017</t>
  </si>
  <si>
    <t>151 кв (8 вид) 0 діл. 556581</t>
  </si>
  <si>
    <t>07\Шп\17_07_СТ-2017</t>
  </si>
  <si>
    <t>151 кв (9 вид) 0 діл. 556581</t>
  </si>
  <si>
    <t>11\Шп\01_01_СТ-2017</t>
  </si>
  <si>
    <t>153 кв (9 вид) 0 діл. 514156</t>
  </si>
  <si>
    <t>07\Шп\16_07_СТ-2017</t>
  </si>
  <si>
    <t>157 кв (11 вид) 0 діл. 556581</t>
  </si>
  <si>
    <t>07\Шп\14_07_СТ-2017</t>
  </si>
  <si>
    <t>157 кв (12 вид) 0 діл. 556581</t>
  </si>
  <si>
    <t>07\Шп\15_07_СТ-2017</t>
  </si>
  <si>
    <t>157 кв (13 вид) 0 діл. 556581</t>
  </si>
  <si>
    <t>01\Шп\23_01_МОО-2017</t>
  </si>
  <si>
    <t>157 кв (28 вид) 0 діл. 514179</t>
  </si>
  <si>
    <t>03\Шп\10_03_СТ-2017</t>
  </si>
  <si>
    <t>157 кв (28 вид) 1 діл. 514194</t>
  </si>
  <si>
    <t>07\Шп\4_07_СТ-2017</t>
  </si>
  <si>
    <t>164 кв (3 вид) 0 діл. 556581</t>
  </si>
  <si>
    <t>9\Шп\04_9_СТЛ-2017/2</t>
  </si>
  <si>
    <t>164 кв (6 вид) 0 діл. 556593</t>
  </si>
  <si>
    <t>07\Шп\2_07_СТ-2017</t>
  </si>
  <si>
    <t>165 кв (29 вид) 0 діл. 556581</t>
  </si>
  <si>
    <t>11\Шп\02_11_СТ-2017</t>
  </si>
  <si>
    <t>18 кв (3 вид) 0 діл. 556611</t>
  </si>
  <si>
    <t>10\Шп\1_9_СТЛ-2017/2</t>
  </si>
  <si>
    <t>20 кв (4 вид) 0 діл. 556599</t>
  </si>
  <si>
    <t>11\Шп\03_11_СТ-2017</t>
  </si>
  <si>
    <t>28 кв (10 вид) 0 діл. 556611</t>
  </si>
  <si>
    <t>05\Шп\02_12_СТ-2017</t>
  </si>
  <si>
    <t>29 кв (7 вид) 3 діл. 514156</t>
  </si>
  <si>
    <t>01\Шп\17_01_СЄО-2017</t>
  </si>
  <si>
    <t>3 кв (5 вид) 0 діл. 514179</t>
  </si>
  <si>
    <t>03\Шп\02_03_СТ-2017</t>
  </si>
  <si>
    <t>3 кв (5 вид) 1_1 діл. 514194</t>
  </si>
  <si>
    <t>01\Шп\01_12_МОО-2017</t>
  </si>
  <si>
    <t>3 кв (5 вид) 2 діл. 514156</t>
  </si>
  <si>
    <t>03\Шп\03_03_СТ-2017</t>
  </si>
  <si>
    <t>3 кв (7 вид) 0 діл. 514194</t>
  </si>
  <si>
    <t>06\Шп\01_05_СТ-2017</t>
  </si>
  <si>
    <t>30 кв (2 вид) 1 діл. 556575</t>
  </si>
  <si>
    <t>04\Шп\01_12-2017</t>
  </si>
  <si>
    <t>30 кв (2 вид) 3 діл. 514156</t>
  </si>
  <si>
    <t>03\Шп\01_12</t>
  </si>
  <si>
    <t>30 кв (2 вид) 4 діл. 514156</t>
  </si>
  <si>
    <t>04\Шп\08_12_СТ-2017</t>
  </si>
  <si>
    <t>06\Шп\02_05_СТ-2017</t>
  </si>
  <si>
    <t>30 кв (3 вид) 1 діл. 556575</t>
  </si>
  <si>
    <t>01\Шп\06_01_СЄО-2017</t>
  </si>
  <si>
    <t>32 кв (2 вид) 0 діл. 514171</t>
  </si>
  <si>
    <t>02\Шп\01_01_СТ-2017</t>
  </si>
  <si>
    <t>02\Шп\02_02_СТ-2017</t>
  </si>
  <si>
    <t>34 кв (7 вид) 0 діл. 514187</t>
  </si>
  <si>
    <t>07\Шп\20_07_СТ-2017</t>
  </si>
  <si>
    <t>34 кв (7 вид) 1 діл. 556581</t>
  </si>
  <si>
    <t>02\Шп\03_02_МОО-2017</t>
  </si>
  <si>
    <t>35 кв (4 вид) 0 діл. 514187</t>
  </si>
  <si>
    <t>07\Шп\21_07_СТ-2017</t>
  </si>
  <si>
    <t>35 кв (4 вид) 1 діл. 556581</t>
  </si>
  <si>
    <t>11\Шп\04_11_СТ-2017</t>
  </si>
  <si>
    <t>35 кв (5 вид) 0 діл. 556611</t>
  </si>
  <si>
    <t>03\Шп\04_03_СТ-2017</t>
  </si>
  <si>
    <t>4 кв (2 вид) 0 діл. 514194</t>
  </si>
  <si>
    <t>07\Шп\1_07_СТ-2017</t>
  </si>
  <si>
    <t>41 кв (1 вид) 0 діл. 556581</t>
  </si>
  <si>
    <t>9\Шп\03_8_СТЛ-2017/2</t>
  </si>
  <si>
    <t>41 кв (1 вид) 2 діл. 556590</t>
  </si>
  <si>
    <t>9\Шп\02_8_СТЛ-2017/2</t>
  </si>
  <si>
    <t>41 кв (6 вид) 0 діл. 556590</t>
  </si>
  <si>
    <t>11\Шп\05_11_СТ-2017</t>
  </si>
  <si>
    <t>46 кв (10 вид) 0 діл. 556611</t>
  </si>
  <si>
    <t>9\Шп\08_9_СТЛ-2017/2</t>
  </si>
  <si>
    <t>49 кв (1 вид) 0 діл. 556593</t>
  </si>
  <si>
    <t>04\Шп\19_12_СТ-2017</t>
  </si>
  <si>
    <t>59 кв (2 вид) 0 діл. 514156</t>
  </si>
  <si>
    <t>01\Шп\15_01_СЄО-2017</t>
  </si>
  <si>
    <t>59 кв (6 вид) 0 діл. 514170</t>
  </si>
  <si>
    <t>03\Шп\05_03_СТ-2017</t>
  </si>
  <si>
    <t>6 кв (10 вид) 0 діл. 514194</t>
  </si>
  <si>
    <t>01\Шп\09_01_СЄО-2017</t>
  </si>
  <si>
    <t>6 кв (12 вид) 0 діл. 514172</t>
  </si>
  <si>
    <t>04\Шп\09_12_СТ-2017</t>
  </si>
  <si>
    <t>60 кв (6 вид) 0 діл. 514156</t>
  </si>
  <si>
    <t>04\Шп\06_01-2017</t>
  </si>
  <si>
    <t>61 кв (5 вид) 0 діл. 514172</t>
  </si>
  <si>
    <t>04\Шп\20_12_СТ-2017</t>
  </si>
  <si>
    <t>64 кв (1 вид) 0 діл. 514156</t>
  </si>
  <si>
    <t>01\Шп\08_01_СЄО-2017</t>
  </si>
  <si>
    <t>67 кв (1 вид) 0 діл. 514172</t>
  </si>
  <si>
    <t>01\Шп\16_01_СЄО-2017</t>
  </si>
  <si>
    <t>69 кв (4 вид)  діл. 514179</t>
  </si>
  <si>
    <t>07\Шп\12_07_СТ-2017</t>
  </si>
  <si>
    <t>70 кв (2 вид) 0 діл. 556581</t>
  </si>
  <si>
    <t>07\Шп\11_07_СТ-2017</t>
  </si>
  <si>
    <t>70 кв (3 вид) 0 діл. 556581</t>
  </si>
  <si>
    <t>07\Шп\6_07_СТ-2017</t>
  </si>
  <si>
    <t>70 кв (4 вид) 0 діл. 556581</t>
  </si>
  <si>
    <t>9\Шп\01_8_СТ-2017</t>
  </si>
  <si>
    <t>73 кв (1 вид) 0 діл. 556590</t>
  </si>
  <si>
    <t>11\Шп\06_11_СТ-2017</t>
  </si>
  <si>
    <t>73 кв (3 вид) 0 діл. 556611</t>
  </si>
  <si>
    <t>11\Шп\07_11_СТ-2017</t>
  </si>
  <si>
    <t>73 кв (5 вид) 0 діл. 556611</t>
  </si>
  <si>
    <t>06\Шп\05_02_СТ-2017</t>
  </si>
  <si>
    <t>74 кв (2 вид) 2 діл. 514187</t>
  </si>
  <si>
    <t>01\Шп\07_01_СЄО-2017</t>
  </si>
  <si>
    <t>82 кв (1 вид) 0 діл. 514171</t>
  </si>
  <si>
    <t>11\Шп\08_11_СТ-2017</t>
  </si>
  <si>
    <t>83 кв (1 вид) 0 діл. 556611</t>
  </si>
  <si>
    <t>05\Шп\03_01_СТ-2017</t>
  </si>
  <si>
    <t>84 кв (2 вид) 0 діл. 514172</t>
  </si>
  <si>
    <t>12\Шп\01_12</t>
  </si>
  <si>
    <t>88 кв (3 вид) 1 діл. 514150</t>
  </si>
  <si>
    <t>04\Шп\05_01-2017</t>
  </si>
  <si>
    <t>89 кв (4 вид) 0 діл. 514171</t>
  </si>
  <si>
    <t>11\Шп\09_11_СТ-2017</t>
  </si>
  <si>
    <t>93 кв (3 вид) 0 діл. 556611</t>
  </si>
  <si>
    <t>9\Шп\07_9_СТЛ-2017/2</t>
  </si>
  <si>
    <t>95 кв (2 вид) 0 діл. 556593</t>
  </si>
  <si>
    <t>06\Шп\06_02_СТ-2017</t>
  </si>
  <si>
    <t>97 кв (1 вид) 0 діл. 514187</t>
  </si>
  <si>
    <t>01\Шп\22_01_МОО-2017</t>
  </si>
  <si>
    <t>97 кв (3 вид) 0 діл. 514179</t>
  </si>
  <si>
    <t>06\Шп\04_01_СТ-2017</t>
  </si>
  <si>
    <t>97 кв (4 вид) 0 діл. 514179</t>
  </si>
  <si>
    <t>01\Шп\21_01_МОО-2017</t>
  </si>
  <si>
    <t>98 кв (1 вид) 0 діл. 514179</t>
  </si>
  <si>
    <t>08\Шп\01_12_СТ-2017</t>
  </si>
  <si>
    <t>99 кв (2 вид) 3 діл. 514156</t>
  </si>
  <si>
    <t>2 кв (6 вид) 0 діл. 240</t>
  </si>
  <si>
    <t>86 кв (2 вид) 1 діл. 435276</t>
  </si>
  <si>
    <t>59 кв (8 вид) 1 діл. 435276</t>
  </si>
  <si>
    <t>55 кв (5 вид) 2 діл. 435276</t>
  </si>
  <si>
    <t>67 кв (4 вид) 1 діл. 435276</t>
  </si>
  <si>
    <t>127 кв (21 вид) 1 діл. 435276</t>
  </si>
  <si>
    <t>80 кв (9 вид) 1 діл. 435276</t>
  </si>
  <si>
    <t>8 кв (7 вид) 1 діл. 435276</t>
  </si>
  <si>
    <t>19 кв (4 вид) 0 діл. 435276</t>
  </si>
  <si>
    <t>133 кв (9 вид) 0 діл. 435276</t>
  </si>
  <si>
    <t>60 кв (3 вид) 1 діл. 435276</t>
  </si>
  <si>
    <t>33 кв (1 вид) 1 діл. 435277</t>
  </si>
  <si>
    <t>61 кв (7 вид) 0 діл. 435277</t>
  </si>
  <si>
    <t>24 кв (1 вид) 1 діл. 435277</t>
  </si>
  <si>
    <t>1 кв (10 вид) 1 діл. 435277</t>
  </si>
  <si>
    <t>28 кв (1 вид)  діл. 435277</t>
  </si>
  <si>
    <t>59 кв (3 вид) 0 діл. 435278</t>
  </si>
  <si>
    <t>79 кв (16 вид) 1 діл. 435278</t>
  </si>
  <si>
    <t>85 кв (8 вид) 0 діл. 435278</t>
  </si>
  <si>
    <t>93 кв (4 вид) 1 діл. 435278</t>
  </si>
  <si>
    <t>62 кв (5 вид) 0 діл. 435278</t>
  </si>
  <si>
    <t>125 кв (12 вид) 0 діл. 435278</t>
  </si>
  <si>
    <t>113 кв (1 вид) 0 діл. 435278</t>
  </si>
  <si>
    <t>110 кв (5 вид) 1 діл. 435278</t>
  </si>
  <si>
    <t>82 кв (6 вид) 0 діл. 435280</t>
  </si>
  <si>
    <t>114 кв (3 вид) 1 діл. 435280</t>
  </si>
  <si>
    <t>4 кв (7 вид) 1 діл. 435280</t>
  </si>
  <si>
    <t>45 кв (1 вид) 1 діл. 435280</t>
  </si>
  <si>
    <t>111 кв (15 вид) 1 діл. 435280</t>
  </si>
  <si>
    <t>2 кв (20 вид) 0 діл. 435280</t>
  </si>
  <si>
    <t>38 кв (3 вид) 1 діл. 435280</t>
  </si>
  <si>
    <t>2 кв (5 вид) 0 діл. 435281</t>
  </si>
  <si>
    <t>3 кв (5 вид) 1 діл. 435281</t>
  </si>
  <si>
    <t>29 кв (7 вид) 3 діл. 435281</t>
  </si>
  <si>
    <t>99 кв (2 вид) 2 діл. 435281</t>
  </si>
  <si>
    <t>4 кв (2 вид) 1 діл. 435281</t>
  </si>
  <si>
    <t>30 кв (2 вид) 1 діл. 435281</t>
  </si>
  <si>
    <t>63 кв (3 вид) 0 діл. 435281</t>
  </si>
  <si>
    <t>170 кв (11 вид) 2 діл. 435281</t>
  </si>
  <si>
    <t>106 кв (3 вид) 1 діл. 435281</t>
  </si>
  <si>
    <t>126 кв (3 вид) 0 діл. 435281</t>
  </si>
  <si>
    <t>15 кв (17 вид) 0 діл. 435283</t>
  </si>
  <si>
    <t>31 кв (14 вид) 1 діл. 435283</t>
  </si>
  <si>
    <t>105 кв (7 вид) 0 діл. 435283</t>
  </si>
  <si>
    <t>37 кв (14 вид) 0 діл. 435283</t>
  </si>
  <si>
    <t>50 кв (10 вид) 1 діл. 435283</t>
  </si>
  <si>
    <t>68 кв (1 вид) 1 діл. 435283</t>
  </si>
  <si>
    <t>65 кв (6 вид) 1 діл. 435283</t>
  </si>
  <si>
    <t>43 кв (4 вид) 1 діл. 435283</t>
  </si>
  <si>
    <t>108 кв (9 вид) 0 діл. 435286</t>
  </si>
  <si>
    <t>76 кв (5 вид) 0 діл. 435286</t>
  </si>
  <si>
    <t>94 кв (2 вид) 0 діл. 435286</t>
  </si>
  <si>
    <t>42 кв (1 вид) 0 діл. 435286</t>
  </si>
  <si>
    <t>22 кв (1 вид) 0 діл. 435287</t>
  </si>
  <si>
    <t>112 кв (3 вид) 0 діл. 435287</t>
  </si>
  <si>
    <t>63 кв (3 вид) 0 діл. 435288</t>
  </si>
  <si>
    <t>80 кв (2 вид) 0 діл. 435288</t>
  </si>
  <si>
    <t>5 кв (4 вид) 0 діл. 435288</t>
  </si>
  <si>
    <t>103 кв (4 вид) 0 діл. 435288</t>
  </si>
  <si>
    <t>125 кв (17 вид) 0 діл. 435288</t>
  </si>
  <si>
    <t>124 кв (8 вид) 0 діл. 435288</t>
  </si>
  <si>
    <t>99 кв (8 вид) 0 діл. 435290</t>
  </si>
  <si>
    <t>99 кв (5 вид) 0 діл. 435290</t>
  </si>
  <si>
    <t>97 кв (6 вид) 0 діл. 435290</t>
  </si>
  <si>
    <t>97 кв (7 вид) 0 діл. 435290</t>
  </si>
  <si>
    <t>97 кв (9 вид) 0 діл. 435290</t>
  </si>
  <si>
    <t>27 кв (4 вид) 0 діл. 507234</t>
  </si>
  <si>
    <t>94 кв (7 вид) 0 діл. 507234</t>
  </si>
  <si>
    <t>120 кв (14 вид) 0 діл. 507235</t>
  </si>
  <si>
    <t>4 кв (9 вид) 0 діл. 507235</t>
  </si>
  <si>
    <t>70 кв (4 вид) 0 діл. 507235</t>
  </si>
  <si>
    <t>99 кв (5 вид) 0 діл. 507235</t>
  </si>
  <si>
    <t>102 кв (1 вид) 1 діл. 507235</t>
  </si>
  <si>
    <t>16 кв (7 вид) 0 діл. 507236</t>
  </si>
  <si>
    <t>45 кв (4 вид) 0 діл. 507236</t>
  </si>
  <si>
    <t>28 кв (6 вид) 0 діл. 507236</t>
  </si>
  <si>
    <t>54 кв (6 вид) 0 діл. 507236</t>
  </si>
  <si>
    <t>53 кв (2 вид) 0 діл. 507236</t>
  </si>
  <si>
    <t>13 кв (8 вид) 0 діл. 507236</t>
  </si>
  <si>
    <t>102 кв (8 вид) 0 діл. 507236</t>
  </si>
  <si>
    <t>87 кв (11 вид) 1 діл. 507237</t>
  </si>
  <si>
    <t>81 кв (1 вид) 0 діл. 507238</t>
  </si>
  <si>
    <t>21 кв (12 вид) 0 діл. 507238</t>
  </si>
  <si>
    <t>51 кв (3 вид) 0 діл. 507238</t>
  </si>
  <si>
    <t>7 кв (1 вид) 0 діл. 507241</t>
  </si>
  <si>
    <t>22 кв (8 вид) 0 діл. 507242</t>
  </si>
  <si>
    <t>74 кв (3 вид) 0 діл. 507242</t>
  </si>
  <si>
    <t>56 кв (2 вид) 0 діл. 507242</t>
  </si>
  <si>
    <t>53 кв (1 вид) 0 діл. 507243</t>
  </si>
  <si>
    <t>2 кв (21 вид) 0 діл. 507243</t>
  </si>
  <si>
    <t>27 кв (5 вид) 0 діл. 507243</t>
  </si>
  <si>
    <t>52 кв (5 вид) 0 діл. 507244</t>
  </si>
  <si>
    <t>60 кв (8 вид) 0 діл. 507244</t>
  </si>
  <si>
    <t>23 кв (5 вид) 0 діл. 507244</t>
  </si>
  <si>
    <t>53 кв (7 вид) 0 діл. 507244</t>
  </si>
  <si>
    <t>21 кв (11 вид) 0 діл. 507244</t>
  </si>
  <si>
    <t>41 кв (2 вид) 0 діл. 507244</t>
  </si>
  <si>
    <t>41 кв (3 вид) 1 діл. 507246</t>
  </si>
  <si>
    <t>33 кв (3 вид) 0 діл. 507246</t>
  </si>
  <si>
    <t>113 кв (3 вид) 0 діл. 507246</t>
  </si>
  <si>
    <t>6 кв (14 вид) 0 діл. 507246</t>
  </si>
  <si>
    <t>105 кв (2 вид) 0 діл. 507246</t>
  </si>
  <si>
    <t>66 кв (8 вид) 0 діл. 507246</t>
  </si>
  <si>
    <t>123 кв (5 вид) 1 діл. 507246</t>
  </si>
  <si>
    <t>76 кв (1 вид) 0 діл. 507247</t>
  </si>
  <si>
    <t>66 кв (6 вид) 0 діл. 507247</t>
  </si>
  <si>
    <t>116 кв (5 вид) 0 діл. 507247</t>
  </si>
  <si>
    <t>9 кв (13 вид) 0 діл. 507247</t>
  </si>
  <si>
    <t>66 кв (1 вид) 0 діл. 507247</t>
  </si>
  <si>
    <t>7 кв (6 вид) 0 діл. 507249</t>
  </si>
  <si>
    <t>11 кв (1 вид) 2 діл. 507249</t>
  </si>
  <si>
    <t>11 кв (3 вид) 0 діл. 507249</t>
  </si>
  <si>
    <t>11 кв (2 вид) 0 діл. 507249</t>
  </si>
  <si>
    <t>7 кв (4 вид) 0 діл. 507249</t>
  </si>
  <si>
    <t>111 кв (7 вид) 0 діл. 507250</t>
  </si>
  <si>
    <t>19 кв (5 вид) 0 діл. 507250</t>
  </si>
  <si>
    <t>13 кв (4 вид) 0 діл. 507250</t>
  </si>
  <si>
    <t>71 кв (2 вид) 0 діл. 507250</t>
  </si>
  <si>
    <t>95 кв (3 вид) 0 діл. 507250</t>
  </si>
  <si>
    <t>98 кв (4 вид) 0 діл. 507250</t>
  </si>
  <si>
    <t>73 кв (9 вид) 0 діл. 507251</t>
  </si>
  <si>
    <t>72 кв (11 вид) 0 діл. 507251</t>
  </si>
  <si>
    <t>67 кв (1 вид) 0 діл. 507251</t>
  </si>
  <si>
    <t>73 кв (10 вид) 0 діл. 507251</t>
  </si>
  <si>
    <t>75 кв (2 вид) 2 діл. 507252</t>
  </si>
  <si>
    <t>122 кв (5 вид) 0 діл. 507252</t>
  </si>
  <si>
    <t>32 кв (13 вид) 0 діл. 507253</t>
  </si>
  <si>
    <t>23 кв (3 вид) 0 діл. 507253</t>
  </si>
  <si>
    <t>53 кв (2 вид) 0 діл. 507253</t>
  </si>
  <si>
    <t>53 кв (6 вид) 0 діл. 507253</t>
  </si>
  <si>
    <t>55 кв (8 вид) 0 діл. 507253</t>
  </si>
  <si>
    <t>41 кв (15 вид) 0 діл. 507253</t>
  </si>
  <si>
    <t>56 кв (6 вид) 0 діл. 507255</t>
  </si>
  <si>
    <t>57 кв (8 вид) 0 діл. 507255</t>
  </si>
  <si>
    <t>18 кв (10 вид) 0 діл. 507256</t>
  </si>
  <si>
    <t>71 кв (9 вид) 0 діл. 507256</t>
  </si>
  <si>
    <t>26 кв (5 вид) 0 діл. 507256</t>
  </si>
  <si>
    <t>55 кв (6 вид) 0 діл. 507256</t>
  </si>
  <si>
    <t>88 кв (6 вид) 0 діл. 507257</t>
  </si>
  <si>
    <t>41 кв (3 вид) 0 діл. 507258</t>
  </si>
  <si>
    <t>108 кв (4 вид) 0 діл. 507258</t>
  </si>
  <si>
    <t>76 кв (1 вид) 0 діл. 507258</t>
  </si>
  <si>
    <t>122 кв (4 вид) 0 діл. 507259</t>
  </si>
  <si>
    <t>56 кв (4 вид) 0 діл. 507259</t>
  </si>
  <si>
    <t>30 кв (2 вид) 3 діл. 507260</t>
  </si>
  <si>
    <t>21 кв (2 вид)  діл. 507260</t>
  </si>
  <si>
    <t>26 кв (1 вид) 0 діл. 507260</t>
  </si>
  <si>
    <t>152 кв (14 вид) 0 діл. 507260</t>
  </si>
  <si>
    <t>43 кв (1 вид) 1 діл. 507260</t>
  </si>
  <si>
    <t>152 кв (12 вид) 0 діл. 507260</t>
  </si>
  <si>
    <t>30 кв (2 вид) 4 діл. 507260</t>
  </si>
  <si>
    <t>152 кв (13 вид) 0 діл. 507260</t>
  </si>
  <si>
    <t>122 кв (1 вид) 1 діл. 507260</t>
  </si>
  <si>
    <t>118 кв (6 вид) 1 діл. 507260</t>
  </si>
  <si>
    <t>74 кв (2 вид) 1 діл. 507260</t>
  </si>
  <si>
    <t>106 кв (3 вид) 0 діл. 507260</t>
  </si>
  <si>
    <t>107 кв (2 вид) 0 діл. 507260</t>
  </si>
  <si>
    <t>79 кв (4 вид) 0 діл. 507261</t>
  </si>
  <si>
    <t>65 кв (6 вид) 0 діл. 507262</t>
  </si>
  <si>
    <t>43 кв (1 вид) 1_1 діл. 507265</t>
  </si>
  <si>
    <t>118 кв (6 вид) 1 діл. 507265</t>
  </si>
  <si>
    <t>21 кв (2 вид) 1 діл. 507265</t>
  </si>
  <si>
    <t>26 кв (1 вид) 0 діл. 507265</t>
  </si>
  <si>
    <t>107 кв (2 вид) 1 діл. 507265</t>
  </si>
  <si>
    <t>126 кв (6 вид)  діл. 507265</t>
  </si>
  <si>
    <t>122 кв (1 вид) 1_1 діл. 507265</t>
  </si>
  <si>
    <t>51 кв (7 вид) 0 діл. 507266</t>
  </si>
  <si>
    <t>90 кв (5 вид) 0 діл. 507266</t>
  </si>
  <si>
    <t>95 кв (6 вид) 0 діл. 507266</t>
  </si>
  <si>
    <t>85 кв (28 вид) 0 діл. 507266</t>
  </si>
  <si>
    <t>121 кв (1 вид) 0 діл. 507266</t>
  </si>
  <si>
    <t>41 кв (6 вид) 0 діл. 507266</t>
  </si>
  <si>
    <t>22 кв (2 вид) 0 діл. 507266</t>
  </si>
  <si>
    <t>133 кв (39 вид) 0 діл. 507266</t>
  </si>
  <si>
    <t>85 кв (31 вид) 0 діл. 507266</t>
  </si>
  <si>
    <t>75 кв (2 вид) 3 діл. 507266</t>
  </si>
  <si>
    <t>111 кв (8 вид) 0 діл. 507266</t>
  </si>
  <si>
    <t>67 кв (1 вид) 1 діл. 507267</t>
  </si>
  <si>
    <t>33 кв (1 вид) 1 діл. 507267</t>
  </si>
  <si>
    <t>108 кв (9 вид) 1 діл. 507268</t>
  </si>
  <si>
    <t>130 кв (5 вид) 0 діл. 507275</t>
  </si>
  <si>
    <t>132 кв (2 вид) 0 діл. 507276</t>
  </si>
  <si>
    <t>132 кв (3 вид) 0 діл. 507276</t>
  </si>
  <si>
    <t>132 кв (1 вид) 0 діл. 507276</t>
  </si>
  <si>
    <t>133 кв (1 вид) 0 діл. 507276</t>
  </si>
  <si>
    <t>44 кв (2 вид) 1 діл. 507277</t>
  </si>
  <si>
    <t>79 кв (10 вид) 1 діл. 507277</t>
  </si>
  <si>
    <t>44 кв (1 вид) 1 діл. 507277</t>
  </si>
  <si>
    <t>83 кв (5 вид) 1 діл. 507277</t>
  </si>
  <si>
    <t>79 кв (11 вид) 1 діл. 507277</t>
  </si>
  <si>
    <t>34 кв (2 вид) 0 діл. 507278</t>
  </si>
  <si>
    <t>81 кв (15 вид) 0 діл. 507279</t>
  </si>
  <si>
    <t>80 кв (7 вид) 0 діл. 507279</t>
  </si>
  <si>
    <t>47 кв (3 вид) 0 діл. 507279</t>
  </si>
  <si>
    <t>81 кв (2 вид) 0 діл. 507279</t>
  </si>
  <si>
    <t>23 кв (3 вид) 0 діл. 507279</t>
  </si>
  <si>
    <t>40 кв (1 вид) 0 діл. 507280</t>
  </si>
  <si>
    <t>5 кв (2 вид) 0 діл. 507280</t>
  </si>
  <si>
    <t>5 кв (3 вид) 0 діл. 507280</t>
  </si>
  <si>
    <t>5 кв (7 вид) 0 діл. 507280</t>
  </si>
  <si>
    <t>15 кв (4 вид) 0 діл. 507280</t>
  </si>
  <si>
    <t>70 кв (5 вид) 0 діл. 507281</t>
  </si>
  <si>
    <t>119 кв (1 вид) 0 діл. 507281</t>
  </si>
  <si>
    <t>89 кв (3 вид) 0 діл. 507281</t>
  </si>
  <si>
    <t>89 кв (1 вид) 0 діл. 507281</t>
  </si>
  <si>
    <t>70 кв (6 вид) 0 діл. 507281</t>
  </si>
  <si>
    <t>71 кв (1 вид) 0 діл. 507281</t>
  </si>
  <si>
    <t>93 кв (10 вид) 0 діл. 507281</t>
  </si>
  <si>
    <t>105 кв (5 вид) 0 діл. 507281</t>
  </si>
  <si>
    <t>31 кв (5 вид) 0 діл. 507281</t>
  </si>
  <si>
    <t>132 кв (22 вид) 0 діл. 507281</t>
  </si>
  <si>
    <t>58 кв (1 вид) 0 діл. 507281</t>
  </si>
  <si>
    <t>43 кв (9 вид) 0 діл. 507281</t>
  </si>
  <si>
    <t>12 кв (15 вид) 0 діл. 507281</t>
  </si>
  <si>
    <t>101 кв (6 вид) 1 діл. 507282</t>
  </si>
  <si>
    <t>6 кв (11 вид) 0 діл. 507282</t>
  </si>
  <si>
    <t>65 кв (4 вид) 0 діл. 507282</t>
  </si>
  <si>
    <t>81 кв (4 вид) 1 діл. 507282</t>
  </si>
  <si>
    <t>54 кв (2 вид) 0 діл. 507282</t>
  </si>
  <si>
    <t>57 кв (5 вид) 0 діл. 507282</t>
  </si>
  <si>
    <t>87 кв (17 вид) 3 діл. 507282</t>
  </si>
  <si>
    <t>52 кв (4 вид) 0 діл. 507283</t>
  </si>
  <si>
    <t>47 кв (4 вид) 0 діл. 507283</t>
  </si>
  <si>
    <t>75 кв (1 вид) 0 діл. 507283</t>
  </si>
  <si>
    <t>129 кв (13 вид) 0 діл. 507283</t>
  </si>
  <si>
    <t>81 кв (2 вид) 0 діл. 507283</t>
  </si>
  <si>
    <t>76 кв (3 вид) 0 діл. 507283</t>
  </si>
  <si>
    <t>85 кв (11 вид) 0 діл. 507283</t>
  </si>
  <si>
    <t>107 кв (4 вид) 0 діл. 507283</t>
  </si>
  <si>
    <t>9 кв (2 вид) 2 діл. 507283</t>
  </si>
  <si>
    <t>152 кв (3 вид) 0 діл. 514127</t>
  </si>
  <si>
    <t>55 кв (1 вид) 1 діл. 514128</t>
  </si>
  <si>
    <t>130 кв (7 вид) 1 діл. 514128</t>
  </si>
  <si>
    <t>137 кв (22 вид) 0 діл. 514128</t>
  </si>
  <si>
    <t>90 кв (4 вид) 1 діл. 514128</t>
  </si>
  <si>
    <t>46 кв (4 вид) 0 діл. 514130</t>
  </si>
  <si>
    <t>87 кв (11 вид) 0 діл. 514131</t>
  </si>
  <si>
    <t>88 кв (14 вид) 0 діл. 514131</t>
  </si>
  <si>
    <t>41 кв (4 вид) 0 діл. 514131</t>
  </si>
  <si>
    <t>25 кв (2 вид) 0 діл. 514133</t>
  </si>
  <si>
    <t>25 кв (4 вид) 0 діл. 514133</t>
  </si>
  <si>
    <t>34 кв (2 вид) 0 діл. 514133</t>
  </si>
  <si>
    <t>41 кв (3 вид) 0 діл. 514133</t>
  </si>
  <si>
    <t>41 кв (2 вид) 0 діл. 514133</t>
  </si>
  <si>
    <t>41 кв (6 вид) 0 діл. 514133</t>
  </si>
  <si>
    <t>41 кв (4 вид) 0 діл. 514133</t>
  </si>
  <si>
    <t>41 кв (1 вид) 0 діл. 514133</t>
  </si>
  <si>
    <t>40 кв (1 вид) 0 діл. 514133</t>
  </si>
  <si>
    <t>34 кв (4 вид) 0 діл. 514133</t>
  </si>
  <si>
    <t>40 кв (3 вид) 0 діл. 514133</t>
  </si>
  <si>
    <t>40 кв (2 вид) 0 діл. 514133</t>
  </si>
  <si>
    <t>14 кв (12 вид) 0 діл. 514133</t>
  </si>
  <si>
    <t>25 кв (3 вид) 0 діл. 514133</t>
  </si>
  <si>
    <t>15 кв (5 вид) 0 діл. 514133</t>
  </si>
  <si>
    <t>25 кв (1 вид) 0 діл. 514133</t>
  </si>
  <si>
    <t>1 кв (1 вид) 0 діл. 514134</t>
  </si>
  <si>
    <t>70 кв (6 вид) 0 діл. 514134</t>
  </si>
  <si>
    <t>52 кв (2 вид) 0 діл. 514134</t>
  </si>
  <si>
    <t>48 кв (3 вид) 0 діл. 514134</t>
  </si>
  <si>
    <t>23 кв (7 вид) 0 діл. 514134</t>
  </si>
  <si>
    <t>1 кв (11 вид) 0 діл. 514134</t>
  </si>
  <si>
    <t>58 кв (4 вид) 0 діл. 514134</t>
  </si>
  <si>
    <t>93 кв (4 вид) 2 діл. 514135</t>
  </si>
  <si>
    <t>85 кв (11 вид) 1 діл. 514136</t>
  </si>
  <si>
    <t>75 кв (1 вид) 1 діл. 514136</t>
  </si>
  <si>
    <t>9 кв (2 вид) 3 діл. 514136</t>
  </si>
  <si>
    <t>113 кв (4 вид) 0 діл. 514137</t>
  </si>
  <si>
    <t>86 кв (3 вид) 0 діл. 514137</t>
  </si>
  <si>
    <t>18 кв (3 вид) 0 діл. 514137</t>
  </si>
  <si>
    <t>11 кв (16 вид) 0 діл. 514137</t>
  </si>
  <si>
    <t>70 кв (12 вид)  діл. 514137</t>
  </si>
  <si>
    <t>93 кв (11 вид) 0 діл. 514137</t>
  </si>
  <si>
    <t>96 кв (4 вид) 0 діл. 514137</t>
  </si>
  <si>
    <t>54 кв (16 вид) 0 діл. 514137</t>
  </si>
  <si>
    <t>68 кв (6 вид) 0 діл. 514137</t>
  </si>
  <si>
    <t>87 кв (21 вид) 0 діл. 514138</t>
  </si>
  <si>
    <t>24 кв (6 вид) 0 діл. 514138</t>
  </si>
  <si>
    <t>22 кв (1 вид) 0 діл. 514138</t>
  </si>
  <si>
    <t>87 кв (18 вид) 0 діл. 514138</t>
  </si>
  <si>
    <t>122 кв (1 вид) 1 діл. 514139</t>
  </si>
  <si>
    <t>65 кв (8 вид) 0 діл. 514139</t>
  </si>
  <si>
    <t>4 кв (5 вид) 0 діл. 514139</t>
  </si>
  <si>
    <t>131 кв (1 вид) 0 діл. 514139</t>
  </si>
  <si>
    <t>170 кв (11 вид) 0 діл. 514139</t>
  </si>
  <si>
    <t>1 кв (3 вид) 0 діл. 514140</t>
  </si>
  <si>
    <t>58 кв (11 вид) 0 діл. 514140</t>
  </si>
  <si>
    <t>51 кв (5 вид) 0 діл. 514141</t>
  </si>
  <si>
    <t>41 кв (3 вид) 0 діл. 514141</t>
  </si>
  <si>
    <t>51 кв (3 вид) 0 діл. 514141</t>
  </si>
  <si>
    <t>30 кв (1 вид) 0 діл. 514141</t>
  </si>
  <si>
    <t>105 кв (3 вид) 0 діл. 514142</t>
  </si>
  <si>
    <t>82 кв (1 вид) 0 діл. 514142</t>
  </si>
  <si>
    <t>127 кв (6 вид) 0 діл. 514142</t>
  </si>
  <si>
    <t>64 кв (7 вид) 0 діл. 514142</t>
  </si>
  <si>
    <t>121 кв (2 вид)  діл. 514143</t>
  </si>
  <si>
    <t>114 кв (5 вид) 0 діл. 514143</t>
  </si>
  <si>
    <t>118 кв (9 вид) 0 діл. 514143</t>
  </si>
  <si>
    <t>55 кв (7 вид) 0 діл. 514143</t>
  </si>
  <si>
    <t>86 кв (4 вид) 0 діл. 514143</t>
  </si>
  <si>
    <t>54 кв (5 вид) 0 діл. 514143</t>
  </si>
  <si>
    <t>94 кв (9 вид) 0 діл. 514143</t>
  </si>
  <si>
    <t>41 кв (4 вид) 0 діл. 514143</t>
  </si>
  <si>
    <t>8 кв (2 вид) 0 діл. 514143</t>
  </si>
  <si>
    <t>54 кв (14 вид) 0 діл. 514143</t>
  </si>
  <si>
    <t>18 кв (1 вид) 0 діл. 514143</t>
  </si>
  <si>
    <t>90 кв (4 вид) 0 діл. 514143</t>
  </si>
  <si>
    <t>67 кв (4 вид) 0 діл. 514143</t>
  </si>
  <si>
    <t>109 кв (1 вид) 2 діл. 514144</t>
  </si>
  <si>
    <t>88 кв (3 вид)  діл. 514144</t>
  </si>
  <si>
    <t>159 кв (5 вид) 0 діл. 514144</t>
  </si>
  <si>
    <t>35 кв (6 вид) 1 діл. 514144</t>
  </si>
  <si>
    <t>109 кв (1 вид) 1 діл. 514144</t>
  </si>
  <si>
    <t>107 кв (2 вид) 1 діл. 514144</t>
  </si>
  <si>
    <t>126 кв (4 вид)  діл. 514144</t>
  </si>
  <si>
    <t>146 кв (13 вид)  діл. 514144</t>
  </si>
  <si>
    <t>88 кв (1 вид) 0 діл. 514145</t>
  </si>
  <si>
    <t>79 кв (16 вид) 0 діл. 514145</t>
  </si>
  <si>
    <t>12 кв (7 вид) 0 діл. 514145</t>
  </si>
  <si>
    <t>73 кв (1 вид) 0 діл. 514145</t>
  </si>
  <si>
    <t>55 кв (5 вид) 0 діл. 514147</t>
  </si>
  <si>
    <t>72 кв (12 вид) 0 діл. 514147</t>
  </si>
  <si>
    <t>82 кв (2 вид) 0 діл. 514149</t>
  </si>
  <si>
    <t>79 кв (14 вид) 0 діл. 514157</t>
  </si>
  <si>
    <t>80 кв (5 вид) 0 діл. 514157</t>
  </si>
  <si>
    <t>22 кв (9 вид) 0 діл. 514157</t>
  </si>
  <si>
    <t>60 кв (6 вид) 0 діл. 514157</t>
  </si>
  <si>
    <t>38 кв (8 вид) 0 діл. 514161</t>
  </si>
  <si>
    <t>38 кв (6 вид) 0 діл. 514161</t>
  </si>
  <si>
    <t>69 кв (5 вид) 0 діл. 514161</t>
  </si>
  <si>
    <t>38 кв (13 вид) 0 діл. 514161</t>
  </si>
  <si>
    <t>38 кв (10 вид) 0 діл. 514161</t>
  </si>
  <si>
    <t>69 кв (3 вид) 0 діл. 514161</t>
  </si>
  <si>
    <t>26 кв (1 вид) 0 діл. 514161</t>
  </si>
  <si>
    <t>15 кв (5 вид) 0 діл. 514164</t>
  </si>
  <si>
    <t>31 кв (8 вид) 0 діл. 514164</t>
  </si>
  <si>
    <t>16 кв (5 вид) 0 діл. 514164</t>
  </si>
  <si>
    <t>32 кв (4 вид) 0 діл. 514164</t>
  </si>
  <si>
    <t>35 кв (1 вид) 0 діл. 514164</t>
  </si>
  <si>
    <t>37 кв (7 вид) 0 діл. 514164</t>
  </si>
  <si>
    <t>37 кв (9 вид) 0 діл. 514164</t>
  </si>
  <si>
    <t>50 кв (7 вид) 0 діл. 514164</t>
  </si>
  <si>
    <t>77 кв (6 вид) 0 діл. 514167</t>
  </si>
  <si>
    <t>2 кв (4 вид) 0 діл. 514167</t>
  </si>
  <si>
    <t>69 кв (4 вид) 0 діл. 514167</t>
  </si>
  <si>
    <t>72 кв (3 вид) 0 діл. 514167</t>
  </si>
  <si>
    <t>49 кв (5 вид) 0 діл. 514167</t>
  </si>
  <si>
    <t>66 кв (6 вид) 0 діл. 514167</t>
  </si>
  <si>
    <t>9 кв (4 вид) 0 діл. 514167</t>
  </si>
  <si>
    <t>101 кв (6 вид) 0 діл. 514170</t>
  </si>
  <si>
    <t>105 кв (4 вид) 0 діл. 514170</t>
  </si>
  <si>
    <t>135 кв (8 вид) 0 діл. 514170</t>
  </si>
  <si>
    <t>119 кв (8 вид) 0 діл. 514170</t>
  </si>
  <si>
    <t>63 кв (1 вид) 0 діл. 514170</t>
  </si>
  <si>
    <t>49 кв (2 вид) 0 діл. 514170</t>
  </si>
  <si>
    <t>52 кв (6 вид) 0 діл. 514170</t>
  </si>
  <si>
    <t>87 кв (10 вид) 0 діл. 514173</t>
  </si>
  <si>
    <t>59 кв (7 вид) 0 діл. 514173</t>
  </si>
  <si>
    <t>40 кв (2 вид) 0 діл. 514173</t>
  </si>
  <si>
    <t>108 кв (8 вид) 0 діл. 514173</t>
  </si>
  <si>
    <t>59 кв (1 вид) 0 діл. 514173</t>
  </si>
  <si>
    <t>70 кв (3 вид) 0 діл. 514173</t>
  </si>
  <si>
    <t>88 кв (8 вид) 0 діл. 514173</t>
  </si>
  <si>
    <t>42 кв (3 вид) 0 діл. 514173</t>
  </si>
  <si>
    <t>58 кв (3 вид) 0 діл. 514173</t>
  </si>
  <si>
    <t>98 кв (11 вид) 0 діл. 514174</t>
  </si>
  <si>
    <t>51 кв (1 вид) 0 діл. 514183</t>
  </si>
  <si>
    <t>62 кв (3 вид) 0 діл. 514183</t>
  </si>
  <si>
    <t>35 кв (4 вид) 0 діл. 514183</t>
  </si>
  <si>
    <t>54 кв (1 вид) 0 діл. 514183</t>
  </si>
  <si>
    <t>53 кв (2 вид) 0 діл. 514183</t>
  </si>
  <si>
    <t>36 кв (1 вид) 0 діл. 514183</t>
  </si>
  <si>
    <t>56 кв (6 вид) 0 діл. 514183</t>
  </si>
  <si>
    <t>40 кв (1 вид) 0 діл. 514183</t>
  </si>
  <si>
    <t>39 кв (3 вид) 0 діл. 514183</t>
  </si>
  <si>
    <t>15 кв (4 вид) 0 діл. 514200</t>
  </si>
  <si>
    <t>35 кв (6 вид) 0 діл. 514200</t>
  </si>
  <si>
    <t>118 кв (2 вид) 0 діл. 514200</t>
  </si>
  <si>
    <t>109 кв (1 вид) 0 діл. 514200</t>
  </si>
  <si>
    <t>50 кв (3 вид) 0 діл. 514200</t>
  </si>
  <si>
    <t>22 кв (1 вид) 0 діл. 514200</t>
  </si>
  <si>
    <t>22 кв (5 вид) 0 діл. 514201</t>
  </si>
  <si>
    <t>43 кв (6 вид) 0 діл. 514201</t>
  </si>
  <si>
    <t>43 кв (5 вид) 0 діл. 514201</t>
  </si>
  <si>
    <t>20 кв (11 вид) 0 діл. 514201</t>
  </si>
  <si>
    <t>44 кв (5 вид) 0 діл. 514201</t>
  </si>
  <si>
    <t>17 кв (2 вид) 0 діл. 514201</t>
  </si>
  <si>
    <t>42 кв (2 вид) 0 діл. 514201</t>
  </si>
  <si>
    <t>44 кв (3 вид) 0 діл. 514201</t>
  </si>
  <si>
    <t>42 кв (7 вид) 0 діл. 514201</t>
  </si>
  <si>
    <t>42 кв (8 вид) 0 діл. 514201</t>
  </si>
  <si>
    <t>20 кв (9 вид) 0 діл. 514201</t>
  </si>
  <si>
    <t>42 кв (4 вид) 0 діл. 514201</t>
  </si>
  <si>
    <t>22 кв (11 вид) 0 діл. 514201</t>
  </si>
  <si>
    <t>43 кв (1 вид) 0 діл. 514201</t>
  </si>
  <si>
    <t>17 кв (3 вид) 0 діл. 514201</t>
  </si>
  <si>
    <t>22 кв (1 вид) 0 діл. 514201</t>
  </si>
  <si>
    <t>22 кв (9 вид) 0 діл. 514201</t>
  </si>
  <si>
    <t>19 кв (12 вид) 0 діл. 514201</t>
  </si>
  <si>
    <t>19 кв (1 вид) 0 діл. 514201</t>
  </si>
  <si>
    <t>22 кв (7 вид) 0 діл. 514201</t>
  </si>
  <si>
    <t>16 кв (3 вид) 0 діл. 514201</t>
  </si>
  <si>
    <t>22 кв (8 вид) 0 діл. 514201</t>
  </si>
  <si>
    <t>44 кв (2 вид) 0 діл. 514201</t>
  </si>
  <si>
    <t>44 кв (4 вид) 0 діл. 514202</t>
  </si>
  <si>
    <t>90 кв (5 вид) 1 діл. 514203</t>
  </si>
  <si>
    <t>60 кв (3 вид) 0 діл. 514203</t>
  </si>
  <si>
    <t>137 кв (9 вид) 1 діл. 514204</t>
  </si>
  <si>
    <t>131 кв (13 вид) 0 діл. 514204</t>
  </si>
  <si>
    <t>117 кв (1 вид) 1 діл. 514204</t>
  </si>
  <si>
    <t>42 кв (1 вид) 1 діл. 556612</t>
  </si>
  <si>
    <t>42 кв (3 вид) 1 діл. 556612</t>
  </si>
  <si>
    <t>41 кв (14 вид) 1 діл. 556612</t>
  </si>
  <si>
    <t>Месяц договору</t>
  </si>
  <si>
    <t>СКР</t>
  </si>
  <si>
    <t>Порядковий договору</t>
  </si>
  <si>
    <t>Месяц ЛК</t>
  </si>
  <si>
    <t>Вик</t>
  </si>
  <si>
    <t>Кат</t>
  </si>
  <si>
    <t>Пех</t>
  </si>
  <si>
    <t>Шп</t>
  </si>
  <si>
    <t>Коз</t>
  </si>
  <si>
    <t>Віл</t>
  </si>
  <si>
    <t>По Умолчанию</t>
  </si>
  <si>
    <t>Адрес</t>
  </si>
  <si>
    <t>F</t>
  </si>
  <si>
    <t>E</t>
  </si>
  <si>
    <t>A</t>
  </si>
  <si>
    <t>Значение 1</t>
  </si>
  <si>
    <t>Значение 2</t>
  </si>
  <si>
    <t>Значение 3</t>
  </si>
  <si>
    <t>Значение 4</t>
  </si>
  <si>
    <t>Значение 5</t>
  </si>
  <si>
    <t>Значение 6</t>
  </si>
  <si>
    <t>Значение 7</t>
  </si>
  <si>
    <t>Значение 8</t>
  </si>
  <si>
    <t>Значение 9</t>
  </si>
  <si>
    <t>Значение 10</t>
  </si>
  <si>
    <t>Значение 11</t>
  </si>
  <si>
    <t>Значение 12</t>
  </si>
  <si>
    <t>Наименование</t>
  </si>
  <si>
    <t>Столбец</t>
  </si>
  <si>
    <t>Строка</t>
  </si>
  <si>
    <t>Подпись</t>
  </si>
  <si>
    <t>Морозова ФОП</t>
  </si>
  <si>
    <t>№</t>
  </si>
  <si>
    <t>Рубка</t>
  </si>
  <si>
    <t>Виконавец</t>
  </si>
  <si>
    <t>UmRab</t>
  </si>
  <si>
    <t>Шаблон</t>
  </si>
  <si>
    <t>Рубка Лист</t>
  </si>
  <si>
    <t>g</t>
  </si>
  <si>
    <t>Столбец1</t>
  </si>
  <si>
    <t>d</t>
  </si>
  <si>
    <t>m</t>
  </si>
  <si>
    <t>Имя</t>
  </si>
  <si>
    <t>Коэфициент</t>
  </si>
  <si>
    <t>РозрядВысот</t>
  </si>
  <si>
    <t>ЧернобыльскаЗона</t>
  </si>
  <si>
    <t>ЧернобыльскийКоэф</t>
  </si>
  <si>
    <t>КолКопий</t>
  </si>
  <si>
    <t>КоэфициентСхилу</t>
  </si>
  <si>
    <t>Сокр</t>
  </si>
  <si>
    <t>{ФирмаВиконавец}</t>
  </si>
  <si>
    <t>{ВОВиконавец}</t>
  </si>
  <si>
    <t>{ПосадаВОВиконавец}</t>
  </si>
  <si>
    <t>{ВОВиконавця}</t>
  </si>
  <si>
    <t>{ПосадаВОВиконавця}</t>
  </si>
  <si>
    <t>{NДог}</t>
  </si>
  <si>
    <t>{ДатаДог}</t>
  </si>
  <si>
    <t>{ВО2Виконавец}</t>
  </si>
  <si>
    <t>в особі</t>
  </si>
  <si>
    <t>{ПідставіВиконавец}</t>
  </si>
  <si>
    <t>{ПовнФирмаВиконавец}</t>
  </si>
  <si>
    <t>Адреса</t>
  </si>
  <si>
    <t xml:space="preserve"> ІПН</t>
  </si>
  <si>
    <t>р/р</t>
  </si>
  <si>
    <t>ЄДРПОУ</t>
  </si>
  <si>
    <t>Договор</t>
  </si>
  <si>
    <t>{ДатаДоговора}</t>
  </si>
  <si>
    <t>КоєфПДВ</t>
  </si>
  <si>
    <t>ДатаНачалаРаботи</t>
  </si>
  <si>
    <t>ЕО</t>
  </si>
  <si>
    <t>ФОП Степовий О.Є.</t>
  </si>
  <si>
    <t>Степовий Є,О,</t>
  </si>
  <si>
    <t>Степовий Євгеній Олександрович</t>
  </si>
  <si>
    <t>директора</t>
  </si>
  <si>
    <t>Степовий Є.О.</t>
  </si>
  <si>
    <t>дозвіл №248.16.71 на підставі дозвільної справи від30.06.2016 №20092-УДП</t>
  </si>
  <si>
    <t>20603 ,Черкаська область,м.Шпола,вул.Дружби,39</t>
  </si>
  <si>
    <t>ІПН 3315517819</t>
  </si>
  <si>
    <t>р/р 26004051516959 ПАТ КБ "Приватбанк"</t>
  </si>
  <si>
    <t>ЄДРПОУ  3315517819</t>
  </si>
  <si>
    <t>ЦУПГ</t>
  </si>
  <si>
    <t>Даварт</t>
  </si>
  <si>
    <t xml:space="preserve">директора </t>
  </si>
  <si>
    <t>ФОП Морозова О.О</t>
  </si>
  <si>
    <t>Морозова О.О.</t>
  </si>
  <si>
    <t>Морозової Ольги Олександривні</t>
  </si>
  <si>
    <t>18015,Черкаська обл.м.Черкаси,вул Пилипенко,буд 10,кв.116</t>
  </si>
  <si>
    <t>ІПН3081817929 св20260000000030818</t>
  </si>
  <si>
    <t xml:space="preserve">р/р26003010868980 ПАТ Укрсоцбанк МФО300023 </t>
  </si>
  <si>
    <t>Бабенко Сергій Вікторович</t>
  </si>
  <si>
    <t>19736 Черкаська обл.Золотоніський р-н,село Вільхи,вулиця Гагаріна,буд 2</t>
  </si>
  <si>
    <t>Назва</t>
  </si>
  <si>
    <t>1</t>
  </si>
  <si>
    <t>2</t>
  </si>
  <si>
    <t>3</t>
  </si>
  <si>
    <t>4</t>
  </si>
  <si>
    <t>5</t>
  </si>
  <si>
    <t>6</t>
  </si>
  <si>
    <t>Лісосічні роботи РГК</t>
  </si>
  <si>
    <t>Звалювання з помічником 2007 Штиль</t>
  </si>
  <si>
    <t>ZV</t>
  </si>
  <si>
    <t xml:space="preserve">Вибіраема  маса </t>
  </si>
  <si>
    <t>OBR</t>
  </si>
  <si>
    <t>Нормальні</t>
  </si>
  <si>
    <t>Важкі</t>
  </si>
  <si>
    <t>Сер.об.хл</t>
  </si>
  <si>
    <t>Порода</t>
  </si>
  <si>
    <t>Назва робіт</t>
  </si>
  <si>
    <t>СКР_HL</t>
  </si>
  <si>
    <t>Зрізування 2007</t>
  </si>
  <si>
    <t>Збирання та складання 2007</t>
  </si>
  <si>
    <t>OBRU</t>
  </si>
  <si>
    <t>Пиловники</t>
  </si>
  <si>
    <t>PIL</t>
  </si>
  <si>
    <t>Фанера</t>
  </si>
  <si>
    <t>FAN</t>
  </si>
  <si>
    <t>Техсировина</t>
  </si>
  <si>
    <t>TEX</t>
  </si>
  <si>
    <t>Дрова</t>
  </si>
  <si>
    <t>DROV</t>
  </si>
  <si>
    <t>Зачищення</t>
  </si>
  <si>
    <t>ZACH</t>
  </si>
  <si>
    <t>SPLG</t>
  </si>
  <si>
    <t>Коління та Укладання</t>
  </si>
  <si>
    <t>KOL</t>
  </si>
  <si>
    <t>Спілювання пнів</t>
  </si>
  <si>
    <t>SPILP</t>
  </si>
  <si>
    <t>PND</t>
  </si>
  <si>
    <t>м'які породи</t>
  </si>
  <si>
    <t>Діаметр пня,см</t>
  </si>
  <si>
    <t>середня</t>
  </si>
  <si>
    <t>велика</t>
  </si>
  <si>
    <t>ЗахаращеністьЛісосіки</t>
  </si>
  <si>
    <t>Умови_Роботи</t>
  </si>
  <si>
    <t>Вид_Породи</t>
  </si>
  <si>
    <t>Ближайшее большее</t>
  </si>
  <si>
    <t xml:space="preserve">Поиск строки </t>
  </si>
  <si>
    <t>Поиск столбца</t>
  </si>
  <si>
    <t>Шаг</t>
  </si>
  <si>
    <t>Начало</t>
  </si>
  <si>
    <t>Кількисть</t>
  </si>
  <si>
    <t xml:space="preserve">Значение в таблице </t>
  </si>
  <si>
    <t>по строке и столбцу</t>
  </si>
  <si>
    <t>Породы</t>
  </si>
  <si>
    <t>Твердолистяні породи породи</t>
  </si>
  <si>
    <t>ZVZP</t>
  </si>
  <si>
    <t>Столбец2</t>
  </si>
  <si>
    <t>Столбец3</t>
  </si>
  <si>
    <t>Столбец4</t>
  </si>
  <si>
    <t>Столбец5</t>
  </si>
  <si>
    <t>Столбец6</t>
  </si>
  <si>
    <t>Столбец7</t>
  </si>
  <si>
    <t>Столбец8</t>
  </si>
  <si>
    <t>Столбец9</t>
  </si>
  <si>
    <t>Столбец10</t>
  </si>
  <si>
    <t>Столбец11</t>
  </si>
  <si>
    <t>Столбец12</t>
  </si>
  <si>
    <t>Столбец13</t>
  </si>
  <si>
    <t>Умови работи</t>
  </si>
  <si>
    <t>Full</t>
  </si>
  <si>
    <t>Вызванная функция</t>
  </si>
  <si>
    <t>Column1</t>
  </si>
  <si>
    <t>Column2</t>
  </si>
  <si>
    <t>Column3</t>
  </si>
  <si>
    <t>повна назва</t>
  </si>
  <si>
    <t>№ пп</t>
  </si>
  <si>
    <t>список 
включаючи
групи порід</t>
  </si>
  <si>
    <t>список без груп порід</t>
  </si>
  <si>
    <t>список
головних
порід
для 
ТЛУ
(заповню
ється VBA)</t>
  </si>
  <si>
    <t>КОД</t>
  </si>
  <si>
    <t>скорочення</t>
  </si>
  <si>
    <t>Дз</t>
  </si>
  <si>
    <t>Дуб звичайний</t>
  </si>
  <si>
    <t>Сб</t>
  </si>
  <si>
    <t>Сосна банкса</t>
  </si>
  <si>
    <t>Све</t>
  </si>
  <si>
    <t>Сосна веймутова</t>
  </si>
  <si>
    <t>Сз</t>
  </si>
  <si>
    <t>Сжо</t>
  </si>
  <si>
    <t>Сосна жовта</t>
  </si>
  <si>
    <t>Сі</t>
  </si>
  <si>
    <t>Сосна італійська</t>
  </si>
  <si>
    <t>Яз</t>
  </si>
  <si>
    <t>Ясен звичайний</t>
  </si>
  <si>
    <t>Тч</t>
  </si>
  <si>
    <t>Скре</t>
  </si>
  <si>
    <t>Сосна крейдяна</t>
  </si>
  <si>
    <t>Влч</t>
  </si>
  <si>
    <t>Скр</t>
  </si>
  <si>
    <t>Сосна кримська</t>
  </si>
  <si>
    <t>Язл</t>
  </si>
  <si>
    <t>Ясен зелений</t>
  </si>
  <si>
    <t>Вб</t>
  </si>
  <si>
    <t>Скрч</t>
  </si>
  <si>
    <t>Сосна крючковата</t>
  </si>
  <si>
    <t>Ясен вузьколистий</t>
  </si>
  <si>
    <t>Тб</t>
  </si>
  <si>
    <t>Сосна звичайна</t>
  </si>
  <si>
    <t>Дчр</t>
  </si>
  <si>
    <t>Дуб червоний</t>
  </si>
  <si>
    <t>Кл</t>
  </si>
  <si>
    <t>Сзк</t>
  </si>
  <si>
    <t>Сосна звич. В осередках кор. Губ.</t>
  </si>
  <si>
    <t>КЛГ</t>
  </si>
  <si>
    <t>Клен гостролистий</t>
  </si>
  <si>
    <t>Спі</t>
  </si>
  <si>
    <t>Сосна піцундська</t>
  </si>
  <si>
    <t>Яв</t>
  </si>
  <si>
    <t>Гш</t>
  </si>
  <si>
    <t>Сст</t>
  </si>
  <si>
    <t>Сосна станкевича</t>
  </si>
  <si>
    <t>Клп</t>
  </si>
  <si>
    <t>Клен польовий</t>
  </si>
  <si>
    <t>Гз</t>
  </si>
  <si>
    <t>Сав</t>
  </si>
  <si>
    <t>Сосна австрійська</t>
  </si>
  <si>
    <t>Клен сріблястий</t>
  </si>
  <si>
    <t>Яле</t>
  </si>
  <si>
    <t>Ялина європейська</t>
  </si>
  <si>
    <t>Кля</t>
  </si>
  <si>
    <t>Клен ясенолистий</t>
  </si>
  <si>
    <t>Ос</t>
  </si>
  <si>
    <t>Ялка</t>
  </si>
  <si>
    <t>Ялина канадська</t>
  </si>
  <si>
    <t>Акб</t>
  </si>
  <si>
    <t>Ялк</t>
  </si>
  <si>
    <t>Ялина колюча</t>
  </si>
  <si>
    <t>Гд</t>
  </si>
  <si>
    <t>ГЛЗ</t>
  </si>
  <si>
    <t>Ялен</t>
  </si>
  <si>
    <t>Ялина енгельмана</t>
  </si>
  <si>
    <t>Граб звичайний</t>
  </si>
  <si>
    <t>Яцба</t>
  </si>
  <si>
    <t>Ялиця бальзамічна</t>
  </si>
  <si>
    <t>Брс</t>
  </si>
  <si>
    <t>Берест</t>
  </si>
  <si>
    <t>Бт</t>
  </si>
  <si>
    <t>Яцб</t>
  </si>
  <si>
    <t>Ялиця біла</t>
  </si>
  <si>
    <t>Яцк</t>
  </si>
  <si>
    <t>Ялиця кавказька</t>
  </si>
  <si>
    <t>Яцс</t>
  </si>
  <si>
    <t>Ялиця сибірська</t>
  </si>
  <si>
    <t>Мде</t>
  </si>
  <si>
    <t>Модрина європейська</t>
  </si>
  <si>
    <t>Чш</t>
  </si>
  <si>
    <t>Черешня</t>
  </si>
  <si>
    <t>Мдп</t>
  </si>
  <si>
    <t>Модрина польська</t>
  </si>
  <si>
    <t>Гч</t>
  </si>
  <si>
    <t>ГХЧ</t>
  </si>
  <si>
    <t>Горіх чорний</t>
  </si>
  <si>
    <t>Бх</t>
  </si>
  <si>
    <t>Мдс</t>
  </si>
  <si>
    <t>Модрина сибірська</t>
  </si>
  <si>
    <t>Горіх грецький</t>
  </si>
  <si>
    <t>Мдя</t>
  </si>
  <si>
    <t>Модрина японська</t>
  </si>
  <si>
    <t>ГШЗ</t>
  </si>
  <si>
    <t>Груша звичайна</t>
  </si>
  <si>
    <t>Дгт</t>
  </si>
  <si>
    <t>Дуб гартвіса</t>
  </si>
  <si>
    <t>Шк</t>
  </si>
  <si>
    <t>ШБ</t>
  </si>
  <si>
    <t>Шовковиця біла</t>
  </si>
  <si>
    <t>Дгр</t>
  </si>
  <si>
    <t>Дуб грузинський</t>
  </si>
  <si>
    <t>Шовковиця чорна</t>
  </si>
  <si>
    <t>Дкш</t>
  </si>
  <si>
    <t>Дуб каштанолистий</t>
  </si>
  <si>
    <t>Слива домашня</t>
  </si>
  <si>
    <t>Вишня звичайна</t>
  </si>
  <si>
    <t>Две</t>
  </si>
  <si>
    <t>Дуб великоплодий</t>
  </si>
  <si>
    <t>Абр</t>
  </si>
  <si>
    <t>АБЗ</t>
  </si>
  <si>
    <t>Дп</t>
  </si>
  <si>
    <t>Дуб пухнатий</t>
  </si>
  <si>
    <t>БХА</t>
  </si>
  <si>
    <t>Бархат амурський</t>
  </si>
  <si>
    <t>Дс</t>
  </si>
  <si>
    <t>Дуб скельний</t>
  </si>
  <si>
    <t>Грз</t>
  </si>
  <si>
    <t>Горобина звичайна</t>
  </si>
  <si>
    <t>Бкс</t>
  </si>
  <si>
    <t>Бук східний</t>
  </si>
  <si>
    <t>Алича</t>
  </si>
  <si>
    <t>Бкл</t>
  </si>
  <si>
    <t>Бук лісовий</t>
  </si>
  <si>
    <t>Черемха звичайна</t>
  </si>
  <si>
    <t>Клт</t>
  </si>
  <si>
    <t>Клен татарський</t>
  </si>
  <si>
    <t>Яам</t>
  </si>
  <si>
    <t>Ясен американський</t>
  </si>
  <si>
    <t>Берека</t>
  </si>
  <si>
    <t>Айлант високий</t>
  </si>
  <si>
    <t>Лп</t>
  </si>
  <si>
    <t>ЛПД</t>
  </si>
  <si>
    <t>Липа дрібнолиста</t>
  </si>
  <si>
    <t>Яго</t>
  </si>
  <si>
    <t>Ясен гостроплодий</t>
  </si>
  <si>
    <t>Лпш</t>
  </si>
  <si>
    <t>Липа широколиста</t>
  </si>
  <si>
    <t>Ясп</t>
  </si>
  <si>
    <t>Ясен пенсільванський</t>
  </si>
  <si>
    <t>Б</t>
  </si>
  <si>
    <t>БП</t>
  </si>
  <si>
    <t>Береза повисла</t>
  </si>
  <si>
    <t>Бер</t>
  </si>
  <si>
    <t>Ясу</t>
  </si>
  <si>
    <t>Ясен сумахолистий</t>
  </si>
  <si>
    <t>Осика</t>
  </si>
  <si>
    <t>Клф</t>
  </si>
  <si>
    <t>Клен красивий</t>
  </si>
  <si>
    <t>Тополя біла</t>
  </si>
  <si>
    <t>Тк</t>
  </si>
  <si>
    <t>Клг</t>
  </si>
  <si>
    <t>Тополя чорна</t>
  </si>
  <si>
    <t>Тополя бальзамічна</t>
  </si>
  <si>
    <t>Клц</t>
  </si>
  <si>
    <t>Клен цукровий</t>
  </si>
  <si>
    <t>Тополя канадська</t>
  </si>
  <si>
    <t>Клс</t>
  </si>
  <si>
    <t>Тп</t>
  </si>
  <si>
    <t>Тополя пірамідальна</t>
  </si>
  <si>
    <t>Клст</t>
  </si>
  <si>
    <t>Клен стевена</t>
  </si>
  <si>
    <t>Вільха чорна</t>
  </si>
  <si>
    <t>Явір</t>
  </si>
  <si>
    <t>Вільха сіра</t>
  </si>
  <si>
    <t>Верба козяча</t>
  </si>
  <si>
    <t>Взв</t>
  </si>
  <si>
    <t>В'яз висоцького</t>
  </si>
  <si>
    <t>ВРБ</t>
  </si>
  <si>
    <t>Верба біла</t>
  </si>
  <si>
    <t>Вгл</t>
  </si>
  <si>
    <t>В'яз гладкий</t>
  </si>
  <si>
    <t>Верба ламка</t>
  </si>
  <si>
    <t>Взд</t>
  </si>
  <si>
    <t>В'яз дрібнолистий</t>
  </si>
  <si>
    <t>Взн</t>
  </si>
  <si>
    <t>В'яз низький</t>
  </si>
  <si>
    <t>Ск</t>
  </si>
  <si>
    <t>Взко</t>
  </si>
  <si>
    <t>В'яз корковий</t>
  </si>
  <si>
    <t>Взш</t>
  </si>
  <si>
    <t>В'яз шорсткий</t>
  </si>
  <si>
    <t>Ял</t>
  </si>
  <si>
    <t>ЯЛЕ</t>
  </si>
  <si>
    <t>Взе</t>
  </si>
  <si>
    <t>В'яз еліптичний</t>
  </si>
  <si>
    <t>Біла акація</t>
  </si>
  <si>
    <t>Глк</t>
  </si>
  <si>
    <t>Гледичія каспійська</t>
  </si>
  <si>
    <t>Глз</t>
  </si>
  <si>
    <t>Гледичія колюча</t>
  </si>
  <si>
    <t>Мд</t>
  </si>
  <si>
    <t>МДЕ</t>
  </si>
  <si>
    <t>Бд</t>
  </si>
  <si>
    <t>Береза дніпровська</t>
  </si>
  <si>
    <t>Бп</t>
  </si>
  <si>
    <t>Лщ</t>
  </si>
  <si>
    <t>Ліщина звичайна</t>
  </si>
  <si>
    <t>Бпх</t>
  </si>
  <si>
    <t>Береза пухната</t>
  </si>
  <si>
    <t>Береза темна</t>
  </si>
  <si>
    <t>Бузина чорна</t>
  </si>
  <si>
    <t>Влс</t>
  </si>
  <si>
    <t>Бз</t>
  </si>
  <si>
    <t>БЗР</t>
  </si>
  <si>
    <t>Бузина червона</t>
  </si>
  <si>
    <t>Лпс</t>
  </si>
  <si>
    <t>Липа срібляста</t>
  </si>
  <si>
    <t>Лпк</t>
  </si>
  <si>
    <t>Липа кавказька</t>
  </si>
  <si>
    <t>Лпд</t>
  </si>
  <si>
    <t>Лппс</t>
  </si>
  <si>
    <t>Липа пухнастостовпчикова</t>
  </si>
  <si>
    <t>Лпе</t>
  </si>
  <si>
    <t>Липа європейська</t>
  </si>
  <si>
    <t>Тбз</t>
  </si>
  <si>
    <t>Тбр</t>
  </si>
  <si>
    <t>Тополя берлінська</t>
  </si>
  <si>
    <t>Тбо</t>
  </si>
  <si>
    <t>Тополя болле</t>
  </si>
  <si>
    <t>Тз</t>
  </si>
  <si>
    <t>Тополя запашна</t>
  </si>
  <si>
    <t>Тл</t>
  </si>
  <si>
    <t>Тополя лавролиста</t>
  </si>
  <si>
    <t>Тсі</t>
  </si>
  <si>
    <t>Тополя сірувата</t>
  </si>
  <si>
    <t>Ткт</t>
  </si>
  <si>
    <t>Тополя китайська</t>
  </si>
  <si>
    <t>Тто</t>
  </si>
  <si>
    <t>Тополя торопогрицького</t>
  </si>
  <si>
    <t>Врб</t>
  </si>
  <si>
    <t>Врв</t>
  </si>
  <si>
    <t>Верба вавілонська</t>
  </si>
  <si>
    <t>Врл</t>
  </si>
  <si>
    <t>Яцв</t>
  </si>
  <si>
    <t>Ялиця велика</t>
  </si>
  <si>
    <t>Скд</t>
  </si>
  <si>
    <t>Сосна кедрова європейська</t>
  </si>
  <si>
    <t>Скдк</t>
  </si>
  <si>
    <t>Сосна кедрова корейська</t>
  </si>
  <si>
    <t>Скдс</t>
  </si>
  <si>
    <t>Сосна кедрова сибірська</t>
  </si>
  <si>
    <t>Кда</t>
  </si>
  <si>
    <t>Кедр атласький</t>
  </si>
  <si>
    <t>Кдг</t>
  </si>
  <si>
    <t>Кедр гімалайський</t>
  </si>
  <si>
    <t>тв-лист.</t>
  </si>
  <si>
    <t>Кдл</t>
  </si>
  <si>
    <t>Кедр ліванський</t>
  </si>
  <si>
    <t>м-лист.</t>
  </si>
  <si>
    <t>Яові</t>
  </si>
  <si>
    <t>Яловець віргінський</t>
  </si>
  <si>
    <t>хвойн.</t>
  </si>
  <si>
    <t>Яов</t>
  </si>
  <si>
    <t>Яловець високий</t>
  </si>
  <si>
    <t>колюч.</t>
  </si>
  <si>
    <t>Ркк</t>
  </si>
  <si>
    <t>Річковий кедр каліфорнійський</t>
  </si>
  <si>
    <t>всі</t>
  </si>
  <si>
    <t>Кпв</t>
  </si>
  <si>
    <t>Кипарис вічнозелений</t>
  </si>
  <si>
    <t>Киг</t>
  </si>
  <si>
    <t>Кипарисовик горохоплодий</t>
  </si>
  <si>
    <t>Кил</t>
  </si>
  <si>
    <t>Кипарисовик лавсона</t>
  </si>
  <si>
    <t>Пз</t>
  </si>
  <si>
    <t>Псевдотсуга зелена</t>
  </si>
  <si>
    <t>Дгл</t>
  </si>
  <si>
    <t>Псевдотсуга мензиса</t>
  </si>
  <si>
    <t>Се</t>
  </si>
  <si>
    <t>Секвоя</t>
  </si>
  <si>
    <t>Сев</t>
  </si>
  <si>
    <t>Секвоя вічнозелена</t>
  </si>
  <si>
    <t>Сд</t>
  </si>
  <si>
    <t>Секвоядендрон</t>
  </si>
  <si>
    <t>Сдв</t>
  </si>
  <si>
    <t>Секвоядендрон велетенський</t>
  </si>
  <si>
    <t>Тся</t>
  </si>
  <si>
    <t>Тис ягідний</t>
  </si>
  <si>
    <t>Тув</t>
  </si>
  <si>
    <t>Туя велетенська</t>
  </si>
  <si>
    <t>Туз</t>
  </si>
  <si>
    <t>Туя західна</t>
  </si>
  <si>
    <t>Шгс</t>
  </si>
  <si>
    <t>Широкогілочник східний</t>
  </si>
  <si>
    <t>Гс</t>
  </si>
  <si>
    <t>Граб східний</t>
  </si>
  <si>
    <t>Ябц</t>
  </si>
  <si>
    <t>Ясен білоцвітий</t>
  </si>
  <si>
    <t>Явл</t>
  </si>
  <si>
    <t>Дуз</t>
  </si>
  <si>
    <t>Душекія зелена</t>
  </si>
  <si>
    <t>Абз</t>
  </si>
  <si>
    <t>Абрикос звичайний</t>
  </si>
  <si>
    <t>Анв</t>
  </si>
  <si>
    <t>Ацл</t>
  </si>
  <si>
    <t>Альбіція ленкоранська</t>
  </si>
  <si>
    <t>Бха</t>
  </si>
  <si>
    <t>Вшм</t>
  </si>
  <si>
    <t>Вишня магалебська</t>
  </si>
  <si>
    <t>Вшп</t>
  </si>
  <si>
    <t>Вишня повстиста</t>
  </si>
  <si>
    <t>Вшк</t>
  </si>
  <si>
    <t>Вишня кущова</t>
  </si>
  <si>
    <t>Вшз</t>
  </si>
  <si>
    <t>Газ</t>
  </si>
  <si>
    <t>Гранатник звичайний</t>
  </si>
  <si>
    <t>Гшм</t>
  </si>
  <si>
    <t>Груша маслинколиста</t>
  </si>
  <si>
    <t>Гшз</t>
  </si>
  <si>
    <t>Снд</t>
  </si>
  <si>
    <t>Суничник дрібноплідний</t>
  </si>
  <si>
    <t>Соз</t>
  </si>
  <si>
    <t>Смоковниця звичайна</t>
  </si>
  <si>
    <t>Ксг</t>
  </si>
  <si>
    <t>Каркас голий</t>
  </si>
  <si>
    <t>Ксз</t>
  </si>
  <si>
    <t>Каркас західний</t>
  </si>
  <si>
    <t>Кск</t>
  </si>
  <si>
    <t>Каркас кавказький</t>
  </si>
  <si>
    <t>Ксп</t>
  </si>
  <si>
    <t>Каркас південний</t>
  </si>
  <si>
    <t>Ктб</t>
  </si>
  <si>
    <t>Катальпа бігнонієвидна</t>
  </si>
  <si>
    <t>Ктч</t>
  </si>
  <si>
    <t>Катальпа чудова</t>
  </si>
  <si>
    <t>Кші</t>
  </si>
  <si>
    <t>Каштан їстівний</t>
  </si>
  <si>
    <t>Гкз</t>
  </si>
  <si>
    <t>Гіркокаштан звичайний</t>
  </si>
  <si>
    <t>Лрб</t>
  </si>
  <si>
    <t>Лавр благородний</t>
  </si>
  <si>
    <t>Лак</t>
  </si>
  <si>
    <t>Лапина крилоплода</t>
  </si>
  <si>
    <t>Ліс</t>
  </si>
  <si>
    <t>Ліквідамбар стираксовий</t>
  </si>
  <si>
    <t>Лм</t>
  </si>
  <si>
    <t>Лимон</t>
  </si>
  <si>
    <t>Лдт</t>
  </si>
  <si>
    <t>Ліріодендрон тюльпанний</t>
  </si>
  <si>
    <t>Мгл</t>
  </si>
  <si>
    <t>Магнолія гостролиста</t>
  </si>
  <si>
    <t>Мгя</t>
  </si>
  <si>
    <t>Магнолія оберненояйцевидна</t>
  </si>
  <si>
    <t>Мго</t>
  </si>
  <si>
    <t>Магнолія оголена</t>
  </si>
  <si>
    <t>Мкя</t>
  </si>
  <si>
    <t>Маклюра яблуконосна</t>
  </si>
  <si>
    <t>Мис</t>
  </si>
  <si>
    <t>Мигдаль степовий (низький)</t>
  </si>
  <si>
    <t>Миз</t>
  </si>
  <si>
    <t>Мигдаль звичайний</t>
  </si>
  <si>
    <t>Млд</t>
  </si>
  <si>
    <t>Мильне дерево</t>
  </si>
  <si>
    <t>Гхг</t>
  </si>
  <si>
    <t>Гхз</t>
  </si>
  <si>
    <t>Горіх зібольда</t>
  </si>
  <si>
    <t>Гхм</t>
  </si>
  <si>
    <t>Горіх маньчжурський</t>
  </si>
  <si>
    <t>Гхс</t>
  </si>
  <si>
    <t>Горіх сірий</t>
  </si>
  <si>
    <t>Гхч</t>
  </si>
  <si>
    <t>Пек</t>
  </si>
  <si>
    <t>Карія пекан</t>
  </si>
  <si>
    <t>Прз</t>
  </si>
  <si>
    <t>Персик звичайний</t>
  </si>
  <si>
    <t>Плс</t>
  </si>
  <si>
    <t>Платан східний</t>
  </si>
  <si>
    <t>Плз</t>
  </si>
  <si>
    <t>Платан західний</t>
  </si>
  <si>
    <t>Грдо</t>
  </si>
  <si>
    <t>Горобина домашня</t>
  </si>
  <si>
    <t>Гркр</t>
  </si>
  <si>
    <t>Горобина кримська</t>
  </si>
  <si>
    <t>Грк</t>
  </si>
  <si>
    <t>Горобина круглолиста</t>
  </si>
  <si>
    <t>Сшв</t>
  </si>
  <si>
    <t>Самшит вічнозелений</t>
  </si>
  <si>
    <t>Слд</t>
  </si>
  <si>
    <t>Трк</t>
  </si>
  <si>
    <t>Терен колючий</t>
  </si>
  <si>
    <t>Трм</t>
  </si>
  <si>
    <t>Терен молдавський</t>
  </si>
  <si>
    <t>Трс</t>
  </si>
  <si>
    <t>Терен степовий</t>
  </si>
  <si>
    <t>Алч</t>
  </si>
  <si>
    <t>Сфя</t>
  </si>
  <si>
    <t>Софора японська</t>
  </si>
  <si>
    <t>Фс</t>
  </si>
  <si>
    <t>Фісташка справжня</t>
  </si>
  <si>
    <t>Фт</t>
  </si>
  <si>
    <t>Фісташка туполиста</t>
  </si>
  <si>
    <t>Хгз</t>
  </si>
  <si>
    <t>Хмелеграб звичайний</t>
  </si>
  <si>
    <t>Чрв</t>
  </si>
  <si>
    <t>Черемха віргінська</t>
  </si>
  <si>
    <t>Чрз</t>
  </si>
  <si>
    <t>Чрп</t>
  </si>
  <si>
    <t>Черемха пізня</t>
  </si>
  <si>
    <t>Шб</t>
  </si>
  <si>
    <t>Шч</t>
  </si>
  <si>
    <t>Еввл</t>
  </si>
  <si>
    <t>Евкомія в'язолиста</t>
  </si>
  <si>
    <t>Ябл</t>
  </si>
  <si>
    <t>Яблуня лісова</t>
  </si>
  <si>
    <t>Ябд</t>
  </si>
  <si>
    <t>Яблуня домашня</t>
  </si>
  <si>
    <t>Ябр</t>
  </si>
  <si>
    <t>Яблуня рання</t>
  </si>
  <si>
    <t>Ябк</t>
  </si>
  <si>
    <t>Яблуня сливолиста</t>
  </si>
  <si>
    <t>Сг</t>
  </si>
  <si>
    <t>Сосна гірська</t>
  </si>
  <si>
    <t>Яово</t>
  </si>
  <si>
    <t>Яловець вонючий</t>
  </si>
  <si>
    <t>Яоч</t>
  </si>
  <si>
    <t>Яловець червоний</t>
  </si>
  <si>
    <t>Яок</t>
  </si>
  <si>
    <t>Яловець козачий</t>
  </si>
  <si>
    <t>Яон</t>
  </si>
  <si>
    <t>Яловець низькорослий</t>
  </si>
  <si>
    <t>Яоз</t>
  </si>
  <si>
    <t>Яловець звичайний</t>
  </si>
  <si>
    <t>Яос</t>
  </si>
  <si>
    <t>Яловець сибірський</t>
  </si>
  <si>
    <t>Ефд</t>
  </si>
  <si>
    <t>Ефедра двоколоса</t>
  </si>
  <si>
    <t>Врк</t>
  </si>
  <si>
    <t>Врла</t>
  </si>
  <si>
    <t>Верба лапландська</t>
  </si>
  <si>
    <t>Шел</t>
  </si>
  <si>
    <t>Шелюга</t>
  </si>
  <si>
    <t>Врп</t>
  </si>
  <si>
    <t>Верба попеляста</t>
  </si>
  <si>
    <t>Врпр</t>
  </si>
  <si>
    <t>Верба прутовидна</t>
  </si>
  <si>
    <t>Врпу</t>
  </si>
  <si>
    <t>Верба пурпурова</t>
  </si>
  <si>
    <t>Врпт</t>
  </si>
  <si>
    <t>Верба п'ятитичинкова</t>
  </si>
  <si>
    <t>Вррл</t>
  </si>
  <si>
    <t>Верба розмаринолиста</t>
  </si>
  <si>
    <t>Врси</t>
  </si>
  <si>
    <t>Верба силезька</t>
  </si>
  <si>
    <t>Вртр</t>
  </si>
  <si>
    <t>Верба тритичинкова</t>
  </si>
  <si>
    <t>Врвш</t>
  </si>
  <si>
    <t>Верба вушката</t>
  </si>
  <si>
    <t>Врч</t>
  </si>
  <si>
    <t>Верба чорнична</t>
  </si>
  <si>
    <t>Врчо</t>
  </si>
  <si>
    <t>Верба чорніюча</t>
  </si>
  <si>
    <t>Айд</t>
  </si>
  <si>
    <t>Айва довгаста</t>
  </si>
  <si>
    <t>Аик</t>
  </si>
  <si>
    <t>Актинідія коломікта</t>
  </si>
  <si>
    <t>Аиг</t>
  </si>
  <si>
    <t>Актинідія гостра</t>
  </si>
  <si>
    <t>Амк</t>
  </si>
  <si>
    <t>Аморфа кущова</t>
  </si>
  <si>
    <t>Арч</t>
  </si>
  <si>
    <t>Аронія чорноплідна</t>
  </si>
  <si>
    <t>Бас</t>
  </si>
  <si>
    <t>Барбарис східний</t>
  </si>
  <si>
    <t>Баз</t>
  </si>
  <si>
    <t>Барбарис звичайний</t>
  </si>
  <si>
    <t>Брб</t>
  </si>
  <si>
    <t>Бруслина бородавчаста</t>
  </si>
  <si>
    <t>Бре</t>
  </si>
  <si>
    <t>Бруслина європейська</t>
  </si>
  <si>
    <t>Брк</t>
  </si>
  <si>
    <t>Бруслина карликова</t>
  </si>
  <si>
    <t>Брш</t>
  </si>
  <si>
    <t>Бруслина широколиста</t>
  </si>
  <si>
    <t>Биз</t>
  </si>
  <si>
    <t>Бирючина звичайна</t>
  </si>
  <si>
    <t>Гдг</t>
  </si>
  <si>
    <t>Глід гладенький</t>
  </si>
  <si>
    <t>Гдсх</t>
  </si>
  <si>
    <t>Глід східний</t>
  </si>
  <si>
    <t>Гддк</t>
  </si>
  <si>
    <t>Глід двокісточковий</t>
  </si>
  <si>
    <t>Гдз</t>
  </si>
  <si>
    <t>Глід замшовий</t>
  </si>
  <si>
    <t>Гдк</t>
  </si>
  <si>
    <t>Глід колючий</t>
  </si>
  <si>
    <t>Гдкр</t>
  </si>
  <si>
    <t>Глід кримський</t>
  </si>
  <si>
    <t>Гдл</t>
  </si>
  <si>
    <t>Глід липського</t>
  </si>
  <si>
    <t>Гддл</t>
  </si>
  <si>
    <t>Глід дрібнолистий</t>
  </si>
  <si>
    <t>Гднк</t>
  </si>
  <si>
    <t>Глід несправжньо-кривостовпчиковий</t>
  </si>
  <si>
    <t>Гдо</t>
  </si>
  <si>
    <t>Глід обманливий</t>
  </si>
  <si>
    <t>Гдом</t>
  </si>
  <si>
    <t>Глід одноматочковий</t>
  </si>
  <si>
    <t>Гдоз</t>
  </si>
  <si>
    <t>Глід озброєний</t>
  </si>
  <si>
    <t>Гдпс</t>
  </si>
  <si>
    <t>Глід п'ятистовпчиковий</t>
  </si>
  <si>
    <t>Гдкч</t>
  </si>
  <si>
    <t>Глід кривочашечковий</t>
  </si>
  <si>
    <t>Гдс</t>
  </si>
  <si>
    <t>Глід стевена</t>
  </si>
  <si>
    <t>Гду</t>
  </si>
  <si>
    <t>Глід український</t>
  </si>
  <si>
    <t>Бзр</t>
  </si>
  <si>
    <t>Бзч</t>
  </si>
  <si>
    <t>Виа</t>
  </si>
  <si>
    <t>Виноград амурський</t>
  </si>
  <si>
    <t>Виз</t>
  </si>
  <si>
    <t>Виноград ізабелла</t>
  </si>
  <si>
    <t>Вил</t>
  </si>
  <si>
    <t>Виноград лісовий</t>
  </si>
  <si>
    <t>Вили</t>
  </si>
  <si>
    <t>Виноград лисячий</t>
  </si>
  <si>
    <t>Вис</t>
  </si>
  <si>
    <t>Виноград справжній</t>
  </si>
  <si>
    <t>Вол</t>
  </si>
  <si>
    <t>Вовче лико</t>
  </si>
  <si>
    <t>Вяп</t>
  </si>
  <si>
    <t>Вовчі ягоди пахучі</t>
  </si>
  <si>
    <t>Вяс</t>
  </si>
  <si>
    <t>Вовчі ягоди софії</t>
  </si>
  <si>
    <t>Вякр</t>
  </si>
  <si>
    <t>Вовчі ягоди кримські</t>
  </si>
  <si>
    <t>Тмг</t>
  </si>
  <si>
    <t>Тамарикс галузистий</t>
  </si>
  <si>
    <t>Тмго</t>
  </si>
  <si>
    <t>Тамарикс гогенакера</t>
  </si>
  <si>
    <t>Тмс</t>
  </si>
  <si>
    <t>Тамарикс стрункий</t>
  </si>
  <si>
    <t>Тмчт</t>
  </si>
  <si>
    <t>Тамарикс чотиритичинковий</t>
  </si>
  <si>
    <t>Двп</t>
  </si>
  <si>
    <t>Дикий виноград п'ятилистий</t>
  </si>
  <si>
    <t>Двт</t>
  </si>
  <si>
    <t>Дикий виноград тригострокінцевий</t>
  </si>
  <si>
    <t>Дцш</t>
  </si>
  <si>
    <t>Дейція шорстка</t>
  </si>
  <si>
    <t>Поз</t>
  </si>
  <si>
    <t>Повій звичайний</t>
  </si>
  <si>
    <t>Свб</t>
  </si>
  <si>
    <t>Свидина біла</t>
  </si>
  <si>
    <t>Свп</t>
  </si>
  <si>
    <t>Свидина паросткова</t>
  </si>
  <si>
    <t>Свк</t>
  </si>
  <si>
    <t>Свидина кров'яна</t>
  </si>
  <si>
    <t>Киз</t>
  </si>
  <si>
    <t>Кизил</t>
  </si>
  <si>
    <t>Свпі</t>
  </si>
  <si>
    <t>Свидина південна</t>
  </si>
  <si>
    <t>Дез</t>
  </si>
  <si>
    <t>Держи-дерево звичайне</t>
  </si>
  <si>
    <t>Ожа</t>
  </si>
  <si>
    <t>Ожина анатолійська</t>
  </si>
  <si>
    <t>Ожп</t>
  </si>
  <si>
    <t>Ожина повстиста</t>
  </si>
  <si>
    <t>Ожн</t>
  </si>
  <si>
    <t>Ожина несійська</t>
  </si>
  <si>
    <t>Ожс</t>
  </si>
  <si>
    <t>Ожина сиза</t>
  </si>
  <si>
    <t>Ожт</t>
  </si>
  <si>
    <t>Ожина таврійська</t>
  </si>
  <si>
    <t>Ожш</t>
  </si>
  <si>
    <t>Ожина шорстка</t>
  </si>
  <si>
    <t>Жмк</t>
  </si>
  <si>
    <t>Жасмин кущовий</t>
  </si>
  <si>
    <t>Жсв</t>
  </si>
  <si>
    <t>Жостір вічнозелений</t>
  </si>
  <si>
    <t>Жсі</t>
  </si>
  <si>
    <t>Жостір імеретинський</t>
  </si>
  <si>
    <t>Жсп</t>
  </si>
  <si>
    <t>Жостір проносний</t>
  </si>
  <si>
    <t>Жсф</t>
  </si>
  <si>
    <t>Жостір фарбувальний</t>
  </si>
  <si>
    <t>Жг</t>
  </si>
  <si>
    <t>Жимолость голуба</t>
  </si>
  <si>
    <t>Жк</t>
  </si>
  <si>
    <t>Жимолость козолиста</t>
  </si>
  <si>
    <t>Жп</t>
  </si>
  <si>
    <t>Жимолость пухната</t>
  </si>
  <si>
    <t>Жт</t>
  </si>
  <si>
    <t>Жимолость татарська</t>
  </si>
  <si>
    <t>Жч</t>
  </si>
  <si>
    <t>Жимолость чорна</t>
  </si>
  <si>
    <t>Здз</t>
  </si>
  <si>
    <t>Золотий дощ звичайний</t>
  </si>
  <si>
    <t>Рупя</t>
  </si>
  <si>
    <t>Рускус під'язиковий</t>
  </si>
  <si>
    <t>Руп</t>
  </si>
  <si>
    <t>Рускус понтійський</t>
  </si>
  <si>
    <t>Ірка</t>
  </si>
  <si>
    <t>Ірга канадська</t>
  </si>
  <si>
    <t>Ірко</t>
  </si>
  <si>
    <t>Ірга колосиста</t>
  </si>
  <si>
    <t>Ірк</t>
  </si>
  <si>
    <t>Ірга круглолиста</t>
  </si>
  <si>
    <t>Грд</t>
  </si>
  <si>
    <t>Гордовина</t>
  </si>
  <si>
    <t>Квз</t>
  </si>
  <si>
    <t>Калина вічнозелена</t>
  </si>
  <si>
    <t>Кз</t>
  </si>
  <si>
    <t>Калина звичайна</t>
  </si>
  <si>
    <t>Акж</t>
  </si>
  <si>
    <t>Акація жовта</t>
  </si>
  <si>
    <t>Кгс</t>
  </si>
  <si>
    <t>Карагана скіфська</t>
  </si>
  <si>
    <t>Кгк</t>
  </si>
  <si>
    <t>Карагана кущова</t>
  </si>
  <si>
    <t>Кгм</t>
  </si>
  <si>
    <t>Карагана м'яка</t>
  </si>
  <si>
    <t>Кнк</t>
  </si>
  <si>
    <t>Кизильник кримський</t>
  </si>
  <si>
    <t>Кнц</t>
  </si>
  <si>
    <t>Кизильник цілокраїй</t>
  </si>
  <si>
    <t>Кнч</t>
  </si>
  <si>
    <t>Кизильник чорноплодий</t>
  </si>
  <si>
    <t>Кок</t>
  </si>
  <si>
    <t>Клокичка колхідська</t>
  </si>
  <si>
    <t>Коп</t>
  </si>
  <si>
    <t>Клокичка периста</t>
  </si>
  <si>
    <t>Ата</t>
  </si>
  <si>
    <t>Атрагена альпійська</t>
  </si>
  <si>
    <t>Кул</t>
  </si>
  <si>
    <t>Крушина ламка</t>
  </si>
  <si>
    <t>Агв</t>
  </si>
  <si>
    <t>Агрус відхилений</t>
  </si>
  <si>
    <t>Квв</t>
  </si>
  <si>
    <t>Кучерявка відігнута</t>
  </si>
  <si>
    <t>Лвл</t>
  </si>
  <si>
    <t>Лавровишня лікарська</t>
  </si>
  <si>
    <t>Лцд</t>
  </si>
  <si>
    <t>Леспедеца двоколірна</t>
  </si>
  <si>
    <t>Фун</t>
  </si>
  <si>
    <t>Фундук</t>
  </si>
  <si>
    <t>Лщв</t>
  </si>
  <si>
    <t>Ліщина ведмежа</t>
  </si>
  <si>
    <t>Лщз</t>
  </si>
  <si>
    <t>Лщп</t>
  </si>
  <si>
    <t>Ліщина понтійська</t>
  </si>
  <si>
    <t>Мсс</t>
  </si>
  <si>
    <t>Маслинка срібляста</t>
  </si>
  <si>
    <t>Мсв</t>
  </si>
  <si>
    <t>Маслинка вузьколиста</t>
  </si>
  <si>
    <t>Мнп</t>
  </si>
  <si>
    <t>Магонія падуболиста</t>
  </si>
  <si>
    <t>Мал</t>
  </si>
  <si>
    <t>Малина лісова</t>
  </si>
  <si>
    <t>Обк</t>
  </si>
  <si>
    <t>Обліпиха крушиновидна</t>
  </si>
  <si>
    <t>Пщк</t>
  </si>
  <si>
    <t>Плющ кримський</t>
  </si>
  <si>
    <t>Пщз</t>
  </si>
  <si>
    <t>Плющ звичайний</t>
  </si>
  <si>
    <t>Птт</t>
  </si>
  <si>
    <t>Птелея трилиста</t>
  </si>
  <si>
    <t>Пхк</t>
  </si>
  <si>
    <t>Пухироплідник калинолистий</t>
  </si>
  <si>
    <t>Мхд</t>
  </si>
  <si>
    <t>Міхурник деревовидний</t>
  </si>
  <si>
    <t>Мхс</t>
  </si>
  <si>
    <t>Міхурник східний</t>
  </si>
  <si>
    <t>Мхк</t>
  </si>
  <si>
    <t>Міхурник кілікійський</t>
  </si>
  <si>
    <t>Зна</t>
  </si>
  <si>
    <t>Зіновать австрійська</t>
  </si>
  <si>
    <t>Знба</t>
  </si>
  <si>
    <t>Зіновать багатоволосиста</t>
  </si>
  <si>
    <t>Знбі</t>
  </si>
  <si>
    <t>Зіновать біла</t>
  </si>
  <si>
    <t>Знб</t>
  </si>
  <si>
    <t>Зіновать блоцького</t>
  </si>
  <si>
    <t>Знд</t>
  </si>
  <si>
    <t>Зіновать дніпровська</t>
  </si>
  <si>
    <t>Знр</t>
  </si>
  <si>
    <t>Зіновать руська</t>
  </si>
  <si>
    <t>Знл</t>
  </si>
  <si>
    <t>Зіновать ліндемана</t>
  </si>
  <si>
    <t>Знц</t>
  </si>
  <si>
    <t>Зіновать цінгера</t>
  </si>
  <si>
    <t>Рдж</t>
  </si>
  <si>
    <t>Рододендрон жовтий</t>
  </si>
  <si>
    <t>Рдс</t>
  </si>
  <si>
    <t>Рододендрон східнокарпатський</t>
  </si>
  <si>
    <t>Шпа</t>
  </si>
  <si>
    <t>Шипшина афцелієвидна</t>
  </si>
  <si>
    <t>Шпг</t>
  </si>
  <si>
    <t>Шипшина гвоздична</t>
  </si>
  <si>
    <t>Шпгл</t>
  </si>
  <si>
    <t>Шипшина гололиста</t>
  </si>
  <si>
    <t>Шпго</t>
  </si>
  <si>
    <t>Шипшина горенківська</t>
  </si>
  <si>
    <t>Шпз</t>
  </si>
  <si>
    <t>Шипшина зарубчаста</t>
  </si>
  <si>
    <t>Шпк</t>
  </si>
  <si>
    <t>Шипшина корична</t>
  </si>
  <si>
    <t>Шпзм</t>
  </si>
  <si>
    <t>Шипшина зморшкувата</t>
  </si>
  <si>
    <t>Шпм</t>
  </si>
  <si>
    <t>Шипшина мукачівська</t>
  </si>
  <si>
    <t>Шпс</t>
  </si>
  <si>
    <t>Шипшина собача</t>
  </si>
  <si>
    <t>Шппі</t>
  </si>
  <si>
    <t>Шипшина піскова</t>
  </si>
  <si>
    <t>Шпп</t>
  </si>
  <si>
    <t>Шипшина повисла</t>
  </si>
  <si>
    <t>Шппс</t>
  </si>
  <si>
    <t>Шипшина повстиста</t>
  </si>
  <si>
    <t>Шппо</t>
  </si>
  <si>
    <t>Шипшина польова</t>
  </si>
  <si>
    <t>Шпси</t>
  </si>
  <si>
    <t>Шипшина сиза</t>
  </si>
  <si>
    <t>Шпщ</t>
  </si>
  <si>
    <t>Шипшина щитконосна</t>
  </si>
  <si>
    <t>Шпу</t>
  </si>
  <si>
    <t>Шипшина українська</t>
  </si>
  <si>
    <t>Шпя</t>
  </si>
  <si>
    <t>Шипшина яблучна</t>
  </si>
  <si>
    <t>Гбг</t>
  </si>
  <si>
    <t>Горобинник горобинолистий</t>
  </si>
  <si>
    <t>Сук</t>
  </si>
  <si>
    <t>Секуринега кущиста</t>
  </si>
  <si>
    <t>Буг</t>
  </si>
  <si>
    <t>Бузок угорський</t>
  </si>
  <si>
    <t>Буз</t>
  </si>
  <si>
    <t>Бузок звичайний</t>
  </si>
  <si>
    <t>Буп</t>
  </si>
  <si>
    <t>Бузок перський</t>
  </si>
  <si>
    <t>Скз</t>
  </si>
  <si>
    <t>Скумпія звичайна</t>
  </si>
  <si>
    <t>Смб</t>
  </si>
  <si>
    <t>Смородина блискуча</t>
  </si>
  <si>
    <t>Смза</t>
  </si>
  <si>
    <t>Смородина запашна</t>
  </si>
  <si>
    <t>Смз</t>
  </si>
  <si>
    <t>Смородина золотиста</t>
  </si>
  <si>
    <t>Смк</t>
  </si>
  <si>
    <t>Смородина карпатська</t>
  </si>
  <si>
    <t>Смр</t>
  </si>
  <si>
    <t>Смородина червона</t>
  </si>
  <si>
    <t>Смко</t>
  </si>
  <si>
    <t>Смородина колосиста</t>
  </si>
  <si>
    <t>Смч</t>
  </si>
  <si>
    <t>Смородина чорна</t>
  </si>
  <si>
    <t>Сяп</t>
  </si>
  <si>
    <t>Сніжноягідник прирічковий</t>
  </si>
  <si>
    <t>Схд</t>
  </si>
  <si>
    <t>Сумах дубильний</t>
  </si>
  <si>
    <t>Схк</t>
  </si>
  <si>
    <t>Сумах коротковолосий</t>
  </si>
  <si>
    <t>Твб</t>
  </si>
  <si>
    <t>Таволга біла</t>
  </si>
  <si>
    <t>Твв</t>
  </si>
  <si>
    <t>Таволга в'язолиста</t>
  </si>
  <si>
    <t>Твз</t>
  </si>
  <si>
    <t>Таволга зарубчаста</t>
  </si>
  <si>
    <t>Твсл</t>
  </si>
  <si>
    <t>Таволга самосилолиста</t>
  </si>
  <si>
    <t>Твзл</t>
  </si>
  <si>
    <t>Таволга звіробоєлиста</t>
  </si>
  <si>
    <t>Тввл</t>
  </si>
  <si>
    <t>Таволга верболиста</t>
  </si>
  <si>
    <t>Твс</t>
  </si>
  <si>
    <t>Таволга середня</t>
  </si>
  <si>
    <t>Твя</t>
  </si>
  <si>
    <t>Таволга японська</t>
  </si>
  <si>
    <t>Фрз</t>
  </si>
  <si>
    <t>Форзиція зелена</t>
  </si>
  <si>
    <t>Фрп</t>
  </si>
  <si>
    <t>Форзиція плакуча</t>
  </si>
  <si>
    <t>Хня</t>
  </si>
  <si>
    <t>Хеномелес японська</t>
  </si>
  <si>
    <t>Цс</t>
  </si>
  <si>
    <t>Церцис стручковий</t>
  </si>
  <si>
    <t>Чак</t>
  </si>
  <si>
    <t>Чай китайський</t>
  </si>
  <si>
    <t>Чис</t>
  </si>
  <si>
    <t>Чингіль сріблястий</t>
  </si>
  <si>
    <t>Сжз</t>
  </si>
  <si>
    <t>Садовий жасмин звичайний</t>
  </si>
  <si>
    <t>Сжн</t>
  </si>
  <si>
    <t>Садовий жасмин непахучий</t>
  </si>
  <si>
    <t>Шфс</t>
  </si>
  <si>
    <t>Шефедрія срібляста</t>
  </si>
  <si>
    <t>Дрб</t>
  </si>
  <si>
    <t>Дрік білуватий</t>
  </si>
  <si>
    <t>Дрг</t>
  </si>
  <si>
    <t>Дрік германський</t>
  </si>
  <si>
    <t>Дрд</t>
  </si>
  <si>
    <t>Дрік донський</t>
  </si>
  <si>
    <t>Дрк</t>
  </si>
  <si>
    <t>Дрік красильний</t>
  </si>
  <si>
    <t>Дрп</t>
  </si>
  <si>
    <t>Дрік притиснутий</t>
  </si>
  <si>
    <t>Дрс</t>
  </si>
  <si>
    <t>Дрік скіфський</t>
  </si>
  <si>
    <t>Внп</t>
  </si>
  <si>
    <t>Віничник прутовидний</t>
  </si>
  <si>
    <t/>
  </si>
  <si>
    <t>Группа порід</t>
  </si>
  <si>
    <t>Сведено.1</t>
  </si>
  <si>
    <t>Сведено.2</t>
  </si>
  <si>
    <t>Сведено.3</t>
  </si>
  <si>
    <t>Сведено.4</t>
  </si>
  <si>
    <t>Атрибут</t>
  </si>
  <si>
    <t>1000</t>
  </si>
  <si>
    <t>Группа</t>
  </si>
  <si>
    <t>Підрозділ</t>
  </si>
  <si>
    <t>Нумерация</t>
  </si>
  <si>
    <r>
      <t>Лісництв</t>
    </r>
    <r>
      <rPr>
        <b/>
        <sz val="10"/>
        <color indexed="10"/>
        <rFont val="Arial"/>
        <family val="2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</si>
  <si>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ОГО</t>
    </r>
  </si>
  <si>
    <r>
      <t>Ліснич</t>
    </r>
    <r>
      <rPr>
        <b/>
        <sz val="10"/>
        <color indexed="10"/>
        <rFont val="0"/>
        <charset val="204"/>
      </rPr>
      <t>ИЙ</t>
    </r>
  </si>
  <si>
    <t>Помичник</t>
  </si>
  <si>
    <t>в</t>
  </si>
  <si>
    <t>Лісництві</t>
  </si>
  <si>
    <t>01.фев</t>
  </si>
  <si>
    <t>ДП «Звенигородське лісове господарство»</t>
  </si>
  <si>
    <t>Катеринопільського Лісництва</t>
  </si>
  <si>
    <t>Лисяного С.І.</t>
  </si>
  <si>
    <t>Лисяний С.І.</t>
  </si>
  <si>
    <t>Яровенко В.О.</t>
  </si>
  <si>
    <t>ТЛІУ</t>
  </si>
  <si>
    <t>Катерінопільському</t>
  </si>
  <si>
    <t>Козачанського Лісництва</t>
  </si>
  <si>
    <t>Полянського</t>
  </si>
  <si>
    <t>Полянский О.С.</t>
  </si>
  <si>
    <t>ЗадорожнійВ.В.</t>
  </si>
  <si>
    <t>Козачанському</t>
  </si>
  <si>
    <t>Вільхівецького Лісництва</t>
  </si>
  <si>
    <t>Щербула С.О.</t>
  </si>
  <si>
    <t>Щербул С.О.</t>
  </si>
  <si>
    <t>Петренко П.П.</t>
  </si>
  <si>
    <t>Вільхівецькому</t>
  </si>
  <si>
    <t>Пехівського Лісництва</t>
  </si>
  <si>
    <t>Музиченко</t>
  </si>
  <si>
    <t>Музиченко В.О.</t>
  </si>
  <si>
    <t>Бойко М.М.</t>
  </si>
  <si>
    <t>Пехівському</t>
  </si>
  <si>
    <t>Хлипнівського Лісництва</t>
  </si>
  <si>
    <t>Юрченко Б.М.</t>
  </si>
  <si>
    <t>Бабенко С.М.</t>
  </si>
  <si>
    <t>Хлипнівському</t>
  </si>
  <si>
    <t>Шполянського Лісництва</t>
  </si>
  <si>
    <t>Хорвата</t>
  </si>
  <si>
    <t xml:space="preserve">Хорват </t>
  </si>
  <si>
    <t>Геращенко Б.І.</t>
  </si>
  <si>
    <t>Шполянському</t>
  </si>
  <si>
    <t>cmboxNLK</t>
  </si>
  <si>
    <t>cmbboxЛісництво</t>
  </si>
  <si>
    <t>cmboxNDil</t>
  </si>
  <si>
    <t>tboxS</t>
  </si>
  <si>
    <t>tboxVidRubki</t>
  </si>
  <si>
    <t>Тарифи</t>
  </si>
  <si>
    <t>Месяц</t>
  </si>
  <si>
    <t>NTK</t>
  </si>
  <si>
    <t>Tender</t>
  </si>
  <si>
    <t>KV</t>
  </si>
  <si>
    <t>V</t>
  </si>
  <si>
    <t>Pl</t>
  </si>
  <si>
    <t>Kd</t>
  </si>
  <si>
    <t>Mas</t>
  </si>
  <si>
    <t>Gp</t>
  </si>
  <si>
    <t>Nr</t>
  </si>
  <si>
    <t>RV</t>
  </si>
  <si>
    <t>CZ</t>
  </si>
  <si>
    <t>CrHl</t>
  </si>
  <si>
    <t>Mas1Ga</t>
  </si>
  <si>
    <t>Vukon</t>
  </si>
  <si>
    <t>KS</t>
  </si>
  <si>
    <t>Nel</t>
  </si>
  <si>
    <t>NLK</t>
  </si>
  <si>
    <t>DataDog</t>
  </si>
  <si>
    <t>LisVo</t>
  </si>
  <si>
    <t>умДатаТарифы</t>
  </si>
  <si>
    <t>CKR</t>
  </si>
  <si>
    <t>MLK</t>
  </si>
  <si>
    <t>MD</t>
  </si>
  <si>
    <t>VMP</t>
  </si>
  <si>
    <t>SOP</t>
  </si>
  <si>
    <t>Zah</t>
  </si>
  <si>
    <t>Zzap</t>
  </si>
  <si>
    <t>KZ</t>
  </si>
  <si>
    <t>Dil</t>
  </si>
  <si>
    <t>Форма</t>
  </si>
  <si>
    <t>label</t>
  </si>
  <si>
    <t>L41</t>
  </si>
  <si>
    <t>L43</t>
  </si>
  <si>
    <t>L42</t>
  </si>
  <si>
    <t>L31</t>
  </si>
  <si>
    <t>L33</t>
  </si>
  <si>
    <t>L32</t>
  </si>
  <si>
    <t>L21</t>
  </si>
  <si>
    <t>L23</t>
  </si>
  <si>
    <t>L22</t>
  </si>
  <si>
    <t>L11</t>
  </si>
  <si>
    <t>L13</t>
  </si>
  <si>
    <t>L12</t>
  </si>
  <si>
    <t>М'яка</t>
  </si>
  <si>
    <t>Тверда</t>
  </si>
  <si>
    <t>Колючі</t>
  </si>
  <si>
    <t>L1</t>
  </si>
  <si>
    <t>L2</t>
  </si>
  <si>
    <t>L3</t>
  </si>
  <si>
    <t>L4</t>
  </si>
  <si>
    <t>Фансировина</t>
  </si>
  <si>
    <t>Дрова паливні</t>
  </si>
  <si>
    <t>Хмиз</t>
  </si>
  <si>
    <t>Хворост 2 сорт</t>
  </si>
  <si>
    <t>Хворост 1 сорт</t>
  </si>
  <si>
    <r>
      <t>Пиловники,будліс, баланси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</si>
  <si>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Техсир. 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</si>
  <si>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t>ЗД_ТП</t>
  </si>
  <si>
    <t>ЗД_ХМ</t>
  </si>
  <si>
    <t>ЗГ_ХМ</t>
  </si>
  <si>
    <t>РХ_ХМ_3</t>
  </si>
  <si>
    <t>РХ_ХМ_1</t>
  </si>
  <si>
    <t>ЗС_ХМ</t>
  </si>
  <si>
    <t>ЗС_ТП</t>
  </si>
  <si>
    <t>МИН(ЕСЛИ(PND_HL&gt;=$J$166;PND_HL)</t>
  </si>
  <si>
    <t>Середній об'єм</t>
  </si>
  <si>
    <t>Вибираема маса</t>
  </si>
  <si>
    <t>8</t>
  </si>
  <si>
    <t>10</t>
  </si>
  <si>
    <t>14</t>
  </si>
  <si>
    <t>24</t>
  </si>
  <si>
    <t>ЗР</t>
  </si>
  <si>
    <t>17,2</t>
  </si>
  <si>
    <t>РХ</t>
  </si>
  <si>
    <t>_3</t>
  </si>
  <si>
    <t>_1</t>
  </si>
  <si>
    <t>ЗС</t>
  </si>
  <si>
    <t>4,4</t>
  </si>
  <si>
    <t>4,1</t>
  </si>
  <si>
    <t>4 5</t>
  </si>
  <si>
    <t>4,5</t>
  </si>
  <si>
    <t>5,5</t>
  </si>
  <si>
    <t>6,6</t>
  </si>
  <si>
    <t>6,1</t>
  </si>
  <si>
    <t>6,8</t>
  </si>
  <si>
    <t>7,5</t>
  </si>
  <si>
    <t>9,1</t>
  </si>
  <si>
    <t>7,6</t>
  </si>
  <si>
    <t>10,1</t>
  </si>
  <si>
    <t>8,5</t>
  </si>
  <si>
    <t>11,2</t>
  </si>
  <si>
    <t>9,4</t>
  </si>
  <si>
    <t>10,3</t>
  </si>
  <si>
    <t>12,4</t>
  </si>
  <si>
    <t>ЗГ</t>
  </si>
  <si>
    <t>10,4</t>
  </si>
  <si>
    <t>11,4</t>
  </si>
  <si>
    <t>11,5</t>
  </si>
  <si>
    <t>12,6</t>
  </si>
  <si>
    <t>15,3</t>
  </si>
  <si>
    <t>12,7</t>
  </si>
  <si>
    <t>16,9</t>
  </si>
  <si>
    <t>14,1</t>
  </si>
  <si>
    <t>18,7</t>
  </si>
  <si>
    <t>20,2</t>
  </si>
  <si>
    <t>16,4</t>
  </si>
  <si>
    <t>21,8</t>
  </si>
  <si>
    <t>17,7</t>
  </si>
  <si>
    <t>23,5</t>
  </si>
  <si>
    <t>25,9</t>
  </si>
  <si>
    <t>21,1</t>
  </si>
  <si>
    <t>20,6</t>
  </si>
  <si>
    <t>27,5</t>
  </si>
  <si>
    <t>24,5</t>
  </si>
  <si>
    <t>29,6</t>
  </si>
  <si>
    <t>26,5</t>
  </si>
  <si>
    <t>35,2</t>
  </si>
  <si>
    <t>30,3</t>
  </si>
  <si>
    <t>33,3</t>
  </si>
  <si>
    <t>32.6</t>
  </si>
  <si>
    <t>39,5</t>
  </si>
  <si>
    <t>47,8</t>
  </si>
  <si>
    <t>42,6</t>
  </si>
  <si>
    <t>ЗД</t>
  </si>
  <si>
    <t>Освітлення та прочищення механізованим способом</t>
  </si>
  <si>
    <t>ZKK</t>
  </si>
  <si>
    <t>Маса,що вирубуется</t>
  </si>
  <si>
    <t>Бл.большее</t>
  </si>
  <si>
    <t xml:space="preserve">Смещение </t>
  </si>
  <si>
    <t>Регион маса що вирубуется</t>
  </si>
  <si>
    <t>Верховіття</t>
  </si>
  <si>
    <t>ИНДЕКС(ZKK;;ПОИСКПОЗ(МИН(ЕСЛИ(ZKK_NS&gt;=I199;ZKK_NS);ZKK_NS;0))</t>
  </si>
  <si>
    <t>Формула для РГК с зафиксированім Верховіттям до 2</t>
  </si>
  <si>
    <t>ТЕХНОЛОГІЧНА  КАРТА  до Договору №</t>
  </si>
  <si>
    <t>cmboxTypeRubki</t>
  </si>
  <si>
    <t>cmboxDataTarif</t>
  </si>
  <si>
    <t>Control</t>
  </si>
  <si>
    <t>Forma</t>
  </si>
  <si>
    <t>cmbox</t>
  </si>
  <si>
    <t>tbox</t>
  </si>
  <si>
    <t>chbox</t>
  </si>
  <si>
    <t>ControlType</t>
  </si>
  <si>
    <t>ControlPrf</t>
  </si>
  <si>
    <t>ControlName</t>
  </si>
  <si>
    <t>cmboxKS</t>
  </si>
  <si>
    <t>cbRozrVus</t>
  </si>
  <si>
    <t>0_4_1</t>
  </si>
  <si>
    <t>1_5_1</t>
  </si>
  <si>
    <t>cmboxChernob</t>
  </si>
  <si>
    <t>тКоэфициентСхилу</t>
  </si>
  <si>
    <t>cmboxZah</t>
  </si>
  <si>
    <t>Pattern</t>
  </si>
  <si>
    <t>Register</t>
  </si>
  <si>
    <t>Маска поиска</t>
  </si>
  <si>
    <t>*request*</t>
  </si>
  <si>
    <t>где request - искомая строка</t>
  </si>
  <si>
    <t>request* - начинается со строки</t>
  </si>
  <si>
    <t>*request - заканчивается строкой</t>
  </si>
  <si>
    <t>*request* - содержится в строке</t>
  </si>
  <si>
    <t>В случае отсутствия ключевого слова request, маской</t>
  </si>
  <si>
    <t>поиска будет считаться *request*.</t>
  </si>
  <si>
    <t>Поиск по уже введенному в ячейку значению</t>
  </si>
  <si>
    <t>ИСТИНА - да</t>
  </si>
  <si>
    <t>ЛОЖЬ - нет</t>
  </si>
  <si>
    <t>При наличии значений, отличных от вышеупомянутых</t>
  </si>
  <si>
    <t>будет использовано значение ИСТИНА.</t>
  </si>
  <si>
    <t>Сравнение с учетом регистра</t>
  </si>
  <si>
    <t>будет использовано значение ЛОЖЬ.</t>
  </si>
  <si>
    <t>Заголовок формирования списка</t>
  </si>
  <si>
    <t xml:space="preserve">Всего уникальных записей: </t>
  </si>
  <si>
    <t>При отсутствии значения, будет использовано</t>
  </si>
  <si>
    <t>значение "Unique records: "</t>
  </si>
  <si>
    <t>Заголовок поиска</t>
  </si>
  <si>
    <t xml:space="preserve">Найдено по запросу: </t>
  </si>
  <si>
    <t>значение "Search result: "</t>
  </si>
  <si>
    <t>Ширина формы</t>
  </si>
  <si>
    <t>При наличии значений, отличных от положительных</t>
  </si>
  <si>
    <t>чисел или чисел меньше 100, или числа больше</t>
  </si>
  <si>
    <t>половины ширина приложения, будет использовано</t>
  </si>
  <si>
    <t>значение 210.</t>
  </si>
  <si>
    <t>Поиск по  значению</t>
  </si>
  <si>
    <t>Регистр</t>
  </si>
  <si>
    <t>cbK_Skladanny</t>
  </si>
  <si>
    <t>K_Skladanny</t>
  </si>
  <si>
    <t>0.1_1_0.1</t>
  </si>
  <si>
    <t>Складання</t>
  </si>
  <si>
    <t>cmboxMothLk</t>
  </si>
  <si>
    <t>1_12_1</t>
  </si>
  <si>
    <t>cmboxMothDog</t>
  </si>
  <si>
    <t>cbUmRab</t>
  </si>
  <si>
    <t>cbGolPoroda</t>
  </si>
  <si>
    <t>ПородиИГруппи</t>
  </si>
  <si>
    <t>Реєстр лісорубних квитків.xls</t>
  </si>
  <si>
    <t>Отчет по договорам подряда.xls</t>
  </si>
  <si>
    <t>Путь</t>
  </si>
  <si>
    <t>D:\ISN AutoIt Studio\Projects\LIAS2017</t>
  </si>
  <si>
    <t>Последний доступ</t>
  </si>
  <si>
    <t>Последнее изменение</t>
  </si>
  <si>
    <t>Дата создания</t>
  </si>
  <si>
    <t>Информация для техкарт.xlsm</t>
  </si>
  <si>
    <t>Коэфіціент складання</t>
  </si>
  <si>
    <t>Дата договора</t>
  </si>
  <si>
    <t>№ Договора</t>
  </si>
  <si>
    <t>Дата договора виконавця</t>
  </si>
  <si>
    <t>№ Договора Виконавця</t>
  </si>
  <si>
    <t>cmbTenderData</t>
  </si>
  <si>
    <t>Степовий</t>
  </si>
  <si>
    <t>ВиконавецEOD</t>
  </si>
  <si>
    <t>Дата договору</t>
  </si>
  <si>
    <t>№ Договору</t>
  </si>
  <si>
    <t>tbKV</t>
  </si>
  <si>
    <t>tbVud</t>
  </si>
  <si>
    <t>cmbboxVikonavec</t>
  </si>
  <si>
    <t>tbCrHl</t>
  </si>
  <si>
    <t>tbMas1Ga</t>
  </si>
  <si>
    <t>Очищення місць рубок після освітлення та прочистки механізованим способом</t>
  </si>
  <si>
    <t>tbKilDer</t>
  </si>
  <si>
    <t>tbPl</t>
  </si>
  <si>
    <t>tbNel</t>
  </si>
  <si>
    <t>tboxVMP</t>
  </si>
  <si>
    <t>cmboxSOP</t>
  </si>
  <si>
    <t>tbMas</t>
  </si>
  <si>
    <t>tboxMas</t>
  </si>
  <si>
    <t>tboxKZ</t>
  </si>
  <si>
    <t>cbPorDog</t>
  </si>
  <si>
    <t>cmboxNTK</t>
  </si>
  <si>
    <t>cmboxCKR</t>
  </si>
  <si>
    <t>cmbTender№</t>
  </si>
  <si>
    <t>cmboxSvedeno</t>
  </si>
  <si>
    <t>Від рубки ЕОД</t>
  </si>
  <si>
    <t>T11</t>
  </si>
  <si>
    <t>T12</t>
  </si>
  <si>
    <t>T13</t>
  </si>
  <si>
    <t>T21</t>
  </si>
  <si>
    <t>T22</t>
  </si>
  <si>
    <t>T23</t>
  </si>
  <si>
    <t>T31</t>
  </si>
  <si>
    <t>T32</t>
  </si>
  <si>
    <t>T33</t>
  </si>
  <si>
    <t>T41</t>
  </si>
  <si>
    <t>T42</t>
  </si>
  <si>
    <t>T43</t>
  </si>
  <si>
    <t>Витрати Сортимент</t>
  </si>
  <si>
    <t>Витрати хлист</t>
  </si>
  <si>
    <t>в сортиментах</t>
  </si>
  <si>
    <t>в хлистах</t>
  </si>
  <si>
    <t>tbVutrKbm</t>
  </si>
  <si>
    <t>tbVutrHl</t>
  </si>
  <si>
    <t>12\Віл\1_11</t>
  </si>
  <si>
    <t>12\Кат\1_10</t>
  </si>
  <si>
    <t>tbZalushok</t>
  </si>
  <si>
    <t>Залишок Заг.мас</t>
  </si>
  <si>
    <t>Залишок Площа</t>
  </si>
  <si>
    <t>Name</t>
  </si>
  <si>
    <t>TDSheet</t>
  </si>
  <si>
    <t>Лист1</t>
  </si>
  <si>
    <t>cmboxPath</t>
  </si>
  <si>
    <t>cmboxFileName</t>
  </si>
  <si>
    <t>Имя листа в запросе</t>
  </si>
  <si>
    <t>tbZalushokPlosha</t>
  </si>
  <si>
    <t>tbZalushokSum</t>
  </si>
  <si>
    <t>Залишок сумма</t>
  </si>
  <si>
    <t>Имя книги в запросе</t>
  </si>
  <si>
    <t>cmboxSheetName</t>
  </si>
  <si>
    <t>Путь к этой книге</t>
  </si>
  <si>
    <t>Смещение</t>
  </si>
  <si>
    <t>Путь к книге отчета</t>
  </si>
  <si>
    <t>FullName</t>
  </si>
  <si>
    <t>ЛІСІВНЕ</t>
  </si>
  <si>
    <t>ПП "ЛІСІВНЕ"</t>
  </si>
  <si>
    <t>Керівник</t>
  </si>
  <si>
    <t>керівника</t>
  </si>
  <si>
    <t>ПРИВАТНЕ ПІДПРИЄМСТВО "ЛІСІВНЕ"</t>
  </si>
  <si>
    <t>№ 41778961</t>
  </si>
  <si>
    <t>р/р 26002054722898 ПАТ КБ "ПРИВАТБАНК" МФО333391</t>
  </si>
  <si>
    <t>ЄДРПОУ 41778961</t>
  </si>
  <si>
    <t>Майстер</t>
  </si>
  <si>
    <t>Гончар В.В.</t>
  </si>
  <si>
    <t>Андрійченко В.Д.</t>
  </si>
  <si>
    <t>Баліцкий О.М.</t>
  </si>
  <si>
    <t>Довгань Р.П.</t>
  </si>
  <si>
    <t>Білоус В.С.</t>
  </si>
  <si>
    <t>Дудник В.М.</t>
  </si>
  <si>
    <t>Жоломко А.В.</t>
  </si>
  <si>
    <t>Богданов Д. В.</t>
  </si>
  <si>
    <t>Іванов В.В.</t>
  </si>
  <si>
    <t>Романченко С.В.</t>
  </si>
  <si>
    <t>Вертипорох Б.В.</t>
  </si>
  <si>
    <t>Коломієць Ю.М.</t>
  </si>
  <si>
    <t>Гурський В.О.</t>
  </si>
  <si>
    <t>Габелок В.Ф.</t>
  </si>
  <si>
    <t>Майборода В.М.</t>
  </si>
  <si>
    <t>Яровий О.Я.</t>
  </si>
  <si>
    <t>Медзяновський Є.О.</t>
  </si>
  <si>
    <t>Кулик М.О.</t>
  </si>
  <si>
    <t>Катриченко Г.М.</t>
  </si>
  <si>
    <t>Коломієць П.М.</t>
  </si>
  <si>
    <t>Поліщук П.В.</t>
  </si>
  <si>
    <t>Чабан Д.С</t>
  </si>
  <si>
    <t>Кальченко В.М.</t>
  </si>
  <si>
    <t>Лозовий Ю.Г.</t>
  </si>
  <si>
    <t>Михальченко О.В.</t>
  </si>
  <si>
    <t>Сущенко О.А.</t>
  </si>
  <si>
    <t>Поліщук М.В.</t>
  </si>
  <si>
    <t>Коваль А.В.</t>
  </si>
  <si>
    <t>Перевозчиков О.В.</t>
  </si>
  <si>
    <t>Пономаренко Р.В.</t>
  </si>
  <si>
    <t>Шевченко В.І.</t>
  </si>
  <si>
    <t>Сингай М.В.</t>
  </si>
  <si>
    <t>Ляпун С.І.</t>
  </si>
  <si>
    <t>Перегон В.М.</t>
  </si>
  <si>
    <t>Храновський С.О.</t>
  </si>
  <si>
    <t>Яциник В.О.</t>
  </si>
  <si>
    <t>Харченко А.В.</t>
  </si>
  <si>
    <t>Савченко О.В.</t>
  </si>
  <si>
    <t>Павлюк В.В.</t>
  </si>
  <si>
    <t>Катун М.В.</t>
  </si>
  <si>
    <t>Фіцайло Л.О.</t>
  </si>
  <si>
    <t>Тихоненко С.В.</t>
  </si>
  <si>
    <t>Тихолоз С.Т.</t>
  </si>
  <si>
    <t>Пряжка В.В.</t>
  </si>
  <si>
    <t>Юрченко С.М.</t>
  </si>
  <si>
    <t>Скрипник І.І.</t>
  </si>
  <si>
    <t>Демчук О.О.</t>
  </si>
  <si>
    <t>Скрипник С.І.</t>
  </si>
  <si>
    <t>Скрипник Т.М.</t>
  </si>
  <si>
    <t>Шквиря В.М.</t>
  </si>
  <si>
    <t>Крещенко Л.В.</t>
  </si>
  <si>
    <t>Майстри</t>
  </si>
  <si>
    <t>Масса</t>
  </si>
  <si>
    <t>Техкарта</t>
  </si>
  <si>
    <t>Початок робіт:</t>
  </si>
  <si>
    <t xml:space="preserve">Расчет </t>
  </si>
  <si>
    <t xml:space="preserve"> Кв-л</t>
  </si>
  <si>
    <t>Виділ</t>
  </si>
  <si>
    <t>Площа,га</t>
  </si>
  <si>
    <t>Головна порода</t>
  </si>
  <si>
    <t>Вид Шаблона</t>
  </si>
  <si>
    <t>Всего</t>
  </si>
  <si>
    <t>Мат-ли круглі</t>
  </si>
  <si>
    <t>Фансировина всього</t>
  </si>
  <si>
    <t>Фансировина 1</t>
  </si>
  <si>
    <t xml:space="preserve">Фансировина 2 </t>
  </si>
  <si>
    <t>Пиловники 1</t>
  </si>
  <si>
    <t>Пиловники 2</t>
  </si>
  <si>
    <t>Пиловники 3</t>
  </si>
  <si>
    <t>Будлис</t>
  </si>
  <si>
    <t>Баланси</t>
  </si>
  <si>
    <t>Рудстійка</t>
  </si>
  <si>
    <t>Нелеквид всього</t>
  </si>
  <si>
    <t>Хворост 1</t>
  </si>
  <si>
    <t>Хворост 2</t>
  </si>
  <si>
    <t>Код</t>
  </si>
  <si>
    <t>Значения</t>
  </si>
  <si>
    <t>Сосна</t>
  </si>
  <si>
    <t>t</t>
  </si>
  <si>
    <t>Дуб</t>
  </si>
  <si>
    <t>Ясен</t>
  </si>
  <si>
    <t>Клен</t>
  </si>
  <si>
    <t>Вільха</t>
  </si>
  <si>
    <t>Акація</t>
  </si>
  <si>
    <t>Береза</t>
  </si>
  <si>
    <t>Липа</t>
  </si>
  <si>
    <t>Верба</t>
  </si>
  <si>
    <t>Тополя</t>
  </si>
  <si>
    <t>Ялина</t>
  </si>
  <si>
    <t>Расчет молодняки</t>
  </si>
  <si>
    <t>колючі</t>
  </si>
  <si>
    <r>
      <t>Хворост(</t>
    </r>
    <r>
      <rPr>
        <b/>
        <sz val="10"/>
        <color indexed="10"/>
        <rFont val="Arial Cyr"/>
        <charset val="204"/>
      </rPr>
      <t>Хмиз</t>
    </r>
    <r>
      <rPr>
        <b/>
        <sz val="10"/>
        <rFont val="Arial Cyr"/>
        <charset val="204"/>
      </rPr>
      <t>) довжиною до 2 м. м"які породи</t>
    </r>
  </si>
  <si>
    <t>Расчет РГК</t>
  </si>
  <si>
    <t>Расчет РД</t>
  </si>
  <si>
    <t>Пиловники,будліс, баланси      Граб</t>
  </si>
  <si>
    <t>Пиловники      Граб</t>
  </si>
  <si>
    <r>
      <t>Хворост(</t>
    </r>
    <r>
      <rPr>
        <b/>
        <sz val="10"/>
        <color indexed="10"/>
        <rFont val="Arial Cyr"/>
        <charset val="204"/>
      </rPr>
      <t>2 сорт</t>
    </r>
    <r>
      <rPr>
        <b/>
        <sz val="10"/>
        <rFont val="Arial Cyr"/>
        <charset val="204"/>
      </rPr>
      <t>) довж. 2,1-4 м.     м"які породи</t>
    </r>
  </si>
  <si>
    <t>Фансировина                              Граб</t>
  </si>
  <si>
    <t>Техсир.                                      Граб</t>
  </si>
  <si>
    <t>Техсир.,будліс, баланси            Граб</t>
  </si>
  <si>
    <r>
      <t>Хворост(</t>
    </r>
    <r>
      <rPr>
        <b/>
        <sz val="10"/>
        <color indexed="10"/>
        <rFont val="Arial Cyr"/>
        <charset val="204"/>
      </rPr>
      <t>1 сорт</t>
    </r>
    <r>
      <rPr>
        <b/>
        <sz val="10"/>
        <rFont val="Arial Cyr"/>
        <charset val="204"/>
      </rPr>
      <t>) довж. 4,1-6 м.     м"які породи</t>
    </r>
  </si>
  <si>
    <t>Дрова паливні                             Граб</t>
  </si>
  <si>
    <r>
      <t>Поліна(</t>
    </r>
    <r>
      <rPr>
        <b/>
        <sz val="10"/>
        <color indexed="10"/>
        <rFont val="Arial Cyr"/>
        <charset val="204"/>
      </rPr>
      <t>Дрова</t>
    </r>
    <r>
      <rPr>
        <b/>
        <sz val="10"/>
        <rFont val="Arial Cyr"/>
        <charset val="204"/>
      </rPr>
      <t xml:space="preserve"> довж.1 м.)    м"які породи</t>
    </r>
  </si>
  <si>
    <t>Нелеквид</t>
  </si>
  <si>
    <t>range("F8:G22")</t>
  </si>
  <si>
    <t>range("I8:P22")</t>
  </si>
  <si>
    <t>Гол.пор.</t>
  </si>
  <si>
    <t>Кв-л</t>
  </si>
  <si>
    <t>Кільк-сть дерев</t>
  </si>
  <si>
    <t>Знач1</t>
  </si>
  <si>
    <t>Знач2</t>
  </si>
  <si>
    <t>Знач3</t>
  </si>
  <si>
    <t>Знач4</t>
  </si>
  <si>
    <t>Знач5</t>
  </si>
  <si>
    <t>Знач6</t>
  </si>
  <si>
    <t>Знач7</t>
  </si>
  <si>
    <t>Знач8</t>
  </si>
  <si>
    <t>Знач9</t>
  </si>
  <si>
    <t>Знач10</t>
  </si>
  <si>
    <t>Знач11</t>
  </si>
  <si>
    <t>Знач12</t>
  </si>
  <si>
    <t>Разм хлиста</t>
  </si>
  <si>
    <t>Масса на1 га</t>
  </si>
  <si>
    <t>Витрати кбм</t>
  </si>
  <si>
    <t>Витрати хлисти</t>
  </si>
  <si>
    <t>Складання молодняк</t>
  </si>
  <si>
    <t>Номер Карты</t>
  </si>
  <si>
    <t>К.Схилу</t>
  </si>
  <si>
    <t>ID Карты СокращенноЛісн\Від рубки\Кв\Вид</t>
  </si>
  <si>
    <t>Дата начала робіт договору</t>
  </si>
  <si>
    <t>Дата закінчення робіт договору</t>
  </si>
  <si>
    <t>Відповідальний</t>
  </si>
  <si>
    <t>Цена договору</t>
  </si>
  <si>
    <t>Цена договору з ПДВ</t>
  </si>
  <si>
    <t>Сумма договору з ПДВ</t>
  </si>
  <si>
    <t>ЛК</t>
  </si>
  <si>
    <t>Дата ЛК</t>
  </si>
  <si>
    <t>Коэфициент складання</t>
  </si>
  <si>
    <t>Способ рубки молодняків</t>
  </si>
  <si>
    <t>Путь к договору</t>
  </si>
  <si>
    <t>Путь к техкарте</t>
  </si>
  <si>
    <t>Путь к кошторису</t>
  </si>
  <si>
    <t>Залишок по ТК</t>
  </si>
  <si>
    <t>Квиконавець</t>
  </si>
  <si>
    <t xml:space="preserve">Підготовчі </t>
  </si>
  <si>
    <t>Тендер</t>
  </si>
  <si>
    <t>Дата тендера</t>
  </si>
  <si>
    <t>знак</t>
  </si>
  <si>
    <t>Дата</t>
  </si>
  <si>
    <t>Сума тендера</t>
  </si>
  <si>
    <t>ЛІС-18</t>
  </si>
  <si>
    <t>МОО-18</t>
  </si>
  <si>
    <t>СТЛ-18</t>
  </si>
  <si>
    <t>DataS</t>
  </si>
  <si>
    <t>Догляд за ПЛНД</t>
  </si>
  <si>
    <t>рубка в охоронній зоні ЛЕП</t>
  </si>
  <si>
    <t>Shablon</t>
  </si>
  <si>
    <t>1\Пех\1_12_ЛІС-18</t>
  </si>
  <si>
    <t>дозвіл 410.16.71 на підставі заяви власника</t>
  </si>
  <si>
    <t>дозвіл №146.13.71. на підставі заяви власника від12.06.2013р. дозвільна справа№914-ДГ, від 29.03.2013 р.№71.04.02.0258.13. виданий Держгірпромнаглядом України</t>
  </si>
  <si>
    <t>Индексный столбец</t>
  </si>
  <si>
    <t>Столбец Значения</t>
  </si>
  <si>
    <t>Результат</t>
  </si>
  <si>
    <t>Значение для поиска</t>
  </si>
  <si>
    <t>fВидШаблона</t>
  </si>
  <si>
    <t>fВидРубки</t>
  </si>
  <si>
    <t>fЛісництво</t>
  </si>
  <si>
    <t>fПолнаяДіл</t>
  </si>
  <si>
    <t>fКвартал</t>
  </si>
  <si>
    <t>fВидел</t>
  </si>
  <si>
    <t>fДілянка</t>
  </si>
  <si>
    <t>fПлощадь</t>
  </si>
  <si>
    <t>fЛіквід</t>
  </si>
  <si>
    <t>fНелеквід</t>
  </si>
  <si>
    <t>fПлощаВиконання</t>
  </si>
  <si>
    <t>fРозрядВисот</t>
  </si>
  <si>
    <t>fУмовиРоботи</t>
  </si>
  <si>
    <t>fКілДерев</t>
  </si>
  <si>
    <t>fСерОбХл</t>
  </si>
  <si>
    <t>fДілової</t>
  </si>
  <si>
    <t>fДровяної</t>
  </si>
  <si>
    <t>fХмизу</t>
  </si>
  <si>
    <t>fРазомПоЛК</t>
  </si>
  <si>
    <t>fЛісничий</t>
  </si>
  <si>
    <t>fЛісничОГО</t>
  </si>
  <si>
    <t>fИмяМастера</t>
  </si>
  <si>
    <t>f№ЛК</t>
  </si>
  <si>
    <t>f№ЛКДата</t>
  </si>
  <si>
    <t>f№ЛКДатаЗак</t>
  </si>
  <si>
    <t>fВитрати_сорт_ручне</t>
  </si>
  <si>
    <t>fВитрати_хлисти_мех</t>
  </si>
  <si>
    <t>fПочатокРобіт</t>
  </si>
  <si>
    <t>fСокр_Виконавець</t>
  </si>
  <si>
    <t>Комплект</t>
  </si>
  <si>
    <t>ПолнаяДіл</t>
  </si>
  <si>
    <t>24 кв (3 вид) 0 діл.</t>
  </si>
  <si>
    <t>78 кв (2 вид) 0 діл.</t>
  </si>
  <si>
    <t>3 кв (3 вид) 1 діл.</t>
  </si>
  <si>
    <t>40 кв (7 вид) 0 діл.</t>
  </si>
  <si>
    <t>54 кв (9 вид) 0 діл.</t>
  </si>
  <si>
    <t>76 кв (5 вид) 1 діл.</t>
  </si>
  <si>
    <t>23 кв (13 вид) 0 діл.</t>
  </si>
  <si>
    <t>27 кв (11 вид) 0 діл.</t>
  </si>
  <si>
    <t>51 кв (2 вид) 0 діл.</t>
  </si>
  <si>
    <t>45 кв (2 вид) 0 діл.</t>
  </si>
  <si>
    <t>136 кв (61 вид) 1 діл.</t>
  </si>
  <si>
    <t>85 кв (24 вид) 0 діл.</t>
  </si>
  <si>
    <t>41 кв (5 вид) 1 діл.</t>
  </si>
  <si>
    <t>113 кв (4 вид) 1 діл.</t>
  </si>
  <si>
    <t>59 кв (8 вид) 2 діл.</t>
  </si>
  <si>
    <t>130 кв (5 вид) 2 діл.</t>
  </si>
  <si>
    <t>20 кв (4 вид) 1 діл.</t>
  </si>
  <si>
    <t>94 кв (3 вид) 1 діл.</t>
  </si>
  <si>
    <t>110 кв (6 вид) 0 діл.</t>
  </si>
  <si>
    <t>16 кв (3 вид) 1 діл.</t>
  </si>
  <si>
    <t>51 кв (4 вид) 0 діл.</t>
  </si>
  <si>
    <t>86 кв (4 вид) 1 діл.</t>
  </si>
  <si>
    <t>52 кв (3 вид) 0 діл.</t>
  </si>
  <si>
    <t>75 кв (5 вид) 0 діл.</t>
  </si>
  <si>
    <t>76 кв (2 вид) 0 діл.</t>
  </si>
  <si>
    <t>100 кв (2 вид) 1 діл.</t>
  </si>
  <si>
    <t>52 кв (7 вид) 0 діл.</t>
  </si>
  <si>
    <t>50 кв (2 вид) 0 діл.</t>
  </si>
  <si>
    <t>56 кв (13 вид) 0 діл.</t>
  </si>
  <si>
    <t>113 кв (11 вид) 0 діл.</t>
  </si>
  <si>
    <t>69 кв (2 вид) 2 діл.</t>
  </si>
  <si>
    <t>121 кв (4 вид) 0 діл.</t>
  </si>
  <si>
    <t>20 кв (3 вид) 0 діл.</t>
  </si>
  <si>
    <t>39 кв (5 вид) 0 діл.</t>
  </si>
  <si>
    <t>59 кв (5 вид) 1 діл.</t>
  </si>
  <si>
    <t>115 кв (6 вид) 0 діл.</t>
  </si>
  <si>
    <t>84 кв (11 вид) 0 діл.</t>
  </si>
  <si>
    <t>114 кв (1 вид) 2 діл.</t>
  </si>
  <si>
    <t>41 кв (10 вид) 0 діл.</t>
  </si>
  <si>
    <t>49 кв (1 вид) 2 діл.</t>
  </si>
  <si>
    <t>7 кв (12 вид) 0 діл.</t>
  </si>
  <si>
    <t>133 кв (13 вид) 0 діл.</t>
  </si>
  <si>
    <t>121 кв (1 вид) 2 діл.</t>
  </si>
  <si>
    <t>68 кв (5 вид) 0 діл.</t>
  </si>
  <si>
    <t>106 кв (3 вид) 2 діл.</t>
  </si>
  <si>
    <t>30 кв (2 вид) 5 діл.</t>
  </si>
  <si>
    <t>50 кв (5 вид) 1 діл.</t>
  </si>
  <si>
    <t>101 кв (12 вид) 0 діл.</t>
  </si>
  <si>
    <t>29 кв (7 вид) 4 діл.</t>
  </si>
  <si>
    <t>48 кв (10 вид) 0 діл.</t>
  </si>
  <si>
    <t>34 кв (6 вид) 0 діл.</t>
  </si>
  <si>
    <t>127 кв (4 вид) 0 діл.</t>
  </si>
  <si>
    <t>120 кв (13 вид) 0 діл.</t>
  </si>
  <si>
    <t>22 кв (12 вид) 0 діл.</t>
  </si>
  <si>
    <t>120 кв (12 вид) 0 діл.</t>
  </si>
  <si>
    <t>102 кв (2 вид) 0 діл.</t>
  </si>
  <si>
    <t>4 кв (3 вид) 2 діл.</t>
  </si>
  <si>
    <t>33 кв (5 вид) 0 діл.</t>
  </si>
  <si>
    <t>96 кв (1 вид) 0 діл.</t>
  </si>
  <si>
    <t>53 кв (13 вид) 0 діл.</t>
  </si>
  <si>
    <t>63 кв (4 вид) 0 діл.</t>
  </si>
  <si>
    <t>98 кв (3 вид) 0 діл.</t>
  </si>
  <si>
    <t>10 кв (4 вид) 0 діл.</t>
  </si>
  <si>
    <t>96 кв (10 вид) 0 діл.</t>
  </si>
  <si>
    <t>68 кв (4 вид) 0 діл.</t>
  </si>
  <si>
    <t>8 кв (10 вид) 0 діл.</t>
  </si>
  <si>
    <t>8 кв (12 вид) 0 діл.</t>
  </si>
  <si>
    <t>79 кв (8 вид) 0 діл.</t>
  </si>
  <si>
    <t>103 кв (2 вид) 0 діл.</t>
  </si>
  <si>
    <t>77 кв (8 вид) 0 діл.</t>
  </si>
  <si>
    <t>82 кв (4 вид) 0 діл.</t>
  </si>
  <si>
    <t>82 кв (3 вид) 0 діл.</t>
  </si>
  <si>
    <t>113 кв (14 вид) 0 діл.</t>
  </si>
  <si>
    <t>113 кв (7 вид) 0 діл.</t>
  </si>
  <si>
    <t>68 кв (9 вид) 0 діл.</t>
  </si>
  <si>
    <t>123 кв (1 вид) 0 діл.</t>
  </si>
  <si>
    <t>85 кв (5 вид) 0 діл.</t>
  </si>
  <si>
    <t>93 кв (2 вид) 0 діл.</t>
  </si>
  <si>
    <t>93 кв (17 вид) 0 діл.</t>
  </si>
  <si>
    <t>93 кв (19 вид) 0 діл.</t>
  </si>
  <si>
    <t>48 кв (1 вид) 0 діл.</t>
  </si>
  <si>
    <t>67 кв (3 вид) 0 діл.</t>
  </si>
  <si>
    <t>66 кв (2 вид) 0 діл.</t>
  </si>
  <si>
    <t>55 кв (2 вид) 0 діл.</t>
  </si>
  <si>
    <t>98 кв (10 вид) 0 діл.</t>
  </si>
  <si>
    <t>97 кв (10 вид) 0 діл.</t>
  </si>
  <si>
    <t>44 кв (1 вид) 0 діл.</t>
  </si>
  <si>
    <t>39 кв (9 вид) 0 діл.</t>
  </si>
  <si>
    <t>19 кв (7 вид) 0 діл.</t>
  </si>
  <si>
    <t>35 кв (8 вид) 0 діл.</t>
  </si>
  <si>
    <t>26 кв (6 вид) 0 діл.</t>
  </si>
  <si>
    <t>28 кв (15 вид) 0 діл.</t>
  </si>
  <si>
    <t>18 кв (8 вид) 0 діл.</t>
  </si>
  <si>
    <t>36 кв (13 вид) 0 діл.</t>
  </si>
  <si>
    <t>53 кв (1 вид) 2 діл.</t>
  </si>
  <si>
    <t>08.12.2017</t>
  </si>
  <si>
    <t>1_30_1</t>
  </si>
  <si>
    <t>ИнформацияДляСтрочки.1</t>
  </si>
  <si>
    <t>ИнформацияДляСтрочки.15</t>
  </si>
  <si>
    <r>
      <t>{</t>
    </r>
    <r>
      <rPr>
        <b/>
        <i/>
        <sz val="12"/>
        <color theme="1"/>
        <rFont val="Times New Roman"/>
        <family val="1"/>
        <charset val="204"/>
      </rPr>
      <t>Дата Начала}</t>
    </r>
  </si>
  <si>
    <t>{ІПНВиконавец}</t>
  </si>
  <si>
    <t>{р/рВиконавец}</t>
  </si>
  <si>
    <t>{ЄДРПОУВиконавец}</t>
  </si>
  <si>
    <t>{Додаток}</t>
  </si>
  <si>
    <t>{директора} {ИФОдиректора}{підставі}</t>
  </si>
  <si>
    <t>{ПовнеВиконавец}{ВОсобіВиконавец} {ПовнеПІБВиконавец}{ПідставіВиконавец}</t>
  </si>
  <si>
    <t>{ЛК} {ДатаЛК} {лісн-тві}   {Вид рубки},   {Квартал}   {Видел}  {Площа}  {обьем}</t>
  </si>
  <si>
    <t>{За заготівлю}</t>
  </si>
  <si>
    <t>{Вартисть договору прописом сокр} ({Вартисть договору прописом})</t>
  </si>
  <si>
    <t>{Відповидального}</t>
  </si>
  <si>
    <t>{Дата Окончания}</t>
  </si>
  <si>
    <t>{Виконавец}</t>
  </si>
  <si>
    <r>
      <t xml:space="preserve"> </t>
    </r>
    <r>
      <rPr>
        <b/>
        <sz val="12"/>
        <color theme="1"/>
        <rFont val="Times New Roman"/>
        <family val="1"/>
        <charset val="204"/>
      </rPr>
      <t>{АдресаВиконавец}</t>
    </r>
  </si>
  <si>
    <t>договору</t>
  </si>
  <si>
    <t>прописом</t>
  </si>
  <si>
    <t>Додаток</t>
  </si>
  <si>
    <t>Начала</t>
  </si>
  <si>
    <t>ИФОдиректора</t>
  </si>
  <si>
    <t>підставі</t>
  </si>
  <si>
    <t>ПовнеВиконавец</t>
  </si>
  <si>
    <t>ВОсобіВиконавец</t>
  </si>
  <si>
    <t>ПовнеПІБВиконавец</t>
  </si>
  <si>
    <t>ПідставіВиконавец</t>
  </si>
  <si>
    <t>ДатаЛК</t>
  </si>
  <si>
    <t>лісн-тві</t>
  </si>
  <si>
    <t>Вид</t>
  </si>
  <si>
    <t>рубки</t>
  </si>
  <si>
    <t>Видел</t>
  </si>
  <si>
    <t>обьем</t>
  </si>
  <si>
    <t>За</t>
  </si>
  <si>
    <t>заготівлю</t>
  </si>
  <si>
    <t>Вартисть</t>
  </si>
  <si>
    <t>сокр</t>
  </si>
  <si>
    <t>Відповидального</t>
  </si>
  <si>
    <t>Окончания</t>
  </si>
  <si>
    <t>АдресаВиконавец</t>
  </si>
  <si>
    <t>ІПНВиконавец</t>
  </si>
  <si>
    <t>р/рВиконавец</t>
  </si>
  <si>
    <t>ЄДРПОУВиконавец</t>
  </si>
  <si>
    <t>Додаток.dot</t>
  </si>
  <si>
    <t>Дата Начала</t>
  </si>
  <si>
    <t>статуту</t>
  </si>
  <si>
    <t>ВиконавецДоговор</t>
  </si>
  <si>
    <t>Названия строк</t>
  </si>
  <si>
    <t>ааа</t>
  </si>
  <si>
    <t>Вибираєма маса підліску з 1 га м3</t>
  </si>
  <si>
    <t>Зрізування</t>
  </si>
  <si>
    <t>Спилювання</t>
  </si>
  <si>
    <t>bZrizuvanny</t>
  </si>
  <si>
    <t>bSpiluvanny</t>
  </si>
  <si>
    <t>Прибирання</t>
  </si>
  <si>
    <t>bPribiranny</t>
  </si>
  <si>
    <t>gbPribiranny</t>
  </si>
  <si>
    <t>gbZrizuvanny</t>
  </si>
  <si>
    <t>gbSpiluvanny</t>
  </si>
  <si>
    <t>Ні</t>
  </si>
  <si>
    <t>Так</t>
  </si>
  <si>
    <t>Логика</t>
  </si>
  <si>
    <t>Текст</t>
  </si>
  <si>
    <t>ДВССЫЛ("Логика[Текст]")</t>
  </si>
  <si>
    <t>556642 от 05.01.2018</t>
  </si>
  <si>
    <t>10_0</t>
  </si>
  <si>
    <t>2_0</t>
  </si>
  <si>
    <t>7_0</t>
  </si>
  <si>
    <t>13_0</t>
  </si>
  <si>
    <t>6_1</t>
  </si>
  <si>
    <t>11_0</t>
  </si>
  <si>
    <t>9_0</t>
  </si>
  <si>
    <t>5_1</t>
  </si>
  <si>
    <t>8_2</t>
  </si>
  <si>
    <t>24_0</t>
  </si>
  <si>
    <t>1_2</t>
  </si>
  <si>
    <t>Шаблон2</t>
  </si>
  <si>
    <t>105 кв (6 вид) 0 діл.</t>
  </si>
  <si>
    <t>106 кв (11 вид) 0 діл.</t>
  </si>
  <si>
    <t>108 кв (2 вид) 1 діл.</t>
  </si>
  <si>
    <t>110 кв (4 вид) 2 діл.</t>
  </si>
  <si>
    <t>112 кв (5 вид) 0 діл.</t>
  </si>
  <si>
    <t>1_1</t>
  </si>
  <si>
    <t>12 кв (5 вид) 0 діл.</t>
  </si>
  <si>
    <t>128 кв (7 вид) 0 діл.</t>
  </si>
  <si>
    <t>2_1</t>
  </si>
  <si>
    <t>133 кв (10 вид) 0 діл.</t>
  </si>
  <si>
    <t>134 кв (6 вид) 0 діл.</t>
  </si>
  <si>
    <t>2 кв (2 вид) 0 діл.</t>
  </si>
  <si>
    <t>26 кв (3 вид) 0 діл.</t>
  </si>
  <si>
    <t>28 кв (3 вид) 0 діл.</t>
  </si>
  <si>
    <t>38 кв (3 вид) 0 діл.</t>
  </si>
  <si>
    <t>38 кв (4 вид) 0 діл.</t>
  </si>
  <si>
    <t>54 кв (4 вид) 0 діл.</t>
  </si>
  <si>
    <t>56 кв (5 вид) 0 діл.</t>
  </si>
  <si>
    <t>58 кв (5 вид) 0 діл.</t>
  </si>
  <si>
    <t>60 кв (4 вид) 0 діл.</t>
  </si>
  <si>
    <t>61 кв (13 вид) 0 діл.</t>
  </si>
  <si>
    <t>61 кв (9 вид) 0 діл.</t>
  </si>
  <si>
    <t>64 кв (2 вид) 0 діл.</t>
  </si>
  <si>
    <t>77 кв (7 вид) 0 діл.</t>
  </si>
  <si>
    <t>78 кв (17 вид) 0 діл.</t>
  </si>
  <si>
    <t>81 кв (5 вид) 0 діл.</t>
  </si>
  <si>
    <t>98 кв (6 вид) 0 діл.</t>
  </si>
  <si>
    <t>98 кв (8 вид) 1 діл.</t>
  </si>
  <si>
    <t>3_0</t>
  </si>
  <si>
    <t>1_0</t>
  </si>
  <si>
    <t>4_0</t>
  </si>
  <si>
    <t>5_0</t>
  </si>
  <si>
    <t>8_0</t>
  </si>
  <si>
    <t>Пряжка C.В.</t>
  </si>
  <si>
    <t>G:\Dropbox\Чат</t>
  </si>
  <si>
    <t>Комплект.xlsm</t>
  </si>
  <si>
    <t>G:\Dropbox\Чат\Комплект.xlsm</t>
  </si>
  <si>
    <t>2_5</t>
  </si>
  <si>
    <t>Виконав</t>
  </si>
  <si>
    <t>Лахно Л.Г.</t>
  </si>
  <si>
    <t>Перевірив</t>
  </si>
  <si>
    <t>РЛД</t>
  </si>
  <si>
    <t>ОСВ</t>
  </si>
  <si>
    <t>ЛД</t>
  </si>
  <si>
    <t>Коєфициент</t>
  </si>
  <si>
    <t>СортуванняТаШтабелювання</t>
  </si>
  <si>
    <t>4_1</t>
  </si>
  <si>
    <t>Пом.лісничого</t>
  </si>
  <si>
    <t>Економіст</t>
  </si>
  <si>
    <t>6_0</t>
  </si>
  <si>
    <t>12_0</t>
  </si>
  <si>
    <t>14_0</t>
  </si>
  <si>
    <t>15_1</t>
  </si>
  <si>
    <t>21_0</t>
  </si>
  <si>
    <t>31.12.2018</t>
  </si>
  <si>
    <t>02.01.2018</t>
  </si>
  <si>
    <t>22.01.2018</t>
  </si>
  <si>
    <t>56 кв (3 вид) 0 діл.</t>
  </si>
  <si>
    <t>60 кв (1 вид) 0 діл.</t>
  </si>
  <si>
    <t>86 кв (13 вид) 0 діл.</t>
  </si>
  <si>
    <t>05.01.2018</t>
  </si>
  <si>
    <t>125 кв (18 вид) 1 діл.</t>
  </si>
  <si>
    <t>25.01.2018</t>
  </si>
  <si>
    <t>125 кв (22 вид) 1 діл.</t>
  </si>
  <si>
    <t>125 кв (26 вид) 1 діл.</t>
  </si>
  <si>
    <t>4 кв (11 вид) 0 діл.</t>
  </si>
  <si>
    <t>6 кв (3 вид) 0 діл.</t>
  </si>
  <si>
    <t>6 кв (7 вид) 0 діл.</t>
  </si>
  <si>
    <t>32 кв (11 вид) 0 діл.</t>
  </si>
  <si>
    <t>32 кв (9 вид) 0 діл.</t>
  </si>
  <si>
    <t>33 кв (4 вид) 0 діл.</t>
  </si>
  <si>
    <t>41 кв (12 вид) 0 діл.</t>
  </si>
  <si>
    <t>72 кв (1 вид) 0 діл.</t>
  </si>
  <si>
    <t>125 кв (21 вид) 0 діл.</t>
  </si>
  <si>
    <t>24.01.2018</t>
  </si>
  <si>
    <t>58 кв (12 вид) 1 діл.</t>
  </si>
  <si>
    <t>58 кв (13 вид) 0 діл.</t>
  </si>
  <si>
    <t>58 кв (14 вид) 1 діл.</t>
  </si>
  <si>
    <t>58 кв (15 вид) 1 діл.</t>
  </si>
  <si>
    <t>58 кв (9 вид) 0 діл.</t>
  </si>
  <si>
    <t>65 кв (2 вид) 1 діл.</t>
  </si>
  <si>
    <t>65 кв (3 вид) 1 діл.</t>
  </si>
  <si>
    <t>65 кв (4 вид) 1 діл.</t>
  </si>
  <si>
    <t>65 кв (5 вид) 1 діл.</t>
  </si>
  <si>
    <t>65 кв (8 вид) 1 діл.</t>
  </si>
  <si>
    <t>65 кв (9 вид) 1 діл.</t>
  </si>
  <si>
    <t>89 кв (9 вид) 0 діл.</t>
  </si>
  <si>
    <t>101 кв (5 вид) 0 діл.</t>
  </si>
  <si>
    <t>68 кв (3 вид) 0 діл.</t>
  </si>
  <si>
    <t>68 кв (7 вид) 0 діл.</t>
  </si>
  <si>
    <t>7 кв (10 вид) 0 діл.</t>
  </si>
  <si>
    <t>7 кв (7 вид) 0 діл.</t>
  </si>
  <si>
    <t>98 кв (2 вид) 0 діл.</t>
  </si>
  <si>
    <t>n</t>
  </si>
  <si>
    <t>Виконав пом.</t>
  </si>
  <si>
    <t>Молодняки</t>
  </si>
  <si>
    <t>18_1</t>
  </si>
  <si>
    <t>22_1</t>
  </si>
  <si>
    <t>26_1</t>
  </si>
  <si>
    <t>15_0</t>
  </si>
  <si>
    <t xml:space="preserve">Очищення мысть рубань </t>
  </si>
  <si>
    <t>2,1,11</t>
  </si>
  <si>
    <t>OMRM</t>
  </si>
  <si>
    <t>Столбец14</t>
  </si>
  <si>
    <t>Довжина верх.</t>
  </si>
  <si>
    <t>JSONРасчет</t>
  </si>
  <si>
    <t>{"rachtet":{"Сосна":{"Порода":"Сосна","Фансировина 1":0,"Фансировина 2 ":0,"Пиловники 1":22,"Пиловники 2":35,"Пиловники 3":51,"Будлис":0,"Баланси":7,"Рудстійка":0,"Техсировина":21,"Дрова":14,"Хворост 1":21,"Хворост 2":0},"Дуб":{"Порода":"Дуб","Фансировина 1":0,"Фансировина 2 ":0,"Пиловники 1":3,"Пиловники 2":10,"Пиловники 3":26,"Будлис":0,"Баланси":0,"Рудстійка":0,"Техсировина":28,"Дрова":19,"Хворост 1":28,"Хворост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3":0,"Будлис":0,"Баланси":0,"Рудстійка":0,"Техсировина":4,"Дрова":5,"Хворост 1":4,"Хворост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1":12,"Хворост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</si>
  <si>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1\Віл\1_12_МОО-18</t>
  </si>
  <si>
    <t>1\Віл\2_12_МОО-18</t>
  </si>
  <si>
    <t>1\Віл\3_12_МОО-18</t>
  </si>
  <si>
    <t>1\Віл\5_12_МОО-18</t>
  </si>
  <si>
    <t>1\Віл\4_12_МОО-18</t>
  </si>
  <si>
    <t>1\Кат\1_12_ЛІС-18</t>
  </si>
  <si>
    <t>1\Кат\2_12_ЛІС-18</t>
  </si>
  <si>
    <t>1\Коз\1_12_МОО-18</t>
  </si>
  <si>
    <t>1\Коз\2_12_МОО-18</t>
  </si>
  <si>
    <t>1\Хл\1_12_МОО-18</t>
  </si>
  <si>
    <t>1\Хл\2_12_МОО-18</t>
  </si>
  <si>
    <t>1\Шп\1_12_СТЛ-18</t>
  </si>
  <si>
    <t>1\Кат\8_1_ЛІС-18</t>
  </si>
  <si>
    <t>1\Кат\5_1_ЛІС-18</t>
  </si>
  <si>
    <t>1\Кат\4_1_ЛІС-18</t>
  </si>
  <si>
    <t>1\Кат\7_1_ЛІС-18</t>
  </si>
  <si>
    <t>1\Кат\3_1_ЛІС-18</t>
  </si>
  <si>
    <t>1\Кат\6_1_ЛІС-18</t>
  </si>
  <si>
    <t>1\Пех\2_1_ЛІС-18</t>
  </si>
  <si>
    <t>1\Пех\3_1_ЛІС-18</t>
  </si>
  <si>
    <t>1\Пех\5_1_ЛІС-18</t>
  </si>
  <si>
    <t>1\Пех\6_1_ЛІС-18</t>
  </si>
  <si>
    <t>1\Шп\3_1_СТЛ-18</t>
  </si>
  <si>
    <t>1\Шп\4_1_СТЛ-18</t>
  </si>
  <si>
    <t>1\Шп\6_1_СТЛ-18</t>
  </si>
  <si>
    <t>1\Коз\3_1_МОО-18</t>
  </si>
  <si>
    <t>1\Коз\4_1_МОО-18</t>
  </si>
  <si>
    <t>1\Коз\5_1_МОО-18</t>
  </si>
  <si>
    <t>1\Шп\2_12_СТЛ-18</t>
  </si>
  <si>
    <t>1\Віл\6_1_МОО-18</t>
  </si>
  <si>
    <t>1\Кат\9_1_ЛІС-18</t>
  </si>
  <si>
    <t>1\Кат\10_1_ЛІС-18</t>
  </si>
  <si>
    <t>1\Віл\7_1_МОО-18</t>
  </si>
  <si>
    <t>1\Віл\10_1_МОО-18</t>
  </si>
  <si>
    <t>1\Пех\10_1_ЛІС-18</t>
  </si>
  <si>
    <t>1\Пех\9_1_ЛІС-18</t>
  </si>
  <si>
    <t>1\Пех\11_1_ЛІС-18</t>
  </si>
  <si>
    <t>1\Пех\12_1_ЛІС-18</t>
  </si>
  <si>
    <t>1\Пех\13_1_ЛІС-18</t>
  </si>
  <si>
    <t>1\Віл\11_1_МОО-18</t>
  </si>
  <si>
    <t>1\Віл\12_1_МОО-18</t>
  </si>
  <si>
    <t>1\Віл\13_1_МОО-18</t>
  </si>
  <si>
    <t>1\Віл\14_1_МОО-18</t>
  </si>
  <si>
    <t>1\Віл\15_1_МОО-18</t>
  </si>
  <si>
    <t>1\Віл\16_1_МОО-18</t>
  </si>
  <si>
    <t>1\Віл\17_1_МОО-18</t>
  </si>
  <si>
    <t>1\Віл\18_1_МОО-18</t>
  </si>
  <si>
    <t>1\Віл\19_1_МОО-18</t>
  </si>
  <si>
    <t>1\Шп\11_11_СТЛ-18</t>
  </si>
  <si>
    <t>1\Шп\12_11_СТЛ-18</t>
  </si>
  <si>
    <t>1\Хл\3_12_МОО-18</t>
  </si>
  <si>
    <t>1\Віл\8_12_МОО-18</t>
  </si>
  <si>
    <t>1\Хл\4_12_МОО-18</t>
  </si>
  <si>
    <t>1\Віл\9_12_МОО-18</t>
  </si>
  <si>
    <t>1\Хл\27_1_МОО-18</t>
  </si>
  <si>
    <t>1\Хл\28_1_МОО-18</t>
  </si>
  <si>
    <t>1\Хл\29_1_МОО-18</t>
  </si>
  <si>
    <t>1\Хл\30_1_МОО-18</t>
  </si>
  <si>
    <t>1\Хл\31_1_МОО-18</t>
  </si>
  <si>
    <t>1\Хл\32_1_МОО-18</t>
  </si>
  <si>
    <t>1\Хл\33_1_МОО-18</t>
  </si>
  <si>
    <t>1\Хл\34_1_МОО-18</t>
  </si>
  <si>
    <t>1\Хл\35_1_МОО-18</t>
  </si>
  <si>
    <t>1\Хл\36_1_МОО-18</t>
  </si>
  <si>
    <t>1\Хл\22_1_МОО-18</t>
  </si>
  <si>
    <t>1\Хл\23_1_МОО-18</t>
  </si>
  <si>
    <t>1\Хл\24_1_МОО-18</t>
  </si>
  <si>
    <t>1\Хл\26_1_МОО-18</t>
  </si>
  <si>
    <t>1\Кат\14_1_ЛІС-18</t>
  </si>
  <si>
    <t>1\Кат\15_1_ЛІС-18</t>
  </si>
  <si>
    <t>1\Кат\17_1_ЛІС-18</t>
  </si>
  <si>
    <t>1\Кат\16_1_ЛІС-18</t>
  </si>
  <si>
    <t>1\Кат\11_1_ЛІС-18</t>
  </si>
  <si>
    <t>1\Кат\12_1_ЛІС-18</t>
  </si>
  <si>
    <t>1\Кат\13_1_ЛІС-18</t>
  </si>
  <si>
    <t>1\Коз\7_1_МОО-18</t>
  </si>
  <si>
    <t>1\Коз\8_1_МОО-18</t>
  </si>
  <si>
    <t>1\Коз\9_1_МОО-18</t>
  </si>
  <si>
    <t>1\Шп\7_1_СТЛ-18</t>
  </si>
  <si>
    <t>1\Шп\8_1_СТЛ-18</t>
  </si>
  <si>
    <t>1\Шп\9_1_СТЛ-18</t>
  </si>
  <si>
    <t>1\Шп\10_1_СТЛ-18</t>
  </si>
  <si>
    <t>1\Віл\23_1_МОО-18</t>
  </si>
  <si>
    <t>1\Віл\24_1_МОО-18</t>
  </si>
  <si>
    <t>1\Шп\15_1_СТЛ-18</t>
  </si>
  <si>
    <t>1\Шп\16_1_СТЛ-18</t>
  </si>
  <si>
    <t>1\Хл\25_1_МОО-18</t>
  </si>
  <si>
    <t>1\Коз\11_1_МОО-18</t>
  </si>
  <si>
    <t>2\Шп\2_1_СТЛ-18</t>
  </si>
  <si>
    <t>2\Шп\3_1_СТЛ-18</t>
  </si>
  <si>
    <t>2\Шп\4_1_СТЛ-18</t>
  </si>
  <si>
    <t>2\Шп\5_1_СТЛ-18</t>
  </si>
  <si>
    <t>2\Шп\6_1_СТЛ-18</t>
  </si>
  <si>
    <t>2\Шп\7_1_СТЛ-18</t>
  </si>
  <si>
    <t>2\Шп\8_1_СТЛ-18</t>
  </si>
  <si>
    <t>2\Шп\9_1_СТЛ-18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</si>
  <si>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1":47,"Пиловники 2":70,"Пиловники 3":117,"Будлис":0,"Баланси":0,"Рудстійка":0,"Техсировина":214,"Дрова":143,"Хворост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3":0,"Будлис":0,"Баланси":0,"Рудстійка":0,"Техсировина":14,"Дрова":13,"Хворост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3":0,"Будлис":0,"Баланси":0,"Рудстійка":0,"Техсировина":10,"Дрова":7,"Хворост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3":0,"Будлис":0,"Баланси":0,"Рудстійка":0,"Техсировина":38,"Дрова":13,"Хворост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</si>
  <si>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2\Коз\1_12_МОО-18</t>
  </si>
  <si>
    <t>2\Хл\1_2_МОО-18</t>
  </si>
  <si>
    <t>2\Хл\2_2_МОО-18</t>
  </si>
  <si>
    <t>2\Хл\3_2_МОО-18</t>
  </si>
  <si>
    <t>Тихолоз Б.Т.</t>
  </si>
  <si>
    <t>2\Хл\4_2_МОО-18</t>
  </si>
  <si>
    <t>2\Хл\5_2_МОО-18</t>
  </si>
  <si>
    <t>2\Хл\6_2_МОО-18</t>
  </si>
  <si>
    <t>9_1</t>
  </si>
  <si>
    <t>2\Хл\7_2_МОО-18</t>
  </si>
  <si>
    <t>2\Хл\8_1_МОО-18</t>
  </si>
  <si>
    <t>2\Хл\9_1_МОО-18</t>
  </si>
  <si>
    <t>2\Пех\1_1_ЛІС-18</t>
  </si>
  <si>
    <t>2\Пех\2_1_ЛІС-18</t>
  </si>
  <si>
    <t>2\Пех\3_1_ЛІС-18</t>
  </si>
  <si>
    <t>2\Пех\4_1_ЛІС-18</t>
  </si>
  <si>
    <t>2\Пех\5_1_ЛІС-18</t>
  </si>
  <si>
    <t>2\Коз\2_2_МОО-18</t>
  </si>
  <si>
    <t>2\Коз\3_2_МОО-18</t>
  </si>
  <si>
    <t>2\Коз\4_2_МОО-18</t>
  </si>
  <si>
    <t>2\Коз\6_2_МОО-18</t>
  </si>
  <si>
    <t>2\Коз\5_2_МОО-18</t>
  </si>
  <si>
    <t>2\Хл\10_1_МОО-18</t>
  </si>
  <si>
    <t>2\Хл\11_1_МОО-18</t>
  </si>
  <si>
    <t>2\Хл\12_1_МОО-18</t>
  </si>
  <si>
    <t>2\Хл\13_1_МОО-18</t>
  </si>
  <si>
    <t>2\Кат\1_2_ЛІС-18</t>
  </si>
  <si>
    <t>3_1</t>
  </si>
  <si>
    <t>2\Кат\2_2_ЛІС-18</t>
  </si>
  <si>
    <t>2\Кат\3_2_ЛІС-18</t>
  </si>
  <si>
    <t>11_1</t>
  </si>
  <si>
    <t>2\Кат\4_2_ЛІС-18</t>
  </si>
  <si>
    <t>2\Пех\8_1_ЛІС-18</t>
  </si>
  <si>
    <t>2\Пех\6_1_ЛІС-18</t>
  </si>
  <si>
    <t>2\Кат\6_1_ЛІС-18</t>
  </si>
  <si>
    <t>2\Пех\7_1_ЛІС-18</t>
  </si>
  <si>
    <t>2\Пех\9_1_ЛІС-18</t>
  </si>
  <si>
    <t>7_1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</si>
  <si>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1":24,"Фансировина 2 ":20,"Пиловники 1":57,"Пиловники 2":88,"Пиловники 3":180,"Будлис":0,"Баланси":0,"Рудстійка":0,"Техсировина":128,"Дрова":85,"Хворост 1":0,"Хворост 2":0},"Ясен":{"Порода":"Ясен","Фансировина 1":0,"Фансировина 2 ":0,"Пиловники 1":9,"Пиловники 2":12,"Пиловники 3":19,"Будлис":0,"Баланси":0,"Рудстійка":0,"Техсировина":35,"Дрова":23,"Хворост 1":0,"Хворост 2":0},"Клен":{"Порода":"Клен","Фансировина 1":0,"Фансировина 2 ":0,"Пиловники 1":6,"Пиловники 2":14,"Пиловники 3":20,"Будлис":0,"Баланси":9,"Рудстійка":0,"Техсировина":57,"Дрова":57,"Хворост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3":3,"Будлис":0,"Баланси":0,"Рудстійка":0,"Техсировина":4,"Дрова":3,"Хворост 1":0,"Хворост 2":0},"Липа":{"Порода":"Липа","Фансировина 1":0,"Фансировина 2 ":0,"Пиловники 1":5,"Пиловники 2":11,"Пиловники 3":15,"Будлис":0,"Баланси":0,"Рудстійка":0,"Техсировина":111,"Дрова":91,"Хворост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3":0,"Будлис":0,"Баланси":3,"Рудстійка":0,"Техсировина":164,"Дрова":54,"Хворост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</si>
  <si>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2\Шп\10_12_СТЛ-18</t>
  </si>
  <si>
    <t>2\Шп\11_12_СТЛ-18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</si>
  <si>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1":6,"Фансировина 2 ":14,"Пиловники 1":72,"Пиловники 2":91,"Пиловники 3":234,"Будлис":0,"Баланси":0,"Рудстійка":0,"Техсировина":278,"Дрова":186,"Хворост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3":1,"Будлис":0,"Баланси":0,"Рудстійка":0,"Техсировина":5,"Дрова":4,"Хворост 1":0,"Хворост 2":0},"Клен":{"Порода":"Клен","Фансировина 1":0,"Фансировина 2 ":0,"Пиловники 1":0,"Пиловники 2":17,"Пиловники 3":34,"Будлис":0,"Баланси":9,"Рудстійка":0,"Техсировина":129,"Дрова":129,"Хворост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1":7,"Пиловники 2":15,"Пиловники 3":25,"Будлис":0,"Баланси":0,"Рудстійка":0,"Техсировина":194,"Дрова":158,"Хворост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3":0,"Будлис":0,"Баланси":1,"Рудстійка":0,"Техсировина":55,"Дрова":18,"Хворост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</si>
  <si>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2\Віл\1_12_МОО-18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</si>
  <si>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1":10,"Фансировина 2 ":10,"Пиловники 1":38,"Пиловники 2":71,"Пиловники 3":152,"Будлис":0,"Баланси":0,"Рудстійка":0,"Техсировина":178,"Дрова":118,"Хворост 1":0,"Хворост 2":0},"Ясен":{"Порода":"Ясен","Фансировина 1":0,"Фансировина 2 ":0,"Пиловники 1":2,"Пиловники 2":3,"Пиловники 3":7,"Будлис":0,"Баланси":0,"Рудстійка":0,"Техсировина":28,"Дрова":19,"Хворост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3":0,"Будлис":0,"Баланси":0,"Рудстійка":0,"Техсировина":4,"Дрова":4,"Хворост 1":0,"Хворост 2":0},"Липа":{"Порода":"Липа","Фансировина 1":0,"Фансировина 2 ":0,"Пиловники 1":0,"Пиловники 2":2,"Пиловники 3":5,"Будлис":0,"Баланси":0,"Рудстійка":0,"Техсировина":17,"Дрова":13,"Хворост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3":0,"Будлис":0,"Баланси":0,"Рудстійка":0,"Техсировина":70,"Дрова":23,"Хворост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</si>
  <si>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1\Пех\7_1_ЛІС-18</t>
  </si>
  <si>
    <t>3\Віл\2_3_МОО-18</t>
  </si>
  <si>
    <t>3\Віл\3_3_МОО-18</t>
  </si>
  <si>
    <t>3\Віл\1_3_МОО-18</t>
  </si>
  <si>
    <t>3\Кат\7_3_ЛІС-18</t>
  </si>
  <si>
    <t>3\Кат\9_3_ЛІС-18</t>
  </si>
  <si>
    <t>3\Кат\3_3_ЛІС-18</t>
  </si>
  <si>
    <t>3\Кат\6_3_ЛІС-18</t>
  </si>
  <si>
    <t>3\Кат\8_3_ЛІС-18</t>
  </si>
  <si>
    <t>3\Кат\4_3_ЛІС-18</t>
  </si>
  <si>
    <t>3\Кат\2_3_ЛІС-18</t>
  </si>
  <si>
    <t>3\Кат\5_3_ЛІС-18</t>
  </si>
  <si>
    <t>3\Кат\12_3_ЛІС-18</t>
  </si>
  <si>
    <t>3\Кат\10_3_ЛІС-18</t>
  </si>
  <si>
    <t>3\Кат\11_3_ЛІС-18</t>
  </si>
  <si>
    <t>3\Пех\1_3_ЛІС-18</t>
  </si>
  <si>
    <t>3\Пех\2_3_ЛІС-18</t>
  </si>
  <si>
    <t>3\Пех\3_3_ЛІС-18</t>
  </si>
  <si>
    <t>3\Шп\1_3_СТЛ-18</t>
  </si>
  <si>
    <t>3\Шп\2_3_СТЛ-18</t>
  </si>
  <si>
    <t>3\Шп\3_3_СТЛ-18</t>
  </si>
  <si>
    <t>3\Шп\4_3_СТЛ-18</t>
  </si>
  <si>
    <t>3\Шп\5_3_СТЛ-18</t>
  </si>
  <si>
    <t>3\Шп\6_3_СТЛ-18</t>
  </si>
  <si>
    <t>3\Шп\7_3_СТЛ-18</t>
  </si>
  <si>
    <t>2_4</t>
  </si>
  <si>
    <t>3\Шп\8_3_СТЛ-18</t>
  </si>
  <si>
    <t>3\Шп\9_3_СТЛ-18</t>
  </si>
  <si>
    <t>10_1</t>
  </si>
  <si>
    <t>3\Шп\10_3_СТЛ-18</t>
  </si>
  <si>
    <t>3\Шп\11_3_СТЛ-18</t>
  </si>
  <si>
    <t>3\Шп\12_3_СТЛ-18</t>
  </si>
  <si>
    <t>3\Шп\13_3_СТЛ-18</t>
  </si>
  <si>
    <t>3\Кат\1_2_ЛІС-18</t>
  </si>
  <si>
    <t>1\Коз\10_1_МОО-18</t>
  </si>
  <si>
    <t>3\Коз\4_3_МОО-18</t>
  </si>
  <si>
    <t>3\Коз\5_3_МОО-18</t>
  </si>
  <si>
    <t>3\Коз\6_3_МОО-18</t>
  </si>
  <si>
    <t>3\Коз\2_1_МОО-18</t>
  </si>
  <si>
    <t>3\Коз\1_1_МОО-18</t>
  </si>
  <si>
    <t>3\Коз\3_1_МОО-18</t>
  </si>
  <si>
    <t>3\Коз\7_3_МОО-18</t>
  </si>
  <si>
    <t>3\Коз\8_3_МОО-18</t>
  </si>
  <si>
    <t>3\Хл\1_3_МОО-18</t>
  </si>
  <si>
    <t>3\Хл\2_3_МОО-18</t>
  </si>
  <si>
    <t>3\Хл\4_3_МОО-18</t>
  </si>
  <si>
    <t>3\Хл\3_3_МОО-18</t>
  </si>
  <si>
    <t>3\Хл\5_3_МОО-18</t>
  </si>
  <si>
    <t>3\Хл\6_3_МОО-18</t>
  </si>
  <si>
    <t>3\Хл\7_3_МОО-18</t>
  </si>
  <si>
    <t>3\Хл\8_3_МОО-18</t>
  </si>
  <si>
    <t>3\Хл\9_3_МОО-18</t>
  </si>
  <si>
    <t>3\Пех\5_3_ЛІС-18</t>
  </si>
  <si>
    <t>3\Пех\6_3_ЛІС-18</t>
  </si>
  <si>
    <t>3\Пех\4_3_ЛІС-18</t>
  </si>
  <si>
    <t>3\Пех\7_3_ЛІС-18</t>
  </si>
  <si>
    <t>{"rachtet":{"Сосна":{"Порода":"Сосна","Фансировина 1":0,"Фансировина 2 ":0,"Пиловники 1":0,"Пиловники 2":0,"Пиловники 3":1,"Будлис":0,"Баланси":0,"Рудстійка":0,"Техсировина":1,"Дрова":0,"Хворост 1":0,"Хворост 2":0},"Дуб":{"Порода":"Дуб","Фансировина 1":10,"Фансировина 2 ":10,"Пиловники 1":77,"Пиловники 2":91,"Пиловники 3":282,"Будлис":0,"Баланси":0,"Рудстійка":0,"Техсировина":427,"Дрова":24,"Хворост 1":0,"Хворост 2":0},"Ясен":{"Порода":"Ясен","Фансировина 1":0,"Фансировина 2 ":0,"Пиловники 1":3,"Пиловники 2":7,"Пиловники 3":14,"Будлис":0,"Баланси":0,"Рудстійка":0,"Техсировина":25,"Дрова":1,"Хворост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3":3,"Будлис":0,"Баланси":0,"Рудстійка":0,"Техсировина":19,"Дрова":2,"Хворост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3":6,"Будлис":0,"Баланси":0,"Рудстійка":0,"Техсировина":33,"Дрова":16,"Хворост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3":0,"Будлис":0,"Баланси":0,"Рудстійка":0,"Техсировина":100,"Дрова":9,"Хворост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</si>
  <si>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3\Пех\8_12_ЛІС-18</t>
  </si>
  <si>
    <t>3\Шп\14_1_СТЛ-18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</si>
  <si>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3":6,"Будлис":0,"Баланси":0,"Рудстійка":0,"Техсировина":2,"Дрова":1,"Хворост 1":0,"Хворост 2":0},"Ясен":{"Порода":"Ясен","Фансировина 1":0,"Фансировина 2 ":20,"Пиловники 1":49,"Пиловники 2":60,"Пиловники 3":180,"Будлис":0,"Баланси":0,"Рудстійка":0,"Техсировина":166,"Дрова":110,"Хворост 1":0,"Хворост 2":0},"Клен":{"Порода":"Клен","Фансировина 1":0,"Фансировина 2 ":0,"Пиловники 1":0,"Пиловники 2":0,"Пиловники 3":3,"Будлис":0,"Баланси":0,"Рудстійка":0,"Техсировина":9,"Дрова":9,"Хворост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2":3,"Пиловники 3":5,"Будлис":0,"Баланси":0,"Рудстійка":0,"Техсировина":8,"Дрова":6,"Хворост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3":0,"Будлис":0,"Баланси":0,"Рудстійка":0,"Техсировина":58,"Дрова":19,"Хворост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</si>
  <si>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4\Кат\2_4_ЛІС-18</t>
  </si>
  <si>
    <t>16_0</t>
  </si>
  <si>
    <t>4\Кат\3_4_ЛІС-18</t>
  </si>
  <si>
    <t>4\Кат\4_4_ЛІС-18</t>
  </si>
  <si>
    <t>17_0</t>
  </si>
  <si>
    <t>4\Кат\5_1_ЛІС-18</t>
  </si>
  <si>
    <t>19_0</t>
  </si>
  <si>
    <t>4\Кат\6_1_ЛІС-18</t>
  </si>
  <si>
    <t>4\Кат\7_1_ЛІС-18</t>
  </si>
  <si>
    <t>4\Кат\1_12_ЛІС-18</t>
  </si>
  <si>
    <t>{"rachtet":{"Сосна":{"Порода":"Сосна","Фансировина 1":0,"Фансировина 2 ":0,"Пиловники 1":49,"Пиловники 2":77,"Пиловники 3":120,"Будлис":0,"Баланси":10,"Рудстійка":0,"Техсировина":49,"Дрова":32,"Хворост 1":0,"Хворост 2":0},"Дуб":{"Порода":"Дуб","Фансировина 1":0,"Фансировина 2 ":0,"Пиловники 1":3,"Пиловники 2":8,"Пиловники 3":13,"Будлис":0,"Баланси":0,"Рудстійка":0,"Техсировина":34,"Дрова":23,"Хворост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2":0},"Липа":{"Порода":"Липа","Фансировина 1":0,"Фансировина 2 ":0,"Пиловники 1":2,"Пиловники 2":3,"Пиловники 3":7,"Будлис":0,"Баланси":0,"Рудстійка":0,"Техсировина":23,"Дрова":19,"Хворост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3":0,"Будлис":0,"Баланси":0,"Рудстійка":0,"Техсировина":35,"Дрова":12,"Хворост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</si>
  <si>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4\Віл\3_4_МОО-18</t>
  </si>
  <si>
    <t>4\Віл\4_4_МОО-18</t>
  </si>
  <si>
    <t>4\Віл\5_4_МОО-18</t>
  </si>
  <si>
    <t>4\Віл\6_4_МОО-18</t>
  </si>
  <si>
    <t>4\Віл\7_4_МОО-18</t>
  </si>
  <si>
    <t>4\Віл\8_4_МОО-18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</si>
  <si>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2":27,"Пиловники 3":43,"Будлис":0,"Баланси":0,"Рудстійка":0,"Техсировина":105,"Дрова":6,"Хворост 1":0,"Хворост 2":0},"Ясен":{"Порода":"Ясен","Фансировина 1":0,"Фансировина 2 ":0,"Пиловники 1":2,"Пиловники 2":5,"Пиловники 3":13,"Будлис":0,"Баланси":0,"Рудстійка":0,"Техсировина":31,"Дрова":2,"Хворост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3":0,"Будлис":0,"Баланси":0,"Рудстійка":0,"Техсировина":12,"Дрова":1,"Хворост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3":1,"Будлис":0,"Баланси":0,"Рудстійка":0,"Техсировина":7,"Дрова":2,"Хворост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</si>
  <si>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4\Пех\1_12_ЛІС-18</t>
  </si>
  <si>
    <t>4\Пех\2_12_ЛІС-18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</si>
  <si>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1":34,"Пиловники 2":63,"Пиловники 3":120,"Будлис":0,"Баланси":0,"Рудстійка":0,"Техсировина":158,"Дрова":9,"Хворост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3":2,"Будлис":0,"Баланси":0,"Рудстійка":0,"Техсировина":1,"Дрова":0,"Хворост 1":0,"Хворост 2":0},"Клен":{"Порода":"Клен","Фансировина 1":0,"Фансировина 2 ":0,"Пиловники 1":2,"Пиловники 2":4,"Пиловники 3":6,"Будлис":0,"Баланси":2,"Рудстійка":0,"Техсировина":31,"Дрова":2,"Хворост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1":6,"Пиловники 2":10,"Пиловники 3":21,"Будлис":0,"Баланси":0,"Рудстійка":0,"Техсировина":69,"Дрова":12,"Хворост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3":0,"Будлис":0,"Баланси":0,"Рудстійка":0,"Техсировина":125,"Дрова":8,"Хворост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</si>
  <si>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1":8,"Фансировина 2 ":8,"Пиловники 1":66,"Пиловники 2":82,"Пиловники 3":155,"Будлис":0,"Баланси":0,"Рудстійка":0,"Техсировина":172,"Дрова":114,"Хворост 1":0,"Хворост 2":0},"Ясен":{"Порода":"Ясен","Фансировина 1":0,"Фансировина 2 ":10,"Пиловники 1":20,"Пиловники 2":63,"Пиловники 3":149,"Будлис":0,"Баланси":0,"Рудстійка":0,"Техсировина":260,"Дрова":174,"Хворост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3":0,"Будлис":0,"Баланси":0,"Рудстійка":0,"Техсировина":20,"Дрова":20,"Хворост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</si>
  <si>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</si>
  <si>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1":57,"Пиловники 2":69,"Пиловники 3":113,"Будлис":0,"Баланси":0,"Рудстійка":0,"Техсировина":121,"Дрова":80,"Хворост 1":0,"Хворост 2":0},"Ясен":{"Порода":"Ясен","Фансировина 1":0,"Фансировина 2 ":10,"Пиловники 1":33,"Пиловники 2":57,"Пиловники 3":97,"Будлис":0,"Баланси":0,"Рудстійка":0,"Техсировина":129,"Дрова":86,"Хворост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3":0,"Будлис":0,"Баланси":0,"Рудстійка":0,"Техсировина":30,"Дрова":31,"Хворост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3":0,"Будлис":0,"Баланси":0,"Рудстійка":0,"Техсировина":5,"Дрова":4,"Хворост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3":0,"Будлис":0,"Баланси":0,"Рудстійка":0,"Техсировина":28,"Дрова":9,"Хворост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</si>
  <si>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4\Коз\1_12_МОО-18</t>
  </si>
  <si>
    <t>4\Пех\3_1_ЛІС-18</t>
  </si>
  <si>
    <t>4\Пех\4_1_ЛІС-18</t>
  </si>
  <si>
    <t>4\Пех\5_1_ЛІС-18</t>
  </si>
  <si>
    <t>4\Пех\6_1_ЛІС-18</t>
  </si>
  <si>
    <t>4\Пех\7_1_ЛІС-18</t>
  </si>
  <si>
    <t>4\Коз\3_1_МОО-18</t>
  </si>
  <si>
    <t>4\Коз\4_1_МОО-18</t>
  </si>
  <si>
    <t>4\Коз\5_1_МОО-18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</si>
  <si>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3":2,"Будлис":0,"Баланси":0,"Рудстійка":0,"Техсировина":2,"Дрова":2,"Хворост 1":0,"Хворост 2":0},"Ясен":{"Порода":"Ясен","Фансировина 1":0,"Фансировина 2 ":10,"Пиловники 1":7,"Пиловники 2":20,"Пиловники 3":38,"Будлис":0,"Баланси":0,"Рудстійка":0,"Техсировина":73,"Дрова":49,"Хворост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3":3,"Будлис":0,"Баланси":0,"Рудстійка":0,"Техсировина":20,"Дрова":17,"Хворост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</si>
  <si>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4\Віл\1_12_МОО-18</t>
  </si>
  <si>
    <t>4\Віл\2_12_МОО-18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</si>
  <si>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2":0},"Ясен":{"Порода":"Ясен","Фансировина 1":0,"Фансировина 2 ":0,"Пиловники 1":2,"Пиловники 2":3,"Пиловники 3":13,"Будлис":0,"Баланси":0,"Рудстійка":0,"Техсировина":25,"Дрова":17,"Хворост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</si>
  <si>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4\Коз\7_1_МОО-18</t>
  </si>
  <si>
    <t>4\Коз\8_1_МОО-18</t>
  </si>
  <si>
    <t>4\Коз\9_1_МОО-18</t>
  </si>
  <si>
    <t>4\Коз\10_1_МОО-18</t>
  </si>
  <si>
    <t>4\Шп\1_1_СТЛ-18</t>
  </si>
  <si>
    <t>4\Шп\2_1_СТЛ-18</t>
  </si>
  <si>
    <t>4\Шп\3_4_СТЛ-18</t>
  </si>
  <si>
    <t>4\Шп\4_4_СТЛ-18</t>
  </si>
  <si>
    <t>4\Шп\5_4_СТЛ-18</t>
  </si>
  <si>
    <t>4\Шп\6_4_СТЛ-18</t>
  </si>
  <si>
    <t>4\Віл\10_4_МОО-18</t>
  </si>
  <si>
    <t>4\Кат\12_4_ЛІС-18</t>
  </si>
  <si>
    <t>1\Хл\9_1_МОО-18</t>
  </si>
  <si>
    <t>1\Хл\11_1_МОО-18</t>
  </si>
  <si>
    <t>1\Хл\12_1_МОО-18</t>
  </si>
  <si>
    <t>1\Хл\13_1_МОО-18</t>
  </si>
  <si>
    <t>1\Хл\14_1_МОО-18</t>
  </si>
  <si>
    <t>3_2</t>
  </si>
  <si>
    <t>1\Хл\15_1_МОО-18</t>
  </si>
  <si>
    <t>1\Хл\18_1_МОО-18</t>
  </si>
  <si>
    <t>1\Хл\19_1_МОО-18</t>
  </si>
  <si>
    <t>1\Хл\20_1_МОО-18</t>
  </si>
  <si>
    <t>1\Хл\21_1_МОО-18</t>
  </si>
  <si>
    <t>1\Хл\16_1_МОО-18</t>
  </si>
  <si>
    <t>5\Шп\2_12_СТЛ-18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</si>
  <si>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1":40,"Пиловники 2":56,"Пиловники 3":156,"Будлис":0,"Баланси":0,"Рудстійка":0,"Техсировина":214,"Дрова":143,"Хворост 1":0,"Хворост 2":0},"Ясен":{"Порода":"Ясен","Фансировина 1":0,"Фансировина 2 ":8,"Пиловники 1":11,"Пиловники 2":20,"Пиловники 3":44,"Будлис":0,"Баланси":0,"Рудстійка":0,"Техсировина":26,"Дрова":17,"Хворост 1":0,"Хворост 2":0},"Клен":{"Порода":"Клен","Фансировина 1":0,"Фансировина 2 ":0,"Пиловники 1":3,"Пиловники 2":7,"Пиловники 3":10,"Будлис":0,"Баланси":5,"Рудстійка":0,"Техсировина":43,"Дрова":44,"Хворост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3":0,"Будлис":0,"Баланси":3,"Рудстійка":0,"Техсировина":1,"Дрова":1,"Хворост 1":0,"Хворост 2":0},"Липа":{"Порода":"Липа","Фансировина 1":0,"Фансировина 2 ":0,"Пиловники 1":2,"Пиловники 2":6,"Пиловники 3":13,"Будлис":0,"Баланси":0,"Рудстійка":0,"Техсировина":104,"Дрова":86,"Хворост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3":0,"Будлис":0,"Баланси":0,"Рудстійка":0,"Техсировина":157,"Дрова":52,"Хворост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</si>
  <si>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12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</si>
  <si>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1":27,"Пиловники 2":75,"Пиловники 3":168,"Будлис":0,"Баланси":0,"Рудстійка":0,"Техсировина":182,"Дрова":121,"Хворост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3":3,"Будлис":0,"Баланси":0,"Рудстійка":0,"Техсировина":2,"Дрова":1,"Хворост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3":1,"Будлис":0,"Баланси":0,"Рудстійка":0,"Техсировина":8,"Дрова":8,"Хворост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1":2,"Пиловники 2":4,"Пиловники 3":6,"Будлис":0,"Баланси":0,"Рудстійка":0,"Техсировина":56,"Дрова":46,"Хворост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3":0,"Будлис":0,"Баланси":0,"Рудстійка":0,"Техсировина":83,"Дрова":28,"Хворост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</si>
  <si>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1,2</t>
  </si>
  <si>
    <t>5\Кат\1_12_ЛІС-18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</si>
  <si>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1":5,"Фансировина 2 ":5,"Пиловники 1":106,"Пиловники 2":182,"Пиловники 3":402,"Будлис":0,"Баланси":0,"Рудстійка":0,"Техсировина":483,"Дрова":322,"Хворост 1":0,"Хворост 2":0},"Ясен":{"Порода":"Ясен","Фансировина 1":0,"Фансировина 2 ":0,"Пиловники 1":3,"Пиловники 2":8,"Пиловники 3":17,"Будлис":0,"Баланси":0,"Рудстійка":0,"Техсировина":73,"Дрова":48,"Хворост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3":0,"Будлис":0,"Баланси":0,"Рудстійка":0,"Техсировина":8,"Дрова":7,"Хворост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3":0,"Будлис":0,"Баланси":0,"Рудстійка":0,"Техсировина":17,"Дрова":17,"Хворост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3":0,"Будлис":0,"Баланси":0,"Рудстійка":0,"Техсировина":59,"Дрова":20,"Хворост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</si>
  <si>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5\Віл\1_1_МОО-18</t>
  </si>
  <si>
    <t>5\Віл\2_1_МОО-18</t>
  </si>
  <si>
    <t>5\Віл\3_1_МОО-18</t>
  </si>
  <si>
    <t>4\Кат\6_4_ЛІС-18</t>
  </si>
  <si>
    <t>22_0</t>
  </si>
  <si>
    <t>18_0</t>
  </si>
  <si>
    <t>5\Кат\3_5_ЛІС-18</t>
  </si>
  <si>
    <t>5\Кат\7_1_ЛІС-18</t>
  </si>
  <si>
    <t>5\Кат\8_4_ЛІС-18</t>
  </si>
  <si>
    <t>12_1</t>
  </si>
  <si>
    <t>5\Хл\4_5_МОО-18</t>
  </si>
  <si>
    <t>14_1</t>
  </si>
  <si>
    <t>5\Хл\3_5_МОО-18</t>
  </si>
  <si>
    <t>5\Хл\2_5_МОО-18</t>
  </si>
  <si>
    <t>5\Хл\7_5_МОО-18</t>
  </si>
  <si>
    <t>13_1</t>
  </si>
  <si>
    <t>5\Хл\6_5_МОО-18</t>
  </si>
  <si>
    <t>5\Хл\8_5_МОО-18</t>
  </si>
  <si>
    <t>5\Хл\9_5_МОО-18</t>
  </si>
  <si>
    <t>8_1</t>
  </si>
  <si>
    <t>5\Хл\10_5_МОО-18</t>
  </si>
  <si>
    <t>5\Хл\11_5_МОО-18</t>
  </si>
  <si>
    <t>5\Хл\12_5_МОО-18</t>
  </si>
  <si>
    <t>5\Хл\13_5_МОО-18</t>
  </si>
  <si>
    <t>5\Хл\14_5_МОО-18</t>
  </si>
  <si>
    <t>5\Хл\15_5_МОО-18</t>
  </si>
  <si>
    <t>5\Хл\16_5_МОО-18</t>
  </si>
  <si>
    <t>5\Хл\17_5_МОО-18</t>
  </si>
  <si>
    <t>5\Хл\18_5_МОО-18</t>
  </si>
  <si>
    <t>5\Пех\1_4_ЛІС-18</t>
  </si>
  <si>
    <t>5\Пех\2_4_ЛІС-18</t>
  </si>
  <si>
    <t>5\Пех\4_4_ЛІС-18</t>
  </si>
  <si>
    <t>5\Пех\5_4_ЛІС-18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</si>
  <si>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1":2,"Пиловники 2":3,"Пиловники 3":8,"Будлис":0,"Баланси":0,"Рудстійка":0,"Техсировина":26,"Дрова":18,"Хворост 1":0,"Хворост 2":0},"Ясен":{"Порода":"Ясен","Фансировина 1":0,"Фансировина 2 ":10,"Пиловники 1":17,"Пиловники 2":28,"Пиловники 3":41,"Будлис":0,"Баланси":0,"Рудстійка":0,"Техсировина":173,"Дрова":115,"Хворост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2":0},"Липа":{"Порода":"Липа","Фансировина 1":0,"Фансировина 2 ":0,"Пиловники 1":0,"Пиловники 2":2,"Пиловники 3":8,"Будлис":0,"Баланси":0,"Рудстійка":0,"Техсировина":76,"Дрова":62,"Хворост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3":0,"Будлис":0,"Баланси":0,"Рудстійка":0,"Техсировина":42,"Дрова":14,"Хворост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</si>
  <si>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5\Віл\3_12_МОО-18</t>
  </si>
  <si>
    <t>5\Шп\3_5_СТЛ-18</t>
  </si>
  <si>
    <t>5\Шп\12_1_СТЛ-18</t>
  </si>
  <si>
    <t>5\Шп\13_1_СТЛ-18</t>
  </si>
  <si>
    <t>5\Шп\4_5_СТЛ-18</t>
  </si>
  <si>
    <t>5\Шп\5_5_СТЛ-18</t>
  </si>
  <si>
    <t>5\Шп\7_5_СТЛ-18</t>
  </si>
  <si>
    <t>5\Шп\6_5_СТЛ-18</t>
  </si>
  <si>
    <t>2_2</t>
  </si>
  <si>
    <t>5\Шп\8_5_СТЛ-18</t>
  </si>
  <si>
    <t>5\Шп\10_1_СТЛ-18</t>
  </si>
  <si>
    <t>5\Шп\11_1_СТЛ-18</t>
  </si>
  <si>
    <t>5\Шп\9_1_СТЛ-18</t>
  </si>
  <si>
    <t>5\Шп\15_1_СТЛ-18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</si>
  <si>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2":0},"Дуб":{"Порода":"Дуб","Фансировина 1":0,"Фансировина 2 ":0,"Пиловники 1":2,"Пиловники 2":4,"Пиловники 3":10,"Будлис":0,"Баланси":0,"Рудстійка":0,"Техсировина":15,"Дрова":10,"Хворост 1":0,"Хворост 2":0},"Ясен":{"Порода":"Ясен","Фансировина 1":0,"Фансировина 2 ":5,"Пиловники 1":9,"Пиловники 2":15,"Пиловники 3":29,"Будлис":0,"Баланси":0,"Рудстійка":0,"Техсировина":81,"Дрова":52,"Хворост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3":4,"Будлис":0,"Баланси":0,"Рудстійка":0,"Техсировина":18,"Дрова":16,"Хворост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3":0,"Будлис":0,"Баланси":0,"Рудстійка":0,"Техсировина":32,"Дрова":11,"Хворост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</si>
  <si>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5\Віл\5_12_МОО-18</t>
  </si>
  <si>
    <t>5\Шп\14_12_СТЛ-18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</si>
  <si>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1":22,"Пиловники 2":31,"Пиловники 3":63,"Будлис":0,"Баланси":0,"Рудстійка":0,"Техсировина":86,"Дрова":58,"Хворост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1":6,"Пиловники 2":14,"Пиловники 3":22,"Будлис":0,"Баланси":2,"Рудстійка":0,"Техсировина":63,"Дрова":63,"Хворост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2":0},"Липа":{"Порода":"Липа","Фансировина 1":0,"Фансировина 2 ":0,"Пиловники 1":10,"Пиловники 2":21,"Пиловники 3":30,"Будлис":0,"Баланси":0,"Рудстійка":0,"Техсировина":91,"Дрова":74,"Хворост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3":0,"Будлис":0,"Баланси":2,"Рудстійка":0,"Техсировина":48,"Дрова":16,"Хворост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</si>
  <si>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5\Пех\1_5_ЛІС-18</t>
  </si>
  <si>
    <t>5\Пех\5_1_ЛІС-18</t>
  </si>
  <si>
    <t>5\Хл\5_1_МОО-18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</si>
  <si>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":7,"Пиловники 1":20,"Пиловники 2":26,"Пиловники 3":53,"Будлис":0,"Баланси":0,"Рудстійка":0,"Техсировина":31,"Дрова":21,"Хворост 1":0,"Хворост 2":0},"Ясен":{"Порода":"Ясен","Фансировина 1":0,"Фансировина 2 ":7,"Пиловники 1":22,"Пиловники 2":36,"Пиловники 3":74,"Будлис":0,"Баланси":0,"Рудстійка":0,"Техсировина":90,"Дрова":60,"Хворост 1":0,"Хворост 2":0},"Клен":{"Порода":"Клен","Фансировина 1":0,"Фансировина 2 ":0,"Пиловники 1":0,"Пиловники 2":0,"Пиловники 3":2,"Будлис":0,"Баланси":0,"Рудстійка":0,"Техсировина":7,"Дрова":7,"Хворост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3":13,"Будлис":0,"Баланси":0,"Рудстійка":0,"Техсировина":22,"Дрова":18,"Хворост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3":0,"Будлис":0,"Баланси":0,"Рудстійка":0,"Техсировина":50,"Дрова":17,"Хворост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</si>
  <si>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5\Хл\1_12_МОО-18</t>
  </si>
  <si>
    <t>61_0</t>
  </si>
  <si>
    <t>5\Хл\11_12_МОО-18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</si>
  <si>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3":2,"Будлис":0,"Баланси":0,"Рудстійка":0,"Техсировина":19,"Дрова":12,"Хворост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3":0,"Будлис":0,"Баланси":0,"Рудстійка":0,"Техсировина":7,"Дрова":6,"Хворост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3":0,"Будлис":0,"Баланси":0,"Рудстійка":0,"Техсировина":99,"Дрова":231,"Хворост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3":0,"Будлис":0,"Баланси":0,"Рудстійка":0,"Техсировина":25,"Дрова":25,"Хворост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</si>
  <si>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5\Хл\21_4_МОО-18</t>
  </si>
  <si>
    <t>ДПО-18</t>
  </si>
  <si>
    <t>6\Коз\6_1_ДПО-18</t>
  </si>
  <si>
    <t>6\Коз\5_1_ДПО-18</t>
  </si>
  <si>
    <t>6\Коз\23_1_ДПО-18</t>
  </si>
  <si>
    <t>6\Коз\26_1_ДПО-18</t>
  </si>
  <si>
    <t>6\Коз\15_2_ДПО-18</t>
  </si>
  <si>
    <t>6\Коз\11_2_ДПО-18</t>
  </si>
  <si>
    <t>Дереча ФОП</t>
  </si>
  <si>
    <t>6\Коз\16_1_ДПО-18</t>
  </si>
  <si>
    <t>6\Коз\17_1_ДПО-18</t>
  </si>
  <si>
    <t>6\Коз\22_1_ДПО-18</t>
  </si>
  <si>
    <t>6\Коз\18_1_ДПО-18</t>
  </si>
  <si>
    <t>6\Коз\3_1_ДПО-18</t>
  </si>
  <si>
    <t>6\Коз\27_3_ДПО-18</t>
  </si>
  <si>
    <t>6\Коз\28_3_ДПО-18</t>
  </si>
  <si>
    <t>6\Коз\21_3_ДПО-18</t>
  </si>
  <si>
    <t>6\Коз\20_3_ДПО-18</t>
  </si>
  <si>
    <t>6\Коз\25_12_ДПО-18</t>
  </si>
  <si>
    <t>6\Коз\24_12_ДПО-18</t>
  </si>
  <si>
    <t>6\Коз\1_12_ДПО-18</t>
  </si>
  <si>
    <t>6\Коз\7_1_ДПО-18</t>
  </si>
  <si>
    <t>6\Хл\10_1_ДПО-18</t>
  </si>
  <si>
    <t>6\Хл\8_1_ДПО-18</t>
  </si>
  <si>
    <t>6\Хл\2_1_ДПО-18</t>
  </si>
  <si>
    <t>6\Хл\5_1_ДПО-18</t>
  </si>
  <si>
    <t>6\Хл\7_1_ДПО-18</t>
  </si>
  <si>
    <t>6\Хл\11_1_ДПО-18</t>
  </si>
  <si>
    <t>6\Хл\13_ДПО-18</t>
  </si>
  <si>
    <t>6\Хл\14_1_ДПО-18</t>
  </si>
  <si>
    <t>6\Хл\16_1_ДПО-18</t>
  </si>
  <si>
    <t>6\Хл\12_12_ДПО-18</t>
  </si>
  <si>
    <t>6\Хл\21_1_ДПО-18</t>
  </si>
  <si>
    <t>6\Хл\29_1_ДПО-18</t>
  </si>
  <si>
    <t>6\Хл\39_2_ДПО-18</t>
  </si>
  <si>
    <t>6\Хл\38_2_ДПО-18</t>
  </si>
  <si>
    <t>6\Хл\42_2_ДПО-18</t>
  </si>
  <si>
    <t>6\Хл\43_2_ДПО-18</t>
  </si>
  <si>
    <t>6\Хл\44_2_ДПО-18</t>
  </si>
  <si>
    <t>6\Хл\45_3_ДПО-18</t>
  </si>
  <si>
    <t>6\Хл\47_3_ДПО-18</t>
  </si>
  <si>
    <t>6\Хл\48_3_ДПО-18</t>
  </si>
  <si>
    <t>6\Хл\50_3_ДПО-18</t>
  </si>
  <si>
    <t>6\Хл\51_3_ДПО-18</t>
  </si>
  <si>
    <t>6\Хл\52_3_ДПО-18</t>
  </si>
  <si>
    <t>6\Хл\53_3_ДПО-18</t>
  </si>
  <si>
    <t>6\Хл\54_3_ДПО-18</t>
  </si>
  <si>
    <t>6\Хл\61_5_ДПО-18</t>
  </si>
  <si>
    <t>6\Хл\63_5_ДПО-18</t>
  </si>
  <si>
    <t>6\Хл\70_5_ДПО-18</t>
  </si>
  <si>
    <t>6\Хл\71_5_ДПО-18</t>
  </si>
  <si>
    <t>6\Віл\1_12_ДПО-18</t>
  </si>
  <si>
    <t>6\Віл\12_12_ДПО-18</t>
  </si>
  <si>
    <t>6\Віл\14_12_ДПО-18</t>
  </si>
  <si>
    <t>6\Віл\15_12_ДПО-18</t>
  </si>
  <si>
    <t>6\Віл\18_12_ДПО-18</t>
  </si>
  <si>
    <t>6\Віл\9_12_ДПО-18</t>
  </si>
  <si>
    <t>6\Віл\24_12_ДПО-18</t>
  </si>
  <si>
    <t>6\Віл\26_12_ДПО-18</t>
  </si>
  <si>
    <t>6\Пех\1_6_ЛІС-18</t>
  </si>
  <si>
    <t>6\Пех\2_6_ЛІС-18</t>
  </si>
  <si>
    <t>6\Віл\3_12_ДПО-18</t>
  </si>
  <si>
    <t>6\Віл\28_12_ДПО-18</t>
  </si>
  <si>
    <t>6\Віл\6_1_ДПО-18</t>
  </si>
  <si>
    <t>6\Віл\17_1_ДПО-18</t>
  </si>
  <si>
    <t>6\Віл\21_3_ДПО-18</t>
  </si>
  <si>
    <t>6\Віл\23_3_ДПО-18</t>
  </si>
  <si>
    <t>6\Віл\25_1_ДПО-18</t>
  </si>
  <si>
    <t>6\Кат\1_4_ЛІС-18</t>
  </si>
  <si>
    <t>6\Кат\2_4_ЛІС-18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</si>
  <si>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3":0,"Будлис":0,"Баланси":0,"Рудстійка":0,"Техсировина":78,"Дрова":182,"Хворост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3":0,"Будлис":0,"Баланси":0,"Рудстійка":0,"Техсировина":16,"Дрова":13,"Хворост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</si>
  <si>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6\Кат\3_6_ЛІС-18</t>
  </si>
  <si>
    <t>6\Віл\4_1_ДПО-18</t>
  </si>
  <si>
    <t>6\Віл\1_1_ДПО-18</t>
  </si>
  <si>
    <t>6\Віл\2_1_ДПО-18</t>
  </si>
  <si>
    <t>6\Віл\32_1_ДПО-18</t>
  </si>
  <si>
    <t>6\Віл\33_4_ДПО-18</t>
  </si>
  <si>
    <t>6\Віл\34_4_ДПО-18</t>
  </si>
  <si>
    <t>6\Коз\33_4_ДПО-18</t>
  </si>
  <si>
    <t>6\Коз\32_1_ДПО-18</t>
  </si>
  <si>
    <t>6\Коз\29_5_ДПО-18</t>
  </si>
  <si>
    <t>6\Коз\31_5_ДПО-18</t>
  </si>
  <si>
    <t>6\Шп\3_1_СТЛ-18</t>
  </si>
  <si>
    <t>6\Шп\1_1_СТЛ-18</t>
  </si>
  <si>
    <t>6\Шп\2_1_СТЛ-18</t>
  </si>
  <si>
    <t>6\Шп\4_6_СТЛ-18</t>
  </si>
  <si>
    <t>6\Шп\5_6_СТЛ-18</t>
  </si>
  <si>
    <t>6\Шп\6_6_СТЛ-18</t>
  </si>
  <si>
    <t>6\Шп\7_6_СТЛ-18</t>
  </si>
  <si>
    <t>6\Шп\8_6_СТЛ-18</t>
  </si>
  <si>
    <t>23_0</t>
  </si>
  <si>
    <t>6\Шп\9_6_СТЛ-18</t>
  </si>
  <si>
    <t>6\Шп\10_6_СТЛ-18</t>
  </si>
  <si>
    <t>6\Віл\5_5_ДПО-18</t>
  </si>
  <si>
    <t>6\Віл\7_5_ДПО-18</t>
  </si>
  <si>
    <t>6\Віл\8_5_ДПО-18</t>
  </si>
  <si>
    <t>6\Віл\9_5_ДПО-18</t>
  </si>
  <si>
    <t>2\Хл\14_1_ДПО-18</t>
  </si>
  <si>
    <t>1\Хл\7_1_МОО-18</t>
  </si>
  <si>
    <t>32_0</t>
  </si>
  <si>
    <t>6\Хл\73_4_ДПО-18</t>
  </si>
  <si>
    <t>6\Хл\74_4_ДПО-18</t>
  </si>
  <si>
    <t>6\Хл\75_1_ДПО-18</t>
  </si>
  <si>
    <t>6\Хл\76_5_ДПО-18</t>
  </si>
  <si>
    <t>6\Хл\77_1_ДПО-18</t>
  </si>
  <si>
    <t>6\Хл\78_5_ДПО-18</t>
  </si>
  <si>
    <t>6\Хл\79_5_ДПО-18</t>
  </si>
  <si>
    <t>6\Хл\80_5_ДПО-18</t>
  </si>
  <si>
    <t>6\Хл\23_12_ДПО-18</t>
  </si>
  <si>
    <t>6\Хл\32_12_ДПО-18</t>
  </si>
  <si>
    <t>6\Хл\55_12_ДПО-18</t>
  </si>
  <si>
    <t>6\Хл\57_12_ДПО-18</t>
  </si>
  <si>
    <t>6\Коз\30_12_ДПО-18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</si>
  <si>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1":12,"Фансировина 2 ":10,"Пиловники 1":68,"Пиловники 2":107,"Пиловники 3":290,"Будлис":0,"Баланси":0,"Рудстійка":0,"Техсировина":211,"Дрова":140,"Хворост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1":1,"Пиловники 2":1,"Пиловники 3":3,"Будлис":0,"Баланси":0,"Рудстійка":0,"Техсировина":108,"Дрова":89,"Хворост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3":0,"Будлис":0,"Баланси":0,"Рудстійка":0,"Техсировина":7,"Дрова":2,"Хворост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</si>
  <si>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1":8,"Пиловники 2":10,"Пиловники 3":17,"Будлис":0,"Баланси":0,"Рудстійка":0,"Техсировина":9,"Дрова":6,"Хворост 1":0,"Хворост 2":0},"Ясен":{"Порода":"Ясен","Фансировина 1":0,"Фансировина 2 ":4,"Пиловники 1":4,"Пиловники 2":19,"Пиловники 3":48,"Будлис":0,"Баланси":0,"Рудстійка":0,"Техсировина":44,"Дрова":29,"Хворост 1":0,"Хворост 2":0},"Клен":{"Порода":"Клен","Фансировина 1":0,"Фансировина 2 ":0,"Пиловники 1":0,"Пиловники 2":0,"Пиловники 3":1,"Будлис":0,"Баланси":0,"Рудстійка":0,"Техсировина":4,"Дрова":3,"Хворост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2":0},"Липа":{"Порода":"Липа","Фансировина 1":0,"Фансировина 2 ":0,"Пиловники 1":0,"Пиловники 2":0,"Пиловники 3":6,"Будлис":0,"Баланси":0,"Рудстійка":0,"Техсировина":7,"Дрова":6,"Хворост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3":0,"Будлис":0,"Баланси":0,"Рудстійка":0,"Техсировина":8,"Дрова":2,"Хворост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</si>
  <si>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6\Хл\58_12_ДПО-18</t>
  </si>
  <si>
    <t>6\Віл\33_6_ДПО-18</t>
  </si>
  <si>
    <t>6\Віл\30_6_ДПО-18</t>
  </si>
  <si>
    <t>6\Віл\39_1_ДПО-18</t>
  </si>
  <si>
    <t>6\Хл\46_12_ДПО-18</t>
  </si>
  <si>
    <t>7\Пех\1_6_ЛІС-18</t>
  </si>
  <si>
    <t>7\Пех\2_6_ЛІС-18</t>
  </si>
  <si>
    <t>7\Пех\3_6_ЛІС-18</t>
  </si>
  <si>
    <t>7\Пех\4_6_ЛІС-18</t>
  </si>
  <si>
    <t>7\Пех\5_6_ЛІС-18</t>
  </si>
  <si>
    <t>7\Пех\6_6_ЛІС-18</t>
  </si>
  <si>
    <t>7\Віл\7_6_ДПО-18</t>
  </si>
  <si>
    <t>7\Віл\9_6_ДПО-18</t>
  </si>
  <si>
    <t>7\Віл\10_6_ДПО-18</t>
  </si>
  <si>
    <t>7\Віл\1_5_ДПО-18</t>
  </si>
  <si>
    <t>7\Віл\2_5_ДПО-18</t>
  </si>
  <si>
    <t>7\Віл\3_5_ДПО-18</t>
  </si>
  <si>
    <t>7\Віл\4_5_ДПО-18</t>
  </si>
  <si>
    <t>7\Віл\5_5_ДПО-18</t>
  </si>
  <si>
    <t>7\Віл\6_5_ДПО-18</t>
  </si>
  <si>
    <t>7\Віл\12_4_ДПО-18</t>
  </si>
  <si>
    <t>7\Віл\13_6_ДПО-18</t>
  </si>
  <si>
    <t>7\Кат\1_4_ЛІС-18</t>
  </si>
  <si>
    <t>7\Хл\16_4_ДПО-18</t>
  </si>
  <si>
    <t>7\Хл\18_4_ДПО-18</t>
  </si>
  <si>
    <t>7\Хл\19_4_ДПО-18</t>
  </si>
  <si>
    <t>7\Хл\20_1_ДПО-18</t>
  </si>
  <si>
    <t>7\Хл\21_1_ДПО-18</t>
  </si>
  <si>
    <t>7\Хл\22_1_ДПО-18</t>
  </si>
  <si>
    <t>7\Хл\12_1_ДПО-18</t>
  </si>
  <si>
    <t>7\Хл\13_1_ДПО-18</t>
  </si>
  <si>
    <t>7\Хл\3_7_ДПО-18</t>
  </si>
  <si>
    <t>7\Хл\4_7_ДПО-18</t>
  </si>
  <si>
    <t>7\Хл\5_7_ДПО-18</t>
  </si>
  <si>
    <t>7\Хл\6_7_ДПО-18</t>
  </si>
  <si>
    <t>7\Хл\7_7_ДПО-18</t>
  </si>
  <si>
    <t>7\Хл\8_7_ДПО-18</t>
  </si>
  <si>
    <t>7\Хл\9_7_ДПО-18</t>
  </si>
  <si>
    <t>29_0</t>
  </si>
  <si>
    <t>7\Хл\2_7_ДПО-18</t>
  </si>
  <si>
    <t>7\Хл\10_7_ДПО-18</t>
  </si>
  <si>
    <t>7\Хл\16_7_ДПО-18</t>
  </si>
  <si>
    <t>7\Коз\3_7_ДПО-18</t>
  </si>
  <si>
    <t>7\Коз\4_7_ДПО-18</t>
  </si>
  <si>
    <t>7\Кат\2_4_ЛІС-18</t>
  </si>
  <si>
    <t>7\Коз\5_1_ДПО-18</t>
  </si>
  <si>
    <t>7\Коз\6_4_ДПО-18</t>
  </si>
  <si>
    <t>7\Віл\17_1_ДПО-18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</si>
  <si>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1":19,"Фансировина 2 ":10,"Пиловники 1":55,"Пиловники 2":71,"Пиловники 3":158,"Будлис":0,"Баланси":0,"Рудстійка":0,"Техсировина":140,"Дрова":93,"Хворост 1":0,"Хворост 2":0},"Ясен":{"Порода":"Ясен","Фансировина 1":0,"Фансировина 2 ":20,"Пиловники 1":20,"Пиловники 2":36,"Пиловники 3":63,"Будлис":0,"Баланси":0,"Рудстійка":0,"Техсировина":178,"Дрова":119,"Хворост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3":0,"Будлис":0,"Баланси":0,"Рудстійка":0,"Техсировина":10,"Дрова":10,"Хворост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3":1,"Будлис":0,"Баланси":0,"Рудстійка":0,"Техсировина":28,"Дрова":24,"Хворост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3":0,"Будлис":0,"Баланси":0,"Рудстійка":0,"Техсировина":25,"Дрова":9,"Хворост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</si>
  <si>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7\Коз\1_12_ДПО-18</t>
  </si>
  <si>
    <t>7\Шп\1_12_СТЛ-18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</si>
  <si>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1":7,"Фансировина 2 ":7,"Пиловники 1":35,"Пиловники 2":44,"Пиловники 3":94,"Будлис":0,"Баланси":0,"Рудстійка":0,"Техсировина":86,"Дрова":57,"Хворост 1":0,"Хворост 2":0},"Ясен":{"Порода":"Ясен","Фансировина 1":0,"Фансировина 2 ":0,"Пиловники 1":0,"Пиловники 2":0,"Пиловники 3":2,"Будлис":0,"Баланси":0,"Рудстійка":0,"Техсировина":5,"Дрова":3,"Хворост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3":0,"Будлис":0,"Баланси":0,"Рудстійка":0,"Техсировина":4,"Дрова":5,"Хворост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3":0,"Будлис":0,"Баланси":0,"Рудстійка":0,"Техсировина":58,"Дрова":20,"Хворост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</si>
  <si>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7\Шп\4_7_СТЛ-18</t>
  </si>
  <si>
    <t>7\Шп\5_7_СТЛ-18</t>
  </si>
  <si>
    <t>7\Шп\3_7_СТЛ-18</t>
  </si>
  <si>
    <t>7\Шп\2_7_СТЛ-18</t>
  </si>
  <si>
    <t>7\Шп\6_7_СТЛ-18</t>
  </si>
  <si>
    <t>7\Шп\7_1_СТЛ-18</t>
  </si>
  <si>
    <t>7\Шп\8_1_СТЛ-18</t>
  </si>
  <si>
    <t>{"rachtet":{"Сосна":{"Порода":"Сосна","Фансировина 1":0,"Фансировина 2 ":0,"Пиловники 1":5,"Пиловники 2":7,"Пиловники 3":8,"Будлис":0,"Баланси":4,"Рудстійка":0,"Техсировина":4,"Дрова":2,"Хворост 1":0,"Хворост 2":0},"Дуб":{"Порода":"Дуб","Фансировина 1":0,"Фансировина 2 ":0,"Пиловники 1":4,"Пиловники 2":26,"Пиловники 3":60,"Будлис":0,"Баланси":0,"Рудстійка":0,"Техсировина":176,"Дрова":117,"Хворост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3":0,"Будлис":0,"Баланси":0,"Рудстійка":0,"Техсировина":5,"Дрова":5,"Хворост 1":0,"Хворост 2":0},"Вільха":{"Порода":"Вільха","Фансировина 1":0,"Фансировина 2 ":0,"Пиловники 1":0,"Пиловники 2":3,"Пиловники 3":6,"Будлис":0,"Баланси":0,"Рудстійка":0,"Техсировина":8,"Дрова":8,"Хворост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2":3,"Пиловники 3":6,"Будлис":0,"Баланси":0,"Рудстійка":0,"Техсировина":23,"Дрова":18,"Хворост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3":0,"Будлис":0,"Баланси":0,"Рудстійка":0,"Техсировина":110,"Дрова":36,"Хворост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</si>
  <si>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7\Хл\14_12_ДПО-18</t>
  </si>
  <si>
    <t>5_2</t>
  </si>
  <si>
    <t>7\Хл\1_12_ДПО-18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</si>
  <si>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3":1,"Будлис":0,"Баланси":0,"Рудстійка":0,"Техсировина":33,"Дрова":22,"Хворост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3":0,"Будлис":0,"Баланси":0,"Рудстійка":0,"Техсировина":41,"Дрова":97,"Хворост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3":0,"Будлис":0,"Баланси":0,"Рудстійка":0,"Техсировина":14,"Дрова":15,"Хворост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3":0,"Будлис":0,"Баланси":0,"Рудстійка":0,"Техсировина":1,"Дрова":0,"Хворост 1":0,"Хворост 2":0}}}</t>
  </si>
  <si>
    <t>8\Коз\2_1_ДПО-18</t>
  </si>
  <si>
    <t>8\Коз\3_1_ДПО-18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</si>
  <si>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1":44,"Пиловники 2":65,"Пиловники 3":106,"Будлис":0,"Баланси":0,"Рудстійка":0,"Техсировина":110,"Дрова":74,"Хворост 1":0,"Хворост 2":0},"Ясен":{"Порода":"Ясен","Фансировина 1":0,"Фансировина 2 ":10,"Пиловники 1":14,"Пиловники 2":34,"Пиловники 3":61,"Будлис":0,"Баланси":0,"Рудстійка":0,"Техсировина":113,"Дрова":76,"Хворост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3":0,"Будлис":0,"Баланси":0,"Рудстійка":0,"Техсировина":9,"Дрова":9,"Хворост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3":0,"Будлис":0,"Баланси":0,"Рудстійка":0,"Техсировина":19,"Дрова":6,"Хворост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</si>
  <si>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8\Коз\1_12_ДПО-18</t>
  </si>
  <si>
    <t>8\Коз\5_4_ДПО-18</t>
  </si>
  <si>
    <t>8\Коз\6_4_ДПО-18</t>
  </si>
  <si>
    <t>8\Коз\7_1_ДПО-18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</si>
  <si>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1":20,"Фансировина 2 ":20,"Пиловники 1":84,"Пиловники 2":98,"Пиловники 3":221,"Будлис":0,"Баланси":0,"Рудстійка":0,"Техсировина":161,"Дрова":107,"Хворост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3":0,"Будлис":0,"Баланси":0,"Рудстійка":0,"Техсировина":3,"Дрова":2,"Хворост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3":0,"Будлис":0,"Баланси":0,"Рудстійка":0,"Техсировина":46,"Дрова":16,"Хворост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3":0,"Будлис":0,"Баланси":0,"Рудстійка":0,"Техсировина":0,"Дрова":1,"Хворост 1":0,"Хворост 2":0}}}</t>
  </si>
  <si>
    <t>8\Віл\1_12_ДПО-18</t>
  </si>
  <si>
    <t>8\Віл\2_12_ДПО-18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</si>
  <si>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1":12,"Пиловники 2":38,"Пиловники 3":79,"Будлис":0,"Баланси":0,"Рудстійка":0,"Техсировина":125,"Дрова":83,"Хворост 1":0,"Хворост 2":0},"Ясен":{"Порода":"Ясен","Фансировина 1":0,"Фансировина 2 ":0,"Пиловники 1":4,"Пиловники 2":8,"Пиловники 3":19,"Будлис":0,"Баланси":0,"Рудстійка":0,"Техсировина":58,"Дрова":39,"Хворост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3":1,"Будлис":0,"Баланси":0,"Рудстійка":0,"Техсировина":13,"Дрова":10,"Хворост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3":0,"Будлис":0,"Баланси":0,"Рудстійка":0,"Техсировина":44,"Дрова":15,"Хворост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</si>
  <si>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</si>
  <si>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1":15,"Пиловники 2":31,"Пиловники 3":51,"Будлис":0,"Баланси":0,"Рудстійка":0,"Техсировина":135,"Дрова":91,"Хворост 1":0,"Хворост 2":0},"Ясен":{"Порода":"Ясен","Фансировина 1":0,"Фансировина 2 ":0,"Пиловники 1":0,"Пиловники 2":0,"Пиловники 3":3,"Будлис":0,"Баланси":0,"Рудстійка":0,"Техсировина":30,"Дрова":21,"Хворост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3":0,"Будлис":0,"Баланси":0,"Рудстійка":0,"Техсировина":7,"Дрова":7,"Хворост 1":0,"Хворост 2":0},"Липа":{"Порода":"Липа","Фансировина 1":0,"Фансировина 2 ":0,"Пиловники 1":0,"Пиловники 2":0,"Пиловники 3":2,"Будлис":0,"Баланси":0,"Рудстійка":0,"Техсировина":25,"Дрова":20,"Хворост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3":0,"Будлис":0,"Баланси":0,"Рудстійка":0,"Техсировина":10,"Дрова":3,"Хворост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</si>
  <si>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8\Віл\4_8_ДПО-18</t>
  </si>
  <si>
    <t>8\Пех\1_8_ЛІС-18</t>
  </si>
  <si>
    <t>21_1</t>
  </si>
  <si>
    <t>8\Пех\2_8_ЛІС-18</t>
  </si>
  <si>
    <t>8\Кат\11_4_ЛІС-18</t>
  </si>
  <si>
    <t>8\Кат\9_4_ЛІС-18</t>
  </si>
  <si>
    <t>8\Кат\10_4_ЛІС-18</t>
  </si>
  <si>
    <t>8\Кат\8_4_ЛІС-18</t>
  </si>
  <si>
    <t>8\Кат\5_4_ЛІС-18</t>
  </si>
  <si>
    <t>8\Кат\7_4_ЛІС-18</t>
  </si>
  <si>
    <t>8\Кат\1_4_ЛІС-18</t>
  </si>
  <si>
    <t>8\Коз\5_8_ДПО-18</t>
  </si>
  <si>
    <t>8\Шп\1_8_СТЛ-18</t>
  </si>
  <si>
    <t>8\Шп\3_8_СТЛ-18</t>
  </si>
  <si>
    <t>8\Шп\4_8_СТЛ-18</t>
  </si>
  <si>
    <t>8\Шп\5_8_СТЛ-18</t>
  </si>
  <si>
    <t>30_0</t>
  </si>
  <si>
    <t>8\Шп\6_8_СТЛ-18</t>
  </si>
  <si>
    <t>25_0</t>
  </si>
  <si>
    <t>8\Шп\7_8_СТЛ-18</t>
  </si>
  <si>
    <t>8\Шп\8_8_СТЛ-18</t>
  </si>
  <si>
    <t>34_0</t>
  </si>
  <si>
    <t>8\Шп\9_8_СТЛ-18</t>
  </si>
  <si>
    <t>8\Віл\5_8_ДПО-18</t>
  </si>
  <si>
    <t>8\Віл\6_8_ДПО-18</t>
  </si>
  <si>
    <t>8\Віл\7_8_ДПО-18</t>
  </si>
  <si>
    <t>8\Віл\8_8_ДПО-18</t>
  </si>
  <si>
    <t>8\Віл\9_8_ДПО-18</t>
  </si>
  <si>
    <t>8\Хл\9_5_ДПО-18</t>
  </si>
  <si>
    <t>8\Хл\3_5_ДПО-18</t>
  </si>
  <si>
    <t>8\Хл\1_12_ДПО-18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</si>
  <si>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3":5,"Будлис":0,"Баланси":0,"Рудстійка":0,"Техсировина":7,"Дрова":5,"Хворост 1":0,"Хворост 2":0},"Ясен":{"Порода":"Ясен","Фансировина 1":15,"Фансировина 2 ":15,"Пиловники 1":19,"Пиловники 2":48,"Пиловники 3":89,"Будлис":0,"Баланси":0,"Рудстійка":0,"Техсировина":116,"Дрова":77,"Хворост 1":0,"Хворост 2":0},"Клен":{"Порода":"Клен","Фансировина 1":0,"Фансировина 2 ":0,"Пиловники 1":0,"Пиловники 2":0,"Пиловники 3":0,"Будлис":0,"Баланси":1,"Рудстійка":0,"Техсировина":5,"Дрова":4,"Хворост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1":2,"Пиловники 2":8,"Пиловники 3":34,"Будлис":0,"Баланси":0,"Рудстійка":0,"Техсировина":36,"Дрова":30,"Хворост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3":0,"Будлис":0,"Баланси":0,"Рудстійка":0,"Техсировина":52,"Дрова":18,"Хворост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</si>
  <si>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9\Пех\1_9_ЛІС-18</t>
  </si>
  <si>
    <t>9\Пех\2_9_ЛІС-18</t>
  </si>
  <si>
    <t>9\Хл\21_9_ДПО-18</t>
  </si>
  <si>
    <t>9\Хл\22_9_ДПО-18</t>
  </si>
  <si>
    <t>9\Хл\23_9_ДПО-18</t>
  </si>
  <si>
    <t>9\Хл\24_9_ДПО-18</t>
  </si>
  <si>
    <t>9\Хл\25_9_ДПО-18</t>
  </si>
  <si>
    <t>9\Хл\26_9_ДПО-18</t>
  </si>
  <si>
    <t>9\Хл\27_9_ДПО-18</t>
  </si>
  <si>
    <t>9\Хл\28_9_ДПО-18</t>
  </si>
  <si>
    <t>9\Хл\29_9_ДПО-18</t>
  </si>
  <si>
    <t>9\Хл\30_9_ДПО-18</t>
  </si>
  <si>
    <t>9\Віл\1_9_ДПО-18</t>
  </si>
  <si>
    <t>9\Віл\2_9_ДПО-18</t>
  </si>
  <si>
    <t>9\Віл\3_9_ДПО-18</t>
  </si>
  <si>
    <t>9\Віл\4_9_ДПО-18</t>
  </si>
  <si>
    <t>9\Пех\4_9_ЛІС-18</t>
  </si>
  <si>
    <t>9\Пех\3_9_ЛІС-18</t>
  </si>
  <si>
    <t>9\Пех\5_9_ЛІС-18</t>
  </si>
  <si>
    <t>9\Коз\1_8_ДПО-18</t>
  </si>
  <si>
    <t>9\Коз\2_8_ДПО-18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</si>
  <si>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1":1,"Пиловники 2":4,"Пиловники 3":7,"Будлис":0,"Баланси":0,"Рудстійка":0,"Техсировина":12,"Дрова":7,"Хворост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3":0,"Будлис":0,"Баланси":0,"Рудстійка":0,"Техсировина":11,"Дрова":10,"Хворост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3":5,"Будлис":0,"Баланси":0,"Рудстійка":0,"Техсировина":15,"Дрова":13,"Хворост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3":0,"Будлис":0,"Баланси":6,"Рудстійка":0,"Техсировина":63,"Дрова":21,"Хворост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</si>
  <si>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9\Кат\1_12_ЛІС-18</t>
  </si>
  <si>
    <t>9\Пех\7_1_ЛІС-18</t>
  </si>
  <si>
    <t>9\Пех\8_9_ЛІС-18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</si>
  <si>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":5,"Пиловники 1":21,"Пиловники 2":33,"Пиловники 3":89,"Будлис":0,"Баланси":0,"Рудстійка":0,"Техсировина":55,"Дрова":37,"Хворост 1":0,"Хворост 2":0},"Ясен":{"Порода":"Ясен","Фансировина 1":0,"Фансировина 2 ":8,"Пиловники 1":2,"Пиловники 2":7,"Пиловники 3":30,"Будлис":0,"Баланси":3,"Рудстійка":0,"Техсировина":37,"Дрова":25,"Хворост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3":0,"Будлис":0,"Баланси":0,"Рудстійка":0,"Техсировина":50,"Дрова":16,"Хворост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</si>
  <si>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9\Шп\1_12_СТЛ-18</t>
  </si>
  <si>
    <t>9\Шп\2_12_СТЛ-18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</si>
  <si>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3":3,"Будлис":0,"Баланси":0,"Рудстійка":0,"Техсировина":10,"Дрова":6,"Хворост 1":0,"Хворост 2":0},"Ясен":{"Порода":"Ясен","Фансировина 1":0,"Фансировина 2 ":0,"Пиловники 1":5,"Пиловники 2":12,"Пиловники 3":25,"Будлис":0,"Баланси":0,"Рудстійка":0,"Техсировина":46,"Дрова":30,"Хворост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3":0,"Будлис":0,"Баланси":0,"Рудстійка":0,"Техсировина":4,"Дрова":3,"Хворост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3":1,"Будлис":0,"Баланси":0,"Рудстійка":0,"Техсировина":11,"Дрова":9,"Хворост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</si>
  <si>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9\Кат\2_12_ЛІС-18</t>
  </si>
  <si>
    <t>{"rachtet":{"Сосна":{"Порода":"Сосна","Фансировина 1":0,"Фансировина 2 ":0,"Пиловники 1":45,"Пиловники 2":72,"Пиловники 3":116,"Будлис":0,"Баланси":9,"Рудстійка":0,"Техсировина":195,"Дрова":130,"Хворост 1":0,"Хворост 2":0},"Дуб":{"Порода":"Дуб","Фансировина 1":0,"Фансировина 2 ":0,"Пиловники 1":3,"Пиловники 2":6,"Пиловники 3":9,"Будлис":0,"Баланси":0,"Рудстійка":0,"Техсировина":40,"Дрова":26,"Хворост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3":0,"Будлис":0,"Баланси":0,"Рудстійка":0,"Техсировина":20,"Дрова":19,"Хворост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3":0,"Будлис":0,"Баланси":0,"Рудстійка":0,"Техсировина":1,"Дрова":2,"Хворост 1":0,"Хворост 2":0}}}</t>
  </si>
  <si>
    <t>9\Хл\15_5_ДПО-18</t>
  </si>
  <si>
    <t>9\Хл\12_5_ДПО-18</t>
  </si>
  <si>
    <t>9\Коз\3_9_ДПО-18</t>
  </si>
  <si>
    <t>9\Коз\4_9_ДПО-18</t>
  </si>
  <si>
    <t>9\Коз\5_9_ДПО-18</t>
  </si>
  <si>
    <t>9\Коз\6_9_ДПО-18</t>
  </si>
  <si>
    <t>9\Коз\7_9_ДПО-18</t>
  </si>
  <si>
    <t>9\Віл\5_4_ДПО-18</t>
  </si>
  <si>
    <t>9\Хл\35_1_ДПО-18</t>
  </si>
  <si>
    <t>10\Кат\1_10_ЛІС-18</t>
  </si>
  <si>
    <t>10\Пех\1_10_ЛІС-18</t>
  </si>
  <si>
    <t>10\Хл\1_9_ДПО-18</t>
  </si>
  <si>
    <t>10\Хл\2_9_ДПО-18</t>
  </si>
  <si>
    <t>10\Хл\3_9_ДПО-18</t>
  </si>
  <si>
    <t>10\Хл\4_9_ДПО-18</t>
  </si>
  <si>
    <t>10\Хл\5_9_ДПО-18</t>
  </si>
  <si>
    <t>10\Шп\1_10_СТЛ-18</t>
  </si>
  <si>
    <t>10\Шп\2_10_СТЛ-18</t>
  </si>
  <si>
    <t>10\Шп\3_10_СТЛ-18</t>
  </si>
  <si>
    <t>10\Шп\4_10_СТЛ-18</t>
  </si>
  <si>
    <t>{"rachtet":{"Сосна":{"Порода":"Сосна","Фансировина 1":0,"Фансировина 2 ":0,"Пиловники 1":19,"Пиловники 2":30,"Пиловники 3":46,"Будлис":0,"Баланси":6,"Рудстійка":0,"Техсировина":80,"Дрова":53,"Хворост 1":0,"Хворост 2":0},"Дуб":{"Порода":"Дуб","Фансировина 1":0,"Фансировина 2 ":0,"Пиловники 1":1,"Пиловники 2":2,"Пиловники 3":6,"Будлис":0,"Баланси":0,"Рудстійка":0,"Техсировина":28,"Дрова":19,"Хворост 1":0,"Хворост 2":0},"Ясен":{"Порода":"Ясен","Фансировина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3":0,"Будлис":0,"Баланси":0,"Рудстійка":0,"Техсировина":32,"Дрова":32,"Хворост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</si>
  <si>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9\Кат\3_12_ЛІС-18</t>
  </si>
  <si>
    <t>9\Коз\3_12_ДПО-18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</si>
  <si>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1":16,"Фансировина 2 ":10,"Пиловники 1":22,"Пиловники 2":54,"Пиловники 3":107,"Будлис":0,"Баланси":0,"Рудстійка":0,"Техсировина":148,"Дрова":98,"Хворост 1":0,"Хворост 2":0},"Ясен":{"Порода":"Ясен","Фансировина 1":0,"Фансировина 2 ":0,"Пиловники 1":11,"Пиловники 2":17,"Пиловники 3":24,"Будлис":0,"Баланси":0,"Рудстійка":0,"Техсировина":38,"Дрова":26,"Хворост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3":0,"Будлис":0,"Баланси":0,"Рудстійка":0,"Техсировина":6,"Дрова":7,"Хворост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3":0,"Будлис":0,"Баланси":0,"Рудстійка":0,"Техсировина":3,"Дрова":3,"Хворост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3":0,"Будлис":0,"Баланси":0,"Рудстійка":0,"Техсировина":22,"Дрова":8,"Хворост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</si>
  <si>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Дробіт О.М.</t>
  </si>
  <si>
    <t>7_4</t>
  </si>
  <si>
    <t>10\Шп\5_12_СТЛ-18</t>
  </si>
  <si>
    <t>10\Шп\6_10_СТЛ-18</t>
  </si>
  <si>
    <t>10\Шп\7_10_СТЛ-18</t>
  </si>
  <si>
    <t>1_3</t>
  </si>
  <si>
    <t>10\Шп\8_10_СТЛ-18</t>
  </si>
  <si>
    <t>10\Віл\1_10_ДПО-18</t>
  </si>
  <si>
    <t>26_0</t>
  </si>
  <si>
    <t>10\Віл\2_10_ДПО-18</t>
  </si>
  <si>
    <t>10\Віл\3_1_ДПО-18</t>
  </si>
  <si>
    <t>10\Віл\4_1_ДПО-18</t>
  </si>
  <si>
    <t>10\Віл\5_1_ДПО-18</t>
  </si>
  <si>
    <t>10\Хл\10_5_ДПО-18</t>
  </si>
  <si>
    <t>10\Віл\12_10_ДПО-18</t>
  </si>
  <si>
    <t>10\Віл\13_10_ДПО-18</t>
  </si>
  <si>
    <t>10\Віл\14_10_ДПО-18</t>
  </si>
  <si>
    <t>10\Віл\16_10_ДПО-18</t>
  </si>
  <si>
    <t>10\Віл\15_10_ДПО-18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</si>
  <si>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1":5,"Пиловники 2":29,"Пиловники 3":67,"Будлис":0,"Баланси":0,"Рудстійка":0,"Техсировина":76,"Дрова":51,"Хворост 1":0,"Хворост 2":0},"Ясен":{"Порода":"Ясен","Фансировина 1":0,"Фансировина 2 ":0,"Пиловники 1":0,"Пиловники 2":0,"Пиловники 3":1,"Будлис":0,"Баланси":0,"Рудстійка":0,"Техсировина":10,"Дрова":7,"Хворост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3":0,"Будлис":0,"Баланси":0,"Рудстійка":0,"Техсировина":1,"Дрова":1,"Хворост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3":0,"Будлис":0,"Баланси":0,"Рудстійка":0,"Техсировина":3,"Дрова":1,"Хворост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2":0}}}</t>
  </si>
  <si>
    <t>7\Хл\15_12_ДПО-18</t>
  </si>
  <si>
    <t>10\Хл\11_5_ДПО-18</t>
  </si>
  <si>
    <t>11\Коз\4_10_ДПО-18</t>
  </si>
  <si>
    <t>11\Коз\3_10_ДПО-18</t>
  </si>
  <si>
    <t>10\Коз\2_10_ДПО-18</t>
  </si>
  <si>
    <t>10\Коз\1_10_ДПО-18</t>
  </si>
  <si>
    <t>11\Коз\1_10_ДПО-18</t>
  </si>
  <si>
    <t>11\Коз\2_10_ДПО-18</t>
  </si>
  <si>
    <t>11\Віл\1_11_ДПО-18</t>
  </si>
  <si>
    <t>11\Хл\2_11_ДПО-18</t>
  </si>
  <si>
    <t>11\Хл\3_11_ДПО-18</t>
  </si>
  <si>
    <t>4_2</t>
  </si>
  <si>
    <t>11\Хл\4_11_ДПО-18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</si>
  <si>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":10,"Пиловники 1":48,"Пиловники 2":94,"Пиловники 3":173,"Будлис":0,"Баланси":0,"Рудстійка":0,"Техсировина":99,"Дрова":66,"Хворост 1":0,"Хворост 2":0},"Ясен":{"Порода":"Ясен","Фансировина 1":0,"Фансировина 2 ":0,"Пиловники 1":2,"Пиловники 2":3,"Пиловники 3":8,"Будлис":0,"Баланси":0,"Рудстійка":0,"Техсировина":10,"Дрова":7,"Хворост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3":0,"Будлис":0,"Баланси":0,"Рудстійка":0,"Техсировина":0,"Дрова":1,"Хворост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3":0,"Будлис":0,"Баланси":0,"Рудстійка":0,"Техсировина":5,"Дрова":6,"Хворост 1":0,"Хворост 2":0},"Липа":{"Порода":"Липа","Фансировина 1":0,"Фансировина 2 ":0,"Пиловники 1":0,"Пиловники 2":0,"Пиловники 3":8,"Будлис":0,"Баланси":0,"Рудстійка":0,"Техсировина":8,"Дрова":6,"Хворост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3":0,"Будлис":0,"Баланси":0,"Рудстійка":0,"Техсировина":6,"Дрова":3,"Хворост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</si>
  <si>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11\Хл\1_12_ДПО-18</t>
  </si>
  <si>
    <t>11\Кат\1_1_ЛІС-18</t>
  </si>
  <si>
    <t>11\Кат\2_1_ЛІС-18</t>
  </si>
  <si>
    <t>11\Шп\1_11_СТЛ-18</t>
  </si>
  <si>
    <t>11\Шп\2_11_СТЛ-18</t>
  </si>
  <si>
    <t>11\Шп\3_11_СТЛ-18</t>
  </si>
  <si>
    <t>11\Шп\4_11_СТЛ-18</t>
  </si>
  <si>
    <t>11\Шп\5_11_СТЛ-18</t>
  </si>
  <si>
    <t>11\Коз\5_11_ДПО-18</t>
  </si>
  <si>
    <t>20_0</t>
  </si>
  <si>
    <t>11\Коз\6_11_ДПО-18</t>
  </si>
  <si>
    <t>11\Коз\7_11_ДПО-18</t>
  </si>
  <si>
    <t>11\Віл\2_11_ДПО-18</t>
  </si>
  <si>
    <t>11\Віл\3_11_ДПО-18</t>
  </si>
  <si>
    <t>11\Пех\1_11_ЛІС-18</t>
  </si>
  <si>
    <t>11\Пех\2_11_ЛІС-18</t>
  </si>
  <si>
    <t>11\Пех\3_11_ЛІС-18</t>
  </si>
  <si>
    <t>11\Пех\4_11_ЛІС-18</t>
  </si>
  <si>
    <t>11\Пех\5_11_ЛІС-18</t>
  </si>
  <si>
    <t>11\Пех\6_11_ЛІС-18</t>
  </si>
  <si>
    <t>11\Пех\7_11_ЛІС-18</t>
  </si>
  <si>
    <t>11\Пех\8_11_ЛІС-18</t>
  </si>
  <si>
    <t>11\Пех\9_11_ЛІС-18</t>
  </si>
  <si>
    <t>11\Пех\10_11_ЛІС-18</t>
  </si>
  <si>
    <t>11\Пех\11_11_ЛІС-18</t>
  </si>
  <si>
    <t>11\Шп\6_4_СТЛ-18</t>
  </si>
  <si>
    <t>11\Кат\3_11_ЛІС-18</t>
  </si>
  <si>
    <t>11\Шп\7_11_СТЛ-18</t>
  </si>
  <si>
    <t>11\Шп\8_11_СТЛ-18</t>
  </si>
  <si>
    <t>9\Коз\4_12_ДПО-18</t>
  </si>
  <si>
    <t>{"rachtet":{"Сосна":{"Порода":"Сосна","Фансировина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2":0},"Дуб":{"Порода":"Дуб","Фансировина 1":0,"Фансировина 2 ":0,"Пиловники 1":0,"Пиловники 2":0,"Пиловники 3":1,"Будлис":0,"Баланси":0,"Рудстійка":0,"Техсировина":1,"Дрова":1,"Хворост 1":0,"Хворост 2":0},"Ясен":{"Порода":"Ясен","Фансировина 1":0,"Фансировина 2 ":4,"Пиловники 1":7,"Пиловники 2":12,"Пиловники 3":22,"Будлис":0,"Баланси":0,"Рудстійка":0,"Техсировина":42,"Дрова":28,"Хворост 1":0,"Хворост 2":0},"Клен":{"Порода":"Клен","Фансировина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2":0},"Вільха":{"Порода":"Вільха","Фансировина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2":0},"Акація":{"Порода":"Акація","Фансировина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2":0},"Береза":{"Порода":"Береза","Фансировина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2":0},"Берест":{"Порода":"Берест","Фансировина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2":0},"Липа":{"Порода":"Липа","Фансировина 1":0,"Фансировина 2 ":0,"Пиловники 1":0,"Пиловники 2":0,"Пиловники 3":0,"Будлис":0,"Баланси":0,"Рудстійка":0,"Техсировина":2,"Дрова":2,"Хворост 1":0,"Хворост 2":0},"Осика":{"Порода":"Осика","Фансировина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2":0},"Верба":{"Порода":"Верба","Фансировина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2":0},"Тополя":{"Порода":"Тополя","Фансировина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2":0},"Граб":{"Порода":"Граб","Фансировина 1":0,"Фансировина 2 ":0,"Пиловники 1":0,"Пиловники 2":0,"Пиловники 3":0,"Будлис":0,"Баланси":0,"Рудстійка":0,"Техсировина":12,"Дрова":4,"Хворост 1":0,"Хворост 2":0},"Ялина":{"Порода":"Ялина","Фансировина 1":0,"Фансировина 2 ":0,"Пиловники 1":0,"Пиловники 2":0,"Пиловники 3":0,"Будлис":0,"Баланси":0,"Рудстійка":0,"Техсировина":0,"Дрова":0,"Хворост 1":0,"Хворост 2":0},"Черешня":{"Порода":"Черешня","Фансировина 1":0,"Фансировина 2 ":0,"Пиловники 1":0,"Пиловники 2":0,"Пиловники 3":0,"Будлис":0,"Баланси":0,"Рудстійка":0,"Техсировина":1,"Дрова":1,"Хворост 1":0,"Хворост 2":0}}}</t>
  </si>
  <si>
    <t>11\Хл\13_5_ДПО-18</t>
  </si>
  <si>
    <t>11\Віл\5_1_ДПО-18</t>
  </si>
  <si>
    <t>11\Шп\9_11_СТЛ-18</t>
  </si>
  <si>
    <t>cLicVa</t>
  </si>
  <si>
    <t>=Форма!$B$6</t>
  </si>
  <si>
    <t>dCKR</t>
  </si>
  <si>
    <t>=РД!$H$1</t>
  </si>
  <si>
    <t>dCrHl</t>
  </si>
  <si>
    <t>=РД!$I$7</t>
  </si>
  <si>
    <t>dCZ</t>
  </si>
  <si>
    <t>=РД!$I$8</t>
  </si>
  <si>
    <t>dDataDog</t>
  </si>
  <si>
    <t>=РД!$I$13</t>
  </si>
  <si>
    <t>dDataS</t>
  </si>
  <si>
    <t>=РД!$L$9</t>
  </si>
  <si>
    <t>dDil</t>
  </si>
  <si>
    <t>=РД!$L$12</t>
  </si>
  <si>
    <t>dGp</t>
  </si>
  <si>
    <t>=РД!$B$13</t>
  </si>
  <si>
    <t>dKd</t>
  </si>
  <si>
    <t>=РД!$I$2</t>
  </si>
  <si>
    <t>dKS</t>
  </si>
  <si>
    <t>=РД!$I$9</t>
  </si>
  <si>
    <t>dKV</t>
  </si>
  <si>
    <t>=РД!$B$3</t>
  </si>
  <si>
    <t>dKZ</t>
  </si>
  <si>
    <t>=РД!$I$11</t>
  </si>
  <si>
    <t>dLisVo</t>
  </si>
  <si>
    <t>=РД!$B$2</t>
  </si>
  <si>
    <t>dMas</t>
  </si>
  <si>
    <t>=РД!$I$5</t>
  </si>
  <si>
    <t>dMas1Ga</t>
  </si>
  <si>
    <t>=РД!$I$6</t>
  </si>
  <si>
    <t>dMD</t>
  </si>
  <si>
    <t>=РД!$G$1</t>
  </si>
  <si>
    <t>dMLK</t>
  </si>
  <si>
    <t>=РД!$J$1</t>
  </si>
  <si>
    <t>dNel</t>
  </si>
  <si>
    <t>=РД!$I$4</t>
  </si>
  <si>
    <t>dNLK</t>
  </si>
  <si>
    <t>=РД!$I$12</t>
  </si>
  <si>
    <t>dNr</t>
  </si>
  <si>
    <t>=РД!$B$6</t>
  </si>
  <si>
    <t>dNTK</t>
  </si>
  <si>
    <t>=РД!$S$11</t>
  </si>
  <si>
    <t>dPl</t>
  </si>
  <si>
    <t>=РД!$B$5</t>
  </si>
  <si>
    <t>dPND</t>
  </si>
  <si>
    <t>=РД!$I$1</t>
  </si>
  <si>
    <t>=КоэфРГК!$A$103:$M$112</t>
  </si>
  <si>
    <t>DROV_HL</t>
  </si>
  <si>
    <t>=КоэфРГК!$E$103:$E$112</t>
  </si>
  <si>
    <t>dRV</t>
  </si>
  <si>
    <t>=РД!$I$10</t>
  </si>
  <si>
    <t>DRV_VM</t>
  </si>
  <si>
    <t>=КоэфРГК!$B$100:$M$100</t>
  </si>
  <si>
    <t>dShablon</t>
  </si>
  <si>
    <t>=РД!$S$1</t>
  </si>
  <si>
    <t>dSumDog</t>
  </si>
  <si>
    <t>=РД!$L$68</t>
  </si>
  <si>
    <t>dT_11</t>
  </si>
  <si>
    <t>=РД!$F$29</t>
  </si>
  <si>
    <t>dT_12</t>
  </si>
  <si>
    <t>=РД!$F$30</t>
  </si>
  <si>
    <t>dT_13</t>
  </si>
  <si>
    <t>=РД!$F$31</t>
  </si>
  <si>
    <t>dT_21</t>
  </si>
  <si>
    <t>=РД!$F$32</t>
  </si>
  <si>
    <t>dT_22</t>
  </si>
  <si>
    <t>=РД!$F$33</t>
  </si>
  <si>
    <t>dT_23</t>
  </si>
  <si>
    <t>=РД!$F$34</t>
  </si>
  <si>
    <t>dT_31</t>
  </si>
  <si>
    <t>=РД!$F$35</t>
  </si>
  <si>
    <t>dT_32</t>
  </si>
  <si>
    <t>=РД!$F$36</t>
  </si>
  <si>
    <t>dT_33</t>
  </si>
  <si>
    <t>=РД!$F$37</t>
  </si>
  <si>
    <t>dT_41</t>
  </si>
  <si>
    <t>=РД!$F$38</t>
  </si>
  <si>
    <t>dT_42</t>
  </si>
  <si>
    <t>=РД!$F$39</t>
  </si>
  <si>
    <t>dT_43</t>
  </si>
  <si>
    <t>=РД!$F$40</t>
  </si>
  <si>
    <t>dTender</t>
  </si>
  <si>
    <t>=РД!$K$1</t>
  </si>
  <si>
    <t>dUmRab</t>
  </si>
  <si>
    <t>=РД!$B$7</t>
  </si>
  <si>
    <t>dV</t>
  </si>
  <si>
    <t>=РД!$B$4</t>
  </si>
  <si>
    <t>dVidpMayster</t>
  </si>
  <si>
    <t>=РД!$L$11</t>
  </si>
  <si>
    <t>dVukon</t>
  </si>
  <si>
    <t>=РД!$B$9</t>
  </si>
  <si>
    <t>dZzap</t>
  </si>
  <si>
    <t>=РД!$I$3</t>
  </si>
  <si>
    <t>dумДатаТарифы</t>
  </si>
  <si>
    <t>=РД!$B$8</t>
  </si>
  <si>
    <t>=КоэфРГК!$A$71:$M$81</t>
  </si>
  <si>
    <t>FAN_HL</t>
  </si>
  <si>
    <t>=КоэфРГК!$A$71:$A$80</t>
  </si>
  <si>
    <t>=РГК!$L$6</t>
  </si>
  <si>
    <t>=РГК!$L$8</t>
  </si>
  <si>
    <t>=РГК!$L$7</t>
  </si>
  <si>
    <t>gCKR</t>
  </si>
  <si>
    <t>=РГК!$H$1</t>
  </si>
  <si>
    <t>gCrHl</t>
  </si>
  <si>
    <t>=РГК!$I$7</t>
  </si>
  <si>
    <t>gCZ</t>
  </si>
  <si>
    <t>=РГК!$I$8</t>
  </si>
  <si>
    <t>gDataDog</t>
  </si>
  <si>
    <t>=РГК!$I$13</t>
  </si>
  <si>
    <t>gDataS</t>
  </si>
  <si>
    <t>=РГК!$L$9</t>
  </si>
  <si>
    <t>gDil</t>
  </si>
  <si>
    <t>=РГК!$L$12</t>
  </si>
  <si>
    <t>gGp</t>
  </si>
  <si>
    <t>=РГК!$B$13</t>
  </si>
  <si>
    <t>gKd</t>
  </si>
  <si>
    <t>=РГК!$I$2</t>
  </si>
  <si>
    <t>gKS</t>
  </si>
  <si>
    <t>=РГК!$I$9</t>
  </si>
  <si>
    <t>gKV</t>
  </si>
  <si>
    <t>=РГК!$B$3</t>
  </si>
  <si>
    <t>gKZ</t>
  </si>
  <si>
    <t>=РГК!$I$11</t>
  </si>
  <si>
    <t>gLisVo</t>
  </si>
  <si>
    <t>=РГК!$B$2</t>
  </si>
  <si>
    <t>gMas</t>
  </si>
  <si>
    <t>=РГК!$I$5</t>
  </si>
  <si>
    <t>gMas1Ga</t>
  </si>
  <si>
    <t>=РГК!$I$6</t>
  </si>
  <si>
    <t>gMD</t>
  </si>
  <si>
    <t>=РГК!$G$1</t>
  </si>
  <si>
    <t>gMLK</t>
  </si>
  <si>
    <t>=РГК!$J$1</t>
  </si>
  <si>
    <t>gNel</t>
  </si>
  <si>
    <t>=РГК!$I$4</t>
  </si>
  <si>
    <t>gNLK</t>
  </si>
  <si>
    <t>=РГК!$I$12</t>
  </si>
  <si>
    <t>gNr</t>
  </si>
  <si>
    <t>=РГК!$B$6</t>
  </si>
  <si>
    <t>gNTK</t>
  </si>
  <si>
    <t>=РГК!$S$2</t>
  </si>
  <si>
    <t>gPl</t>
  </si>
  <si>
    <t>=РГК!$B$5</t>
  </si>
  <si>
    <t>gPND</t>
  </si>
  <si>
    <t>=РГК!$I$1</t>
  </si>
  <si>
    <t>gRV</t>
  </si>
  <si>
    <t>=РГК!$I$10</t>
  </si>
  <si>
    <t>gShablon</t>
  </si>
  <si>
    <t>=РГК!$S$1</t>
  </si>
  <si>
    <t>gSOP</t>
  </si>
  <si>
    <t>=РГК!$B$11</t>
  </si>
  <si>
    <t>gSumDog</t>
  </si>
  <si>
    <t>=РГК!$L$79</t>
  </si>
  <si>
    <t>gT_11</t>
  </si>
  <si>
    <t>=РГК!$F$40</t>
  </si>
  <si>
    <t>gT_12</t>
  </si>
  <si>
    <t>=РГК!$F$41</t>
  </si>
  <si>
    <t>gT_13</t>
  </si>
  <si>
    <t>=РГК!$F$42</t>
  </si>
  <si>
    <t>gT_21</t>
  </si>
  <si>
    <t>=РГК!$F$43</t>
  </si>
  <si>
    <t>gT_22</t>
  </si>
  <si>
    <t>=РГК!$F$44</t>
  </si>
  <si>
    <t>gT_23</t>
  </si>
  <si>
    <t>=РГК!$F$45</t>
  </si>
  <si>
    <t>gT_31</t>
  </si>
  <si>
    <t>=РГК!$F$46</t>
  </si>
  <si>
    <t>gT_32</t>
  </si>
  <si>
    <t>=РГК!$F$47</t>
  </si>
  <si>
    <t>gT_33</t>
  </si>
  <si>
    <t>=РГК!$F$48</t>
  </si>
  <si>
    <t>gT_41</t>
  </si>
  <si>
    <t>=РГК!$F$49</t>
  </si>
  <si>
    <t>gT_42</t>
  </si>
  <si>
    <t>=РГК!$F$50</t>
  </si>
  <si>
    <t>gT_43</t>
  </si>
  <si>
    <t>=РГК!$F$51</t>
  </si>
  <si>
    <t>gTender</t>
  </si>
  <si>
    <t>=РГК!$K$1</t>
  </si>
  <si>
    <t>gUmRab</t>
  </si>
  <si>
    <t>=РГК!$B$7</t>
  </si>
  <si>
    <t>gV</t>
  </si>
  <si>
    <t>=РГК!$B$4</t>
  </si>
  <si>
    <t>gVidpMayster</t>
  </si>
  <si>
    <t>=РГК!$L$11</t>
  </si>
  <si>
    <t>gVMP</t>
  </si>
  <si>
    <t>=РГК!$B$10</t>
  </si>
  <si>
    <t>gVukon</t>
  </si>
  <si>
    <t>=РГК!$B$9</t>
  </si>
  <si>
    <t>gZah</t>
  </si>
  <si>
    <t>=РГК!$B$12</t>
  </si>
  <si>
    <t>gZzap</t>
  </si>
  <si>
    <t>=РГК!$I$3</t>
  </si>
  <si>
    <t>gумДатаТарифы</t>
  </si>
  <si>
    <t>=РГК!$B$8</t>
  </si>
  <si>
    <t>=КоэфРГК!$A$195:$E$195</t>
  </si>
  <si>
    <t>KOL_N_TV</t>
  </si>
  <si>
    <t>=КоэфРГК!$C$195</t>
  </si>
  <si>
    <t>KOL_N_XM</t>
  </si>
  <si>
    <t>=КоэфРГК!$B$195</t>
  </si>
  <si>
    <t>KOL_V_TV</t>
  </si>
  <si>
    <t>=КоэфРГК!$E$195</t>
  </si>
  <si>
    <t>KOL_V_XM</t>
  </si>
  <si>
    <t>=КоэфРГК!$D$195</t>
  </si>
  <si>
    <t>lТабЛісва</t>
  </si>
  <si>
    <t>=СМЕЩ(Лісництва!$A$1;0;0;СЧЁТЗ(Лісництва!$A$1:$A$65535);СЧЁТЗ(Лісництва!$A$1:$IU$1))</t>
  </si>
  <si>
    <t>maВіл</t>
  </si>
  <si>
    <t>=СМЕЩ(Мастера!$C$1;0;0;СЧЁТЗ(Мастера!$C$1:$C$65535);1)</t>
  </si>
  <si>
    <t>maКат</t>
  </si>
  <si>
    <t>=СМЕЩ(Мастера!$A$1;0;0;СЧЁТЗ(Мастера!$A$1:$A$65535);1)</t>
  </si>
  <si>
    <t>maКоз</t>
  </si>
  <si>
    <t>=СМЕЩ(Мастера!$B$1;0;0;СЧЁТЗ(Мастера!$B$1:$B$65535);1)</t>
  </si>
  <si>
    <t>maПех</t>
  </si>
  <si>
    <t>=СМЕЩ(Мастера!$D$1;0;0;СЧЁТЗ(Мастера!$D$1:$D$65535);1)</t>
  </si>
  <si>
    <t>maХл</t>
  </si>
  <si>
    <t>=СМЕЩ(Мастера!$E$1;0;0;СЧЁТЗ(Мастера!$E$1:$E$65535);1)</t>
  </si>
  <si>
    <t>maШп</t>
  </si>
  <si>
    <t>=СМЕЩ(Мастера!$F$1;0;0;СЧЁТЗ(Мастера!$F$1:$F$65535);1)</t>
  </si>
  <si>
    <t>mCKR</t>
  </si>
  <si>
    <t>=Молодняки!$H$1</t>
  </si>
  <si>
    <t>mCZ</t>
  </si>
  <si>
    <t>=Молодняки!$I$8</t>
  </si>
  <si>
    <t>mDataDog</t>
  </si>
  <si>
    <t>=Молодняки!$I$13</t>
  </si>
  <si>
    <t>mDataS</t>
  </si>
  <si>
    <t>=Молодняки!$L$9</t>
  </si>
  <si>
    <t>mDil</t>
  </si>
  <si>
    <t>=Молодняки!$L$12</t>
  </si>
  <si>
    <t>mDovginaVerh</t>
  </si>
  <si>
    <t>=Молодняки!$L$10</t>
  </si>
  <si>
    <t>mGp</t>
  </si>
  <si>
    <t>=Молодняки!$B$13</t>
  </si>
  <si>
    <t>mK_Skladanny</t>
  </si>
  <si>
    <t>=Молодняки!$M$13</t>
  </si>
  <si>
    <t>mKV</t>
  </si>
  <si>
    <t>=Молодняки!$B$3</t>
  </si>
  <si>
    <t>mKZ</t>
  </si>
  <si>
    <t>=Молодняки!$I$11</t>
  </si>
  <si>
    <t>mLisVo</t>
  </si>
  <si>
    <t>=Молодняки!$B$2</t>
  </si>
  <si>
    <t>mMas1Ga</t>
  </si>
  <si>
    <t>=Молодняки!$I$6</t>
  </si>
  <si>
    <t>mMD</t>
  </si>
  <si>
    <t>=Молодняки!$G$1</t>
  </si>
  <si>
    <t>mMLK</t>
  </si>
  <si>
    <t>=Молодняки!$J$1</t>
  </si>
  <si>
    <t>mNLK</t>
  </si>
  <si>
    <t>=Молодняки!$I$12</t>
  </si>
  <si>
    <t>mNr</t>
  </si>
  <si>
    <t>=Молодняки!$B$6</t>
  </si>
  <si>
    <t>mNTK</t>
  </si>
  <si>
    <t>=Молодняки!$Q$12</t>
  </si>
  <si>
    <t>mPl</t>
  </si>
  <si>
    <t>=Молодняки!$B$5</t>
  </si>
  <si>
    <t>mPND</t>
  </si>
  <si>
    <t>=Молодняки!$I$1</t>
  </si>
  <si>
    <t>mSumDog</t>
  </si>
  <si>
    <t>=Молодняки!#ССЫЛКА!</t>
  </si>
  <si>
    <t>mT_11</t>
  </si>
  <si>
    <t>=Молодняки!$E$20</t>
  </si>
  <si>
    <t>mT_12</t>
  </si>
  <si>
    <t>=Молодняки!$E$21</t>
  </si>
  <si>
    <t>mT_13</t>
  </si>
  <si>
    <t>=Молодняки!$E$22</t>
  </si>
  <si>
    <t>mT_21</t>
  </si>
  <si>
    <t>=Молодняки!$E$23</t>
  </si>
  <si>
    <t>mT_22</t>
  </si>
  <si>
    <t>=Молодняки!$E$24</t>
  </si>
  <si>
    <t>mT_23</t>
  </si>
  <si>
    <t>=Молодняки!$E$25</t>
  </si>
  <si>
    <t>mT_31</t>
  </si>
  <si>
    <t>=Молодняки!$E$26</t>
  </si>
  <si>
    <t>mT_32</t>
  </si>
  <si>
    <t>=Молодняки!$E$27</t>
  </si>
  <si>
    <t>mT_33</t>
  </si>
  <si>
    <t>=Молодняки!$E$28</t>
  </si>
  <si>
    <t>mT_41</t>
  </si>
  <si>
    <t>=Молодняки!$E$29</t>
  </si>
  <si>
    <t>mT_42</t>
  </si>
  <si>
    <t>=Молодняки!$E$30</t>
  </si>
  <si>
    <t>mT_43</t>
  </si>
  <si>
    <t>=Молодняки!$E$31</t>
  </si>
  <si>
    <t>mTender</t>
  </si>
  <si>
    <t>=Молодняки!$K$1</t>
  </si>
  <si>
    <t>mUmRab</t>
  </si>
  <si>
    <t>=Молодняки!$B$7</t>
  </si>
  <si>
    <t>mV</t>
  </si>
  <si>
    <t>=Молодняки!$B$4</t>
  </si>
  <si>
    <t>mVidpMayster</t>
  </si>
  <si>
    <t>=Молодняки!$L$11</t>
  </si>
  <si>
    <t>mVukon</t>
  </si>
  <si>
    <t>=Молодняки!$B$9</t>
  </si>
  <si>
    <t>mZzap</t>
  </si>
  <si>
    <t>=Молодняки!$I$3</t>
  </si>
  <si>
    <t>mумДатаТарифы</t>
  </si>
  <si>
    <t>=Молодняки!$B$8</t>
  </si>
  <si>
    <t>=КоэфРГК!$A$23:$M$32</t>
  </si>
  <si>
    <t>OBR_HL</t>
  </si>
  <si>
    <t>=КоэфРГК!$A$23:$A$32</t>
  </si>
  <si>
    <t>=КоэфРГК!$A$39:$M$48</t>
  </si>
  <si>
    <t>OBRU_HL</t>
  </si>
  <si>
    <t>=КоэфРГК!$A$39:$A$48</t>
  </si>
  <si>
    <t>=КоэфРГК!$A$214:$D$219</t>
  </si>
  <si>
    <t>OMRM_NS</t>
  </si>
  <si>
    <t>=КоэфРГК!$A$213:$B$213</t>
  </si>
  <si>
    <t>Pidg</t>
  </si>
  <si>
    <t>="Кнопка 2"</t>
  </si>
  <si>
    <t>=КоэфРГК!$A$55:$M$64</t>
  </si>
  <si>
    <t>PIL_HL</t>
  </si>
  <si>
    <t>=КоэфРГК!$A$55:$A$64</t>
  </si>
  <si>
    <t>=КоэфРГК!$A$160:$G$169</t>
  </si>
  <si>
    <t>PND_HL</t>
  </si>
  <si>
    <t>=КоэфРГК!$A$160:$A$169</t>
  </si>
  <si>
    <t>RDNAME</t>
  </si>
  <si>
    <t>=ЗР!$B$1:$F$1</t>
  </si>
  <si>
    <t>rKV</t>
  </si>
  <si>
    <t>=Расчет!$M$3</t>
  </si>
  <si>
    <t>rLisVo</t>
  </si>
  <si>
    <t>=Расчет!$J$3</t>
  </si>
  <si>
    <t>rPl</t>
  </si>
  <si>
    <t>=Расчет!$Q$3</t>
  </si>
  <si>
    <t>rV</t>
  </si>
  <si>
    <t>=Расчет!$O$3</t>
  </si>
  <si>
    <t>=КоэфРГК!$A$140:$E$153</t>
  </si>
  <si>
    <t>SPILP_HL</t>
  </si>
  <si>
    <t>=КоэфРГК!$A$140:$A$153</t>
  </si>
  <si>
    <t>=КоэфРГК!$A$119:$M$128</t>
  </si>
  <si>
    <t>SPLG_HL</t>
  </si>
  <si>
    <t>=КоэфРГК!$A$119:$A$128</t>
  </si>
  <si>
    <t>=КоэфРГК!$A$87:$M$96</t>
  </si>
  <si>
    <t>TEX_HL</t>
  </si>
  <si>
    <t>=КоэфРГК!$A$87:$A$96</t>
  </si>
  <si>
    <t>='D:\ISN AutoIt Studio\Projects\LIAS2017\Техкарта 2018\[Техкарта 2018.xlsm]РГК'!$B$5</t>
  </si>
  <si>
    <t xml:space="preserve">='D:\ISN AutoIt Studio\Projects\LIAS2017\Техкарта 2018\[Техкарта 2018.xlsm]Виконавец'!$B$2 0 0 СЧЁТЗ('D:\ISN AutoIt Studio\Projects\LIAS2017\Техкарта 2018\[Техкарта 2018.xlsm]Виконавец'!$B$2:$B$65533) </t>
  </si>
  <si>
    <t>vukonsokr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</si>
  <si>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2018.xlsm]Виконавец'!$A$2:$A$65533);1)</t>
  </si>
  <si>
    <t>vСокрВикон</t>
  </si>
  <si>
    <t>=СМЕЩ('D:\ISN AutoIt Studio\Projects\LIAS2017\Техкарта 2018\[Техкарта 2018.xlsm]Виконавец'!$A$2;0;0;СЧЁТЗ('D:\ISN AutoIt Studio\Projects\LIAS2017\Техкарта 2018\[Техкарта 2018.xlsm]Виконавец'!$A$1:$A$65533);1)</t>
  </si>
  <si>
    <t>vТабВикон</t>
  </si>
  <si>
    <t xml:space="preserve">='D:\ISN AutoIt Studio\Projects\LIAS2017\Техкарта 2018\[Техкарта 2018.xlsm]Виконавец'!$A$1 0 0 СЧЁТЗ('D:\ISN AutoIt Studio\Projects\LIAS2017\Техкарта 2018\[Техкарта 2018.xlsm]Виконавец'!$A$1:$A$65533) </t>
  </si>
  <si>
    <t>=КоэфРГК!$A$180:$E$189</t>
  </si>
  <si>
    <t>ZACH_HL</t>
  </si>
  <si>
    <t>=КоэфРГК!$A$180:$A$189</t>
  </si>
  <si>
    <t>=КоэфРГК!$A$201:$G$206</t>
  </si>
  <si>
    <t>ZKK_NS</t>
  </si>
  <si>
    <t>=КоэфРГК!$A$200:$C$200</t>
  </si>
  <si>
    <t>='D:\ISN AutoIt Studio\Projects\LIAS2017\Техкарта 2018\[Техкарта 2018.xlsm]КоэфРГК'!$A$5:$M$14</t>
  </si>
  <si>
    <t>ZV_HL</t>
  </si>
  <si>
    <t>='D:\ISN AutoIt Studio\Projects\LIAS2017\Техкарта 2018\[Техкарта 2018.xlsm]КоэфРГК'!$A$5:$A$14</t>
  </si>
  <si>
    <t>=КоэфРГК!$A$7:$M$16</t>
  </si>
  <si>
    <t>ZVZP_HL</t>
  </si>
  <si>
    <t>=КоэфРГК!$A$7:$A$16</t>
  </si>
  <si>
    <t>ZVZP_VM</t>
  </si>
  <si>
    <t>=КоэфРГК!$B$4:$M$4</t>
  </si>
  <si>
    <t>вибмассахворост</t>
  </si>
  <si>
    <t>=#ССЫЛКА!#ССЫЛКА!</t>
  </si>
  <si>
    <t>вибмасХмызМяк</t>
  </si>
  <si>
    <t>ВидШаблона</t>
  </si>
  <si>
    <t>=СМЕЩ(#ССЫЛКА!#ССЫЛКА!;0;0;СЧЁТЗ(#ССЫЛКА!#ССЫЛКА!);1)</t>
  </si>
  <si>
    <t>ВідРубки</t>
  </si>
  <si>
    <t>ВідШаблона</t>
  </si>
  <si>
    <t>ДЛГ</t>
  </si>
  <si>
    <t>=СМЕЩ(#ССЫЛКА!#ССЫЛКА!;0;0;СЧЁТЗ(#ССЫЛКА!#ССЫЛКА!);СЧЁТЗ(#ССЫЛКА!#ССЫЛКА!))</t>
  </si>
  <si>
    <t>Документы</t>
  </si>
  <si>
    <t>Коєф_ент_Граба</t>
  </si>
  <si>
    <t>КолКопи</t>
  </si>
  <si>
    <t>=СМЕЩ('D:\ISN AutoIt Studio\Projects\LIAS2017\Техкарта 2018\[Техкарта 2018.xlsm]Коєфициент'!$H$2;0;0;СЧЁТЗ('D:\ISN AutoIt Studio\Projects\LIAS2017\Техкарта 2018\[Техкарта 2018.xlsm]Коєфициент'!$H$2:$H$65535);1)</t>
  </si>
  <si>
    <t>КоэфСхилу</t>
  </si>
  <si>
    <t>=СМЕЩ('D:\ISN AutoIt Studio\Projects\LIAS2017\Техкарта 2018\[Техкарта 2018.xlsm]Коєфициент'!$I$2;0;0;СЧЁТЗ('D:\ISN AutoIt Studio\Projects\LIAS2017\Техкарта 2018\[Техкарта 2018.xlsm]Коєфициент'!$I$2:$I$65535);1)</t>
  </si>
  <si>
    <t>ЛісВаНумерация</t>
  </si>
  <si>
    <t>=СМЕЩ(Лісництва!$C$2;0;0;СЧЁТЗ(Лісництва!$C$2:$C$65535);1)</t>
  </si>
  <si>
    <t>=СМЕЩ(ЛК!E199;0;0;СЧЁТЗ(ЛК!E199:E294);1)</t>
  </si>
  <si>
    <t>ОбщСтажТекст</t>
  </si>
  <si>
    <t>=ЦЕЛОЕ(ОбщСтаж/365) &amp; " р " &amp; ЦЕЛОЕ((ОбщСтаж-ЦЕЛОЕ(ОбщСтаж/365)*365)/30) &amp; " м "&amp; ОбщСтаж-ЦЕЛОЕ(ОбщСтаж/365)*365-ЦЕЛОЕ((ОбщСтаж-ЦЕЛОЕ(ОбщСтаж/365)*365)/30)*30 &amp; " дн "</t>
  </si>
  <si>
    <t>Освітлення</t>
  </si>
  <si>
    <t>ПридупредитьЗа</t>
  </si>
  <si>
    <t>=10</t>
  </si>
  <si>
    <t>Розряд_высот</t>
  </si>
  <si>
    <t>=Коєфициент!$A$2:$A$6</t>
  </si>
  <si>
    <t>РядТемп</t>
  </si>
  <si>
    <t>={1;1;1;1;1;1;1;1;1;1;1;1;1;1;1;1}</t>
  </si>
  <si>
    <t>сPlocha</t>
  </si>
  <si>
    <t>сокрЛісВа</t>
  </si>
  <si>
    <t>=Лісництва!$B$2:$D$7</t>
  </si>
  <si>
    <t>СортШтабМП</t>
  </si>
  <si>
    <t>СортШтабТП</t>
  </si>
  <si>
    <t>Стоимость_бутылки_Чернигов</t>
  </si>
  <si>
    <t>=0,36</t>
  </si>
  <si>
    <t>табКоефРоз</t>
  </si>
  <si>
    <t>=Коєфициент!$C$2:$C$16</t>
  </si>
  <si>
    <t>табКоефЧерн</t>
  </si>
  <si>
    <t>=Коєфициент!$F$2:$G$6</t>
  </si>
  <si>
    <t>табНормаВироб</t>
  </si>
  <si>
    <t>=Коєфициент!$B$2:$B$16</t>
  </si>
  <si>
    <t>табРозВисот</t>
  </si>
  <si>
    <t>=Коєфициент!$A$2:$A$16</t>
  </si>
  <si>
    <t>табХворост</t>
  </si>
  <si>
    <t>табХмызМяк</t>
  </si>
  <si>
    <t>Тарифи1</t>
  </si>
  <si>
    <t xml:space="preserve">='D:\ISN AutoIt Studio\Projects\LIAS2017\Техкарта 2018\[Техкарта 2018.xlsm]Тарифи'!$A$1 0 0 СЧЁТЗ('D:\ISN AutoIt Studio\Projects\LIAS2017\Техкарта 2018\[Техкарта 2018.xlsm]Тарифи'!$A$1:$A$65533) </t>
  </si>
  <si>
    <t>Ч_б</t>
  </si>
  <si>
    <t>7.Спалювання гілля в зімовіх умовах</t>
  </si>
  <si>
    <t>Склад ланки</t>
  </si>
  <si>
    <t xml:space="preserve">норма вироботку </t>
  </si>
  <si>
    <t>нормі часу</t>
  </si>
  <si>
    <t>таріфна розцінка</t>
  </si>
  <si>
    <t>таріфна ставка</t>
  </si>
  <si>
    <t xml:space="preserve">Вирубування </t>
  </si>
  <si>
    <t>Без спалювання</t>
  </si>
  <si>
    <t>із спалюванням</t>
  </si>
  <si>
    <t>з густим</t>
  </si>
  <si>
    <t>з середнім</t>
  </si>
  <si>
    <t>з рідким</t>
  </si>
  <si>
    <t>підростом</t>
  </si>
  <si>
    <t xml:space="preserve">норма </t>
  </si>
  <si>
    <t xml:space="preserve">Кількість </t>
  </si>
  <si>
    <t xml:space="preserve">витрати </t>
  </si>
  <si>
    <t>ПММ</t>
  </si>
  <si>
    <t>диз.масла</t>
  </si>
  <si>
    <t>масла Штіль</t>
  </si>
  <si>
    <t>л.</t>
  </si>
  <si>
    <t>Вирубування кущів і підросту</t>
  </si>
  <si>
    <t>Спилювання пнів бензомоторними пилами</t>
  </si>
  <si>
    <t>Звалювання дерев бензомомоторними пилами</t>
  </si>
  <si>
    <t>Зрізування гілок та сучків бензомоторними пилами</t>
  </si>
  <si>
    <t>Збирання та складання в купи гілок та сучків</t>
  </si>
  <si>
    <t>Розкряжування хлистів бензомоторними пилами</t>
  </si>
  <si>
    <t>Деревина класу B,C,D                                                                                                           Граб</t>
  </si>
  <si>
    <t>Деревина класу  A                                                                                                                  Граб</t>
  </si>
  <si>
    <r>
      <t>Деревина дров"яна для промислового використання</t>
    </r>
    <r>
      <rPr>
        <sz val="11"/>
        <color theme="1"/>
        <rFont val="Calibri"/>
        <family val="2"/>
        <scheme val="minor"/>
      </rPr>
      <t xml:space="preserve">                                          Граб</t>
    </r>
  </si>
  <si>
    <r>
      <t>Дрова паливні  до 2,0 м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Граб</t>
    </r>
  </si>
  <si>
    <t>Спалювання гілля</t>
  </si>
  <si>
    <t xml:space="preserve">                                                                                                                 КОШТОРИС</t>
  </si>
  <si>
    <t xml:space="preserve">                                                                                на послуги, які надаються за Договором</t>
  </si>
  <si>
    <t>№             п/п</t>
  </si>
  <si>
    <t>Одиниці виміру</t>
  </si>
  <si>
    <t>Кількість</t>
  </si>
  <si>
    <t>Розцінка за одиницю, грн.</t>
  </si>
  <si>
    <t>Сума,                                          грн.</t>
  </si>
  <si>
    <t>Вартість одиниці перевірка</t>
  </si>
  <si>
    <t>Сума перевірка</t>
  </si>
  <si>
    <t>1.</t>
  </si>
  <si>
    <t>Підготовчі роботи та допоміжні роботи на лісосіці.</t>
  </si>
  <si>
    <t>1.1.</t>
  </si>
  <si>
    <t>Прибирання небезпечних дерев.</t>
  </si>
  <si>
    <t>1.2.</t>
  </si>
  <si>
    <t>Вирубування кущів і підросту, прибирання волоку, що заважає валці лісу.</t>
  </si>
  <si>
    <t>1.3.</t>
  </si>
  <si>
    <t>Спилювання пнів бензиномоторними пилами.</t>
  </si>
  <si>
    <t>шт.</t>
  </si>
  <si>
    <t>1.4.</t>
  </si>
  <si>
    <t>Спалювання гілля в зимових умовах.</t>
  </si>
  <si>
    <t>2.</t>
  </si>
  <si>
    <t>Лісосічні роботи.</t>
  </si>
  <si>
    <t>2.1.</t>
  </si>
  <si>
    <t>Звалювання дерев бензиномоторними пилками.</t>
  </si>
  <si>
    <t>2.2.</t>
  </si>
  <si>
    <t>Зрізування гілок та сучків бензиномоторними пилками.</t>
  </si>
  <si>
    <t>2.3.</t>
  </si>
  <si>
    <t>Збирання, складання в купи гілок, сучків та інше.</t>
  </si>
  <si>
    <t>2.4.</t>
  </si>
  <si>
    <t>Розкряжування хлистів бензиномоторними пилами.</t>
  </si>
  <si>
    <t>2.5.</t>
  </si>
  <si>
    <t>Зачищення сучків після розкряжування.</t>
  </si>
  <si>
    <t>2.6.</t>
  </si>
  <si>
    <t>Укладання дров у стоси вручну.</t>
  </si>
  <si>
    <t>Всього без ПДВ підготовчнх та лісосічних робіт</t>
  </si>
  <si>
    <t>ПДВ</t>
  </si>
  <si>
    <t>Всього з ПДВ підготовчих та лісосічних робіт</t>
  </si>
  <si>
    <t>3.</t>
  </si>
  <si>
    <t>Трелювання деревини</t>
  </si>
  <si>
    <t>-</t>
  </si>
  <si>
    <t>Всього без ПДВ трелювання</t>
  </si>
  <si>
    <t>Всього з ПДВ трелювання</t>
  </si>
  <si>
    <t>ПРОТОКОЛ</t>
  </si>
  <si>
    <t>погодження вартості послуг, які надаються за Договором</t>
  </si>
  <si>
    <t>квартал</t>
  </si>
  <si>
    <t>лісорубний квиток №</t>
  </si>
  <si>
    <t>Найменування послуг</t>
  </si>
  <si>
    <t xml:space="preserve">Трелювання деревини. </t>
  </si>
  <si>
    <t>ТЕХНІЧНЕ ЗАВДАННЯ</t>
  </si>
  <si>
    <t>Перелік та обсяг послуг, пов'язаних з лісівництвом, які надаються за Договором:</t>
  </si>
  <si>
    <t>Спалювання гілля.</t>
  </si>
  <si>
    <t>Трелювання деревини сортиментами з сортуванням.</t>
  </si>
  <si>
    <t>Префикс листа</t>
  </si>
  <si>
    <t>Кошторис</t>
  </si>
  <si>
    <t>Префикс для кошториса</t>
  </si>
  <si>
    <t>T_</t>
  </si>
  <si>
    <t>Части шаблона</t>
  </si>
  <si>
    <t>Заголовок</t>
  </si>
  <si>
    <t>Расчетная часть</t>
  </si>
  <si>
    <t>Сведенная часть</t>
  </si>
  <si>
    <t>Подвал</t>
  </si>
  <si>
    <t>h</t>
  </si>
  <si>
    <t>f</t>
  </si>
  <si>
    <t>m_t</t>
  </si>
  <si>
    <t>m_pt</t>
  </si>
  <si>
    <t>ККЗ</t>
  </si>
  <si>
    <t>mККЗ</t>
  </si>
  <si>
    <t>dККЗ</t>
  </si>
  <si>
    <t xml:space="preserve">Коригуючий Коэффициент затрат по видам рубок находится в именованой формуле </t>
  </si>
  <si>
    <t>АДРЕС(СТРОКА(ДВССЫЛ(A1));СТОЛБЕЦ(ДВССЫЛ(A1)))</t>
  </si>
  <si>
    <t>РГК!$B$3</t>
  </si>
  <si>
    <t>Приб</t>
  </si>
  <si>
    <t>Вируб</t>
  </si>
  <si>
    <t>Спил</t>
  </si>
  <si>
    <t>Спал</t>
  </si>
  <si>
    <t>Звал</t>
  </si>
  <si>
    <t>Зріз</t>
  </si>
  <si>
    <t>Збир</t>
  </si>
  <si>
    <t>Зачищ</t>
  </si>
  <si>
    <t>Уклад</t>
  </si>
  <si>
    <t>Розкр</t>
  </si>
  <si>
    <t>ДерКлBCD</t>
  </si>
  <si>
    <t>ДерКлA</t>
  </si>
  <si>
    <t>ДерПрПр</t>
  </si>
  <si>
    <t>ДерГраб</t>
  </si>
  <si>
    <t>Деревина за класом</t>
  </si>
  <si>
    <t>Деревина за породой</t>
  </si>
  <si>
    <t>ДерТВ</t>
  </si>
  <si>
    <t>ДерМЛ</t>
  </si>
  <si>
    <t>ДерПал</t>
  </si>
  <si>
    <t>МЛ</t>
  </si>
  <si>
    <t>ТВ</t>
  </si>
  <si>
    <t>КлBCD</t>
  </si>
  <si>
    <t>КлA</t>
  </si>
  <si>
    <t>ПрПр</t>
  </si>
  <si>
    <t>Пал</t>
  </si>
  <si>
    <t>Сумм</t>
  </si>
  <si>
    <t>FormName</t>
  </si>
  <si>
    <t>ContrName</t>
  </si>
  <si>
    <t>ContrType</t>
  </si>
  <si>
    <t>Comment</t>
  </si>
  <si>
    <t>?????? ???</t>
  </si>
  <si>
    <t>nerv_FDropDownList</t>
  </si>
  <si>
    <t>ComboBox1</t>
  </si>
  <si>
    <t>ComboBox</t>
  </si>
  <si>
    <t>MPage</t>
  </si>
  <si>
    <t>MultiPage</t>
  </si>
  <si>
    <t>Label1</t>
  </si>
  <si>
    <t>Label</t>
  </si>
  <si>
    <t>Label2</t>
  </si>
  <si>
    <t>Label3</t>
  </si>
  <si>
    <t>TextBox</t>
  </si>
  <si>
    <t>Label4</t>
  </si>
  <si>
    <t>Label5</t>
  </si>
  <si>
    <t>tboxPo</t>
  </si>
  <si>
    <t>Label6</t>
  </si>
  <si>
    <t>tboxDilova</t>
  </si>
  <si>
    <t>Label7</t>
  </si>
  <si>
    <t>tboxDrov</t>
  </si>
  <si>
    <t>Label8</t>
  </si>
  <si>
    <t>CommandButton1</t>
  </si>
  <si>
    <t>CommandButton</t>
  </si>
  <si>
    <t>Label11</t>
  </si>
  <si>
    <t>tboxLekvid</t>
  </si>
  <si>
    <t>Label13</t>
  </si>
  <si>
    <t>Нажми для поиска</t>
  </si>
  <si>
    <t>Label14</t>
  </si>
  <si>
    <t>Label10</t>
  </si>
  <si>
    <t>Label16</t>
  </si>
  <si>
    <t>Label17</t>
  </si>
  <si>
    <t>Label18</t>
  </si>
  <si>
    <t>Label19</t>
  </si>
  <si>
    <t>LabelPath</t>
  </si>
  <si>
    <t>LabelFileName</t>
  </si>
  <si>
    <t>CommandButton2</t>
  </si>
  <si>
    <t>Frame2</t>
  </si>
  <si>
    <t>Frame</t>
  </si>
  <si>
    <t>lnel</t>
  </si>
  <si>
    <t>Label22</t>
  </si>
  <si>
    <t>CommandButton6</t>
  </si>
  <si>
    <t>Frame4</t>
  </si>
  <si>
    <t>L61</t>
  </si>
  <si>
    <t>lVutrHl</t>
  </si>
  <si>
    <t>tbVutrKbmPDV</t>
  </si>
  <si>
    <t>Label30</t>
  </si>
  <si>
    <t>tbVutrHlPDV</t>
  </si>
  <si>
    <t>lVutrHlPDV</t>
  </si>
  <si>
    <t>Label32</t>
  </si>
  <si>
    <t>tbSumDog</t>
  </si>
  <si>
    <t>Label39</t>
  </si>
  <si>
    <t>TextBox_Підготовчі</t>
  </si>
  <si>
    <t>CommandButton15</t>
  </si>
  <si>
    <t>CommandButton16</t>
  </si>
  <si>
    <t>CommandButton18</t>
  </si>
  <si>
    <t>ComboBox_cDog</t>
  </si>
  <si>
    <t>Label15</t>
  </si>
  <si>
    <t>CommandButton19</t>
  </si>
  <si>
    <t>cb</t>
  </si>
  <si>
    <t>CommandButton21</t>
  </si>
  <si>
    <t>cbVzyatSTexkartu</t>
  </si>
  <si>
    <t xml:space="preserve">Взять из техкарты </t>
  </si>
  <si>
    <t>Frame6</t>
  </si>
  <si>
    <t>cbSoxranitVTexkartu</t>
  </si>
  <si>
    <t>Label48</t>
  </si>
  <si>
    <t>Месяц Початку робіт по розробці ділянки</t>
  </si>
  <si>
    <t>Label49</t>
  </si>
  <si>
    <t>Frame7</t>
  </si>
  <si>
    <t>Label50</t>
  </si>
  <si>
    <t>tbSumTender</t>
  </si>
  <si>
    <t>Label51</t>
  </si>
  <si>
    <t>Label52</t>
  </si>
  <si>
    <t>Frame3</t>
  </si>
  <si>
    <t>L51</t>
  </si>
  <si>
    <t>L52</t>
  </si>
  <si>
    <t>L53</t>
  </si>
  <si>
    <t>tbK_Vukon</t>
  </si>
  <si>
    <t>cbK_Vukon</t>
  </si>
  <si>
    <t>tbVukon</t>
  </si>
  <si>
    <t>Label53</t>
  </si>
  <si>
    <t>Label54</t>
  </si>
  <si>
    <t>Label55</t>
  </si>
  <si>
    <t>lRozrVus</t>
  </si>
  <si>
    <t>Label56</t>
  </si>
  <si>
    <t>Label57</t>
  </si>
  <si>
    <t>Label58</t>
  </si>
  <si>
    <t>Label59</t>
  </si>
  <si>
    <t>Frame5</t>
  </si>
  <si>
    <t>lUmRab</t>
  </si>
  <si>
    <t>Label46</t>
  </si>
  <si>
    <t>Label41</t>
  </si>
  <si>
    <t>lK_Skladanny</t>
  </si>
  <si>
    <t>Label60</t>
  </si>
  <si>
    <t>Label61</t>
  </si>
  <si>
    <t>Label62</t>
  </si>
  <si>
    <t>Frame8</t>
  </si>
  <si>
    <t>Label34</t>
  </si>
  <si>
    <t>Label35</t>
  </si>
  <si>
    <t>Label36</t>
  </si>
  <si>
    <t>Label63</t>
  </si>
  <si>
    <t>Label25</t>
  </si>
  <si>
    <t>cbVidpovidal</t>
  </si>
  <si>
    <t>CommandButton22</t>
  </si>
  <si>
    <t>CommandButton23</t>
  </si>
  <si>
    <t>Label64</t>
  </si>
  <si>
    <t>cmboxQuerys</t>
  </si>
  <si>
    <t>CommandButton24</t>
  </si>
  <si>
    <t>CommandButton25</t>
  </si>
  <si>
    <t>UserForm1</t>
  </si>
  <si>
    <t>UserForm2</t>
  </si>
  <si>
    <t>ComboBox2</t>
  </si>
  <si>
    <t>ComboBox3</t>
  </si>
  <si>
    <t>ComboBox4</t>
  </si>
  <si>
    <t>Form_SelectDate</t>
  </si>
  <si>
    <t>Image1</t>
  </si>
  <si>
    <t>Image</t>
  </si>
  <si>
    <t>Cell_1_2</t>
  </si>
  <si>
    <t>Cell_1_1</t>
  </si>
  <si>
    <t>Cell_1_3</t>
  </si>
  <si>
    <t>Cell_1_4</t>
  </si>
  <si>
    <t>Cell_1_5</t>
  </si>
  <si>
    <t>Cell_1_6</t>
  </si>
  <si>
    <t>Cell_1_7</t>
  </si>
  <si>
    <t>Cell_2_7</t>
  </si>
  <si>
    <t>Cell_2_6</t>
  </si>
  <si>
    <t>Cell_2_5</t>
  </si>
  <si>
    <t>Cell_2_4</t>
  </si>
  <si>
    <t>Cell_2_3</t>
  </si>
  <si>
    <t>Cell_2_2</t>
  </si>
  <si>
    <t>Cell_2_1</t>
  </si>
  <si>
    <t>Cell_3_7</t>
  </si>
  <si>
    <t>Cell_3_6</t>
  </si>
  <si>
    <t>Cell_3_5</t>
  </si>
  <si>
    <t>Cell_3_4</t>
  </si>
  <si>
    <t>Cell_3_3</t>
  </si>
  <si>
    <t>Cell_3_2</t>
  </si>
  <si>
    <t>Cell_3_1</t>
  </si>
  <si>
    <t>Cell_4_7</t>
  </si>
  <si>
    <t>Cell_4_6</t>
  </si>
  <si>
    <t>Cell_4_5</t>
  </si>
  <si>
    <t>Cell_4_4</t>
  </si>
  <si>
    <t>Cell_4_3</t>
  </si>
  <si>
    <t>Cell_4_2</t>
  </si>
  <si>
    <t>Cell_4_1</t>
  </si>
  <si>
    <t>Cell_5_7</t>
  </si>
  <si>
    <t>Cell_5_6</t>
  </si>
  <si>
    <t>Cell_5_5</t>
  </si>
  <si>
    <t>Cell_5_4</t>
  </si>
  <si>
    <t>Cell_5_3</t>
  </si>
  <si>
    <t>Cell_5_2</t>
  </si>
  <si>
    <t>Cell_5_1</t>
  </si>
  <si>
    <t>Cell_6_7</t>
  </si>
  <si>
    <t>Cell_6_6</t>
  </si>
  <si>
    <t>Cell_6_5</t>
  </si>
  <si>
    <t>Cell_6_4</t>
  </si>
  <si>
    <t>Cell_6_3</t>
  </si>
  <si>
    <t>Cell_6_2</t>
  </si>
  <si>
    <t>Cell_6_1</t>
  </si>
  <si>
    <t>Cmd_Назад_День</t>
  </si>
  <si>
    <t>День назад</t>
  </si>
  <si>
    <t>Cmd_Вперед_День</t>
  </si>
  <si>
    <t>День вперед</t>
  </si>
  <si>
    <t>Label_Month</t>
  </si>
  <si>
    <t>Label_Year</t>
  </si>
  <si>
    <t>Label_Day</t>
  </si>
  <si>
    <t>ComboBox_Month</t>
  </si>
  <si>
    <t>TextBox_Year</t>
  </si>
  <si>
    <t>SpinButton_Year</t>
  </si>
  <si>
    <t>SpinButton</t>
  </si>
  <si>
    <t>Cmd_Select</t>
  </si>
  <si>
    <t>Image_Назад_День</t>
  </si>
  <si>
    <t>Image_Вперед_День</t>
  </si>
  <si>
    <t>Cmd_Текущий_День</t>
  </si>
  <si>
    <t>Сегодня</t>
  </si>
  <si>
    <t>Image_Текущий_День</t>
  </si>
  <si>
    <t>TextBox_Дата</t>
  </si>
  <si>
    <t>Label_Hour</t>
  </si>
  <si>
    <t>Image2</t>
  </si>
  <si>
    <t>Label_Minute</t>
  </si>
  <si>
    <t>Label_Second</t>
  </si>
  <si>
    <t>ComboBox_Hour</t>
  </si>
  <si>
    <t>ComboBox_Minute</t>
  </si>
  <si>
    <t>ComboBox_Second</t>
  </si>
  <si>
    <t>ScrollBar_Hour</t>
  </si>
  <si>
    <t>ScrollBar</t>
  </si>
  <si>
    <t>Часы</t>
  </si>
  <si>
    <t>ScrollBar_Minute</t>
  </si>
  <si>
    <t>Минуты</t>
  </si>
  <si>
    <t>Image3</t>
  </si>
  <si>
    <t>Cmd_Cancel</t>
  </si>
  <si>
    <t>Frame_time</t>
  </si>
  <si>
    <t>chb_Time</t>
  </si>
  <si>
    <t>CheckBox</t>
  </si>
  <si>
    <t>F_Progress</t>
  </si>
  <si>
    <t>PrBar</t>
  </si>
  <si>
    <t>Спалювання</t>
  </si>
  <si>
    <t>Захаращеность</t>
  </si>
  <si>
    <t>Підріст</t>
  </si>
  <si>
    <t>Вирубування</t>
  </si>
  <si>
    <t>VKP</t>
  </si>
  <si>
    <t>НелГраб</t>
  </si>
  <si>
    <t>НелМяк</t>
  </si>
  <si>
    <t>НелТВ</t>
  </si>
  <si>
    <t>Pidrist</t>
  </si>
  <si>
    <t>bSpaluvanny</t>
  </si>
  <si>
    <t>VidpMayster</t>
  </si>
  <si>
    <t>T_51</t>
  </si>
  <si>
    <t>T_52</t>
  </si>
  <si>
    <t>T_53</t>
  </si>
  <si>
    <t>VitratuSort</t>
  </si>
  <si>
    <t>VitratuXlist</t>
  </si>
  <si>
    <t>Svedeno</t>
  </si>
  <si>
    <t>VALIDATION</t>
  </si>
  <si>
    <t xml:space="preserve">Техкарта </t>
  </si>
  <si>
    <t>parametr</t>
  </si>
  <si>
    <t>value</t>
  </si>
  <si>
    <t>comment</t>
  </si>
  <si>
    <t>Реестр</t>
  </si>
  <si>
    <t>Label Named Range</t>
  </si>
  <si>
    <t>offset Label</t>
  </si>
  <si>
    <t>[-1,-1]</t>
  </si>
  <si>
    <t>Од. Вим.</t>
  </si>
  <si>
    <t>Кіл-сть</t>
  </si>
  <si>
    <t>№п/п</t>
  </si>
  <si>
    <t>jsonTexzavdannya</t>
  </si>
  <si>
    <t>5\Коз\5_12_ДПО-18</t>
  </si>
  <si>
    <t>jsonKoshtoris</t>
  </si>
  <si>
    <t>((O23+O27+O28+O29+O31+O32+O33+O35+O36+O37+R60+R61+R62+O25)*1,215)/C71</t>
  </si>
  <si>
    <t>Сума,грн.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</si>
  <si>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лісосіці.","1_9":2843.041},{"2_0":"1.1.","2_1":"Прибирання небезпечних дерев.","2_6":"га","2_7":0.4,"2_8":578.8625,"2_9":231.545},{"3_0":"1.2.","3_1":"Вирубування кущів і підросту, прибирання волоку, що заважає валці лісу.","3_6":"га","3_7":0.4,"3_8":1010.66,"3_9":404.264},{"4_0":"1.3.","4_1":"Спилювання пнів бензиномоторними пилами.","4_6":"шт.","4_7":161,"4_8":8.18541614906832,"4_9":1317.852},{"5_0":"1.4.","5_1":"Спалювання гілля в зимових умовах.","5_6":"кбм","5_7":8,"5_8":111.1725,"5_9":889.38},{"6_0":"2.","6_1":"Лісосічні роботи.","6_9":7583.858},{"7_0":"2.1.","7_1":"Звалювання дерев бензиномоторними пилками.","7_6":"кбм","7_7":140,"7_8":4.0988,"7_9":573.832},{"8_0":"2.2.","8_1":"Зрізування гілок та сучків бензиномоторними пилками.","8_6":"кбм","8_7":140,"8_8":5.32167857142857,"8_9":745.035},{"9_0":"2.3.","9_1":"Збирання, складання в купи гілок, сучків та інше.","9_6":"кбм","9_7":140,"9_8":5.02785,"9_9":703.899},{"10_0":"2.4.","10_1":"Розкряжування хлистів бензиномоторними пилами.","10_6":"кбм","10_7":140,"10_8":21.2111785714286,"10_9":2969.565},{"11_0":"2.5.","11_1":"Зачищення сучків після розкряжування.","11_6":"кбм","11_7":140,"11_8":5.28327857142857,"11_9":739.659},{"12_0":"2.6.","12_1":"Укладання дров у стоси вручну.","12_6":"кбм","12_7":36,"12_8":51.4407777777778,"12_9":1851.868},{"13_0":"Всього без ПДВ підготовчнх та лісосічних робіт","13_8":74.478,"13_9":10426.899},{"14_0":"ПДВ","14_9":0},{"15_0":"Всього з ПДВ підготовчих та лісосічних робіт","15_9":10426.899}]</t>
  </si>
  <si>
    <r>
      <t xml:space="preserve">Деревина класу B,C,D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Граб</t>
    </r>
  </si>
  <si>
    <r>
      <t xml:space="preserve">Деревина класу  A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Граб</t>
    </r>
  </si>
  <si>
    <r>
      <t xml:space="preserve">Деревина дров"яна для промислового використання                    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Граб</t>
    </r>
  </si>
  <si>
    <r>
      <t xml:space="preserve">Дрова паливні  до 2,0 м   </t>
    </r>
    <r>
      <rPr>
        <sz val="11"/>
        <color theme="1"/>
        <rFont val="Calibri"/>
        <family val="2"/>
        <scheme val="minor"/>
      </rPr>
      <t xml:space="preserve">                                                                                                                         Граб</t>
    </r>
  </si>
  <si>
    <t>Найменування послуг*</t>
  </si>
  <si>
    <t>1.1</t>
  </si>
  <si>
    <t>1.2</t>
  </si>
  <si>
    <t>1.3</t>
  </si>
  <si>
    <t>Збирання, складання в купи верховіття</t>
  </si>
  <si>
    <t>1.4</t>
  </si>
  <si>
    <t>1.5</t>
  </si>
  <si>
    <t>1.6</t>
  </si>
  <si>
    <t>Всього без ПДВ лісосічних робіт</t>
  </si>
  <si>
    <t>Всього з ПДВ  лісосічних робіт</t>
  </si>
  <si>
    <t>Всього без ПДВ  лісосічних робіт</t>
  </si>
  <si>
    <t>Всього з ПДВ лісосічних робіт</t>
  </si>
  <si>
    <t xml:space="preserve">Трелювання деревини </t>
  </si>
  <si>
    <t>Трелювання деревини.</t>
  </si>
  <si>
    <t>Спилювання дерев товщиною в окопенку 4 см з переходом для заправки кущоріза, технічне обслуговуваня механізму</t>
  </si>
  <si>
    <t>Очищен</t>
  </si>
  <si>
    <t>ТЕХНІЧНЕ_ЗАВДАННЯ</t>
  </si>
  <si>
    <t>КОШТОРИС</t>
  </si>
  <si>
    <t>dРДКОШТОРИС</t>
  </si>
  <si>
    <t>dРДПРОТОКОЛ</t>
  </si>
  <si>
    <t>dРДТЕХНІЧНЕ_ЗАВДАННЯ</t>
  </si>
  <si>
    <t>Округлять до</t>
  </si>
  <si>
    <t>Переводний коефіцієнт</t>
  </si>
  <si>
    <t>mМолодняки_кошторис</t>
  </si>
  <si>
    <t>dРД_кошторис</t>
  </si>
  <si>
    <t>EVALUATE</t>
  </si>
  <si>
    <t>gbSpaluvanny</t>
  </si>
  <si>
    <t>gGPGP</t>
  </si>
  <si>
    <t>gK_Skladanny</t>
  </si>
  <si>
    <t>gPidrist</t>
  </si>
  <si>
    <t>gSvedeno</t>
  </si>
  <si>
    <t>gT_51</t>
  </si>
  <si>
    <t>gT_52</t>
  </si>
  <si>
    <t>gT_53</t>
  </si>
  <si>
    <t>gVitratuSort</t>
  </si>
  <si>
    <t>gVitratuXlist</t>
  </si>
  <si>
    <t>gДерГраб</t>
  </si>
  <si>
    <t>gДерКлA</t>
  </si>
  <si>
    <t>gДерКлBCD</t>
  </si>
  <si>
    <t>gДерМЛ</t>
  </si>
  <si>
    <t>gДерПал</t>
  </si>
  <si>
    <t>gДерПрПр</t>
  </si>
  <si>
    <t>gДерТВ</t>
  </si>
  <si>
    <t>gККЗ</t>
  </si>
  <si>
    <t>gРГК_кошторис</t>
  </si>
  <si>
    <t>k</t>
  </si>
  <si>
    <t>mKP</t>
  </si>
  <si>
    <t>mМолодняки_протокол</t>
  </si>
  <si>
    <t>mМолодняки_тех</t>
  </si>
  <si>
    <t>Param</t>
  </si>
  <si>
    <t>АДДРЕССИМЯ</t>
  </si>
  <si>
    <t>РеестрЛКЕОД!_FilterDatabase</t>
  </si>
  <si>
    <t>SheetNAme!ExternalData_1</t>
  </si>
  <si>
    <t>ДілянкаПоЛК!ExternalData_1</t>
  </si>
  <si>
    <t>ДоговораПодрядаЕОД!ExternalData_1</t>
  </si>
  <si>
    <t>Лист10!ExternalData_1</t>
  </si>
  <si>
    <t>Лист11!ExternalData_1</t>
  </si>
  <si>
    <t>Лист12!ExternalData_1</t>
  </si>
  <si>
    <t>Лист13!ExternalData_1</t>
  </si>
  <si>
    <t>Лист14!ExternalData_1</t>
  </si>
  <si>
    <t>Лист2!ExternalData_1</t>
  </si>
  <si>
    <t>ЛК!ExternalData_1</t>
  </si>
  <si>
    <t>РеестрЛКЕОД!ExternalData_1</t>
  </si>
  <si>
    <t>РеестрЛКЕОДConect!ExternalData_1</t>
  </si>
  <si>
    <t>Группа порыд по головной породе</t>
  </si>
  <si>
    <t>КоэфРГК!ZVZP_HL</t>
  </si>
  <si>
    <t>Возвращает адресс именованного диапазон переданого в ячейке слева</t>
  </si>
  <si>
    <t>Зона</t>
  </si>
  <si>
    <t>РеестрЛКЕОД!Criteria</t>
  </si>
  <si>
    <t>ЛісВа</t>
  </si>
  <si>
    <t>Молодняки!Print_Area</t>
  </si>
  <si>
    <t>Расчет!Print_Area</t>
  </si>
  <si>
    <t>РГК!Print_Area</t>
  </si>
  <si>
    <t>РД!Print_Area</t>
  </si>
  <si>
    <t>Тендер!ОбщСтажТекст</t>
  </si>
  <si>
    <t>Тендер!РядТемп</t>
  </si>
  <si>
    <t>RefersTo</t>
  </si>
  <si>
    <t>Формула</t>
  </si>
  <si>
    <t>isSheetLink</t>
  </si>
  <si>
    <t>CellReflist</t>
  </si>
  <si>
    <t>Column</t>
  </si>
  <si>
    <t>Row</t>
  </si>
  <si>
    <t>dFooter</t>
  </si>
  <si>
    <t>dHeader</t>
  </si>
  <si>
    <t>dMain</t>
  </si>
  <si>
    <t>gFooter</t>
  </si>
  <si>
    <t>gHeader</t>
  </si>
  <si>
    <t>gMain</t>
  </si>
  <si>
    <t>mFooter</t>
  </si>
  <si>
    <t>mHeader</t>
  </si>
  <si>
    <t>mMain</t>
  </si>
  <si>
    <t>Розцінка за одиницю,грн.</t>
  </si>
  <si>
    <t>[{"№             п/п":"1.","Найменування послуг":"Лісосічні роботи."},{"№             п/п":"1.1","Найменування послуг":"Звалювання дерев бензиномоторними пилками.","Одиниці виміру":"кбм","Кількість":20,"Розцінка за одиницю,грн.":150,"Сума,                                          грн.":3000},{"№             п/п":"1.2","Найменування послуг":"Зрізування гілок та сучків бензиномоторними пилками.","Одиниці виміру":"кбм","Кількість":46,"Розцінка за одиницю,грн.":21.3543695652174,"Сума,                                          грн.":982.301},{"№             п/п":"1.3","Найменування послуг":"Збирання, складання в купи верховіття","Одиниці виміру":"кбм","Кількість":36,"Розцінка за одиницю,грн.":16.0731388888889,"Сума,                                          грн.":578.633},{"№             п/п":"1.4","Найменування послуг":"Розкряжування хлистів бензиномоторними пилами.","Одиниці виміру":"кбм","Кількість":82,"Розцінка за одиницю,грн.":23.7731951219512,"Сума,                                          грн.":1949.402},{"№             п/п":"1.5","Найменування послуг":"Зачищення сучків після розкряжування.","Одиниці виміру":"кбм","Кількість":10,"Розцінка за одиницю,грн.":40.5134,"Сума,                                          грн.":405.134},{"№             п/п":"1.6","Найменування послуг":"Укладання дров у стоси вручну.","Одиниці виміру":"кбм","Кількість":46,"Розцінка за одиницю,грн.":14.823,"Сума,                                          грн.":681.858},{"№             п/п":"Всього без ПДВ лісосічних робіт","Розцінка за одиницю,грн.":229.8664,"Сума,                                          грн.":7597.328},{"№             п/п":"ПДВ","Сума,                                          грн.":0},{"№             п/п":"Всього з ПДВ  лісосічних робіт","Сума,                                          грн.":7597.328},{"№             п/п":"2.","Найменування послуг":"Трелювання деревини сортиментами з сортуванням.","Сума,                                          грн.":"-"},{"№             п/п":"Всього без ПДВ трелювання","Сума,                                          грн.":"-"},{"№             п/п":"ПДВ","Сума,                                          грн.":"-"},{"№             п/п":"Всього з ПДВ трелювання","Сума,                                          грн.":"-"}]</t>
  </si>
  <si>
    <t>DovginaVerh</t>
  </si>
  <si>
    <t>3\Хл\10_12_ДПО-18</t>
  </si>
  <si>
    <t>[{"0_0":"№п/п","0_1":"Найменування послуг","0_6":"Одиниці виміру","0_7":"Кількість","0_8":"Розцінка за одиницю, грн.","0_9":"Сума,грн."},{"1_0":"1.","1_1":"Підготовчі роботи та допоміжні роботи на лісосіці.","1_9":10468.093},{"2_0":"1.1.","2_1":"Прибирання небезпечних дерев.","2_6":"га","2_7":2.2,"2_8":578.862272727273,"2_9":1273.497},{"3_0":"1.2.","3_1":"Вирубування кущів і підросту, прибирання волоку, що заважає валці лісу.","3_6":"га","3_7":2.2,"3_8":1010.65909090909,"3_9":2223.45},{"4_0":"1.3.","4_1":"Спилювання пнів бензиномоторними пилами.","4_6":"шт.","4_7":743,"4_8":8.18541857335128,"4_9":6081.766},{"5_0":"1.4.","5_1":"Спалювання гілля в зимових умовах.","5_6":"кбм","5_7":8,"5_8":111.1725,"5_9":889.38},{"6_0":"2.","6_1":"Лісосічні роботи.","6_9":35198.307},{"7_0":"2.1.","7_1":"Звалювання дерев бензиномоторними пилками.","7_6":"кбм","7_7":719,"7_8":4.09143671766342,"7_9":2941.743},{"8_0":"2.2.","8_1":"Зрізування гілок та сучків бензиномоторними пилками.","8_6":"кбм","8_7":719,"8_8":5.31178025034771,"8_9":3819.17},{"9_0":"2.3.","9_1":"Збирання, складання в купи гілок, сучків та інше.","9_6":"кбм","9_7":719,"9_8":5.0149388038943,"9_9":3605.741},{"10_0":"2.4.","10_1":"Розкряжування хлистів бензиномоторними пилами.","10_6":"кбм","10_7":719,"10_8":18.8670417246175,"10_9":13565.403},{"11_0":"2.5.","11_1":"Зачищення сучків після розкряжування.","11_6":"кбм","11_7":719,"11_8":5.26600417246175,"11_9":3786.257},{"12_0":"2.6.","12_1":"Укладання дров у стоси вручну.","12_6":"кбм","12_7":145,"12_8":51.5861586206897,"12_9":7479.993},{"13_0":"Всього без ПДВ підготовчнх та лісосічних робіт","13_8":63.514,"13_9":45666.4},{"14_0":"ПДВ","14_9":0},{"15_0":"Всього з ПДВ підготовчих та лісосічних робіт","15_9":45666.4}]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</si>
</sst>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_-* #,##0.00_₴_-;\-* #,##0.00_₴_-;_-* &quot;-&quot;??_₴_-;_-@_-"/>
    <numFmt numFmtId="165" formatCode="0.000"/>
    <numFmt numFmtId="166" formatCode="[$-FC22]d\ mmmm\ yyyy&quot; р.&quot;;@"/>
    <numFmt numFmtId="167" formatCode="dd\.mm\.yyyy;@"/>
    <numFmt numFmtId="168" formatCode="0.0"/>
    <numFmt numFmtId="169" formatCode="m/d/yyyy"/>
    <numFmt numFmtId="170" formatCode="#,##0.00&quot;₴&quot;"/>
    <numFmt numFmtId="171" formatCode="#,##0.000"/>
    <numFmt numFmtId="172" formatCode="0.0000"/>
    <numFmt numFmtId="173" formatCode="0.00000"/>
    <numFmt numFmtId="174" formatCode="0.000000000"/>
    <numFmt numFmtId="175" formatCode="0.00000000000000000"/>
    <numFmt numFmtId="176" formatCode="0.0000000000000000"/>
    <numFmt numFmtId="177" formatCode="0.000000000000000"/>
    <numFmt numFmtId="178" formatCode="_-* #,##0.0000_р_._-;\-* #,##0.0000_р_._-;_-* &quot;-&quot;????_р_._-;_-@_-"/>
  </numFmts>
  <fonts count="9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b/>
      <sz val="10"/>
      <name val="Arial Cyr"/>
      <charset val="204"/>
    </font>
    <font>
      <sz val="10"/>
      <name val="Arial"/>
      <family val="2"/>
      <charset val="204"/>
    </font>
    <font>
      <b/>
      <sz val="12"/>
      <name val="Arial Cyr"/>
      <charset val="204"/>
    </font>
    <font>
      <b/>
      <sz val="10"/>
      <name val="Arial"/>
      <family val="2"/>
      <charset val="204"/>
    </font>
    <font>
      <b/>
      <i/>
      <sz val="10"/>
      <name val="Arial Cyr"/>
      <charset val="204"/>
    </font>
    <font>
      <i/>
      <sz val="10"/>
      <name val="Arial Cyr"/>
      <charset val="204"/>
    </font>
    <font>
      <b/>
      <sz val="10"/>
      <name val="Arial Cyr"/>
      <family val="2"/>
      <charset val="204"/>
    </font>
    <font>
      <b/>
      <i/>
      <sz val="12"/>
      <name val="Arial Cyr"/>
      <charset val="204"/>
    </font>
    <font>
      <b/>
      <sz val="12"/>
      <name val="Arial Cyr"/>
      <family val="2"/>
      <charset val="204"/>
    </font>
    <font>
      <b/>
      <sz val="12"/>
      <name val="Times New Roman"/>
      <family val="1"/>
      <charset val="204"/>
    </font>
    <font>
      <b/>
      <sz val="8"/>
      <color indexed="81"/>
      <name val="Tahoma"/>
      <family val="2"/>
      <charset val="204"/>
    </font>
    <font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4"/>
      <name val="Arial Cyr"/>
      <charset val="204"/>
    </font>
    <font>
      <sz val="14"/>
      <name val="Arial Cyr"/>
      <charset val="204"/>
    </font>
    <font>
      <sz val="14"/>
      <color theme="1"/>
      <name val="Calibri"/>
      <family val="2"/>
      <scheme val="minor"/>
    </font>
    <font>
      <sz val="14"/>
      <name val="Arial"/>
      <family val="2"/>
      <charset val="204"/>
    </font>
    <font>
      <b/>
      <i/>
      <sz val="14"/>
      <name val="Arial Cyr"/>
      <charset val="204"/>
    </font>
    <font>
      <sz val="12"/>
      <color theme="1"/>
      <name val="Calibri"/>
      <family val="2"/>
      <scheme val="minor"/>
    </font>
    <font>
      <sz val="10"/>
      <name val="Arial Cyr"/>
    </font>
    <font>
      <b/>
      <sz val="11"/>
      <color theme="0"/>
      <name val="Calibri"/>
      <family val="2"/>
      <scheme val="minor"/>
    </font>
    <font>
      <b/>
      <sz val="10"/>
      <name val="Arial Cyr"/>
    </font>
    <font>
      <sz val="11"/>
      <name val="Times New Roman"/>
      <family val="1"/>
      <charset val="204"/>
    </font>
    <font>
      <sz val="10"/>
      <name val="Arial Cyr"/>
      <family val="2"/>
      <charset val="204"/>
    </font>
    <font>
      <b/>
      <sz val="10"/>
      <name val="Times New Roman"/>
      <family val="1"/>
      <charset val="204"/>
    </font>
    <font>
      <sz val="10"/>
      <name val="Times New Roman"/>
      <family val="1"/>
      <charset val="204"/>
    </font>
    <font>
      <sz val="10"/>
      <name val="Book Antiqua"/>
      <family val="1"/>
      <charset val="204"/>
    </font>
    <font>
      <sz val="10"/>
      <color indexed="10"/>
      <name val="Book Antiqua"/>
      <family val="1"/>
      <charset val="204"/>
    </font>
    <font>
      <sz val="10"/>
      <color indexed="10"/>
      <name val="Book Antiqua"/>
      <family val="1"/>
      <charset val="204"/>
    </font>
    <font>
      <b/>
      <sz val="8"/>
      <name val="Arial"/>
      <family val="2"/>
      <charset val="204"/>
    </font>
    <font>
      <b/>
      <sz val="10"/>
      <color rgb="FFFF0000"/>
      <name val="Arial Cyr"/>
      <charset val="204"/>
    </font>
    <font>
      <sz val="10"/>
      <name val="0"/>
      <charset val="204"/>
    </font>
    <font>
      <b/>
      <sz val="10"/>
      <color indexed="22"/>
      <name val="Arial"/>
      <family val="2"/>
      <charset val="204"/>
    </font>
    <font>
      <b/>
      <sz val="10"/>
      <name val="0"/>
      <charset val="204"/>
    </font>
    <font>
      <b/>
      <sz val="10"/>
      <color indexed="10"/>
      <name val="Arial"/>
      <family val="2"/>
      <charset val="204"/>
    </font>
    <font>
      <b/>
      <sz val="10"/>
      <color indexed="10"/>
      <name val="0"/>
      <charset val="204"/>
    </font>
    <font>
      <sz val="10"/>
      <color indexed="22"/>
      <name val="0"/>
      <charset val="204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Arial Cyr"/>
      <charset val="204"/>
    </font>
    <font>
      <b/>
      <sz val="12"/>
      <color theme="1"/>
      <name val="Arial"/>
      <family val="2"/>
      <charset val="204"/>
    </font>
    <font>
      <sz val="12"/>
      <name val="Arial"/>
      <family val="2"/>
      <charset val="204"/>
    </font>
    <font>
      <b/>
      <sz val="8"/>
      <color rgb="FFFF0000"/>
      <name val="Arial Cyr"/>
      <charset val="204"/>
    </font>
    <font>
      <b/>
      <sz val="12"/>
      <name val="Arial"/>
      <family val="2"/>
      <charset val="204"/>
    </font>
    <font>
      <i/>
      <sz val="12"/>
      <name val="Arial"/>
      <family val="2"/>
      <charset val="204"/>
    </font>
    <font>
      <b/>
      <sz val="10"/>
      <color indexed="56"/>
      <name val="Tahoma"/>
      <family val="2"/>
      <charset val="204"/>
    </font>
    <font>
      <i/>
      <sz val="10"/>
      <name val="Arial"/>
      <family val="2"/>
      <charset val="204"/>
    </font>
    <font>
      <sz val="12"/>
      <color rgb="FF000000"/>
      <name val="Courier New"/>
      <family val="3"/>
      <charset val="204"/>
    </font>
    <font>
      <sz val="12"/>
      <color rgb="FF000000"/>
      <name val="Courier New"/>
      <family val="3"/>
      <charset val="204"/>
    </font>
    <font>
      <b/>
      <sz val="11"/>
      <name val="Times New Roman"/>
      <family val="1"/>
      <charset val="204"/>
    </font>
    <font>
      <sz val="11"/>
      <color rgb="FF747474"/>
      <name val="Arial"/>
      <family val="2"/>
      <charset val="204"/>
    </font>
    <font>
      <sz val="11"/>
      <color indexed="8"/>
      <name val="Calibri"/>
      <family val="2"/>
      <charset val="204"/>
    </font>
    <font>
      <sz val="10"/>
      <name val="Arial"/>
      <family val="2"/>
    </font>
    <font>
      <b/>
      <sz val="9"/>
      <color indexed="8"/>
      <name val="Arial"/>
      <family val="2"/>
    </font>
    <font>
      <b/>
      <sz val="10"/>
      <color rgb="FF000000"/>
      <name val="Arial Cyr"/>
    </font>
    <font>
      <sz val="10"/>
      <color theme="0"/>
      <name val="Arial Cyr"/>
      <charset val="204"/>
    </font>
    <font>
      <b/>
      <sz val="16"/>
      <name val="Arial Cyr"/>
      <charset val="204"/>
    </font>
    <font>
      <b/>
      <sz val="10"/>
      <color indexed="10"/>
      <name val="Arial Cyr"/>
      <charset val="204"/>
    </font>
    <font>
      <b/>
      <sz val="12"/>
      <color indexed="10"/>
      <name val="Arial Cyr"/>
      <charset val="204"/>
    </font>
    <font>
      <b/>
      <sz val="11"/>
      <color indexed="10"/>
      <name val="Arial Cyr"/>
      <charset val="204"/>
    </font>
    <font>
      <b/>
      <sz val="11"/>
      <name val="Arial Cyr"/>
      <charset val="204"/>
    </font>
    <font>
      <b/>
      <sz val="10"/>
      <color rgb="FFFFFFFF"/>
      <name val="Arial Cyr"/>
      <charset val="204"/>
    </font>
    <font>
      <sz val="10"/>
      <color rgb="FF000000"/>
      <name val="Arial Cyr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i/>
      <sz val="12"/>
      <color theme="1"/>
      <name val="Times New Roman"/>
      <family val="1"/>
      <charset val="204"/>
    </font>
    <font>
      <sz val="12"/>
      <color rgb="FF000000"/>
      <name val="Verdana"/>
      <family val="2"/>
      <charset val="204"/>
    </font>
    <font>
      <sz val="8"/>
      <name val="Arial"/>
      <family val="2"/>
    </font>
    <font>
      <b/>
      <sz val="12"/>
      <color rgb="FF000000"/>
      <name val="Verdana"/>
      <family val="2"/>
      <charset val="204"/>
    </font>
    <font>
      <b/>
      <sz val="11"/>
      <color indexed="8"/>
      <name val="Calibri"/>
      <family val="2"/>
      <charset val="204"/>
    </font>
    <font>
      <sz val="11"/>
      <color rgb="FFFF0000"/>
      <name val="Calibri"/>
      <family val="2"/>
      <scheme val="minor"/>
    </font>
    <font>
      <sz val="10"/>
      <color rgb="FFFF0000"/>
      <name val="Arial Cyr"/>
      <charset val="204"/>
    </font>
    <font>
      <b/>
      <sz val="10"/>
      <color rgb="FFFF0000"/>
      <name val="Arial"/>
      <family val="2"/>
      <charset val="204"/>
    </font>
    <font>
      <sz val="11"/>
      <color rgb="FFFF0000"/>
      <name val="Calibri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mo"/>
      <family val="2"/>
      <charset val="204"/>
    </font>
    <font>
      <b/>
      <i/>
      <sz val="14"/>
      <color theme="1"/>
      <name val="Calibri"/>
      <family val="2"/>
      <charset val="204"/>
      <scheme val="minor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b/>
      <i/>
      <sz val="11"/>
      <color theme="1"/>
      <name val="Calibri"/>
      <family val="2"/>
      <charset val="204"/>
      <scheme val="minor"/>
    </font>
    <font>
      <i/>
      <sz val="10"/>
      <name val="Times New Roman"/>
      <family val="1"/>
      <charset val="204"/>
    </font>
    <font>
      <b/>
      <i/>
      <sz val="10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4"/>
      <color rgb="FF000000"/>
      <name val="Courier New"/>
      <family val="3"/>
      <charset val="204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AD47"/>
        <bgColor rgb="FF70AD47"/>
      </patternFill>
    </fill>
    <fill>
      <patternFill patternType="solid">
        <fgColor rgb="FFE2EFDA"/>
        <bgColor rgb="FFE2EFD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dashed">
        <color indexed="23"/>
      </bottom>
      <diagonal/>
    </border>
    <border>
      <left style="thin">
        <color indexed="23"/>
      </left>
      <right style="thin">
        <color indexed="23"/>
      </right>
      <top style="dashed">
        <color indexed="23"/>
      </top>
      <bottom style="thin">
        <color indexed="2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rgb="FFA9D08E"/>
      </top>
      <bottom style="thin">
        <color rgb="FFA9D08E"/>
      </bottom>
      <diagonal/>
    </border>
    <border>
      <left/>
      <right/>
      <top/>
      <bottom style="thin">
        <color rgb="FFA9D08E"/>
      </bottom>
      <diagonal/>
    </border>
    <border>
      <left/>
      <right/>
      <top style="thin">
        <color rgb="FFA9D08E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4">
    <xf numFmtId="0" fontId="0" fillId="0" borderId="0"/>
    <xf numFmtId="0" fontId="3" fillId="0" borderId="0"/>
    <xf numFmtId="0" fontId="5" fillId="0" borderId="0"/>
    <xf numFmtId="0" fontId="24" fillId="0" borderId="0"/>
    <xf numFmtId="0" fontId="3" fillId="0" borderId="0"/>
    <xf numFmtId="0" fontId="3" fillId="0" borderId="0"/>
    <xf numFmtId="0" fontId="3" fillId="0" borderId="0"/>
    <xf numFmtId="0" fontId="36" fillId="0" borderId="0">
      <alignment vertical="center"/>
    </xf>
    <xf numFmtId="0" fontId="56" fillId="0" borderId="0"/>
    <xf numFmtId="0" fontId="57" fillId="0" borderId="0">
      <alignment vertical="center"/>
    </xf>
    <xf numFmtId="0" fontId="73" fillId="0" borderId="0"/>
    <xf numFmtId="164" fontId="80" fillId="0" borderId="0" applyFont="0" applyFill="0" applyBorder="0" applyAlignment="0" applyProtection="0"/>
    <xf numFmtId="0" fontId="2" fillId="0" borderId="0"/>
    <xf numFmtId="0" fontId="1" fillId="0" borderId="0"/>
  </cellStyleXfs>
  <cellXfs count="1205">
    <xf numFmtId="0" fontId="0" fillId="0" borderId="0" xfId="0"/>
    <xf numFmtId="0" fontId="4" fillId="0" borderId="0" xfId="1" applyFont="1" applyFill="1" applyAlignment="1"/>
    <xf numFmtId="0" fontId="3" fillId="0" borderId="0" xfId="1" applyFill="1"/>
    <xf numFmtId="0" fontId="5" fillId="0" borderId="0" xfId="2" applyFill="1"/>
    <xf numFmtId="0" fontId="4" fillId="0" borderId="0" xfId="1" applyFont="1" applyFill="1"/>
    <xf numFmtId="0" fontId="6" fillId="0" borderId="0" xfId="1" applyFont="1" applyFill="1" applyBorder="1" applyAlignment="1"/>
    <xf numFmtId="0" fontId="0" fillId="0" borderId="0" xfId="1" applyFont="1" applyFill="1" applyAlignment="1"/>
    <xf numFmtId="0" fontId="3" fillId="0" borderId="0" xfId="1" applyFill="1" applyAlignment="1"/>
    <xf numFmtId="0" fontId="3" fillId="0" borderId="2" xfId="1" applyFill="1" applyBorder="1" applyAlignment="1">
      <alignment horizontal="center"/>
    </xf>
    <xf numFmtId="0" fontId="3" fillId="0" borderId="3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ont="1" applyFill="1" applyBorder="1" applyAlignment="1">
      <alignment horizontal="center"/>
    </xf>
    <xf numFmtId="0" fontId="3" fillId="0" borderId="7" xfId="1" applyFill="1" applyBorder="1" applyAlignment="1">
      <alignment horizontal="center"/>
    </xf>
    <xf numFmtId="0" fontId="0" fillId="0" borderId="7" xfId="1" applyFont="1" applyFill="1" applyBorder="1" applyAlignment="1">
      <alignment horizontal="center"/>
    </xf>
    <xf numFmtId="0" fontId="3" fillId="0" borderId="8" xfId="1" applyFill="1" applyBorder="1" applyAlignment="1">
      <alignment horizontal="center"/>
    </xf>
    <xf numFmtId="0" fontId="3" fillId="0" borderId="8" xfId="1" applyFill="1" applyBorder="1"/>
    <xf numFmtId="0" fontId="3" fillId="0" borderId="7" xfId="1" applyFont="1" applyFill="1" applyBorder="1" applyAlignment="1">
      <alignment horizontal="center"/>
    </xf>
    <xf numFmtId="0" fontId="3" fillId="0" borderId="9" xfId="1" applyFill="1" applyBorder="1" applyAlignment="1">
      <alignment horizontal="center"/>
    </xf>
    <xf numFmtId="0" fontId="3" fillId="0" borderId="10" xfId="1" applyFill="1" applyBorder="1" applyAlignment="1">
      <alignment horizontal="center"/>
    </xf>
    <xf numFmtId="0" fontId="3" fillId="0" borderId="10" xfId="1" applyFill="1" applyBorder="1"/>
    <xf numFmtId="0" fontId="3" fillId="0" borderId="9" xfId="1" applyFill="1" applyBorder="1"/>
    <xf numFmtId="0" fontId="8" fillId="0" borderId="11" xfId="1" applyFont="1" applyFill="1" applyBorder="1" applyAlignment="1">
      <alignment horizontal="center"/>
    </xf>
    <xf numFmtId="0" fontId="3" fillId="0" borderId="12" xfId="1" applyFill="1" applyBorder="1" applyAlignment="1">
      <alignment horizontal="center"/>
    </xf>
    <xf numFmtId="2" fontId="3" fillId="0" borderId="12" xfId="1" applyNumberFormat="1" applyFont="1" applyFill="1" applyBorder="1" applyAlignment="1">
      <alignment horizontal="center"/>
    </xf>
    <xf numFmtId="2" fontId="3" fillId="0" borderId="12" xfId="1" applyNumberFormat="1" applyFill="1" applyBorder="1" applyAlignment="1">
      <alignment horizontal="center"/>
    </xf>
    <xf numFmtId="0" fontId="3" fillId="0" borderId="13" xfId="1" applyFill="1" applyBorder="1"/>
    <xf numFmtId="0" fontId="3" fillId="0" borderId="16" xfId="1" applyFill="1" applyBorder="1" applyAlignment="1">
      <alignment horizontal="center"/>
    </xf>
    <xf numFmtId="0" fontId="3" fillId="0" borderId="16" xfId="1" applyFont="1" applyFill="1" applyBorder="1" applyAlignment="1">
      <alignment horizontal="center"/>
    </xf>
    <xf numFmtId="2" fontId="3" fillId="0" borderId="16" xfId="1" applyNumberFormat="1" applyFill="1" applyBorder="1" applyAlignment="1">
      <alignment horizontal="center"/>
    </xf>
    <xf numFmtId="0" fontId="4" fillId="0" borderId="18" xfId="1" applyFont="1" applyFill="1" applyBorder="1" applyAlignment="1">
      <alignment horizontal="center"/>
    </xf>
    <xf numFmtId="0" fontId="3" fillId="0" borderId="19" xfId="1" applyFill="1" applyBorder="1" applyAlignment="1">
      <alignment horizontal="center"/>
    </xf>
    <xf numFmtId="0" fontId="3" fillId="0" borderId="19" xfId="1" applyFill="1" applyBorder="1"/>
    <xf numFmtId="49" fontId="3" fillId="0" borderId="19" xfId="1" applyNumberFormat="1" applyFill="1" applyBorder="1" applyAlignment="1">
      <alignment horizontal="center"/>
    </xf>
    <xf numFmtId="2" fontId="3" fillId="0" borderId="19" xfId="1" applyNumberFormat="1" applyFill="1" applyBorder="1" applyAlignment="1">
      <alignment horizontal="center"/>
    </xf>
    <xf numFmtId="0" fontId="9" fillId="0" borderId="1" xfId="1" applyFont="1" applyFill="1" applyBorder="1" applyAlignment="1">
      <alignment horizontal="center"/>
    </xf>
    <xf numFmtId="2" fontId="3" fillId="0" borderId="1" xfId="1" applyNumberFormat="1" applyFill="1" applyBorder="1" applyAlignment="1">
      <alignment horizontal="center"/>
    </xf>
    <xf numFmtId="0" fontId="3" fillId="0" borderId="1" xfId="1" applyFont="1" applyFill="1" applyBorder="1" applyAlignment="1">
      <alignment horizontal="center"/>
    </xf>
    <xf numFmtId="165" fontId="3" fillId="0" borderId="1" xfId="1" applyNumberFormat="1" applyFill="1" applyBorder="1" applyAlignment="1">
      <alignment horizontal="center"/>
    </xf>
    <xf numFmtId="0" fontId="3" fillId="0" borderId="21" xfId="1" applyFont="1" applyFill="1" applyBorder="1" applyAlignment="1">
      <alignment horizontal="right"/>
    </xf>
    <xf numFmtId="0" fontId="3" fillId="0" borderId="1" xfId="1" applyFill="1" applyBorder="1"/>
    <xf numFmtId="0" fontId="3" fillId="0" borderId="23" xfId="1" applyFont="1" applyFill="1" applyBorder="1" applyAlignment="1">
      <alignment horizontal="right"/>
    </xf>
    <xf numFmtId="0" fontId="9" fillId="0" borderId="24" xfId="1" applyFont="1" applyFill="1" applyBorder="1" applyAlignment="1">
      <alignment horizontal="center"/>
    </xf>
    <xf numFmtId="0" fontId="3" fillId="0" borderId="24" xfId="1" applyFill="1" applyBorder="1" applyAlignment="1">
      <alignment horizontal="center"/>
    </xf>
    <xf numFmtId="0" fontId="3" fillId="0" borderId="24" xfId="1" applyFill="1" applyBorder="1"/>
    <xf numFmtId="2" fontId="3" fillId="0" borderId="24" xfId="1" applyNumberFormat="1" applyFill="1" applyBorder="1" applyAlignment="1">
      <alignment horizontal="center"/>
    </xf>
    <xf numFmtId="165" fontId="3" fillId="0" borderId="24" xfId="1" applyNumberFormat="1" applyFill="1" applyBorder="1" applyAlignment="1">
      <alignment horizontal="center"/>
    </xf>
    <xf numFmtId="0" fontId="4" fillId="0" borderId="18" xfId="1" applyFont="1" applyFill="1" applyBorder="1"/>
    <xf numFmtId="0" fontId="4" fillId="0" borderId="19" xfId="1" applyFont="1" applyFill="1" applyBorder="1"/>
    <xf numFmtId="2" fontId="4" fillId="0" borderId="19" xfId="1" applyNumberFormat="1" applyFont="1" applyFill="1" applyBorder="1"/>
    <xf numFmtId="0" fontId="4" fillId="0" borderId="19" xfId="1" applyFont="1" applyFill="1" applyBorder="1" applyAlignment="1">
      <alignment horizontal="center"/>
    </xf>
    <xf numFmtId="165" fontId="4" fillId="0" borderId="19" xfId="1" applyNumberFormat="1" applyFont="1" applyFill="1" applyBorder="1"/>
    <xf numFmtId="2" fontId="4" fillId="0" borderId="20" xfId="1" applyNumberFormat="1" applyFont="1" applyFill="1" applyBorder="1" applyAlignment="1">
      <alignment horizontal="center"/>
    </xf>
    <xf numFmtId="0" fontId="3" fillId="0" borderId="19" xfId="1" quotePrefix="1" applyFill="1" applyBorder="1" applyAlignment="1">
      <alignment horizontal="center"/>
    </xf>
    <xf numFmtId="165" fontId="3" fillId="0" borderId="19" xfId="1" applyNumberFormat="1" applyFill="1" applyBorder="1" applyAlignment="1">
      <alignment horizontal="center"/>
    </xf>
    <xf numFmtId="0" fontId="9" fillId="0" borderId="21" xfId="1" applyFont="1" applyFill="1" applyBorder="1"/>
    <xf numFmtId="2" fontId="3" fillId="0" borderId="1" xfId="1" applyNumberFormat="1" applyFont="1" applyFill="1" applyBorder="1" applyAlignment="1">
      <alignment horizontal="center"/>
    </xf>
    <xf numFmtId="0" fontId="3" fillId="0" borderId="1" xfId="1" quotePrefix="1" applyFill="1" applyBorder="1" applyAlignment="1">
      <alignment horizontal="center"/>
    </xf>
    <xf numFmtId="2" fontId="3" fillId="0" borderId="1" xfId="1" applyNumberFormat="1" applyFill="1" applyBorder="1"/>
    <xf numFmtId="49" fontId="3" fillId="0" borderId="1" xfId="1" applyNumberFormat="1" applyFill="1" applyBorder="1" applyAlignment="1">
      <alignment horizontal="center"/>
    </xf>
    <xf numFmtId="2" fontId="3" fillId="0" borderId="26" xfId="1" applyNumberFormat="1" applyFill="1" applyBorder="1" applyAlignment="1">
      <alignment horizontal="center"/>
    </xf>
    <xf numFmtId="2" fontId="3" fillId="0" borderId="24" xfId="1" applyNumberFormat="1" applyFill="1" applyBorder="1"/>
    <xf numFmtId="2" fontId="3" fillId="0" borderId="19" xfId="1" applyNumberFormat="1" applyFill="1" applyBorder="1"/>
    <xf numFmtId="165" fontId="3" fillId="0" borderId="19" xfId="1" applyNumberFormat="1" applyFill="1" applyBorder="1"/>
    <xf numFmtId="0" fontId="4" fillId="0" borderId="1" xfId="1" applyFont="1" applyFill="1" applyBorder="1" applyAlignment="1"/>
    <xf numFmtId="0" fontId="3" fillId="0" borderId="30" xfId="1" applyFill="1" applyBorder="1" applyAlignment="1">
      <alignment horizontal="center"/>
    </xf>
    <xf numFmtId="0" fontId="4" fillId="0" borderId="32" xfId="1" applyFont="1" applyFill="1" applyBorder="1" applyAlignment="1">
      <alignment horizontal="center"/>
    </xf>
    <xf numFmtId="0" fontId="3" fillId="0" borderId="16" xfId="1" applyFill="1" applyBorder="1"/>
    <xf numFmtId="0" fontId="4" fillId="0" borderId="33" xfId="1" applyFont="1" applyFill="1" applyBorder="1" applyAlignment="1">
      <alignment horizontal="left"/>
    </xf>
    <xf numFmtId="0" fontId="3" fillId="0" borderId="26" xfId="1" applyFill="1" applyBorder="1"/>
    <xf numFmtId="0" fontId="3" fillId="0" borderId="26" xfId="1" applyFill="1" applyBorder="1" applyAlignment="1">
      <alignment horizontal="center"/>
    </xf>
    <xf numFmtId="0" fontId="4" fillId="0" borderId="1" xfId="1" applyFont="1" applyFill="1" applyBorder="1" applyAlignment="1">
      <alignment horizontal="left"/>
    </xf>
    <xf numFmtId="0" fontId="4" fillId="0" borderId="35" xfId="1" applyFont="1" applyFill="1" applyBorder="1" applyAlignment="1">
      <alignment horizontal="left"/>
    </xf>
    <xf numFmtId="0" fontId="3" fillId="0" borderId="0" xfId="1" applyFill="1" applyBorder="1"/>
    <xf numFmtId="0" fontId="3" fillId="0" borderId="0" xfId="1" applyFill="1" applyBorder="1" applyAlignment="1">
      <alignment horizontal="center"/>
    </xf>
    <xf numFmtId="0" fontId="3" fillId="0" borderId="36" xfId="1" applyFill="1" applyBorder="1"/>
    <xf numFmtId="0" fontId="3" fillId="0" borderId="0" xfId="1" applyFill="1" applyAlignment="1">
      <alignment horizontal="center"/>
    </xf>
    <xf numFmtId="0" fontId="3" fillId="0" borderId="0" xfId="1" applyFont="1" applyFill="1" applyAlignment="1">
      <alignment horizontal="center"/>
    </xf>
    <xf numFmtId="2" fontId="3" fillId="0" borderId="0" xfId="1" applyNumberFormat="1" applyFill="1" applyAlignment="1">
      <alignment horizontal="center"/>
    </xf>
    <xf numFmtId="0" fontId="10" fillId="0" borderId="0" xfId="1" applyFont="1" applyFill="1" applyBorder="1"/>
    <xf numFmtId="0" fontId="11" fillId="0" borderId="0" xfId="1" applyFont="1" applyFill="1" applyBorder="1"/>
    <xf numFmtId="1" fontId="3" fillId="0" borderId="0" xfId="1" applyNumberFormat="1" applyFill="1"/>
    <xf numFmtId="0" fontId="0" fillId="0" borderId="0" xfId="1" applyFont="1" applyFill="1" applyBorder="1"/>
    <xf numFmtId="0" fontId="3" fillId="0" borderId="0" xfId="1" applyFont="1" applyFill="1" applyBorder="1"/>
    <xf numFmtId="2" fontId="4" fillId="0" borderId="0" xfId="1" applyNumberFormat="1" applyFont="1" applyFill="1" applyBorder="1" applyAlignment="1">
      <alignment horizontal="center"/>
    </xf>
    <xf numFmtId="2" fontId="6" fillId="0" borderId="0" xfId="1" applyNumberFormat="1" applyFont="1" applyFill="1" applyBorder="1"/>
    <xf numFmtId="2" fontId="3" fillId="0" borderId="0" xfId="1" applyNumberForma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14" fontId="13" fillId="0" borderId="0" xfId="0" applyNumberFormat="1" applyFont="1" applyFill="1"/>
    <xf numFmtId="0" fontId="8" fillId="0" borderId="0" xfId="1" applyFont="1" applyFill="1" applyBorder="1" applyAlignment="1"/>
    <xf numFmtId="0" fontId="8" fillId="0" borderId="0" xfId="1" applyFont="1" applyFill="1" applyBorder="1" applyAlignment="1">
      <alignment horizontal="center"/>
    </xf>
    <xf numFmtId="2" fontId="8" fillId="0" borderId="0" xfId="1" applyNumberFormat="1" applyFont="1" applyFill="1" applyBorder="1" applyAlignment="1"/>
    <xf numFmtId="2" fontId="8" fillId="0" borderId="0" xfId="1" applyNumberFormat="1" applyFont="1" applyFill="1" applyBorder="1" applyAlignment="1">
      <alignment horizontal="center"/>
    </xf>
    <xf numFmtId="0" fontId="8" fillId="0" borderId="0" xfId="1" applyFont="1" applyFill="1" applyAlignment="1"/>
    <xf numFmtId="0" fontId="10" fillId="0" borderId="0" xfId="1" applyFont="1" applyFill="1" applyBorder="1" applyAlignment="1">
      <alignment horizontal="center"/>
    </xf>
    <xf numFmtId="14" fontId="4" fillId="0" borderId="0" xfId="1" applyNumberFormat="1" applyFont="1" applyFill="1" applyAlignment="1">
      <alignment horizontal="center"/>
    </xf>
    <xf numFmtId="0" fontId="7" fillId="0" borderId="0" xfId="2" applyFont="1" applyFill="1"/>
    <xf numFmtId="0" fontId="4" fillId="0" borderId="0" xfId="1" applyFont="1" applyFill="1" applyBorder="1" applyAlignment="1"/>
    <xf numFmtId="0" fontId="4" fillId="0" borderId="3" xfId="1" applyFont="1" applyFill="1" applyBorder="1" applyAlignment="1">
      <alignment horizontal="center"/>
    </xf>
    <xf numFmtId="0" fontId="3" fillId="0" borderId="48" xfId="1" applyFill="1" applyBorder="1" applyAlignment="1">
      <alignment horizontal="center"/>
    </xf>
    <xf numFmtId="0" fontId="3" fillId="0" borderId="48" xfId="1" applyFont="1" applyFill="1" applyBorder="1" applyAlignment="1">
      <alignment horizontal="center"/>
    </xf>
    <xf numFmtId="2" fontId="3" fillId="0" borderId="48" xfId="1" applyNumberFormat="1" applyFill="1" applyBorder="1" applyAlignment="1">
      <alignment horizontal="center"/>
    </xf>
    <xf numFmtId="0" fontId="0" fillId="0" borderId="21" xfId="1" applyFont="1" applyFill="1" applyBorder="1" applyAlignment="1">
      <alignment horizontal="right"/>
    </xf>
    <xf numFmtId="0" fontId="9" fillId="0" borderId="14" xfId="1" applyFont="1" applyFill="1" applyBorder="1" applyAlignment="1">
      <alignment horizontal="center"/>
    </xf>
    <xf numFmtId="0" fontId="4" fillId="0" borderId="48" xfId="1" applyFont="1" applyFill="1" applyBorder="1" applyAlignment="1">
      <alignment horizontal="center"/>
    </xf>
    <xf numFmtId="0" fontId="4" fillId="0" borderId="47" xfId="1" applyFont="1" applyFill="1" applyBorder="1" applyAlignment="1">
      <alignment horizontal="center"/>
    </xf>
    <xf numFmtId="2" fontId="4" fillId="0" borderId="1" xfId="1" applyNumberFormat="1" applyFont="1" applyFill="1" applyBorder="1" applyAlignment="1">
      <alignment horizontal="center"/>
    </xf>
    <xf numFmtId="1" fontId="4" fillId="0" borderId="1" xfId="1" applyNumberFormat="1" applyFont="1" applyFill="1" applyBorder="1" applyAlignment="1">
      <alignment horizontal="center"/>
    </xf>
    <xf numFmtId="1" fontId="4" fillId="0" borderId="24" xfId="1" applyNumberFormat="1" applyFont="1" applyFill="1" applyBorder="1" applyAlignment="1">
      <alignment horizontal="center"/>
    </xf>
    <xf numFmtId="1" fontId="4" fillId="0" borderId="19" xfId="1" applyNumberFormat="1" applyFont="1" applyFill="1" applyBorder="1"/>
    <xf numFmtId="1" fontId="4" fillId="0" borderId="19" xfId="1" applyNumberFormat="1" applyFont="1" applyFill="1" applyBorder="1" applyAlignment="1">
      <alignment horizontal="center"/>
    </xf>
    <xf numFmtId="1" fontId="4" fillId="0" borderId="16" xfId="1" applyNumberFormat="1" applyFont="1" applyFill="1" applyBorder="1" applyAlignment="1">
      <alignment horizontal="center"/>
    </xf>
    <xf numFmtId="2" fontId="4" fillId="0" borderId="17" xfId="1" applyNumberFormat="1" applyFont="1" applyFill="1" applyBorder="1" applyAlignment="1">
      <alignment horizontal="center"/>
    </xf>
    <xf numFmtId="2" fontId="4" fillId="0" borderId="49" xfId="1" applyNumberFormat="1" applyFont="1" applyFill="1" applyBorder="1" applyAlignment="1">
      <alignment horizontal="center"/>
    </xf>
    <xf numFmtId="2" fontId="4" fillId="0" borderId="20" xfId="1" applyNumberFormat="1" applyFont="1" applyFill="1" applyBorder="1"/>
    <xf numFmtId="2" fontId="4" fillId="0" borderId="22" xfId="1" applyNumberFormat="1" applyFont="1" applyFill="1" applyBorder="1" applyAlignment="1">
      <alignment horizontal="center"/>
    </xf>
    <xf numFmtId="2" fontId="4" fillId="0" borderId="25" xfId="1" applyNumberFormat="1" applyFont="1" applyFill="1" applyBorder="1" applyAlignment="1">
      <alignment horizontal="center"/>
    </xf>
    <xf numFmtId="2" fontId="4" fillId="0" borderId="34" xfId="1" applyNumberFormat="1" applyFont="1" applyFill="1" applyBorder="1" applyAlignment="1">
      <alignment horizontal="center"/>
    </xf>
    <xf numFmtId="165" fontId="3" fillId="0" borderId="48" xfId="1" applyNumberFormat="1" applyFill="1" applyBorder="1" applyAlignment="1">
      <alignment horizontal="center"/>
    </xf>
    <xf numFmtId="165" fontId="3" fillId="0" borderId="16" xfId="1" applyNumberFormat="1" applyFill="1" applyBorder="1" applyAlignment="1">
      <alignment horizontal="center"/>
    </xf>
    <xf numFmtId="0" fontId="19" fillId="0" borderId="0" xfId="1" applyFont="1" applyFill="1" applyAlignment="1">
      <alignment horizontal="left"/>
    </xf>
    <xf numFmtId="0" fontId="3" fillId="0" borderId="1" xfId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2" fontId="4" fillId="0" borderId="18" xfId="1" applyNumberFormat="1" applyFont="1" applyFill="1" applyBorder="1"/>
    <xf numFmtId="2" fontId="4" fillId="0" borderId="12" xfId="1" applyNumberFormat="1" applyFont="1" applyFill="1" applyBorder="1" applyAlignment="1">
      <alignment horizontal="center"/>
    </xf>
    <xf numFmtId="2" fontId="11" fillId="0" borderId="0" xfId="1" applyNumberFormat="1" applyFont="1" applyFill="1" applyBorder="1"/>
    <xf numFmtId="2" fontId="3" fillId="0" borderId="42" xfId="1" applyNumberFormat="1" applyFill="1" applyBorder="1" applyAlignment="1">
      <alignment horizontal="center"/>
    </xf>
    <xf numFmtId="2" fontId="11" fillId="0" borderId="0" xfId="1" applyNumberFormat="1" applyFont="1" applyFill="1" applyBorder="1" applyAlignment="1">
      <alignment horizontal="center"/>
    </xf>
    <xf numFmtId="0" fontId="3" fillId="0" borderId="7" xfId="1" applyFont="1" applyFill="1" applyBorder="1"/>
    <xf numFmtId="0" fontId="3" fillId="0" borderId="7" xfId="1" applyFill="1" applyBorder="1"/>
    <xf numFmtId="0" fontId="3" fillId="0" borderId="12" xfId="1" applyNumberFormat="1" applyFill="1" applyBorder="1" applyAlignment="1">
      <alignment horizontal="center"/>
    </xf>
    <xf numFmtId="2" fontId="3" fillId="0" borderId="38" xfId="1" applyNumberFormat="1" applyFill="1" applyBorder="1" applyAlignment="1">
      <alignment horizontal="center"/>
    </xf>
    <xf numFmtId="2" fontId="3" fillId="0" borderId="53" xfId="1" applyNumberFormat="1" applyFill="1" applyBorder="1" applyAlignment="1">
      <alignment horizontal="center"/>
    </xf>
    <xf numFmtId="0" fontId="11" fillId="0" borderId="32" xfId="1" applyFont="1" applyFill="1" applyBorder="1" applyAlignment="1">
      <alignment horizontal="center"/>
    </xf>
    <xf numFmtId="0" fontId="3" fillId="0" borderId="18" xfId="1" applyFont="1" applyFill="1" applyBorder="1"/>
    <xf numFmtId="0" fontId="9" fillId="0" borderId="19" xfId="1" applyFont="1" applyFill="1" applyBorder="1" applyAlignment="1">
      <alignment horizontal="center"/>
    </xf>
    <xf numFmtId="0" fontId="3" fillId="0" borderId="19" xfId="1" applyFont="1" applyFill="1" applyBorder="1" applyAlignment="1">
      <alignment horizontal="center"/>
    </xf>
    <xf numFmtId="0" fontId="3" fillId="0" borderId="55" xfId="1" applyFont="1" applyFill="1" applyBorder="1" applyAlignment="1">
      <alignment horizontal="right"/>
    </xf>
    <xf numFmtId="0" fontId="3" fillId="0" borderId="56" xfId="1" applyFill="1" applyBorder="1" applyAlignment="1">
      <alignment horizontal="center"/>
    </xf>
    <xf numFmtId="2" fontId="3" fillId="0" borderId="56" xfId="1" applyNumberFormat="1" applyFill="1" applyBorder="1" applyAlignment="1">
      <alignment horizontal="center"/>
    </xf>
    <xf numFmtId="2" fontId="3" fillId="0" borderId="50" xfId="1" applyNumberFormat="1" applyFill="1" applyBorder="1" applyAlignment="1">
      <alignment horizontal="center"/>
    </xf>
    <xf numFmtId="0" fontId="3" fillId="0" borderId="33" xfId="1" applyFont="1" applyFill="1" applyBorder="1"/>
    <xf numFmtId="2" fontId="3" fillId="0" borderId="52" xfId="1" applyNumberFormat="1" applyFill="1" applyBorder="1" applyAlignment="1">
      <alignment horizontal="center"/>
    </xf>
    <xf numFmtId="0" fontId="11" fillId="0" borderId="16" xfId="1" applyFont="1" applyFill="1" applyBorder="1"/>
    <xf numFmtId="0" fontId="11" fillId="0" borderId="16" xfId="1" applyFont="1" applyFill="1" applyBorder="1" applyAlignment="1">
      <alignment horizontal="center"/>
    </xf>
    <xf numFmtId="2" fontId="11" fillId="0" borderId="54" xfId="1" applyNumberFormat="1" applyFont="1" applyFill="1" applyBorder="1" applyAlignment="1">
      <alignment horizontal="center"/>
    </xf>
    <xf numFmtId="0" fontId="8" fillId="0" borderId="0" xfId="1" applyFont="1" applyFill="1"/>
    <xf numFmtId="0" fontId="20" fillId="0" borderId="0" xfId="1" applyFont="1" applyFill="1" applyAlignment="1"/>
    <xf numFmtId="0" fontId="21" fillId="0" borderId="0" xfId="2" applyFont="1" applyFill="1" applyAlignment="1"/>
    <xf numFmtId="0" fontId="0" fillId="0" borderId="0" xfId="0" applyNumberFormat="1"/>
    <xf numFmtId="0" fontId="25" fillId="3" borderId="57" xfId="0" applyNumberFormat="1" applyFont="1" applyFill="1" applyBorder="1"/>
    <xf numFmtId="0" fontId="25" fillId="3" borderId="58" xfId="0" applyNumberFormat="1" applyFont="1" applyFill="1" applyBorder="1"/>
    <xf numFmtId="0" fontId="25" fillId="3" borderId="59" xfId="0" applyNumberFormat="1" applyFont="1" applyFill="1" applyBorder="1"/>
    <xf numFmtId="0" fontId="0" fillId="4" borderId="58" xfId="0" applyNumberFormat="1" applyFont="1" applyFill="1" applyBorder="1"/>
    <xf numFmtId="0" fontId="23" fillId="0" borderId="0" xfId="1" applyFont="1" applyFill="1" applyAlignment="1"/>
    <xf numFmtId="0" fontId="4" fillId="0" borderId="8" xfId="1" applyFont="1" applyFill="1" applyBorder="1" applyAlignment="1"/>
    <xf numFmtId="0" fontId="26" fillId="0" borderId="1" xfId="1" applyFont="1" applyFill="1" applyBorder="1" applyAlignment="1">
      <alignment horizontal="left"/>
    </xf>
    <xf numFmtId="0" fontId="0" fillId="0" borderId="1" xfId="0" applyBorder="1"/>
    <xf numFmtId="14" fontId="4" fillId="2" borderId="1" xfId="1" applyNumberFormat="1" applyFont="1" applyFill="1" applyBorder="1" applyAlignment="1"/>
    <xf numFmtId="0" fontId="4" fillId="0" borderId="1" xfId="1" applyFont="1" applyFill="1" applyBorder="1"/>
    <xf numFmtId="0" fontId="7" fillId="0" borderId="1" xfId="2" applyFont="1" applyFill="1" applyBorder="1"/>
    <xf numFmtId="0" fontId="0" fillId="2" borderId="1" xfId="0" applyFill="1" applyBorder="1"/>
    <xf numFmtId="0" fontId="7" fillId="0" borderId="1" xfId="2" applyFont="1" applyFill="1" applyBorder="1" applyAlignment="1">
      <alignment horizontal="left"/>
    </xf>
    <xf numFmtId="49" fontId="4" fillId="2" borderId="1" xfId="1" applyNumberFormat="1" applyFont="1" applyFill="1" applyBorder="1" applyAlignment="1"/>
    <xf numFmtId="0" fontId="4" fillId="2" borderId="1" xfId="1" applyNumberFormat="1" applyFont="1" applyFill="1" applyBorder="1" applyAlignment="1"/>
    <xf numFmtId="0" fontId="7" fillId="0" borderId="8" xfId="2" applyFont="1" applyFill="1" applyBorder="1"/>
    <xf numFmtId="0" fontId="5" fillId="0" borderId="8" xfId="2" applyFill="1" applyBorder="1"/>
    <xf numFmtId="0" fontId="4" fillId="0" borderId="10" xfId="1" applyFont="1" applyFill="1" applyBorder="1" applyAlignment="1"/>
    <xf numFmtId="0" fontId="23" fillId="0" borderId="0" xfId="1" applyFont="1" applyFill="1" applyBorder="1" applyAlignment="1"/>
    <xf numFmtId="0" fontId="0" fillId="0" borderId="1" xfId="0" applyFont="1" applyBorder="1"/>
    <xf numFmtId="0" fontId="0" fillId="0" borderId="26" xfId="0" applyBorder="1"/>
    <xf numFmtId="0" fontId="0" fillId="0" borderId="56" xfId="0" applyBorder="1"/>
    <xf numFmtId="0" fontId="3" fillId="0" borderId="0" xfId="4"/>
    <xf numFmtId="0" fontId="3" fillId="0" borderId="0" xfId="4" applyAlignment="1"/>
    <xf numFmtId="0" fontId="3" fillId="0" borderId="0" xfId="4" applyAlignment="1">
      <alignment wrapText="1"/>
    </xf>
    <xf numFmtId="0" fontId="27" fillId="0" borderId="0" xfId="4" applyFont="1"/>
    <xf numFmtId="166" fontId="3" fillId="0" borderId="0" xfId="4" applyNumberFormat="1"/>
    <xf numFmtId="0" fontId="27" fillId="0" borderId="0" xfId="4" applyFont="1" applyAlignment="1">
      <alignment wrapText="1"/>
    </xf>
    <xf numFmtId="0" fontId="28" fillId="0" borderId="0" xfId="5" applyFont="1" applyAlignment="1">
      <alignment wrapText="1"/>
    </xf>
    <xf numFmtId="0" fontId="29" fillId="0" borderId="0" xfId="4" applyFont="1"/>
    <xf numFmtId="0" fontId="30" fillId="0" borderId="0" xfId="4" applyFont="1" applyAlignment="1">
      <alignment wrapText="1"/>
    </xf>
    <xf numFmtId="0" fontId="29" fillId="0" borderId="0" xfId="4" applyFont="1" applyFill="1" applyAlignment="1">
      <alignment wrapText="1"/>
    </xf>
    <xf numFmtId="0" fontId="30" fillId="0" borderId="0" xfId="4" applyFont="1"/>
    <xf numFmtId="0" fontId="0" fillId="0" borderId="0" xfId="6" applyFont="1" applyFill="1" applyBorder="1"/>
    <xf numFmtId="11" fontId="4" fillId="0" borderId="62" xfId="6" applyNumberFormat="1" applyFont="1" applyBorder="1" applyAlignment="1">
      <alignment horizontal="center"/>
    </xf>
    <xf numFmtId="49" fontId="4" fillId="0" borderId="26" xfId="6" applyNumberFormat="1" applyFont="1" applyBorder="1" applyAlignment="1">
      <alignment horizontal="center"/>
    </xf>
    <xf numFmtId="49" fontId="4" fillId="0" borderId="52" xfId="6" applyNumberFormat="1" applyFont="1" applyBorder="1" applyAlignment="1">
      <alignment horizontal="center"/>
    </xf>
    <xf numFmtId="0" fontId="3" fillId="0" borderId="0" xfId="6"/>
    <xf numFmtId="14" fontId="3" fillId="0" borderId="41" xfId="6" applyNumberFormat="1" applyBorder="1"/>
    <xf numFmtId="0" fontId="3" fillId="0" borderId="1" xfId="6" applyBorder="1"/>
    <xf numFmtId="0" fontId="3" fillId="0" borderId="42" xfId="6" applyBorder="1"/>
    <xf numFmtId="0" fontId="3" fillId="0" borderId="1" xfId="6" applyFill="1" applyBorder="1"/>
    <xf numFmtId="0" fontId="3" fillId="0" borderId="42" xfId="6" applyFill="1" applyBorder="1"/>
    <xf numFmtId="14" fontId="3" fillId="0" borderId="63" xfId="6" applyNumberFormat="1" applyBorder="1"/>
    <xf numFmtId="0" fontId="3" fillId="0" borderId="56" xfId="6" applyBorder="1"/>
    <xf numFmtId="0" fontId="3" fillId="0" borderId="56" xfId="6" applyFill="1" applyBorder="1"/>
    <xf numFmtId="0" fontId="3" fillId="0" borderId="50" xfId="6" applyFill="1" applyBorder="1"/>
    <xf numFmtId="0" fontId="3" fillId="0" borderId="50" xfId="6" applyBorder="1"/>
    <xf numFmtId="11" fontId="3" fillId="0" borderId="0" xfId="6" applyNumberFormat="1"/>
    <xf numFmtId="14" fontId="3" fillId="0" borderId="0" xfId="6" applyNumberFormat="1"/>
    <xf numFmtId="0" fontId="4" fillId="0" borderId="0" xfId="6" applyFont="1"/>
    <xf numFmtId="0" fontId="3" fillId="0" borderId="0" xfId="6" applyAlignment="1"/>
    <xf numFmtId="0" fontId="3" fillId="0" borderId="21" xfId="1" applyFont="1" applyBorder="1" applyAlignment="1">
      <alignment horizontal="right"/>
    </xf>
    <xf numFmtId="0" fontId="3" fillId="0" borderId="23" xfId="1" applyFont="1" applyBorder="1" applyAlignment="1">
      <alignment horizontal="right"/>
    </xf>
    <xf numFmtId="0" fontId="3" fillId="6" borderId="0" xfId="6" applyFill="1"/>
    <xf numFmtId="0" fontId="3" fillId="0" borderId="0" xfId="6" applyAlignment="1">
      <alignment horizontal="center"/>
    </xf>
    <xf numFmtId="0" fontId="4" fillId="0" borderId="1" xfId="1" applyNumberFormat="1" applyFont="1" applyBorder="1" applyAlignment="1"/>
    <xf numFmtId="0" fontId="0" fillId="7" borderId="1" xfId="0" applyFill="1" applyBorder="1"/>
    <xf numFmtId="14" fontId="0" fillId="2" borderId="1" xfId="0" applyNumberFormat="1" applyFill="1" applyBorder="1"/>
    <xf numFmtId="0" fontId="3" fillId="0" borderId="0" xfId="6" applyFill="1"/>
    <xf numFmtId="2" fontId="3" fillId="0" borderId="0" xfId="6" applyNumberFormat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3" fillId="5" borderId="0" xfId="6" applyNumberFormat="1" applyFont="1" applyFill="1" applyBorder="1" applyAlignment="1"/>
    <xf numFmtId="0" fontId="31" fillId="0" borderId="0" xfId="6" applyFont="1" applyAlignment="1">
      <alignment vertical="center" wrapText="1"/>
    </xf>
    <xf numFmtId="0" fontId="32" fillId="0" borderId="11" xfId="6" applyFont="1" applyBorder="1" applyAlignment="1">
      <alignment horizontal="center" vertical="center" wrapText="1"/>
    </xf>
    <xf numFmtId="0" fontId="32" fillId="0" borderId="12" xfId="6" applyFont="1" applyBorder="1" applyAlignment="1">
      <alignment horizontal="center" vertical="center" wrapText="1"/>
    </xf>
    <xf numFmtId="0" fontId="32" fillId="0" borderId="36" xfId="6" applyFont="1" applyBorder="1" applyAlignment="1">
      <alignment horizontal="center" vertical="center" wrapText="1"/>
    </xf>
    <xf numFmtId="0" fontId="31" fillId="0" borderId="12" xfId="6" applyFont="1" applyBorder="1" applyAlignment="1">
      <alignment horizontal="center" vertical="center" wrapText="1"/>
    </xf>
    <xf numFmtId="0" fontId="32" fillId="0" borderId="13" xfId="6" applyFont="1" applyBorder="1" applyAlignment="1">
      <alignment horizontal="center"/>
    </xf>
    <xf numFmtId="0" fontId="31" fillId="0" borderId="51" xfId="6" applyFont="1" applyBorder="1"/>
    <xf numFmtId="0" fontId="31" fillId="0" borderId="0" xfId="6" applyFont="1" applyBorder="1"/>
    <xf numFmtId="0" fontId="32" fillId="0" borderId="64" xfId="6" applyFont="1" applyBorder="1" applyAlignment="1">
      <alignment vertical="center" wrapText="1"/>
    </xf>
    <xf numFmtId="0" fontId="32" fillId="0" borderId="29" xfId="6" applyFont="1" applyBorder="1" applyAlignment="1">
      <alignment horizontal="center" vertical="center" wrapText="1"/>
    </xf>
    <xf numFmtId="0" fontId="32" fillId="0" borderId="30" xfId="6" applyFont="1" applyBorder="1" applyAlignment="1">
      <alignment horizontal="center" vertical="center" wrapText="1"/>
    </xf>
    <xf numFmtId="0" fontId="32" fillId="0" borderId="65" xfId="6" applyFont="1" applyBorder="1" applyAlignment="1">
      <alignment horizontal="center" vertical="center" wrapText="1"/>
    </xf>
    <xf numFmtId="0" fontId="31" fillId="0" borderId="66" xfId="6" applyFont="1" applyBorder="1" applyAlignment="1">
      <alignment vertical="center" wrapText="1"/>
    </xf>
    <xf numFmtId="0" fontId="31" fillId="0" borderId="0" xfId="6" applyFont="1" applyBorder="1" applyAlignment="1">
      <alignment vertical="center" wrapText="1"/>
    </xf>
    <xf numFmtId="0" fontId="31" fillId="0" borderId="36" xfId="6" applyFont="1" applyBorder="1"/>
    <xf numFmtId="0" fontId="0" fillId="0" borderId="51" xfId="0" applyBorder="1"/>
    <xf numFmtId="0" fontId="32" fillId="0" borderId="0" xfId="6" applyFont="1" applyBorder="1" applyAlignment="1">
      <alignment horizontal="center"/>
    </xf>
    <xf numFmtId="0" fontId="32" fillId="0" borderId="0" xfId="6" applyFont="1" applyBorder="1" applyAlignment="1">
      <alignment vertical="center" wrapText="1"/>
    </xf>
    <xf numFmtId="0" fontId="33" fillId="0" borderId="0" xfId="6" applyFont="1" applyFill="1" applyAlignment="1">
      <alignment horizontal="center" vertical="center" wrapText="1"/>
    </xf>
    <xf numFmtId="1" fontId="3" fillId="0" borderId="0" xfId="6" applyNumberFormat="1"/>
    <xf numFmtId="2" fontId="4" fillId="2" borderId="1" xfId="1" applyNumberFormat="1" applyFont="1" applyFill="1" applyBorder="1" applyAlignment="1">
      <alignment horizontal="center"/>
    </xf>
    <xf numFmtId="0" fontId="3" fillId="0" borderId="0" xfId="6" applyAlignment="1">
      <alignment horizontal="left"/>
    </xf>
    <xf numFmtId="0" fontId="3" fillId="0" borderId="26" xfId="6" applyFill="1" applyBorder="1"/>
    <xf numFmtId="1" fontId="4" fillId="2" borderId="1" xfId="1" applyNumberFormat="1" applyFont="1" applyFill="1" applyBorder="1" applyAlignment="1">
      <alignment horizontal="center"/>
    </xf>
    <xf numFmtId="0" fontId="3" fillId="2" borderId="16" xfId="1" applyFill="1" applyBorder="1" applyAlignment="1">
      <alignment horizontal="center"/>
    </xf>
    <xf numFmtId="0" fontId="37" fillId="0" borderId="15" xfId="7" applyFont="1" applyBorder="1">
      <alignment vertical="center"/>
    </xf>
    <xf numFmtId="0" fontId="7" fillId="0" borderId="16" xfId="7" applyNumberFormat="1" applyFont="1" applyFill="1" applyBorder="1" applyAlignment="1">
      <alignment horizontal="center" vertical="top" wrapText="1"/>
    </xf>
    <xf numFmtId="0" fontId="38" fillId="0" borderId="16" xfId="7" applyFont="1" applyBorder="1" applyAlignment="1">
      <alignment horizontal="center" vertical="top"/>
    </xf>
    <xf numFmtId="0" fontId="4" fillId="0" borderId="16" xfId="6" applyFont="1" applyBorder="1" applyAlignment="1">
      <alignment horizontal="center" vertical="top"/>
    </xf>
    <xf numFmtId="0" fontId="38" fillId="0" borderId="54" xfId="7" applyFont="1" applyBorder="1" applyAlignment="1">
      <alignment horizontal="center" vertical="top"/>
    </xf>
    <xf numFmtId="0" fontId="38" fillId="0" borderId="14" xfId="7" applyFont="1" applyBorder="1" applyAlignment="1">
      <alignment horizontal="center" vertical="center"/>
    </xf>
    <xf numFmtId="0" fontId="38" fillId="0" borderId="0" xfId="7" applyFont="1" applyAlignment="1">
      <alignment horizontal="center" vertical="center"/>
    </xf>
    <xf numFmtId="0" fontId="36" fillId="0" borderId="0" xfId="7" applyFont="1">
      <alignment vertical="center"/>
    </xf>
    <xf numFmtId="16" fontId="36" fillId="0" borderId="0" xfId="7" applyNumberFormat="1">
      <alignment vertical="center"/>
    </xf>
    <xf numFmtId="0" fontId="36" fillId="0" borderId="0" xfId="7">
      <alignment vertical="center"/>
    </xf>
    <xf numFmtId="0" fontId="41" fillId="0" borderId="37" xfId="7" applyFont="1" applyBorder="1">
      <alignment vertical="center"/>
    </xf>
    <xf numFmtId="0" fontId="3" fillId="0" borderId="19" xfId="6" applyNumberFormat="1" applyFill="1" applyBorder="1" applyAlignment="1">
      <alignment wrapText="1"/>
    </xf>
    <xf numFmtId="0" fontId="36" fillId="0" borderId="19" xfId="7" applyBorder="1">
      <alignment vertical="center"/>
    </xf>
    <xf numFmtId="0" fontId="36" fillId="0" borderId="19" xfId="7" applyFont="1" applyBorder="1">
      <alignment vertical="center"/>
    </xf>
    <xf numFmtId="0" fontId="36" fillId="0" borderId="38" xfId="7" applyFont="1" applyBorder="1">
      <alignment vertical="center"/>
    </xf>
    <xf numFmtId="0" fontId="36" fillId="0" borderId="68" xfId="7" applyFont="1" applyBorder="1">
      <alignment vertical="center"/>
    </xf>
    <xf numFmtId="0" fontId="27" fillId="0" borderId="67" xfId="6" applyFont="1" applyBorder="1" applyAlignment="1">
      <alignment wrapText="1"/>
    </xf>
    <xf numFmtId="0" fontId="3" fillId="0" borderId="3" xfId="6" applyBorder="1"/>
    <xf numFmtId="0" fontId="3" fillId="0" borderId="1" xfId="6" applyNumberFormat="1" applyFill="1" applyBorder="1" applyAlignment="1">
      <alignment wrapText="1"/>
    </xf>
    <xf numFmtId="0" fontId="36" fillId="0" borderId="1" xfId="7" applyBorder="1">
      <alignment vertical="center"/>
    </xf>
    <xf numFmtId="0" fontId="36" fillId="0" borderId="1" xfId="7" applyFont="1" applyBorder="1">
      <alignment vertical="center"/>
    </xf>
    <xf numFmtId="0" fontId="36" fillId="0" borderId="42" xfId="7" applyFont="1" applyBorder="1">
      <alignment vertical="center"/>
    </xf>
    <xf numFmtId="0" fontId="36" fillId="0" borderId="69" xfId="7" applyFont="1" applyBorder="1">
      <alignment vertical="center"/>
    </xf>
    <xf numFmtId="0" fontId="3" fillId="0" borderId="44" xfId="6" applyBorder="1"/>
    <xf numFmtId="0" fontId="3" fillId="0" borderId="40" xfId="6" applyBorder="1"/>
    <xf numFmtId="0" fontId="5" fillId="0" borderId="1" xfId="6" applyNumberFormat="1" applyFont="1" applyFill="1" applyBorder="1" applyAlignment="1">
      <alignment wrapText="1"/>
    </xf>
    <xf numFmtId="0" fontId="3" fillId="0" borderId="1" xfId="6" applyNumberFormat="1" applyFont="1" applyFill="1" applyBorder="1" applyAlignment="1">
      <alignment wrapText="1"/>
    </xf>
    <xf numFmtId="0" fontId="3" fillId="0" borderId="8" xfId="6" applyBorder="1"/>
    <xf numFmtId="0" fontId="3" fillId="0" borderId="24" xfId="6" applyNumberFormat="1" applyFont="1" applyFill="1" applyBorder="1" applyAlignment="1">
      <alignment wrapText="1"/>
    </xf>
    <xf numFmtId="0" fontId="36" fillId="0" borderId="24" xfId="7" applyBorder="1">
      <alignment vertical="center"/>
    </xf>
    <xf numFmtId="0" fontId="3" fillId="0" borderId="24" xfId="6" applyNumberFormat="1" applyFill="1" applyBorder="1" applyAlignment="1">
      <alignment wrapText="1"/>
    </xf>
    <xf numFmtId="0" fontId="36" fillId="0" borderId="24" xfId="7" applyFont="1" applyBorder="1">
      <alignment vertical="center"/>
    </xf>
    <xf numFmtId="0" fontId="36" fillId="0" borderId="53" xfId="7" applyFont="1" applyBorder="1">
      <alignment vertical="center"/>
    </xf>
    <xf numFmtId="0" fontId="36" fillId="0" borderId="70" xfId="7" applyFont="1" applyBorder="1">
      <alignment vertical="center"/>
    </xf>
    <xf numFmtId="0" fontId="3" fillId="0" borderId="71" xfId="6" applyBorder="1"/>
    <xf numFmtId="0" fontId="36" fillId="0" borderId="0" xfId="7" applyFill="1">
      <alignment vertical="center"/>
    </xf>
    <xf numFmtId="0" fontId="3" fillId="0" borderId="0" xfId="6" applyNumberFormat="1" applyFill="1" applyAlignment="1">
      <alignment wrapText="1"/>
    </xf>
    <xf numFmtId="0" fontId="36" fillId="0" borderId="0" xfId="7" applyFont="1" applyFill="1">
      <alignment vertical="center"/>
    </xf>
    <xf numFmtId="0" fontId="36" fillId="0" borderId="0" xfId="7" applyNumberFormat="1" applyFont="1" applyFill="1" applyAlignment="1">
      <alignment wrapText="1"/>
    </xf>
    <xf numFmtId="0" fontId="36" fillId="0" borderId="0" xfId="7" applyFill="1" applyAlignment="1">
      <alignment horizontal="left" vertical="center"/>
    </xf>
    <xf numFmtId="49" fontId="38" fillId="0" borderId="0" xfId="7" applyNumberFormat="1" applyFont="1" applyFill="1" applyAlignment="1">
      <alignment horizontal="left" vertical="center"/>
    </xf>
    <xf numFmtId="49" fontId="38" fillId="0" borderId="0" xfId="7" applyNumberFormat="1" applyFont="1">
      <alignment vertical="center"/>
    </xf>
    <xf numFmtId="14" fontId="0" fillId="0" borderId="0" xfId="0" applyNumberFormat="1"/>
    <xf numFmtId="0" fontId="42" fillId="0" borderId="72" xfId="0" applyFont="1" applyBorder="1"/>
    <xf numFmtId="0" fontId="0" fillId="9" borderId="1" xfId="0" applyFill="1" applyBorder="1"/>
    <xf numFmtId="0" fontId="43" fillId="9" borderId="1" xfId="0" applyFont="1" applyFill="1" applyBorder="1"/>
    <xf numFmtId="0" fontId="26" fillId="5" borderId="1" xfId="1" applyNumberFormat="1" applyFont="1" applyFill="1" applyBorder="1" applyAlignment="1">
      <alignment horizontal="left"/>
    </xf>
    <xf numFmtId="0" fontId="26" fillId="0" borderId="1" xfId="1" applyNumberFormat="1" applyFont="1" applyBorder="1" applyAlignment="1">
      <alignment horizontal="left"/>
    </xf>
    <xf numFmtId="0" fontId="44" fillId="5" borderId="0" xfId="0" applyFont="1" applyFill="1"/>
    <xf numFmtId="0" fontId="44" fillId="0" borderId="0" xfId="0" applyFont="1"/>
    <xf numFmtId="2" fontId="3" fillId="2" borderId="16" xfId="1" applyNumberFormat="1" applyFill="1" applyBorder="1" applyAlignment="1">
      <alignment horizontal="center"/>
    </xf>
    <xf numFmtId="2" fontId="3" fillId="0" borderId="0" xfId="1" applyNumberFormat="1" applyFill="1"/>
    <xf numFmtId="2" fontId="3" fillId="0" borderId="50" xfId="1" applyNumberFormat="1" applyFill="1" applyBorder="1" applyAlignment="1">
      <alignment horizontal="left"/>
    </xf>
    <xf numFmtId="2" fontId="3" fillId="0" borderId="36" xfId="1" applyNumberFormat="1" applyFill="1" applyBorder="1" applyAlignment="1"/>
    <xf numFmtId="2" fontId="3" fillId="0" borderId="36" xfId="1" applyNumberFormat="1" applyFill="1" applyBorder="1"/>
    <xf numFmtId="2" fontId="3" fillId="0" borderId="52" xfId="1" applyNumberFormat="1" applyFill="1" applyBorder="1"/>
    <xf numFmtId="2" fontId="3" fillId="0" borderId="7" xfId="1" applyNumberFormat="1" applyFont="1" applyFill="1" applyBorder="1" applyAlignment="1">
      <alignment horizontal="center"/>
    </xf>
    <xf numFmtId="2" fontId="3" fillId="0" borderId="9" xfId="1" applyNumberFormat="1" applyFill="1" applyBorder="1"/>
    <xf numFmtId="2" fontId="3" fillId="0" borderId="13" xfId="1" applyNumberFormat="1" applyFill="1" applyBorder="1"/>
    <xf numFmtId="2" fontId="0" fillId="0" borderId="0" xfId="0" applyNumberFormat="1" applyFill="1"/>
    <xf numFmtId="2" fontId="4" fillId="0" borderId="0" xfId="1" applyNumberFormat="1" applyFont="1" applyFill="1" applyBorder="1"/>
    <xf numFmtId="2" fontId="3" fillId="0" borderId="0" xfId="1" applyNumberFormat="1" applyFill="1" applyBorder="1"/>
    <xf numFmtId="2" fontId="3" fillId="0" borderId="0" xfId="1" applyNumberFormat="1" applyBorder="1" applyAlignment="1">
      <alignment horizontal="center"/>
    </xf>
    <xf numFmtId="2" fontId="3" fillId="0" borderId="0" xfId="1" applyNumberFormat="1" applyAlignment="1">
      <alignment horizontal="center"/>
    </xf>
    <xf numFmtId="2" fontId="4" fillId="0" borderId="0" xfId="1" applyNumberFormat="1" applyFont="1" applyAlignment="1"/>
    <xf numFmtId="2" fontId="8" fillId="0" borderId="0" xfId="1" applyNumberFormat="1" applyFont="1" applyAlignment="1"/>
    <xf numFmtId="0" fontId="3" fillId="0" borderId="0" xfId="1" applyFill="1" applyBorder="1" applyAlignment="1">
      <alignment horizontal="left"/>
    </xf>
    <xf numFmtId="0" fontId="3" fillId="0" borderId="0" xfId="1" applyFill="1" applyBorder="1" applyAlignment="1"/>
    <xf numFmtId="0" fontId="3" fillId="0" borderId="0" xfId="1" applyFont="1" applyFill="1" applyBorder="1" applyAlignment="1">
      <alignment horizontal="center"/>
    </xf>
    <xf numFmtId="0" fontId="3" fillId="0" borderId="0" xfId="1"/>
    <xf numFmtId="0" fontId="4" fillId="0" borderId="19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" fontId="45" fillId="11" borderId="1" xfId="6" applyNumberFormat="1" applyFont="1" applyFill="1" applyBorder="1" applyAlignment="1">
      <alignment horizontal="center" vertical="top"/>
    </xf>
    <xf numFmtId="1" fontId="45" fillId="11" borderId="0" xfId="6" applyNumberFormat="1" applyFont="1" applyFill="1" applyBorder="1" applyAlignment="1">
      <alignment horizontal="center" vertical="top"/>
    </xf>
    <xf numFmtId="0" fontId="46" fillId="12" borderId="62" xfId="6" applyNumberFormat="1" applyFont="1" applyFill="1" applyBorder="1" applyAlignment="1" applyProtection="1">
      <alignment horizontal="center" vertical="top"/>
    </xf>
    <xf numFmtId="0" fontId="46" fillId="11" borderId="26" xfId="6" applyNumberFormat="1" applyFont="1" applyFill="1" applyBorder="1" applyAlignment="1" applyProtection="1">
      <alignment horizontal="center" vertical="top"/>
    </xf>
    <xf numFmtId="0" fontId="46" fillId="11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center" vertical="top"/>
    </xf>
    <xf numFmtId="0" fontId="46" fillId="12" borderId="52" xfId="6" applyNumberFormat="1" applyFont="1" applyFill="1" applyBorder="1" applyAlignment="1" applyProtection="1">
      <alignment horizontal="center" vertical="top"/>
    </xf>
    <xf numFmtId="0" fontId="46" fillId="13" borderId="41" xfId="6" applyNumberFormat="1" applyFont="1" applyFill="1" applyBorder="1" applyAlignment="1" applyProtection="1">
      <alignment horizontal="center" vertical="top"/>
    </xf>
    <xf numFmtId="0" fontId="46" fillId="6" borderId="1" xfId="6" applyNumberFormat="1" applyFont="1" applyFill="1" applyBorder="1" applyAlignment="1" applyProtection="1">
      <alignment horizontal="center" vertical="top"/>
    </xf>
    <xf numFmtId="0" fontId="46" fillId="6" borderId="42" xfId="6" applyNumberFormat="1" applyFont="1" applyFill="1" applyBorder="1" applyAlignment="1" applyProtection="1">
      <alignment horizontal="center" vertical="top"/>
    </xf>
    <xf numFmtId="0" fontId="46" fillId="13" borderId="1" xfId="6" applyNumberFormat="1" applyFont="1" applyFill="1" applyBorder="1" applyAlignment="1" applyProtection="1">
      <alignment horizontal="center" vertical="top"/>
    </xf>
    <xf numFmtId="2" fontId="46" fillId="13" borderId="1" xfId="6" applyNumberFormat="1" applyFont="1" applyFill="1" applyBorder="1" applyAlignment="1" applyProtection="1">
      <alignment horizontal="center" vertical="top"/>
    </xf>
    <xf numFmtId="0" fontId="46" fillId="13" borderId="42" xfId="6" applyNumberFormat="1" applyFont="1" applyFill="1" applyBorder="1" applyAlignment="1" applyProtection="1">
      <alignment horizontal="center" vertical="top"/>
    </xf>
    <xf numFmtId="0" fontId="4" fillId="0" borderId="18" xfId="6" applyFont="1" applyBorder="1"/>
    <xf numFmtId="0" fontId="4" fillId="2" borderId="20" xfId="6" applyFont="1" applyFill="1" applyBorder="1"/>
    <xf numFmtId="0" fontId="4" fillId="0" borderId="23" xfId="6" applyFont="1" applyBorder="1"/>
    <xf numFmtId="0" fontId="4" fillId="2" borderId="25" xfId="6" applyFont="1" applyFill="1" applyBorder="1"/>
    <xf numFmtId="0" fontId="35" fillId="2" borderId="0" xfId="6" applyFont="1" applyFill="1"/>
    <xf numFmtId="0" fontId="4" fillId="0" borderId="32" xfId="6" applyFont="1" applyBorder="1"/>
    <xf numFmtId="0" fontId="4" fillId="0" borderId="16" xfId="1" applyFont="1" applyFill="1" applyBorder="1" applyAlignment="1">
      <alignment horizontal="right"/>
    </xf>
    <xf numFmtId="0" fontId="47" fillId="2" borderId="16" xfId="6" applyFont="1" applyFill="1" applyBorder="1"/>
    <xf numFmtId="0" fontId="4" fillId="0" borderId="17" xfId="6" applyFont="1" applyBorder="1"/>
    <xf numFmtId="0" fontId="4" fillId="0" borderId="14" xfId="6" applyFont="1" applyBorder="1" applyAlignment="1">
      <alignment horizontal="center"/>
    </xf>
    <xf numFmtId="0" fontId="46" fillId="13" borderId="1" xfId="6" applyNumberFormat="1" applyFont="1" applyFill="1" applyBorder="1" applyAlignment="1" applyProtection="1">
      <alignment horizontal="center" vertical="center"/>
    </xf>
    <xf numFmtId="0" fontId="46" fillId="13" borderId="63" xfId="6" applyNumberFormat="1" applyFont="1" applyFill="1" applyBorder="1" applyAlignment="1" applyProtection="1">
      <alignment horizontal="center" vertical="top"/>
    </xf>
    <xf numFmtId="0" fontId="46" fillId="6" borderId="56" xfId="6" applyNumberFormat="1" applyFont="1" applyFill="1" applyBorder="1" applyAlignment="1" applyProtection="1">
      <alignment horizontal="center" vertical="top"/>
    </xf>
    <xf numFmtId="0" fontId="46" fillId="6" borderId="50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top"/>
    </xf>
    <xf numFmtId="0" fontId="46" fillId="13" borderId="56" xfId="6" applyNumberFormat="1" applyFont="1" applyFill="1" applyBorder="1" applyAlignment="1" applyProtection="1">
      <alignment horizontal="center" vertical="center"/>
    </xf>
    <xf numFmtId="0" fontId="46" fillId="13" borderId="50" xfId="6" applyNumberFormat="1" applyFont="1" applyFill="1" applyBorder="1" applyAlignment="1" applyProtection="1">
      <alignment horizontal="center" vertical="top"/>
    </xf>
    <xf numFmtId="0" fontId="4" fillId="2" borderId="0" xfId="6" applyFont="1" applyFill="1"/>
    <xf numFmtId="0" fontId="46" fillId="12" borderId="62" xfId="6" applyNumberFormat="1" applyFont="1" applyFill="1" applyBorder="1" applyAlignment="1" applyProtection="1">
      <alignment horizontal="center" vertical="top" wrapText="1"/>
    </xf>
    <xf numFmtId="0" fontId="46" fillId="12" borderId="26" xfId="6" applyNumberFormat="1" applyFont="1" applyFill="1" applyBorder="1" applyAlignment="1" applyProtection="1">
      <alignment vertical="top"/>
    </xf>
    <xf numFmtId="0" fontId="46" fillId="12" borderId="52" xfId="6" applyNumberFormat="1" applyFont="1" applyFill="1" applyBorder="1" applyAlignment="1" applyProtection="1">
      <alignment vertical="top"/>
    </xf>
    <xf numFmtId="0" fontId="46" fillId="11" borderId="26" xfId="6" applyNumberFormat="1" applyFont="1" applyFill="1" applyBorder="1" applyAlignment="1" applyProtection="1">
      <alignment vertical="top"/>
    </xf>
    <xf numFmtId="0" fontId="46" fillId="11" borderId="5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vertical="top"/>
    </xf>
    <xf numFmtId="0" fontId="46" fillId="13" borderId="1" xfId="6" applyNumberFormat="1" applyFont="1" applyFill="1" applyBorder="1" applyAlignment="1" applyProtection="1">
      <alignment vertical="top"/>
    </xf>
    <xf numFmtId="0" fontId="46" fillId="13" borderId="42" xfId="6" applyNumberFormat="1" applyFont="1" applyFill="1" applyBorder="1" applyAlignment="1" applyProtection="1">
      <alignment vertical="top"/>
    </xf>
    <xf numFmtId="0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 indent="1"/>
    </xf>
    <xf numFmtId="0" fontId="46" fillId="6" borderId="41" xfId="6" applyNumberFormat="1" applyFont="1" applyFill="1" applyBorder="1" applyAlignment="1" applyProtection="1">
      <alignment horizontal="left" vertical="top" indent="1"/>
    </xf>
    <xf numFmtId="2" fontId="46" fillId="6" borderId="41" xfId="6" applyNumberFormat="1" applyFont="1" applyFill="1" applyBorder="1" applyAlignment="1" applyProtection="1">
      <alignment vertical="top"/>
    </xf>
    <xf numFmtId="0" fontId="46" fillId="13" borderId="43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vertical="top"/>
    </xf>
    <xf numFmtId="0" fontId="46" fillId="13" borderId="56" xfId="6" applyNumberFormat="1" applyFont="1" applyFill="1" applyBorder="1" applyAlignment="1" applyProtection="1">
      <alignment vertical="top"/>
    </xf>
    <xf numFmtId="0" fontId="46" fillId="13" borderId="50" xfId="6" applyNumberFormat="1" applyFont="1" applyFill="1" applyBorder="1" applyAlignment="1" applyProtection="1">
      <alignment vertical="top"/>
    </xf>
    <xf numFmtId="0" fontId="46" fillId="6" borderId="1" xfId="6" applyNumberFormat="1" applyFont="1" applyFill="1" applyBorder="1" applyAlignment="1" applyProtection="1">
      <alignment vertical="top"/>
    </xf>
    <xf numFmtId="0" fontId="46" fillId="6" borderId="63" xfId="6" applyNumberFormat="1" applyFont="1" applyFill="1" applyBorder="1" applyAlignment="1" applyProtection="1">
      <alignment horizontal="left" vertical="top" indent="1"/>
    </xf>
    <xf numFmtId="0" fontId="46" fillId="6" borderId="56" xfId="6" applyNumberFormat="1" applyFont="1" applyFill="1" applyBorder="1" applyAlignment="1" applyProtection="1">
      <alignment horizontal="left" vertical="top" indent="1"/>
    </xf>
    <xf numFmtId="0" fontId="48" fillId="12" borderId="26" xfId="6" applyNumberFormat="1" applyFont="1" applyFill="1" applyBorder="1" applyAlignment="1" applyProtection="1">
      <alignment horizontal="center" vertical="top"/>
    </xf>
    <xf numFmtId="0" fontId="48" fillId="12" borderId="52" xfId="6" applyNumberFormat="1" applyFont="1" applyFill="1" applyBorder="1" applyAlignment="1" applyProtection="1">
      <alignment horizontal="center" vertical="top"/>
    </xf>
    <xf numFmtId="0" fontId="46" fillId="12" borderId="26" xfId="6" applyNumberFormat="1" applyFont="1" applyFill="1" applyBorder="1" applyAlignment="1" applyProtection="1">
      <alignment horizontal="left" vertical="top"/>
    </xf>
    <xf numFmtId="0" fontId="46" fillId="12" borderId="52" xfId="6" applyNumberFormat="1" applyFont="1" applyFill="1" applyBorder="1" applyAlignment="1" applyProtection="1">
      <alignment horizontal="left" vertical="top"/>
    </xf>
    <xf numFmtId="0" fontId="3" fillId="0" borderId="0" xfId="6" applyFont="1" applyAlignment="1">
      <alignment horizontal="center"/>
    </xf>
    <xf numFmtId="165" fontId="46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top"/>
    </xf>
    <xf numFmtId="0" fontId="46" fillId="6" borderId="42" xfId="6" applyNumberFormat="1" applyFont="1" applyFill="1" applyBorder="1" applyAlignment="1" applyProtection="1">
      <alignment horizontal="left" vertical="top"/>
    </xf>
    <xf numFmtId="0" fontId="3" fillId="2" borderId="0" xfId="6" applyFill="1"/>
    <xf numFmtId="0" fontId="49" fillId="6" borderId="41" xfId="6" applyNumberFormat="1" applyFont="1" applyFill="1" applyBorder="1" applyAlignment="1" applyProtection="1">
      <alignment horizontal="left" vertical="top"/>
    </xf>
    <xf numFmtId="0" fontId="46" fillId="6" borderId="1" xfId="6" applyNumberFormat="1" applyFont="1" applyFill="1" applyBorder="1" applyAlignment="1" applyProtection="1">
      <alignment horizontal="left" vertical="center"/>
    </xf>
    <xf numFmtId="165" fontId="46" fillId="6" borderId="63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top"/>
    </xf>
    <xf numFmtId="0" fontId="46" fillId="6" borderId="56" xfId="6" applyNumberFormat="1" applyFont="1" applyFill="1" applyBorder="1" applyAlignment="1" applyProtection="1">
      <alignment horizontal="left" vertical="center"/>
    </xf>
    <xf numFmtId="0" fontId="46" fillId="6" borderId="63" xfId="6" applyNumberFormat="1" applyFont="1" applyFill="1" applyBorder="1" applyAlignment="1" applyProtection="1">
      <alignment horizontal="left" vertical="top"/>
    </xf>
    <xf numFmtId="0" fontId="46" fillId="6" borderId="50" xfId="6" applyNumberFormat="1" applyFont="1" applyFill="1" applyBorder="1" applyAlignment="1" applyProtection="1">
      <alignment horizontal="left" vertical="top"/>
    </xf>
    <xf numFmtId="165" fontId="3" fillId="0" borderId="0" xfId="6" applyNumberFormat="1" applyAlignment="1">
      <alignment horizontal="left"/>
    </xf>
    <xf numFmtId="0" fontId="46" fillId="0" borderId="0" xfId="6" applyNumberFormat="1" applyFont="1" applyFill="1" applyBorder="1" applyAlignment="1" applyProtection="1">
      <alignment horizontal="center" vertical="top"/>
    </xf>
    <xf numFmtId="0" fontId="49" fillId="13" borderId="42" xfId="6" applyNumberFormat="1" applyFont="1" applyFill="1" applyBorder="1" applyAlignment="1" applyProtection="1">
      <alignment horizontal="center" vertical="top"/>
    </xf>
    <xf numFmtId="0" fontId="46" fillId="0" borderId="0" xfId="6" applyNumberFormat="1" applyFont="1" applyFill="1" applyBorder="1" applyAlignment="1" applyProtection="1">
      <alignment vertical="top"/>
    </xf>
    <xf numFmtId="0" fontId="46" fillId="13" borderId="41" xfId="6" applyNumberFormat="1" applyFont="1" applyFill="1" applyBorder="1" applyAlignment="1" applyProtection="1">
      <alignment horizontal="left" vertical="top"/>
    </xf>
    <xf numFmtId="0" fontId="48" fillId="6" borderId="1" xfId="6" applyNumberFormat="1" applyFont="1" applyFill="1" applyBorder="1" applyAlignment="1" applyProtection="1">
      <alignment horizontal="left" vertical="top" indent="1"/>
    </xf>
    <xf numFmtId="0" fontId="46" fillId="13" borderId="41" xfId="6" applyNumberFormat="1" applyFont="1" applyFill="1" applyBorder="1" applyAlignment="1" applyProtection="1">
      <alignment horizontal="left" vertical="top" indent="1"/>
    </xf>
    <xf numFmtId="0" fontId="49" fillId="6" borderId="1" xfId="6" applyNumberFormat="1" applyFont="1" applyFill="1" applyBorder="1" applyAlignment="1" applyProtection="1">
      <alignment horizontal="center" vertical="top"/>
    </xf>
    <xf numFmtId="0" fontId="48" fillId="6" borderId="42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top"/>
    </xf>
    <xf numFmtId="0" fontId="46" fillId="13" borderId="63" xfId="6" applyNumberFormat="1" applyFont="1" applyFill="1" applyBorder="1" applyAlignment="1" applyProtection="1">
      <alignment horizontal="left" vertical="top" indent="1"/>
    </xf>
    <xf numFmtId="0" fontId="48" fillId="6" borderId="56" xfId="6" applyNumberFormat="1" applyFont="1" applyFill="1" applyBorder="1" applyAlignment="1" applyProtection="1">
      <alignment horizontal="left" vertical="top" indent="1"/>
    </xf>
    <xf numFmtId="0" fontId="3" fillId="0" borderId="23" xfId="1" applyFont="1" applyFill="1" applyBorder="1" applyAlignment="1">
      <alignment horizontal="centerContinuous" vertical="distributed"/>
    </xf>
    <xf numFmtId="0" fontId="3" fillId="0" borderId="0" xfId="6" applyAlignment="1">
      <alignment horizontal="centerContinuous" vertical="distributed"/>
    </xf>
    <xf numFmtId="0" fontId="3" fillId="0" borderId="21" xfId="1" applyFont="1" applyFill="1" applyBorder="1" applyAlignment="1">
      <alignment horizontal="left"/>
    </xf>
    <xf numFmtId="0" fontId="46" fillId="12" borderId="0" xfId="6" applyNumberFormat="1" applyFont="1" applyFill="1" applyBorder="1" applyAlignment="1" applyProtection="1">
      <alignment horizontal="center" vertical="top"/>
    </xf>
    <xf numFmtId="0" fontId="46" fillId="13" borderId="0" xfId="6" applyNumberFormat="1" applyFont="1" applyFill="1" applyBorder="1" applyAlignment="1" applyProtection="1">
      <alignment horizontal="center" vertical="top"/>
    </xf>
    <xf numFmtId="0" fontId="49" fillId="6" borderId="42" xfId="6" applyNumberFormat="1" applyFont="1" applyFill="1" applyBorder="1" applyAlignment="1" applyProtection="1">
      <alignment horizontal="center" vertical="center"/>
    </xf>
    <xf numFmtId="0" fontId="46" fillId="13" borderId="51" xfId="6" applyNumberFormat="1" applyFont="1" applyFill="1" applyBorder="1" applyAlignment="1" applyProtection="1">
      <alignment horizontal="center" vertical="top"/>
    </xf>
    <xf numFmtId="0" fontId="46" fillId="6" borderId="51" xfId="6" applyNumberFormat="1" applyFont="1" applyFill="1" applyBorder="1" applyAlignment="1" applyProtection="1">
      <alignment horizontal="left" vertical="top"/>
    </xf>
    <xf numFmtId="0" fontId="4" fillId="0" borderId="18" xfId="1" applyFont="1" applyFill="1" applyBorder="1" applyAlignment="1">
      <alignment horizontal="right"/>
    </xf>
    <xf numFmtId="2" fontId="4" fillId="0" borderId="19" xfId="1" applyNumberFormat="1" applyFont="1" applyFill="1" applyBorder="1" applyAlignment="1">
      <alignment horizontal="center"/>
    </xf>
    <xf numFmtId="0" fontId="4" fillId="2" borderId="16" xfId="6" applyFont="1" applyFill="1" applyBorder="1" applyAlignment="1">
      <alignment horizontal="center"/>
    </xf>
    <xf numFmtId="0" fontId="26" fillId="5" borderId="61" xfId="6" applyNumberFormat="1" applyFont="1" applyFill="1" applyBorder="1" applyAlignment="1"/>
    <xf numFmtId="0" fontId="3" fillId="14" borderId="0" xfId="6" applyFill="1"/>
    <xf numFmtId="0" fontId="3" fillId="2" borderId="1" xfId="6" applyFill="1" applyBorder="1"/>
    <xf numFmtId="0" fontId="4" fillId="0" borderId="8" xfId="1" applyFont="1" applyFill="1" applyBorder="1"/>
    <xf numFmtId="0" fontId="5" fillId="0" borderId="75" xfId="2" applyFill="1" applyBorder="1"/>
    <xf numFmtId="0" fontId="18" fillId="0" borderId="75" xfId="1" applyFont="1" applyFill="1" applyBorder="1" applyAlignment="1"/>
    <xf numFmtId="0" fontId="6" fillId="0" borderId="75" xfId="1" applyFont="1" applyFill="1" applyBorder="1" applyAlignment="1">
      <alignment horizontal="center"/>
    </xf>
    <xf numFmtId="0" fontId="4" fillId="0" borderId="75" xfId="1" applyFont="1" applyFill="1" applyBorder="1" applyAlignment="1"/>
    <xf numFmtId="0" fontId="20" fillId="0" borderId="75" xfId="1" applyFont="1" applyFill="1" applyBorder="1" applyAlignment="1">
      <alignment horizontal="right"/>
    </xf>
    <xf numFmtId="0" fontId="21" fillId="0" borderId="0" xfId="2" applyFont="1" applyFill="1" applyBorder="1" applyAlignment="1">
      <alignment horizontal="right"/>
    </xf>
    <xf numFmtId="0" fontId="6" fillId="0" borderId="75" xfId="1" applyFont="1" applyFill="1" applyBorder="1" applyAlignment="1">
      <alignment horizontal="right"/>
    </xf>
    <xf numFmtId="0" fontId="6" fillId="2" borderId="75" xfId="1" applyNumberFormat="1" applyFont="1" applyFill="1" applyBorder="1" applyAlignment="1">
      <alignment horizontal="center"/>
    </xf>
    <xf numFmtId="0" fontId="19" fillId="0" borderId="75" xfId="1" applyFont="1" applyFill="1" applyBorder="1" applyAlignment="1">
      <alignment horizontal="left"/>
    </xf>
    <xf numFmtId="0" fontId="20" fillId="0" borderId="75" xfId="1" applyFont="1" applyFill="1" applyBorder="1" applyAlignment="1">
      <alignment horizontal="left"/>
    </xf>
    <xf numFmtId="0" fontId="19" fillId="0" borderId="73" xfId="1" applyFont="1" applyFill="1" applyBorder="1" applyAlignment="1">
      <alignment horizontal="left"/>
    </xf>
    <xf numFmtId="0" fontId="3" fillId="0" borderId="1" xfId="1" applyFill="1" applyBorder="1" applyAlignment="1">
      <alignment horizontal="center"/>
    </xf>
    <xf numFmtId="0" fontId="0" fillId="0" borderId="56" xfId="0" applyNumberFormat="1" applyBorder="1"/>
    <xf numFmtId="0" fontId="0" fillId="0" borderId="0" xfId="0" applyBorder="1"/>
    <xf numFmtId="0" fontId="50" fillId="15" borderId="1" xfId="0" applyFont="1" applyFill="1" applyBorder="1" applyAlignment="1">
      <alignment horizontal="center" vertical="center"/>
    </xf>
    <xf numFmtId="0" fontId="0" fillId="13" borderId="1" xfId="0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12" borderId="79" xfId="0" applyFill="1" applyBorder="1" applyAlignment="1">
      <alignment horizontal="left" vertical="center" indent="1"/>
    </xf>
    <xf numFmtId="0" fontId="0" fillId="12" borderId="80" xfId="0" applyFill="1" applyBorder="1" applyAlignment="1">
      <alignment horizontal="left" vertical="center" indent="1"/>
    </xf>
    <xf numFmtId="0" fontId="0" fillId="12" borderId="81" xfId="0" applyFill="1" applyBorder="1" applyAlignment="1">
      <alignment horizontal="left" vertical="center" indent="1"/>
    </xf>
    <xf numFmtId="0" fontId="51" fillId="16" borderId="0" xfId="0" applyFont="1" applyFill="1" applyBorder="1" applyAlignment="1">
      <alignment vertical="center"/>
    </xf>
    <xf numFmtId="0" fontId="0" fillId="13" borderId="1" xfId="0" applyFill="1" applyBorder="1" applyAlignment="1">
      <alignment vertical="center"/>
    </xf>
    <xf numFmtId="0" fontId="26" fillId="0" borderId="56" xfId="1" applyFont="1" applyFill="1" applyBorder="1" applyAlignment="1">
      <alignment horizontal="left"/>
    </xf>
    <xf numFmtId="0" fontId="0" fillId="0" borderId="12" xfId="0" applyBorder="1"/>
    <xf numFmtId="0" fontId="0" fillId="13" borderId="56" xfId="0" applyFill="1" applyBorder="1" applyAlignment="1">
      <alignment horizontal="center" vertical="center"/>
    </xf>
    <xf numFmtId="0" fontId="0" fillId="13" borderId="56" xfId="0" applyFill="1" applyBorder="1" applyAlignment="1">
      <alignment vertical="center"/>
    </xf>
    <xf numFmtId="0" fontId="5" fillId="0" borderId="14" xfId="2" applyFill="1" applyBorder="1"/>
    <xf numFmtId="0" fontId="3" fillId="0" borderId="2" xfId="1" applyFont="1" applyFill="1" applyBorder="1"/>
    <xf numFmtId="0" fontId="3" fillId="0" borderId="22" xfId="1" applyFill="1" applyBorder="1"/>
    <xf numFmtId="2" fontId="3" fillId="0" borderId="22" xfId="1" applyNumberFormat="1" applyFill="1" applyBorder="1"/>
    <xf numFmtId="0" fontId="9" fillId="0" borderId="48" xfId="1" applyFont="1" applyFill="1" applyBorder="1" applyAlignment="1">
      <alignment horizontal="center"/>
    </xf>
    <xf numFmtId="2" fontId="3" fillId="0" borderId="56" xfId="1" applyNumberFormat="1" applyFill="1" applyBorder="1"/>
    <xf numFmtId="2" fontId="3" fillId="0" borderId="60" xfId="1" applyNumberFormat="1" applyFill="1" applyBorder="1"/>
    <xf numFmtId="2" fontId="11" fillId="0" borderId="16" xfId="1" applyNumberFormat="1" applyFont="1" applyFill="1" applyBorder="1"/>
    <xf numFmtId="2" fontId="11" fillId="0" borderId="17" xfId="1" applyNumberFormat="1" applyFont="1" applyFill="1" applyBorder="1"/>
    <xf numFmtId="0" fontId="34" fillId="0" borderId="14" xfId="2" applyFont="1" applyFill="1" applyBorder="1" applyAlignment="1">
      <alignment horizontal="left"/>
    </xf>
    <xf numFmtId="22" fontId="3" fillId="0" borderId="0" xfId="4" applyNumberFormat="1"/>
    <xf numFmtId="0" fontId="52" fillId="0" borderId="0" xfId="0" applyFont="1" applyAlignment="1">
      <alignment vertical="center"/>
    </xf>
    <xf numFmtId="0" fontId="3" fillId="0" borderId="0" xfId="4" applyFill="1"/>
    <xf numFmtId="22" fontId="3" fillId="0" borderId="0" xfId="4" applyNumberFormat="1" applyFill="1"/>
    <xf numFmtId="0" fontId="0" fillId="2" borderId="56" xfId="0" applyNumberFormat="1" applyFill="1" applyBorder="1"/>
    <xf numFmtId="0" fontId="0" fillId="17" borderId="1" xfId="0" applyFill="1" applyBorder="1"/>
    <xf numFmtId="0" fontId="0" fillId="2" borderId="56" xfId="0" applyFill="1" applyBorder="1"/>
    <xf numFmtId="0" fontId="0" fillId="2" borderId="1" xfId="0" applyNumberFormat="1" applyFill="1" applyBorder="1"/>
    <xf numFmtId="0" fontId="0" fillId="2" borderId="0" xfId="0" applyFill="1"/>
    <xf numFmtId="0" fontId="4" fillId="9" borderId="1" xfId="1" applyFont="1" applyFill="1" applyBorder="1" applyAlignment="1">
      <alignment horizontal="left"/>
    </xf>
    <xf numFmtId="0" fontId="4" fillId="9" borderId="1" xfId="1" applyFont="1" applyFill="1" applyBorder="1" applyAlignment="1"/>
    <xf numFmtId="0" fontId="26" fillId="9" borderId="56" xfId="1" applyFont="1" applyFill="1" applyBorder="1" applyAlignment="1">
      <alignment horizontal="left"/>
    </xf>
    <xf numFmtId="0" fontId="0" fillId="9" borderId="0" xfId="0" applyFill="1"/>
    <xf numFmtId="0" fontId="10" fillId="0" borderId="0" xfId="1" applyFont="1" applyFill="1" applyBorder="1" applyAlignment="1"/>
    <xf numFmtId="2" fontId="18" fillId="0" borderId="0" xfId="1" applyNumberFormat="1" applyFont="1" applyFill="1" applyBorder="1" applyAlignment="1"/>
    <xf numFmtId="0" fontId="11" fillId="0" borderId="8" xfId="1" applyFont="1" applyFill="1" applyBorder="1" applyAlignment="1">
      <alignment horizontal="center"/>
    </xf>
    <xf numFmtId="0" fontId="11" fillId="0" borderId="0" xfId="1" applyFont="1" applyFill="1" applyBorder="1" applyAlignment="1">
      <alignment horizontal="center"/>
    </xf>
    <xf numFmtId="0" fontId="22" fillId="0" borderId="0" xfId="1" applyFont="1" applyFill="1" applyBorder="1" applyAlignment="1"/>
    <xf numFmtId="0" fontId="53" fillId="0" borderId="0" xfId="4" applyFont="1" applyAlignment="1">
      <alignment vertical="center"/>
    </xf>
    <xf numFmtId="0" fontId="3" fillId="0" borderId="0" xfId="4" applyNumberFormat="1" applyFill="1"/>
    <xf numFmtId="0" fontId="52" fillId="0" borderId="0" xfId="4" applyFont="1" applyAlignment="1">
      <alignment vertical="center"/>
    </xf>
    <xf numFmtId="1" fontId="3" fillId="0" borderId="0" xfId="4" applyNumberFormat="1" applyFill="1"/>
    <xf numFmtId="0" fontId="3" fillId="2" borderId="0" xfId="4" applyFill="1"/>
    <xf numFmtId="0" fontId="55" fillId="0" borderId="0" xfId="0" applyFont="1"/>
    <xf numFmtId="0" fontId="0" fillId="5" borderId="0" xfId="0" applyFont="1" applyFill="1"/>
    <xf numFmtId="0" fontId="4" fillId="0" borderId="0" xfId="1" applyFont="1" applyFill="1" applyAlignment="1">
      <alignment horizontal="left"/>
    </xf>
    <xf numFmtId="0" fontId="38" fillId="0" borderId="19" xfId="7" applyFont="1" applyBorder="1" applyAlignment="1">
      <alignment horizontal="center" vertical="center"/>
    </xf>
    <xf numFmtId="0" fontId="38" fillId="0" borderId="1" xfId="7" applyFont="1" applyBorder="1" applyAlignment="1">
      <alignment horizontal="center" vertical="center"/>
    </xf>
    <xf numFmtId="0" fontId="38" fillId="0" borderId="24" xfId="7" applyFont="1" applyBorder="1" applyAlignment="1">
      <alignment horizontal="center" vertical="center"/>
    </xf>
    <xf numFmtId="0" fontId="56" fillId="18" borderId="1" xfId="8" applyNumberFormat="1" applyFont="1" applyFill="1" applyBorder="1" applyAlignment="1">
      <alignment horizontal="left" vertical="top" wrapText="1"/>
    </xf>
    <xf numFmtId="0" fontId="56" fillId="18" borderId="42" xfId="8" applyNumberFormat="1" applyFont="1" applyFill="1" applyBorder="1" applyAlignment="1">
      <alignment horizontal="left" vertical="top" wrapText="1"/>
    </xf>
    <xf numFmtId="0" fontId="58" fillId="0" borderId="1" xfId="9" applyNumberFormat="1" applyFont="1" applyFill="1" applyBorder="1" applyAlignment="1">
      <alignment horizontal="center" vertical="top"/>
    </xf>
    <xf numFmtId="0" fontId="0" fillId="0" borderId="1" xfId="6" applyFont="1" applyBorder="1"/>
    <xf numFmtId="0" fontId="56" fillId="18" borderId="36" xfId="8" applyNumberFormat="1" applyFont="1" applyFill="1" applyBorder="1" applyAlignment="1">
      <alignment horizontal="left" vertical="top" wrapText="1"/>
    </xf>
    <xf numFmtId="2" fontId="0" fillId="0" borderId="0" xfId="0" applyNumberFormat="1"/>
    <xf numFmtId="0" fontId="0" fillId="0" borderId="1" xfId="0" applyFill="1" applyBorder="1"/>
    <xf numFmtId="0" fontId="18" fillId="0" borderId="0" xfId="6" applyFont="1"/>
    <xf numFmtId="0" fontId="60" fillId="0" borderId="0" xfId="6" applyFont="1"/>
    <xf numFmtId="0" fontId="0" fillId="0" borderId="0" xfId="1" applyNumberFormat="1" applyFont="1" applyFill="1"/>
    <xf numFmtId="0" fontId="61" fillId="0" borderId="0" xfId="6" applyFont="1"/>
    <xf numFmtId="0" fontId="62" fillId="0" borderId="0" xfId="6" applyFont="1"/>
    <xf numFmtId="0" fontId="4" fillId="0" borderId="18" xfId="6" applyFont="1" applyBorder="1" applyAlignment="1">
      <alignment horizontal="center" textRotation="90" wrapText="1"/>
    </xf>
    <xf numFmtId="0" fontId="4" fillId="0" borderId="20" xfId="6" applyFont="1" applyBorder="1" applyAlignment="1">
      <alignment horizontal="center" wrapText="1"/>
    </xf>
    <xf numFmtId="0" fontId="4" fillId="0" borderId="14" xfId="6" applyFont="1" applyBorder="1" applyAlignment="1">
      <alignment horizontal="center" wrapText="1"/>
    </xf>
    <xf numFmtId="0" fontId="4" fillId="6" borderId="14" xfId="6" applyFont="1" applyFill="1" applyBorder="1" applyAlignment="1">
      <alignment horizontal="center" wrapText="1"/>
    </xf>
    <xf numFmtId="0" fontId="4" fillId="12" borderId="15" xfId="6" applyFont="1" applyFill="1" applyBorder="1" applyAlignment="1">
      <alignment horizontal="center" wrapText="1"/>
    </xf>
    <xf numFmtId="0" fontId="4" fillId="12" borderId="54" xfId="6" applyFont="1" applyFill="1" applyBorder="1" applyAlignment="1">
      <alignment horizontal="center" wrapText="1"/>
    </xf>
    <xf numFmtId="0" fontId="4" fillId="18" borderId="32" xfId="6" applyFont="1" applyFill="1" applyBorder="1" applyAlignment="1">
      <alignment horizontal="center" wrapText="1"/>
    </xf>
    <xf numFmtId="0" fontId="4" fillId="18" borderId="16" xfId="6" applyFont="1" applyFill="1" applyBorder="1" applyAlignment="1">
      <alignment horizontal="center" wrapText="1"/>
    </xf>
    <xf numFmtId="0" fontId="4" fillId="18" borderId="17" xfId="6" applyFont="1" applyFill="1" applyBorder="1" applyAlignment="1">
      <alignment horizontal="center" wrapText="1"/>
    </xf>
    <xf numFmtId="0" fontId="4" fillId="15" borderId="32" xfId="6" applyFont="1" applyFill="1" applyBorder="1" applyAlignment="1">
      <alignment horizontal="center" wrapText="1"/>
    </xf>
    <xf numFmtId="0" fontId="4" fillId="19" borderId="16" xfId="6" applyFont="1" applyFill="1" applyBorder="1" applyAlignment="1">
      <alignment horizontal="center" wrapText="1"/>
    </xf>
    <xf numFmtId="0" fontId="4" fillId="20" borderId="17" xfId="6" applyFont="1" applyFill="1" applyBorder="1" applyAlignment="1">
      <alignment horizontal="center" wrapText="1"/>
    </xf>
    <xf numFmtId="0" fontId="4" fillId="21" borderId="14" xfId="6" applyFont="1" applyFill="1" applyBorder="1" applyAlignment="1">
      <alignment horizontal="center" wrapText="1"/>
    </xf>
    <xf numFmtId="0" fontId="4" fillId="22" borderId="5" xfId="6" applyFont="1" applyFill="1" applyBorder="1" applyAlignment="1">
      <alignment horizontal="center" wrapText="1"/>
    </xf>
    <xf numFmtId="0" fontId="4" fillId="6" borderId="5" xfId="6" applyFont="1" applyFill="1" applyBorder="1" applyAlignment="1">
      <alignment horizontal="center" wrapText="1"/>
    </xf>
    <xf numFmtId="0" fontId="4" fillId="21" borderId="32" xfId="6" applyFont="1" applyFill="1" applyBorder="1" applyAlignment="1">
      <alignment horizontal="center" wrapText="1"/>
    </xf>
    <xf numFmtId="0" fontId="4" fillId="11" borderId="17" xfId="6" applyFont="1" applyFill="1" applyBorder="1" applyAlignment="1">
      <alignment horizontal="center" wrapText="1"/>
    </xf>
    <xf numFmtId="0" fontId="4" fillId="23" borderId="6" xfId="6" applyFont="1" applyFill="1" applyBorder="1" applyAlignment="1">
      <alignment horizontal="center" wrapText="1"/>
    </xf>
    <xf numFmtId="0" fontId="3" fillId="0" borderId="0" xfId="6" applyAlignment="1">
      <alignment wrapText="1"/>
    </xf>
    <xf numFmtId="0" fontId="3" fillId="0" borderId="62" xfId="6" applyBorder="1" applyAlignment="1">
      <alignment horizontal="center" wrapText="1"/>
    </xf>
    <xf numFmtId="0" fontId="3" fillId="0" borderId="26" xfId="6" applyBorder="1" applyAlignment="1">
      <alignment horizontal="center" wrapText="1"/>
    </xf>
    <xf numFmtId="0" fontId="3" fillId="0" borderId="26" xfId="6" applyBorder="1" applyAlignment="1">
      <alignment horizontal="center"/>
    </xf>
    <xf numFmtId="0" fontId="3" fillId="0" borderId="52" xfId="6" applyBorder="1" applyAlignment="1">
      <alignment horizontal="center" wrapText="1"/>
    </xf>
    <xf numFmtId="0" fontId="3" fillId="0" borderId="21" xfId="6" applyBorder="1"/>
    <xf numFmtId="0" fontId="4" fillId="0" borderId="22" xfId="6" applyFont="1" applyBorder="1"/>
    <xf numFmtId="0" fontId="4" fillId="0" borderId="83" xfId="6" applyFont="1" applyBorder="1" applyAlignment="1">
      <alignment horizontal="center"/>
    </xf>
    <xf numFmtId="0" fontId="4" fillId="6" borderId="83" xfId="6" applyFont="1" applyFill="1" applyBorder="1" applyAlignment="1">
      <alignment horizontal="center"/>
    </xf>
    <xf numFmtId="0" fontId="3" fillId="12" borderId="62" xfId="6" applyFill="1" applyBorder="1"/>
    <xf numFmtId="0" fontId="3" fillId="12" borderId="52" xfId="6" applyFill="1" applyBorder="1"/>
    <xf numFmtId="0" fontId="3" fillId="18" borderId="33" xfId="6" applyFill="1" applyBorder="1"/>
    <xf numFmtId="0" fontId="3" fillId="18" borderId="26" xfId="6" applyFill="1" applyBorder="1"/>
    <xf numFmtId="0" fontId="3" fillId="18" borderId="34" xfId="6" applyFill="1" applyBorder="1"/>
    <xf numFmtId="0" fontId="3" fillId="15" borderId="33" xfId="6" applyFill="1" applyBorder="1"/>
    <xf numFmtId="0" fontId="3" fillId="19" borderId="26" xfId="6" applyFill="1" applyBorder="1"/>
    <xf numFmtId="0" fontId="3" fillId="20" borderId="34" xfId="6" applyFill="1" applyBorder="1"/>
    <xf numFmtId="0" fontId="3" fillId="21" borderId="83" xfId="6" applyFill="1" applyBorder="1"/>
    <xf numFmtId="0" fontId="3" fillId="22" borderId="84" xfId="6" applyFill="1" applyBorder="1"/>
    <xf numFmtId="0" fontId="4" fillId="6" borderId="84" xfId="6" applyFont="1" applyFill="1" applyBorder="1" applyAlignment="1">
      <alignment horizontal="center"/>
    </xf>
    <xf numFmtId="0" fontId="3" fillId="21" borderId="33" xfId="6" applyFill="1" applyBorder="1"/>
    <xf numFmtId="0" fontId="3" fillId="11" borderId="34" xfId="6" applyFill="1" applyBorder="1"/>
    <xf numFmtId="0" fontId="3" fillId="23" borderId="67" xfId="6" applyFill="1" applyBorder="1"/>
    <xf numFmtId="0" fontId="3" fillId="0" borderId="41" xfId="6" applyBorder="1"/>
    <xf numFmtId="0" fontId="3" fillId="0" borderId="1" xfId="6" applyBorder="1" applyAlignment="1">
      <alignment wrapText="1"/>
    </xf>
    <xf numFmtId="0" fontId="4" fillId="0" borderId="69" xfId="6" applyFont="1" applyBorder="1" applyAlignment="1">
      <alignment horizontal="center"/>
    </xf>
    <xf numFmtId="0" fontId="4" fillId="6" borderId="69" xfId="6" applyFont="1" applyFill="1" applyBorder="1" applyAlignment="1">
      <alignment horizontal="center"/>
    </xf>
    <xf numFmtId="0" fontId="3" fillId="12" borderId="41" xfId="6" applyFill="1" applyBorder="1"/>
    <xf numFmtId="0" fontId="3" fillId="12" borderId="42" xfId="6" applyFill="1" applyBorder="1"/>
    <xf numFmtId="0" fontId="3" fillId="18" borderId="21" xfId="6" applyFill="1" applyBorder="1"/>
    <xf numFmtId="0" fontId="3" fillId="18" borderId="1" xfId="6" applyFill="1" applyBorder="1"/>
    <xf numFmtId="0" fontId="3" fillId="18" borderId="22" xfId="6" applyFill="1" applyBorder="1"/>
    <xf numFmtId="0" fontId="3" fillId="15" borderId="21" xfId="6" applyFill="1" applyBorder="1"/>
    <xf numFmtId="0" fontId="3" fillId="19" borderId="1" xfId="6" applyFill="1" applyBorder="1"/>
    <xf numFmtId="0" fontId="3" fillId="20" borderId="22" xfId="6" applyFill="1" applyBorder="1"/>
    <xf numFmtId="0" fontId="3" fillId="21" borderId="69" xfId="6" applyFill="1" applyBorder="1"/>
    <xf numFmtId="0" fontId="3" fillId="22" borderId="43" xfId="6" applyFill="1" applyBorder="1"/>
    <xf numFmtId="0" fontId="3" fillId="21" borderId="21" xfId="6" applyFill="1" applyBorder="1"/>
    <xf numFmtId="0" fontId="3" fillId="11" borderId="22" xfId="6" applyFill="1" applyBorder="1"/>
    <xf numFmtId="0" fontId="3" fillId="23" borderId="44" xfId="6" applyFill="1" applyBorder="1"/>
    <xf numFmtId="0" fontId="3" fillId="0" borderId="55" xfId="6" applyBorder="1"/>
    <xf numFmtId="0" fontId="4" fillId="0" borderId="60" xfId="6" applyFont="1" applyBorder="1"/>
    <xf numFmtId="0" fontId="4" fillId="0" borderId="85" xfId="6" applyFont="1" applyBorder="1" applyAlignment="1">
      <alignment horizontal="center"/>
    </xf>
    <xf numFmtId="0" fontId="4" fillId="6" borderId="85" xfId="6" applyFont="1" applyFill="1" applyBorder="1" applyAlignment="1">
      <alignment horizontal="center"/>
    </xf>
    <xf numFmtId="0" fontId="3" fillId="12" borderId="63" xfId="6" applyFill="1" applyBorder="1"/>
    <xf numFmtId="0" fontId="3" fillId="12" borderId="50" xfId="6" applyFill="1" applyBorder="1"/>
    <xf numFmtId="0" fontId="3" fillId="18" borderId="55" xfId="6" applyFill="1" applyBorder="1"/>
    <xf numFmtId="0" fontId="3" fillId="18" borderId="56" xfId="6" applyFill="1" applyBorder="1"/>
    <xf numFmtId="0" fontId="3" fillId="18" borderId="60" xfId="6" applyFill="1" applyBorder="1"/>
    <xf numFmtId="0" fontId="3" fillId="15" borderId="55" xfId="6" applyFill="1" applyBorder="1"/>
    <xf numFmtId="0" fontId="3" fillId="19" borderId="56" xfId="6" applyFill="1" applyBorder="1"/>
    <xf numFmtId="0" fontId="3" fillId="20" borderId="60" xfId="6" applyFill="1" applyBorder="1"/>
    <xf numFmtId="0" fontId="3" fillId="21" borderId="85" xfId="6" applyFill="1" applyBorder="1"/>
    <xf numFmtId="0" fontId="3" fillId="22" borderId="82" xfId="6" applyFill="1" applyBorder="1"/>
    <xf numFmtId="0" fontId="3" fillId="21" borderId="55" xfId="6" applyFill="1" applyBorder="1"/>
    <xf numFmtId="0" fontId="3" fillId="11" borderId="60" xfId="6" applyFill="1" applyBorder="1"/>
    <xf numFmtId="0" fontId="3" fillId="23" borderId="86" xfId="6" applyFill="1" applyBorder="1"/>
    <xf numFmtId="0" fontId="3" fillId="0" borderId="32" xfId="6" applyBorder="1"/>
    <xf numFmtId="0" fontId="3" fillId="0" borderId="17" xfId="6" applyBorder="1"/>
    <xf numFmtId="0" fontId="64" fillId="0" borderId="32" xfId="6" applyFont="1" applyBorder="1" applyAlignment="1">
      <alignment horizontal="center"/>
    </xf>
    <xf numFmtId="0" fontId="64" fillId="0" borderId="16" xfId="6" applyFont="1" applyBorder="1" applyAlignment="1">
      <alignment horizontal="center"/>
    </xf>
    <xf numFmtId="0" fontId="65" fillId="6" borderId="16" xfId="6" applyFont="1" applyFill="1" applyBorder="1" applyAlignment="1">
      <alignment horizontal="center"/>
    </xf>
    <xf numFmtId="0" fontId="65" fillId="12" borderId="16" xfId="6" applyFont="1" applyFill="1" applyBorder="1" applyAlignment="1">
      <alignment horizontal="center"/>
    </xf>
    <xf numFmtId="0" fontId="65" fillId="12" borderId="54" xfId="6" applyFont="1" applyFill="1" applyBorder="1" applyAlignment="1">
      <alignment horizontal="center"/>
    </xf>
    <xf numFmtId="0" fontId="65" fillId="6" borderId="14" xfId="6" applyFont="1" applyFill="1" applyBorder="1" applyAlignment="1">
      <alignment horizontal="center"/>
    </xf>
    <xf numFmtId="0" fontId="65" fillId="18" borderId="32" xfId="6" applyFont="1" applyFill="1" applyBorder="1" applyAlignment="1">
      <alignment horizontal="center"/>
    </xf>
    <xf numFmtId="0" fontId="65" fillId="18" borderId="16" xfId="6" applyFont="1" applyFill="1" applyBorder="1" applyAlignment="1">
      <alignment horizontal="center"/>
    </xf>
    <xf numFmtId="0" fontId="65" fillId="18" borderId="17" xfId="6" applyFont="1" applyFill="1" applyBorder="1" applyAlignment="1">
      <alignment horizontal="center"/>
    </xf>
    <xf numFmtId="0" fontId="65" fillId="15" borderId="32" xfId="6" applyFont="1" applyFill="1" applyBorder="1" applyAlignment="1">
      <alignment horizontal="center"/>
    </xf>
    <xf numFmtId="0" fontId="65" fillId="19" borderId="16" xfId="6" applyFont="1" applyFill="1" applyBorder="1" applyAlignment="1">
      <alignment horizontal="center"/>
    </xf>
    <xf numFmtId="0" fontId="65" fillId="20" borderId="17" xfId="6" applyFont="1" applyFill="1" applyBorder="1" applyAlignment="1">
      <alignment horizontal="center"/>
    </xf>
    <xf numFmtId="0" fontId="64" fillId="21" borderId="14" xfId="6" applyFont="1" applyFill="1" applyBorder="1" applyAlignment="1">
      <alignment horizontal="center"/>
    </xf>
    <xf numFmtId="0" fontId="65" fillId="22" borderId="5" xfId="6" applyFont="1" applyFill="1" applyBorder="1" applyAlignment="1">
      <alignment horizontal="center"/>
    </xf>
    <xf numFmtId="0" fontId="65" fillId="6" borderId="5" xfId="6" applyFont="1" applyFill="1" applyBorder="1" applyAlignment="1">
      <alignment horizontal="center"/>
    </xf>
    <xf numFmtId="0" fontId="65" fillId="21" borderId="32" xfId="6" applyFont="1" applyFill="1" applyBorder="1" applyAlignment="1">
      <alignment horizontal="center"/>
    </xf>
    <xf numFmtId="0" fontId="65" fillId="11" borderId="17" xfId="6" applyFont="1" applyFill="1" applyBorder="1" applyAlignment="1">
      <alignment horizontal="center"/>
    </xf>
    <xf numFmtId="0" fontId="65" fillId="23" borderId="6" xfId="6" applyFont="1" applyFill="1" applyBorder="1" applyAlignment="1">
      <alignment horizontal="center"/>
    </xf>
    <xf numFmtId="0" fontId="3" fillId="0" borderId="18" xfId="1" applyFont="1" applyBorder="1"/>
    <xf numFmtId="0" fontId="3" fillId="0" borderId="19" xfId="6" applyBorder="1"/>
    <xf numFmtId="0" fontId="3" fillId="0" borderId="19" xfId="1" applyFont="1" applyBorder="1" applyAlignment="1">
      <alignment horizontal="left"/>
    </xf>
    <xf numFmtId="0" fontId="3" fillId="6" borderId="20" xfId="6" applyFill="1" applyBorder="1"/>
    <xf numFmtId="0" fontId="4" fillId="0" borderId="21" xfId="1" applyFont="1" applyBorder="1" applyAlignment="1">
      <alignment horizontal="left"/>
    </xf>
    <xf numFmtId="0" fontId="4" fillId="6" borderId="22" xfId="6" applyFont="1" applyFill="1" applyBorder="1"/>
    <xf numFmtId="0" fontId="3" fillId="0" borderId="23" xfId="6" applyBorder="1"/>
    <xf numFmtId="0" fontId="3" fillId="0" borderId="24" xfId="6" applyBorder="1"/>
    <xf numFmtId="0" fontId="3" fillId="0" borderId="24" xfId="1" applyFont="1" applyBorder="1" applyAlignment="1">
      <alignment horizontal="right"/>
    </xf>
    <xf numFmtId="0" fontId="4" fillId="6" borderId="25" xfId="6" applyFont="1" applyFill="1" applyBorder="1"/>
    <xf numFmtId="2" fontId="3" fillId="0" borderId="19" xfId="6" applyNumberFormat="1" applyBorder="1"/>
    <xf numFmtId="0" fontId="4" fillId="6" borderId="20" xfId="6" applyFont="1" applyFill="1" applyBorder="1"/>
    <xf numFmtId="0" fontId="3" fillId="13" borderId="8" xfId="6" applyFill="1" applyBorder="1"/>
    <xf numFmtId="0" fontId="3" fillId="13" borderId="0" xfId="6" applyFill="1" applyBorder="1"/>
    <xf numFmtId="0" fontId="3" fillId="13" borderId="45" xfId="6" applyFill="1" applyBorder="1"/>
    <xf numFmtId="2" fontId="3" fillId="0" borderId="1" xfId="6" applyNumberFormat="1" applyBorder="1"/>
    <xf numFmtId="0" fontId="3" fillId="0" borderId="18" xfId="6" applyBorder="1"/>
    <xf numFmtId="2" fontId="3" fillId="0" borderId="24" xfId="6" applyNumberFormat="1" applyBorder="1"/>
    <xf numFmtId="0" fontId="3" fillId="0" borderId="0" xfId="6" applyBorder="1"/>
    <xf numFmtId="0" fontId="3" fillId="0" borderId="18" xfId="1" applyFont="1" applyBorder="1" applyAlignment="1">
      <alignment horizontal="left"/>
    </xf>
    <xf numFmtId="0" fontId="4" fillId="0" borderId="33" xfId="6" applyFont="1" applyBorder="1"/>
    <xf numFmtId="2" fontId="3" fillId="0" borderId="26" xfId="6" applyNumberFormat="1" applyBorder="1"/>
    <xf numFmtId="0" fontId="3" fillId="0" borderId="26" xfId="6" applyBorder="1"/>
    <xf numFmtId="0" fontId="4" fillId="6" borderId="34" xfId="6" applyFont="1" applyFill="1" applyBorder="1"/>
    <xf numFmtId="0" fontId="3" fillId="6" borderId="14" xfId="6" applyFill="1" applyBorder="1"/>
    <xf numFmtId="14" fontId="3" fillId="0" borderId="0" xfId="4" applyNumberFormat="1"/>
    <xf numFmtId="14" fontId="7" fillId="0" borderId="0" xfId="2" applyNumberFormat="1" applyFont="1" applyFill="1"/>
    <xf numFmtId="0" fontId="4" fillId="5" borderId="1" xfId="1" applyNumberFormat="1" applyFont="1" applyFill="1" applyBorder="1" applyAlignment="1"/>
    <xf numFmtId="0" fontId="4" fillId="9" borderId="1" xfId="1" applyNumberFormat="1" applyFont="1" applyFill="1" applyBorder="1" applyAlignment="1"/>
    <xf numFmtId="0" fontId="50" fillId="15" borderId="0" xfId="0" applyFont="1" applyFill="1" applyBorder="1" applyAlignment="1">
      <alignment horizontal="center" vertical="center"/>
    </xf>
    <xf numFmtId="0" fontId="67" fillId="25" borderId="87" xfId="0" applyFont="1" applyFill="1" applyBorder="1"/>
    <xf numFmtId="0" fontId="67" fillId="0" borderId="87" xfId="0" applyFont="1" applyBorder="1"/>
    <xf numFmtId="0" fontId="66" fillId="24" borderId="88" xfId="0" applyFont="1" applyFill="1" applyBorder="1"/>
    <xf numFmtId="0" fontId="67" fillId="0" borderId="89" xfId="0" applyFont="1" applyBorder="1"/>
    <xf numFmtId="0" fontId="0" fillId="13" borderId="0" xfId="0" applyFill="1" applyAlignment="1">
      <alignment vertical="center"/>
    </xf>
    <xf numFmtId="0" fontId="0" fillId="0" borderId="0" xfId="0" applyFill="1" applyAlignment="1">
      <alignment vertical="center"/>
    </xf>
    <xf numFmtId="0" fontId="4" fillId="5" borderId="0" xfId="1" applyNumberFormat="1" applyFont="1" applyFill="1" applyBorder="1" applyAlignment="1"/>
    <xf numFmtId="0" fontId="4" fillId="0" borderId="0" xfId="1" applyNumberFormat="1" applyFont="1" applyBorder="1" applyAlignment="1"/>
    <xf numFmtId="0" fontId="4" fillId="9" borderId="0" xfId="1" applyNumberFormat="1" applyFont="1" applyFill="1" applyBorder="1" applyAlignment="1"/>
    <xf numFmtId="2" fontId="0" fillId="2" borderId="0" xfId="0" applyNumberFormat="1" applyFill="1"/>
    <xf numFmtId="1" fontId="0" fillId="2" borderId="0" xfId="0" applyNumberFormat="1" applyFill="1"/>
    <xf numFmtId="0" fontId="26" fillId="5" borderId="56" xfId="1" applyNumberFormat="1" applyFont="1" applyFill="1" applyBorder="1" applyAlignment="1">
      <alignment horizontal="left"/>
    </xf>
    <xf numFmtId="0" fontId="26" fillId="0" borderId="56" xfId="1" applyNumberFormat="1" applyFont="1" applyBorder="1" applyAlignment="1">
      <alignment horizontal="left"/>
    </xf>
    <xf numFmtId="0" fontId="3" fillId="5" borderId="61" xfId="4" applyNumberFormat="1" applyFont="1" applyFill="1" applyBorder="1" applyAlignment="1">
      <alignment wrapText="1"/>
    </xf>
    <xf numFmtId="0" fontId="4" fillId="0" borderId="72" xfId="4" applyNumberFormat="1" applyFont="1" applyBorder="1" applyAlignment="1">
      <alignment wrapText="1"/>
    </xf>
    <xf numFmtId="0" fontId="4" fillId="0" borderId="72" xfId="4" applyNumberFormat="1" applyFont="1" applyBorder="1" applyAlignment="1"/>
    <xf numFmtId="0" fontId="54" fillId="0" borderId="72" xfId="4" applyNumberFormat="1" applyFont="1" applyBorder="1" applyAlignment="1"/>
    <xf numFmtId="0" fontId="0" fillId="0" borderId="44" xfId="0" applyFill="1" applyBorder="1"/>
    <xf numFmtId="0" fontId="0" fillId="7" borderId="44" xfId="0" applyFill="1" applyBorder="1"/>
    <xf numFmtId="0" fontId="68" fillId="0" borderId="44" xfId="0" applyFont="1" applyBorder="1"/>
    <xf numFmtId="0" fontId="0" fillId="0" borderId="0" xfId="0" applyFill="1"/>
    <xf numFmtId="0" fontId="0" fillId="2" borderId="44" xfId="0" applyFill="1" applyBorder="1"/>
    <xf numFmtId="0" fontId="70" fillId="0" borderId="0" xfId="0" applyFont="1" applyAlignment="1">
      <alignment horizontal="right" vertical="center"/>
    </xf>
    <xf numFmtId="0" fontId="68" fillId="0" borderId="0" xfId="0" applyFont="1" applyAlignment="1">
      <alignment vertical="center" wrapText="1"/>
    </xf>
    <xf numFmtId="0" fontId="45" fillId="0" borderId="0" xfId="0" applyFont="1" applyAlignment="1">
      <alignment vertical="center" wrapText="1"/>
    </xf>
    <xf numFmtId="0" fontId="69" fillId="0" borderId="0" xfId="0" applyFont="1" applyAlignment="1">
      <alignment vertical="center" wrapText="1"/>
    </xf>
    <xf numFmtId="0" fontId="0" fillId="0" borderId="0" xfId="0" applyFill="1" applyBorder="1"/>
    <xf numFmtId="0" fontId="0" fillId="7" borderId="0" xfId="0" applyFill="1" applyBorder="1"/>
    <xf numFmtId="0" fontId="0" fillId="0" borderId="1" xfId="0" applyNumberFormat="1" applyBorder="1"/>
    <xf numFmtId="0" fontId="0" fillId="13" borderId="0" xfId="0" applyFill="1" applyBorder="1" applyAlignment="1">
      <alignment vertical="center"/>
    </xf>
    <xf numFmtId="0" fontId="0" fillId="2" borderId="0" xfId="0" applyNumberFormat="1" applyFill="1"/>
    <xf numFmtId="0" fontId="56" fillId="18" borderId="0" xfId="8" applyNumberFormat="1" applyFont="1" applyFill="1" applyBorder="1" applyAlignment="1">
      <alignment horizontal="left" vertical="top" wrapText="1"/>
    </xf>
    <xf numFmtId="0" fontId="6" fillId="2" borderId="78" xfId="1" applyFont="1" applyFill="1" applyBorder="1" applyAlignment="1">
      <alignment horizontal="center"/>
    </xf>
    <xf numFmtId="0" fontId="6" fillId="2" borderId="75" xfId="1" applyFont="1" applyFill="1" applyBorder="1" applyAlignment="1">
      <alignment horizontal="center"/>
    </xf>
    <xf numFmtId="165" fontId="0" fillId="2" borderId="0" xfId="0" applyNumberFormat="1" applyFill="1"/>
    <xf numFmtId="0" fontId="4" fillId="2" borderId="0" xfId="6" applyNumberFormat="1" applyFont="1" applyFill="1" applyBorder="1" applyAlignment="1"/>
    <xf numFmtId="0" fontId="72" fillId="0" borderId="0" xfId="0" applyFont="1"/>
    <xf numFmtId="0" fontId="7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59" xfId="0" applyNumberFormat="1" applyFont="1" applyBorder="1"/>
    <xf numFmtId="0" fontId="5" fillId="8" borderId="14" xfId="2" applyFill="1" applyBorder="1"/>
    <xf numFmtId="0" fontId="3" fillId="0" borderId="14" xfId="1" applyFont="1" applyFill="1" applyBorder="1" applyAlignment="1">
      <alignment horizontal="left"/>
    </xf>
    <xf numFmtId="14" fontId="7" fillId="0" borderId="14" xfId="2" applyNumberFormat="1" applyFont="1" applyFill="1" applyBorder="1" applyAlignment="1">
      <alignment horizontal="center"/>
    </xf>
    <xf numFmtId="0" fontId="34" fillId="0" borderId="0" xfId="2" applyFont="1" applyFill="1"/>
    <xf numFmtId="0" fontId="4" fillId="0" borderId="14" xfId="1" applyFont="1" applyFill="1" applyBorder="1" applyAlignment="1">
      <alignment horizontal="left"/>
    </xf>
    <xf numFmtId="0" fontId="5" fillId="2" borderId="14" xfId="2" applyFill="1" applyBorder="1"/>
    <xf numFmtId="49" fontId="46" fillId="6" borderId="41" xfId="6" applyNumberFormat="1" applyFont="1" applyFill="1" applyBorder="1" applyAlignment="1" applyProtection="1">
      <alignment horizontal="center" vertical="top"/>
    </xf>
    <xf numFmtId="49" fontId="46" fillId="6" borderId="63" xfId="6" applyNumberFormat="1" applyFont="1" applyFill="1" applyBorder="1" applyAlignment="1" applyProtection="1">
      <alignment horizontal="center" vertical="top"/>
    </xf>
    <xf numFmtId="0" fontId="60" fillId="0" borderId="0" xfId="1" applyFont="1" applyFill="1" applyAlignment="1">
      <alignment horizontal="center"/>
    </xf>
    <xf numFmtId="0" fontId="3" fillId="2" borderId="54" xfId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53" xfId="1" applyFill="1" applyBorder="1" applyAlignment="1">
      <alignment horizontal="center"/>
    </xf>
    <xf numFmtId="2" fontId="3" fillId="0" borderId="41" xfId="1" applyNumberFormat="1" applyFont="1" applyFill="1" applyBorder="1" applyAlignment="1">
      <alignment horizontal="center"/>
    </xf>
    <xf numFmtId="2" fontId="3" fillId="0" borderId="41" xfId="1" applyNumberFormat="1" applyFill="1" applyBorder="1" applyAlignment="1">
      <alignment horizontal="center"/>
    </xf>
    <xf numFmtId="2" fontId="3" fillId="0" borderId="90" xfId="1" applyNumberFormat="1" applyFill="1" applyBorder="1" applyAlignment="1">
      <alignment horizontal="center"/>
    </xf>
    <xf numFmtId="1" fontId="4" fillId="0" borderId="48" xfId="1" applyNumberFormat="1" applyFont="1" applyFill="1" applyBorder="1" applyAlignment="1">
      <alignment horizontal="center"/>
    </xf>
    <xf numFmtId="1" fontId="4" fillId="0" borderId="68" xfId="1" applyNumberFormat="1" applyFont="1" applyFill="1" applyBorder="1" applyAlignment="1">
      <alignment horizontal="center"/>
    </xf>
    <xf numFmtId="1" fontId="4" fillId="0" borderId="69" xfId="1" applyNumberFormat="1" applyFont="1" applyFill="1" applyBorder="1" applyAlignment="1">
      <alignment horizontal="center"/>
    </xf>
    <xf numFmtId="1" fontId="4" fillId="0" borderId="70" xfId="1" applyNumberFormat="1" applyFont="1" applyFill="1" applyBorder="1" applyAlignment="1">
      <alignment horizontal="center"/>
    </xf>
    <xf numFmtId="0" fontId="6" fillId="26" borderId="78" xfId="1" applyFont="1" applyFill="1" applyBorder="1" applyAlignment="1">
      <alignment horizontal="center"/>
    </xf>
    <xf numFmtId="0" fontId="5" fillId="27" borderId="14" xfId="2" applyFill="1" applyBorder="1"/>
    <xf numFmtId="14" fontId="7" fillId="0" borderId="0" xfId="2" applyNumberFormat="1" applyFont="1" applyFill="1" applyAlignment="1">
      <alignment horizontal="center"/>
    </xf>
    <xf numFmtId="0" fontId="6" fillId="2" borderId="74" xfId="1" applyFont="1" applyFill="1" applyBorder="1" applyAlignment="1"/>
    <xf numFmtId="0" fontId="56" fillId="18" borderId="61" xfId="8" applyNumberFormat="1" applyFont="1" applyFill="1" applyBorder="1" applyAlignment="1">
      <alignment horizontal="left" vertical="top" wrapText="1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7" borderId="0" xfId="0" applyFill="1"/>
    <xf numFmtId="0" fontId="4" fillId="0" borderId="0" xfId="1" applyFont="1" applyFill="1" applyAlignment="1">
      <alignment horizontal="center"/>
    </xf>
    <xf numFmtId="0" fontId="3" fillId="10" borderId="0" xfId="4" applyFont="1" applyFill="1" applyBorder="1"/>
    <xf numFmtId="49" fontId="3" fillId="10" borderId="0" xfId="4" applyNumberFormat="1" applyFont="1" applyFill="1" applyBorder="1"/>
    <xf numFmtId="0" fontId="3" fillId="10" borderId="0" xfId="4" applyNumberFormat="1" applyFont="1" applyFill="1" applyBorder="1"/>
    <xf numFmtId="2" fontId="0" fillId="2" borderId="0" xfId="0" applyNumberFormat="1" applyFill="1" applyBorder="1"/>
    <xf numFmtId="0" fontId="0" fillId="2" borderId="0" xfId="0" applyFill="1" applyBorder="1"/>
    <xf numFmtId="1" fontId="0" fillId="2" borderId="0" xfId="0" applyNumberFormat="1" applyFill="1" applyBorder="1"/>
    <xf numFmtId="165" fontId="0" fillId="0" borderId="0" xfId="0" applyNumberFormat="1" applyBorder="1"/>
    <xf numFmtId="0" fontId="0" fillId="2" borderId="0" xfId="0" applyNumberFormat="1" applyFill="1" applyBorder="1"/>
    <xf numFmtId="1" fontId="3" fillId="10" borderId="0" xfId="4" applyNumberFormat="1" applyFont="1" applyFill="1" applyBorder="1"/>
    <xf numFmtId="0" fontId="24" fillId="0" borderId="33" xfId="1" applyFont="1" applyFill="1" applyBorder="1" applyAlignment="1">
      <alignment horizontal="right"/>
    </xf>
    <xf numFmtId="0" fontId="24" fillId="0" borderId="55" xfId="1" applyFont="1" applyFill="1" applyBorder="1" applyAlignment="1">
      <alignment horizontal="right"/>
    </xf>
    <xf numFmtId="0" fontId="0" fillId="28" borderId="0" xfId="0" applyFill="1"/>
    <xf numFmtId="0" fontId="3" fillId="28" borderId="0" xfId="4" applyFont="1" applyFill="1" applyBorder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4" borderId="57" xfId="0" applyNumberFormat="1" applyFont="1" applyFill="1" applyBorder="1"/>
    <xf numFmtId="0" fontId="74" fillId="0" borderId="0" xfId="0" applyFont="1"/>
    <xf numFmtId="0" fontId="8" fillId="0" borderId="0" xfId="1" applyFont="1" applyFill="1" applyAlignment="1">
      <alignment horizontal="right"/>
    </xf>
    <xf numFmtId="0" fontId="7" fillId="0" borderId="0" xfId="2" applyFont="1" applyFill="1" applyAlignment="1">
      <alignment horizontal="right"/>
    </xf>
    <xf numFmtId="0" fontId="20" fillId="0" borderId="0" xfId="1" applyFont="1" applyFill="1" applyBorder="1" applyAlignment="1">
      <alignment horizontal="right"/>
    </xf>
    <xf numFmtId="2" fontId="3" fillId="2" borderId="24" xfId="1" applyNumberFormat="1" applyFill="1" applyBorder="1" applyAlignment="1">
      <alignment horizontal="center"/>
    </xf>
    <xf numFmtId="0" fontId="42" fillId="0" borderId="72" xfId="0" applyFont="1" applyBorder="1" applyAlignment="1">
      <alignment horizontal="center"/>
    </xf>
    <xf numFmtId="0" fontId="4" fillId="29" borderId="91" xfId="4" applyNumberFormat="1" applyFont="1" applyFill="1" applyBorder="1" applyAlignment="1">
      <alignment horizontal="center" wrapText="1"/>
    </xf>
    <xf numFmtId="0" fontId="4" fillId="6" borderId="91" xfId="4" applyNumberFormat="1" applyFont="1" applyFill="1" applyBorder="1" applyAlignment="1">
      <alignment horizontal="center" wrapText="1"/>
    </xf>
    <xf numFmtId="49" fontId="4" fillId="6" borderId="91" xfId="4" applyNumberFormat="1" applyFont="1" applyFill="1" applyBorder="1" applyAlignment="1">
      <alignment horizontal="center" wrapText="1"/>
    </xf>
    <xf numFmtId="0" fontId="4" fillId="0" borderId="91" xfId="4" applyNumberFormat="1" applyFont="1" applyBorder="1" applyAlignment="1">
      <alignment horizontal="center" wrapText="1"/>
    </xf>
    <xf numFmtId="0" fontId="4" fillId="0" borderId="91" xfId="4" applyNumberFormat="1" applyFont="1" applyBorder="1" applyAlignment="1">
      <alignment horizontal="right" wrapText="1"/>
    </xf>
    <xf numFmtId="2" fontId="4" fillId="0" borderId="91" xfId="4" applyNumberFormat="1" applyFont="1" applyBorder="1" applyAlignment="1">
      <alignment horizontal="center" wrapText="1"/>
    </xf>
    <xf numFmtId="14" fontId="4" fillId="0" borderId="91" xfId="4" applyNumberFormat="1" applyFont="1" applyBorder="1" applyAlignment="1">
      <alignment horizontal="center" wrapText="1"/>
    </xf>
    <xf numFmtId="49" fontId="4" fillId="0" borderId="91" xfId="4" applyNumberFormat="1" applyFont="1" applyBorder="1" applyAlignment="1">
      <alignment horizontal="center" wrapText="1"/>
    </xf>
    <xf numFmtId="0" fontId="7" fillId="30" borderId="14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center"/>
    </xf>
    <xf numFmtId="0" fontId="75" fillId="18" borderId="14" xfId="8" applyNumberFormat="1" applyFont="1" applyFill="1" applyBorder="1" applyAlignment="1">
      <alignment horizontal="center" vertical="top" wrapText="1"/>
    </xf>
    <xf numFmtId="0" fontId="4" fillId="2" borderId="20" xfId="6" applyNumberFormat="1" applyFont="1" applyFill="1" applyBorder="1" applyAlignment="1">
      <alignment horizontal="right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0" fontId="0" fillId="0" borderId="0" xfId="0" applyFont="1"/>
    <xf numFmtId="0" fontId="6" fillId="2" borderId="73" xfId="1" applyFont="1" applyFill="1" applyBorder="1" applyAlignment="1">
      <alignment horizontal="center"/>
    </xf>
    <xf numFmtId="0" fontId="7" fillId="2" borderId="75" xfId="2" applyFont="1" applyFill="1" applyBorder="1" applyAlignment="1">
      <alignment horizontal="center"/>
    </xf>
    <xf numFmtId="0" fontId="76" fillId="0" borderId="0" xfId="0" applyFont="1"/>
    <xf numFmtId="0" fontId="77" fillId="10" borderId="0" xfId="4" applyFont="1" applyFill="1" applyBorder="1"/>
    <xf numFmtId="0" fontId="77" fillId="28" borderId="0" xfId="4" applyFont="1" applyFill="1" applyBorder="1"/>
    <xf numFmtId="49" fontId="77" fillId="10" borderId="0" xfId="4" applyNumberFormat="1" applyFont="1" applyFill="1" applyBorder="1"/>
    <xf numFmtId="0" fontId="77" fillId="10" borderId="0" xfId="4" applyNumberFormat="1" applyFont="1" applyFill="1" applyBorder="1"/>
    <xf numFmtId="1" fontId="77" fillId="10" borderId="0" xfId="4" applyNumberFormat="1" applyFont="1" applyFill="1" applyBorder="1"/>
    <xf numFmtId="2" fontId="76" fillId="2" borderId="0" xfId="0" applyNumberFormat="1" applyFont="1" applyFill="1" applyBorder="1"/>
    <xf numFmtId="0" fontId="76" fillId="2" borderId="0" xfId="0" applyNumberFormat="1" applyFont="1" applyFill="1" applyBorder="1"/>
    <xf numFmtId="1" fontId="76" fillId="2" borderId="0" xfId="0" applyNumberFormat="1" applyFont="1" applyFill="1" applyBorder="1"/>
    <xf numFmtId="165" fontId="76" fillId="0" borderId="0" xfId="0" applyNumberFormat="1" applyFont="1" applyBorder="1"/>
    <xf numFmtId="0" fontId="76" fillId="0" borderId="0" xfId="0" applyFont="1" applyBorder="1"/>
    <xf numFmtId="14" fontId="76" fillId="0" borderId="0" xfId="0" applyNumberFormat="1" applyFont="1"/>
    <xf numFmtId="14" fontId="78" fillId="0" borderId="0" xfId="2" applyNumberFormat="1" applyFont="1" applyFill="1"/>
    <xf numFmtId="0" fontId="79" fillId="18" borderId="0" xfId="8" applyNumberFormat="1" applyFont="1" applyFill="1" applyBorder="1" applyAlignment="1">
      <alignment horizontal="left" vertical="top" wrapText="1"/>
    </xf>
    <xf numFmtId="0" fontId="76" fillId="2" borderId="0" xfId="0" applyNumberFormat="1" applyFont="1" applyFill="1"/>
    <xf numFmtId="14" fontId="76" fillId="0" borderId="0" xfId="0" applyNumberFormat="1" applyFont="1" applyAlignment="1">
      <alignment horizontal="center"/>
    </xf>
    <xf numFmtId="0" fontId="35" fillId="5" borderId="0" xfId="1" applyNumberFormat="1" applyFont="1" applyFill="1" applyBorder="1" applyAlignment="1"/>
    <xf numFmtId="0" fontId="35" fillId="0" borderId="0" xfId="1" applyNumberFormat="1" applyFont="1" applyBorder="1" applyAlignment="1"/>
    <xf numFmtId="0" fontId="35" fillId="9" borderId="0" xfId="1" applyNumberFormat="1" applyFont="1" applyFill="1" applyBorder="1" applyAlignmen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3" fillId="0" borderId="0" xfId="6" applyNumberFormat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5" fillId="0" borderId="0" xfId="2" applyNumberFormat="1" applyFill="1"/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4" fontId="0" fillId="0" borderId="0" xfId="0" applyNumberFormat="1"/>
    <xf numFmtId="14" fontId="7" fillId="0" borderId="0" xfId="2" applyNumberFormat="1" applyFont="1" applyFill="1"/>
    <xf numFmtId="14" fontId="0" fillId="0" borderId="0" xfId="0" applyNumberFormat="1" applyAlignment="1">
      <alignment horizontal="center"/>
    </xf>
    <xf numFmtId="169" fontId="0" fillId="0" borderId="0" xfId="0" applyNumberFormat="1"/>
    <xf numFmtId="169" fontId="7" fillId="0" borderId="0" xfId="2" applyNumberFormat="1" applyFont="1" applyFill="1"/>
    <xf numFmtId="169" fontId="0" fillId="0" borderId="0" xfId="0" applyNumberFormat="1" applyAlignment="1">
      <alignment horizontal="center"/>
    </xf>
    <xf numFmtId="0" fontId="4" fillId="0" borderId="0" xfId="1" applyFont="1" applyFill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0" fontId="81" fillId="14" borderId="92" xfId="0" applyFont="1" applyFill="1" applyBorder="1" applyAlignment="1">
      <alignment horizontal="right" wrapText="1"/>
    </xf>
    <xf numFmtId="0" fontId="81" fillId="14" borderId="93" xfId="0" applyFont="1" applyFill="1" applyBorder="1" applyAlignment="1">
      <alignment horizontal="right" wrapText="1"/>
    </xf>
    <xf numFmtId="0" fontId="3" fillId="0" borderId="46" xfId="1" applyNumberFormat="1" applyFill="1" applyBorder="1" applyAlignment="1">
      <alignment horizontal="center"/>
    </xf>
    <xf numFmtId="0" fontId="3" fillId="0" borderId="46" xfId="1" applyFill="1" applyBorder="1" applyAlignment="1">
      <alignment horizontal="center"/>
    </xf>
    <xf numFmtId="0" fontId="3" fillId="0" borderId="7" xfId="1" applyNumberFormat="1" applyFill="1" applyBorder="1" applyAlignment="1">
      <alignment horizontal="center"/>
    </xf>
    <xf numFmtId="0" fontId="3" fillId="0" borderId="1" xfId="11" applyNumberFormat="1" applyFont="1" applyFill="1" applyBorder="1" applyAlignment="1">
      <alignment horizontal="center"/>
    </xf>
    <xf numFmtId="2" fontId="4" fillId="0" borderId="1" xfId="1" applyNumberFormat="1" applyFont="1" applyFill="1" applyBorder="1"/>
    <xf numFmtId="0" fontId="0" fillId="0" borderId="21" xfId="1" applyFont="1" applyFill="1" applyBorder="1"/>
    <xf numFmtId="0" fontId="3" fillId="14" borderId="21" xfId="1" applyFont="1" applyFill="1" applyBorder="1" applyAlignment="1">
      <alignment horizontal="right"/>
    </xf>
    <xf numFmtId="0" fontId="3" fillId="0" borderId="1" xfId="1" applyNumberFormat="1" applyFill="1" applyBorder="1" applyAlignment="1">
      <alignment horizontal="center"/>
    </xf>
    <xf numFmtId="0" fontId="4" fillId="0" borderId="21" xfId="1" applyFont="1" applyFill="1" applyBorder="1" applyAlignment="1">
      <alignment horizontal="left"/>
    </xf>
    <xf numFmtId="0" fontId="4" fillId="0" borderId="23" xfId="1" applyFont="1" applyFill="1" applyBorder="1" applyAlignment="1">
      <alignment horizontal="left"/>
    </xf>
    <xf numFmtId="0" fontId="3" fillId="0" borderId="24" xfId="1" applyNumberFormat="1" applyFill="1" applyBorder="1" applyAlignment="1">
      <alignment horizontal="center"/>
    </xf>
    <xf numFmtId="2" fontId="4" fillId="0" borderId="24" xfId="1" applyNumberFormat="1" applyFont="1" applyFill="1" applyBorder="1" applyAlignment="1">
      <alignment horizontal="center"/>
    </xf>
    <xf numFmtId="0" fontId="3" fillId="0" borderId="0" xfId="1" applyNumberFormat="1" applyFill="1" applyAlignment="1">
      <alignment horizontal="center"/>
    </xf>
    <xf numFmtId="0" fontId="10" fillId="0" borderId="0" xfId="1" applyNumberFormat="1" applyFont="1" applyFill="1" applyBorder="1" applyAlignment="1">
      <alignment horizontal="center"/>
    </xf>
    <xf numFmtId="0" fontId="12" fillId="0" borderId="0" xfId="1" applyNumberFormat="1" applyFont="1" applyFill="1" applyBorder="1" applyAlignment="1">
      <alignment horizontal="center"/>
    </xf>
    <xf numFmtId="165" fontId="12" fillId="0" borderId="0" xfId="1" applyNumberFormat="1" applyFont="1" applyFill="1" applyBorder="1" applyAlignment="1">
      <alignment horizontal="center"/>
    </xf>
    <xf numFmtId="0" fontId="3" fillId="0" borderId="0" xfId="1" applyNumberFormat="1" applyFill="1" applyBorder="1" applyAlignment="1">
      <alignment horizontal="center"/>
    </xf>
    <xf numFmtId="0" fontId="8" fillId="0" borderId="0" xfId="1" applyNumberFormat="1" applyFont="1" applyFill="1" applyBorder="1" applyAlignment="1">
      <alignment horizontal="center"/>
    </xf>
    <xf numFmtId="0" fontId="5" fillId="0" borderId="0" xfId="2" applyFill="1" applyAlignment="1">
      <alignment horizontal="right"/>
    </xf>
    <xf numFmtId="0" fontId="82" fillId="0" borderId="0" xfId="1" applyFont="1" applyFill="1" applyAlignment="1"/>
    <xf numFmtId="0" fontId="4" fillId="14" borderId="33" xfId="1" applyFont="1" applyFill="1" applyBorder="1"/>
    <xf numFmtId="0" fontId="4" fillId="0" borderId="26" xfId="1" applyFont="1" applyFill="1" applyBorder="1"/>
    <xf numFmtId="2" fontId="4" fillId="0" borderId="26" xfId="1" applyNumberFormat="1" applyFont="1" applyFill="1" applyBorder="1"/>
    <xf numFmtId="1" fontId="4" fillId="0" borderId="26" xfId="1" applyNumberFormat="1" applyFont="1" applyFill="1" applyBorder="1"/>
    <xf numFmtId="165" fontId="4" fillId="0" borderId="26" xfId="1" applyNumberFormat="1" applyFont="1" applyFill="1" applyBorder="1"/>
    <xf numFmtId="0" fontId="4" fillId="0" borderId="26" xfId="11" applyNumberFormat="1" applyFont="1" applyFill="1" applyBorder="1"/>
    <xf numFmtId="2" fontId="4" fillId="0" borderId="26" xfId="1" applyNumberFormat="1" applyFont="1" applyFill="1" applyBorder="1" applyAlignment="1">
      <alignment horizontal="center"/>
    </xf>
    <xf numFmtId="0" fontId="3" fillId="0" borderId="94" xfId="1" applyFont="1" applyFill="1" applyBorder="1" applyAlignment="1">
      <alignment horizontal="right"/>
    </xf>
    <xf numFmtId="0" fontId="9" fillId="0" borderId="95" xfId="1" applyFont="1" applyFill="1" applyBorder="1" applyAlignment="1">
      <alignment horizontal="center"/>
    </xf>
    <xf numFmtId="2" fontId="4" fillId="2" borderId="95" xfId="1" applyNumberFormat="1" applyFont="1" applyFill="1" applyBorder="1" applyAlignment="1">
      <alignment horizontal="center"/>
    </xf>
    <xf numFmtId="2" fontId="3" fillId="0" borderId="95" xfId="1" applyNumberFormat="1" applyFill="1" applyBorder="1" applyAlignment="1">
      <alignment horizontal="center"/>
    </xf>
    <xf numFmtId="1" fontId="4" fillId="2" borderId="95" xfId="1" applyNumberFormat="1" applyFont="1" applyFill="1" applyBorder="1" applyAlignment="1">
      <alignment horizontal="center"/>
    </xf>
    <xf numFmtId="165" fontId="3" fillId="0" borderId="95" xfId="1" applyNumberFormat="1" applyFill="1" applyBorder="1" applyAlignment="1">
      <alignment horizontal="center"/>
    </xf>
    <xf numFmtId="0" fontId="3" fillId="0" borderId="95" xfId="11" applyNumberFormat="1" applyFont="1" applyFill="1" applyBorder="1" applyAlignment="1">
      <alignment horizontal="center"/>
    </xf>
    <xf numFmtId="2" fontId="4" fillId="0" borderId="95" xfId="1" applyNumberFormat="1" applyFont="1" applyFill="1" applyBorder="1" applyAlignment="1">
      <alignment horizontal="center"/>
    </xf>
    <xf numFmtId="2" fontId="4" fillId="0" borderId="96" xfId="1" applyNumberFormat="1" applyFont="1" applyFill="1" applyBorder="1" applyAlignment="1">
      <alignment horizontal="center"/>
    </xf>
    <xf numFmtId="0" fontId="4" fillId="0" borderId="33" xfId="1" applyFont="1" applyFill="1" applyBorder="1"/>
    <xf numFmtId="165" fontId="3" fillId="0" borderId="26" xfId="1" applyNumberFormat="1" applyFill="1" applyBorder="1" applyAlignment="1">
      <alignment horizontal="center"/>
    </xf>
    <xf numFmtId="2" fontId="3" fillId="0" borderId="26" xfId="1" applyNumberFormat="1" applyFill="1" applyBorder="1"/>
    <xf numFmtId="165" fontId="3" fillId="0" borderId="26" xfId="1" applyNumberFormat="1" applyFill="1" applyBorder="1"/>
    <xf numFmtId="0" fontId="3" fillId="0" borderId="26" xfId="11" applyNumberFormat="1" applyFont="1" applyFill="1" applyBorder="1"/>
    <xf numFmtId="2" fontId="3" fillId="0" borderId="95" xfId="1" applyNumberFormat="1" applyFill="1" applyBorder="1"/>
    <xf numFmtId="1" fontId="4" fillId="0" borderId="26" xfId="1" applyNumberFormat="1" applyFont="1" applyFill="1" applyBorder="1" applyAlignment="1">
      <alignment horizontal="center"/>
    </xf>
    <xf numFmtId="49" fontId="3" fillId="0" borderId="26" xfId="1" applyNumberFormat="1" applyFill="1" applyBorder="1" applyAlignment="1">
      <alignment horizontal="center"/>
    </xf>
    <xf numFmtId="0" fontId="3" fillId="0" borderId="26" xfId="11" applyNumberFormat="1" applyFont="1" applyFill="1" applyBorder="1" applyAlignment="1">
      <alignment horizontal="center"/>
    </xf>
    <xf numFmtId="0" fontId="3" fillId="0" borderId="95" xfId="1" applyFill="1" applyBorder="1" applyAlignment="1">
      <alignment horizontal="center"/>
    </xf>
    <xf numFmtId="0" fontId="3" fillId="0" borderId="26" xfId="1" quotePrefix="1" applyFill="1" applyBorder="1" applyAlignment="1">
      <alignment horizontal="center"/>
    </xf>
    <xf numFmtId="0" fontId="3" fillId="0" borderId="95" xfId="1" applyFill="1" applyBorder="1"/>
    <xf numFmtId="0" fontId="9" fillId="0" borderId="26" xfId="1" applyFont="1" applyFill="1" applyBorder="1" applyAlignment="1">
      <alignment horizontal="center"/>
    </xf>
    <xf numFmtId="0" fontId="4" fillId="2" borderId="26" xfId="1" applyFont="1" applyFill="1" applyBorder="1" applyAlignment="1">
      <alignment horizontal="center"/>
    </xf>
    <xf numFmtId="0" fontId="3" fillId="0" borderId="26" xfId="1" applyFont="1" applyFill="1" applyBorder="1" applyAlignment="1">
      <alignment horizontal="center"/>
    </xf>
    <xf numFmtId="0" fontId="9" fillId="0" borderId="99" xfId="1" applyFont="1" applyFill="1" applyBorder="1" applyAlignment="1">
      <alignment horizontal="center"/>
    </xf>
    <xf numFmtId="0" fontId="4" fillId="2" borderId="99" xfId="1" applyFont="1" applyFill="1" applyBorder="1" applyAlignment="1">
      <alignment horizontal="center"/>
    </xf>
    <xf numFmtId="0" fontId="3" fillId="0" borderId="99" xfId="1" applyFont="1" applyFill="1" applyBorder="1" applyAlignment="1">
      <alignment horizontal="center"/>
    </xf>
    <xf numFmtId="0" fontId="3" fillId="0" borderId="99" xfId="1" applyFill="1" applyBorder="1" applyAlignment="1">
      <alignment horizontal="center"/>
    </xf>
    <xf numFmtId="165" fontId="3" fillId="0" borderId="99" xfId="1" applyNumberFormat="1" applyFill="1" applyBorder="1" applyAlignment="1">
      <alignment horizontal="center"/>
    </xf>
    <xf numFmtId="2" fontId="3" fillId="0" borderId="99" xfId="1" applyNumberFormat="1" applyFill="1" applyBorder="1" applyAlignment="1">
      <alignment horizontal="center"/>
    </xf>
    <xf numFmtId="0" fontId="3" fillId="0" borderId="99" xfId="11" applyNumberFormat="1" applyFont="1" applyFill="1" applyBorder="1" applyAlignment="1">
      <alignment horizontal="center"/>
    </xf>
    <xf numFmtId="2" fontId="4" fillId="0" borderId="99" xfId="1" applyNumberFormat="1" applyFont="1" applyFill="1" applyBorder="1" applyAlignment="1">
      <alignment horizontal="center"/>
    </xf>
    <xf numFmtId="2" fontId="4" fillId="0" borderId="97" xfId="1" applyNumberFormat="1" applyFont="1" applyFill="1" applyBorder="1" applyAlignment="1">
      <alignment horizontal="center"/>
    </xf>
    <xf numFmtId="2" fontId="3" fillId="0" borderId="95" xfId="1" applyNumberFormat="1" applyFont="1" applyFill="1" applyBorder="1" applyAlignment="1">
      <alignment horizontal="center"/>
    </xf>
    <xf numFmtId="0" fontId="3" fillId="0" borderId="95" xfId="1" applyNumberFormat="1" applyFill="1" applyBorder="1" applyAlignment="1">
      <alignment horizontal="center"/>
    </xf>
    <xf numFmtId="0" fontId="3" fillId="0" borderId="96" xfId="1" applyFill="1" applyBorder="1"/>
    <xf numFmtId="1" fontId="4" fillId="0" borderId="51" xfId="1" applyNumberFormat="1" applyFont="1" applyFill="1" applyBorder="1" applyAlignment="1">
      <alignment horizontal="center"/>
    </xf>
    <xf numFmtId="0" fontId="3" fillId="2" borderId="1" xfId="1" applyFill="1" applyBorder="1" applyAlignment="1">
      <alignment horizontal="center"/>
    </xf>
    <xf numFmtId="1" fontId="4" fillId="0" borderId="12" xfId="1" applyNumberFormat="1" applyFont="1" applyFill="1" applyBorder="1" applyAlignment="1">
      <alignment horizontal="center"/>
    </xf>
    <xf numFmtId="0" fontId="4" fillId="31" borderId="20" xfId="0" applyFont="1" applyFill="1" applyBorder="1" applyAlignment="1">
      <alignment horizontal="center"/>
    </xf>
    <xf numFmtId="0" fontId="4" fillId="31" borderId="34" xfId="0" applyFont="1" applyFill="1" applyBorder="1" applyAlignment="1">
      <alignment horizontal="center"/>
    </xf>
    <xf numFmtId="0" fontId="4" fillId="31" borderId="31" xfId="0" applyFont="1" applyFill="1" applyBorder="1" applyAlignment="1">
      <alignment horizontal="center"/>
    </xf>
    <xf numFmtId="0" fontId="4" fillId="31" borderId="97" xfId="0" applyFont="1" applyFill="1" applyBorder="1" applyAlignment="1">
      <alignment horizontal="center"/>
    </xf>
    <xf numFmtId="0" fontId="34" fillId="0" borderId="10" xfId="2" applyFont="1" applyFill="1" applyBorder="1" applyAlignment="1">
      <alignment horizontal="left"/>
    </xf>
    <xf numFmtId="0" fontId="5" fillId="2" borderId="9" xfId="2" applyFill="1" applyBorder="1"/>
    <xf numFmtId="0" fontId="4" fillId="0" borderId="75" xfId="1" applyFont="1" applyFill="1" applyBorder="1" applyAlignment="1">
      <alignment horizontal="left"/>
    </xf>
    <xf numFmtId="0" fontId="56" fillId="18" borderId="95" xfId="8" applyNumberFormat="1" applyFont="1" applyFill="1" applyBorder="1" applyAlignment="1">
      <alignment horizontal="left" vertical="top" wrapText="1"/>
    </xf>
    <xf numFmtId="0" fontId="8" fillId="0" borderId="94" xfId="1" applyFont="1" applyFill="1" applyBorder="1" applyAlignment="1">
      <alignment horizontal="left" indent="3"/>
    </xf>
    <xf numFmtId="0" fontId="4" fillId="0" borderId="98" xfId="1" applyFont="1" applyFill="1" applyBorder="1" applyAlignment="1">
      <alignment horizontal="left" indent="3"/>
    </xf>
    <xf numFmtId="0" fontId="4" fillId="7" borderId="98" xfId="1" applyFont="1" applyFill="1" applyBorder="1" applyAlignment="1">
      <alignment horizontal="left" indent="3"/>
    </xf>
    <xf numFmtId="0" fontId="4" fillId="0" borderId="33" xfId="1" applyFont="1" applyFill="1" applyBorder="1" applyAlignment="1">
      <alignment horizontal="left" indent="3"/>
    </xf>
    <xf numFmtId="0" fontId="4" fillId="0" borderId="21" xfId="1" applyFont="1" applyFill="1" applyBorder="1" applyAlignment="1">
      <alignment horizontal="left" indent="1"/>
    </xf>
    <xf numFmtId="1" fontId="4" fillId="0" borderId="0" xfId="1" applyNumberFormat="1" applyFont="1" applyFill="1" applyAlignment="1">
      <alignment horizontal="center"/>
    </xf>
    <xf numFmtId="0" fontId="83" fillId="0" borderId="0" xfId="0" applyFont="1" applyAlignment="1"/>
    <xf numFmtId="0" fontId="83" fillId="0" borderId="1" xfId="12" applyFont="1" applyBorder="1" applyAlignment="1">
      <alignment horizontal="center" vertical="center" wrapText="1" shrinkToFit="1"/>
    </xf>
    <xf numFmtId="0" fontId="83" fillId="0" borderId="36" xfId="12" applyFont="1" applyFill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2" fontId="85" fillId="33" borderId="1" xfId="12" applyNumberFormat="1" applyFont="1" applyFill="1" applyBorder="1" applyAlignment="1">
      <alignment horizontal="center" vertical="center" wrapText="1" shrinkToFit="1"/>
    </xf>
    <xf numFmtId="2" fontId="84" fillId="0" borderId="1" xfId="12" applyNumberFormat="1" applyFont="1" applyBorder="1" applyAlignment="1">
      <alignment horizontal="center" vertical="center" wrapText="1" shrinkToFit="1"/>
    </xf>
    <xf numFmtId="2" fontId="86" fillId="0" borderId="1" xfId="12" applyNumberFormat="1" applyFont="1" applyBorder="1" applyAlignment="1">
      <alignment horizontal="center" vertical="center" wrapText="1" shrinkToFit="1"/>
    </xf>
    <xf numFmtId="0" fontId="85" fillId="0" borderId="82" xfId="0" applyFont="1" applyBorder="1" applyAlignment="1">
      <alignment horizontal="center"/>
    </xf>
    <xf numFmtId="0" fontId="85" fillId="0" borderId="0" xfId="0" applyFont="1" applyAlignment="1">
      <alignment horizontal="center"/>
    </xf>
    <xf numFmtId="2" fontId="88" fillId="0" borderId="1" xfId="0" applyNumberFormat="1" applyFont="1" applyBorder="1" applyAlignment="1">
      <alignment horizontal="center" vertical="center" wrapText="1"/>
    </xf>
    <xf numFmtId="2" fontId="89" fillId="0" borderId="1" xfId="0" applyNumberFormat="1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83" fillId="0" borderId="0" xfId="0" applyFont="1" applyAlignment="1"/>
    <xf numFmtId="168" fontId="85" fillId="33" borderId="1" xfId="0" applyNumberFormat="1" applyFont="1" applyFill="1" applyBorder="1" applyAlignment="1">
      <alignment horizontal="center"/>
    </xf>
    <xf numFmtId="4" fontId="85" fillId="33" borderId="1" xfId="0" applyNumberFormat="1" applyFont="1" applyFill="1" applyBorder="1" applyAlignment="1">
      <alignment horizontal="center"/>
    </xf>
    <xf numFmtId="2" fontId="84" fillId="0" borderId="1" xfId="0" applyNumberFormat="1" applyFont="1" applyBorder="1" applyAlignment="1">
      <alignment horizontal="center"/>
    </xf>
    <xf numFmtId="2" fontId="88" fillId="0" borderId="1" xfId="0" applyNumberFormat="1" applyFont="1" applyFill="1" applyBorder="1" applyAlignment="1">
      <alignment horizontal="center"/>
    </xf>
    <xf numFmtId="49" fontId="0" fillId="0" borderId="0" xfId="0" applyNumberFormat="1"/>
    <xf numFmtId="0" fontId="83" fillId="0" borderId="0" xfId="0" applyFont="1" applyAlignment="1"/>
    <xf numFmtId="165" fontId="0" fillId="0" borderId="0" xfId="0" applyNumberFormat="1"/>
    <xf numFmtId="4" fontId="84" fillId="0" borderId="0" xfId="12" applyNumberFormat="1" applyFont="1" applyBorder="1" applyAlignment="1">
      <alignment horizontal="center" vertical="center" wrapText="1" shrinkToFit="1"/>
    </xf>
    <xf numFmtId="0" fontId="83" fillId="0" borderId="0" xfId="0" applyFont="1" applyAlignment="1"/>
    <xf numFmtId="165" fontId="5" fillId="0" borderId="0" xfId="2" applyNumberFormat="1" applyFill="1"/>
    <xf numFmtId="172" fontId="5" fillId="0" borderId="0" xfId="2" applyNumberFormat="1" applyFill="1"/>
    <xf numFmtId="173" fontId="4" fillId="0" borderId="1" xfId="1" applyNumberFormat="1" applyFont="1" applyFill="1" applyBorder="1" applyAlignment="1">
      <alignment horizontal="center"/>
    </xf>
    <xf numFmtId="172" fontId="0" fillId="0" borderId="0" xfId="0" applyNumberFormat="1"/>
    <xf numFmtId="173" fontId="0" fillId="0" borderId="0" xfId="0" applyNumberFormat="1"/>
    <xf numFmtId="174" fontId="0" fillId="0" borderId="0" xfId="0" applyNumberFormat="1"/>
    <xf numFmtId="1" fontId="0" fillId="0" borderId="0" xfId="0" applyNumberFormat="1"/>
    <xf numFmtId="175" fontId="0" fillId="0" borderId="0" xfId="0" applyNumberFormat="1"/>
    <xf numFmtId="176" fontId="0" fillId="0" borderId="0" xfId="0" applyNumberFormat="1"/>
    <xf numFmtId="177" fontId="0" fillId="0" borderId="0" xfId="0" applyNumberFormat="1"/>
    <xf numFmtId="165" fontId="4" fillId="0" borderId="1" xfId="1" applyNumberFormat="1" applyFont="1" applyFill="1" applyBorder="1" applyAlignment="1">
      <alignment horizontal="center"/>
    </xf>
    <xf numFmtId="174" fontId="5" fillId="0" borderId="0" xfId="2" applyNumberFormat="1" applyFill="1"/>
    <xf numFmtId="174" fontId="4" fillId="0" borderId="0" xfId="1" applyNumberFormat="1" applyFont="1" applyFill="1" applyBorder="1" applyAlignment="1">
      <alignment horizontal="center"/>
    </xf>
    <xf numFmtId="1" fontId="5" fillId="0" borderId="0" xfId="2" applyNumberFormat="1" applyFill="1"/>
    <xf numFmtId="165" fontId="4" fillId="0" borderId="24" xfId="1" applyNumberFormat="1" applyFont="1" applyFill="1" applyBorder="1" applyAlignment="1">
      <alignment horizontal="center"/>
    </xf>
    <xf numFmtId="165" fontId="5" fillId="2" borderId="0" xfId="2" applyNumberFormat="1" applyFill="1"/>
    <xf numFmtId="2" fontId="5" fillId="0" borderId="0" xfId="2" applyNumberFormat="1" applyFill="1"/>
    <xf numFmtId="0" fontId="5" fillId="9" borderId="0" xfId="2" applyFont="1" applyFill="1"/>
    <xf numFmtId="0" fontId="4" fillId="9" borderId="99" xfId="1" applyFont="1" applyFill="1" applyBorder="1" applyAlignment="1">
      <alignment horizontal="center"/>
    </xf>
    <xf numFmtId="0" fontId="7" fillId="9" borderId="5" xfId="2" applyFont="1" applyFill="1" applyBorder="1" applyAlignment="1"/>
    <xf numFmtId="0" fontId="7" fillId="0" borderId="5" xfId="2" applyFont="1" applyFill="1" applyBorder="1" applyAlignment="1"/>
    <xf numFmtId="0" fontId="7" fillId="0" borderId="6" xfId="2" applyFont="1" applyFill="1" applyBorder="1" applyAlignment="1"/>
    <xf numFmtId="0" fontId="83" fillId="0" borderId="0" xfId="0" applyFont="1" applyAlignment="1"/>
    <xf numFmtId="0" fontId="85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5" fontId="84" fillId="0" borderId="1" xfId="12" applyNumberFormat="1" applyFont="1" applyBorder="1" applyAlignment="1">
      <alignment horizontal="center" vertical="center" wrapText="1" shrinkToFit="1"/>
    </xf>
    <xf numFmtId="165" fontId="86" fillId="0" borderId="1" xfId="12" applyNumberFormat="1" applyFont="1" applyBorder="1" applyAlignment="1">
      <alignment horizontal="center" vertical="center" wrapText="1" shrinkToFit="1"/>
    </xf>
    <xf numFmtId="2" fontId="84" fillId="32" borderId="1" xfId="12" applyNumberFormat="1" applyFont="1" applyFill="1" applyBorder="1" applyAlignment="1">
      <alignment horizontal="center" vertical="center" wrapText="1" shrinkToFit="1"/>
    </xf>
    <xf numFmtId="0" fontId="83" fillId="0" borderId="0" xfId="12" applyFont="1" applyBorder="1" applyAlignment="1">
      <alignment horizontal="center" vertical="center" wrapText="1" shrinkToFit="1"/>
    </xf>
    <xf numFmtId="2" fontId="84" fillId="0" borderId="0" xfId="12" applyNumberFormat="1" applyFont="1" applyBorder="1" applyAlignment="1">
      <alignment horizontal="center" vertical="center" wrapText="1" shrinkToFit="1"/>
    </xf>
    <xf numFmtId="2" fontId="86" fillId="0" borderId="0" xfId="12" applyNumberFormat="1" applyFont="1" applyBorder="1" applyAlignment="1">
      <alignment horizontal="center" vertical="center" wrapText="1" shrinkToFit="1"/>
    </xf>
    <xf numFmtId="165" fontId="84" fillId="0" borderId="0" xfId="12" applyNumberFormat="1" applyFont="1" applyBorder="1" applyAlignment="1">
      <alignment horizontal="center" vertical="center" wrapText="1" shrinkToFit="1"/>
    </xf>
    <xf numFmtId="165" fontId="89" fillId="0" borderId="1" xfId="0" applyNumberFormat="1" applyFont="1" applyBorder="1" applyAlignment="1">
      <alignment horizontal="center" vertical="center" wrapText="1"/>
    </xf>
    <xf numFmtId="165" fontId="88" fillId="0" borderId="1" xfId="0" applyNumberFormat="1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/>
    </xf>
    <xf numFmtId="165" fontId="0" fillId="0" borderId="0" xfId="0" applyNumberFormat="1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4" fontId="85" fillId="0" borderId="1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" vertical="center" wrapText="1" shrinkToFit="1"/>
    </xf>
    <xf numFmtId="4" fontId="84" fillId="0" borderId="1" xfId="12" applyNumberFormat="1" applyFont="1" applyBorder="1" applyAlignment="1">
      <alignment horizontal="center" vertical="center" wrapText="1" shrinkToFit="1"/>
    </xf>
    <xf numFmtId="4" fontId="86" fillId="0" borderId="1" xfId="12" applyNumberFormat="1" applyFont="1" applyBorder="1" applyAlignment="1">
      <alignment horizontal="center" vertical="center" wrapText="1" shrinkToFit="1"/>
    </xf>
    <xf numFmtId="0" fontId="84" fillId="0" borderId="1" xfId="12" applyFont="1" applyBorder="1" applyAlignment="1">
      <alignment horizontal="center" vertical="center" wrapText="1" shrinkToFit="1"/>
    </xf>
    <xf numFmtId="0" fontId="83" fillId="0" borderId="1" xfId="0" applyFont="1" applyBorder="1" applyAlignment="1">
      <alignment horizontal="center" vertical="center" wrapText="1"/>
    </xf>
    <xf numFmtId="0" fontId="69" fillId="0" borderId="0" xfId="0" applyFont="1" applyAlignment="1">
      <alignment horizontal="center"/>
    </xf>
    <xf numFmtId="0" fontId="83" fillId="0" borderId="0" xfId="0" applyFont="1" applyAlignment="1">
      <alignment horizontal="center"/>
    </xf>
    <xf numFmtId="0" fontId="85" fillId="0" borderId="0" xfId="0" applyFont="1" applyAlignment="1"/>
    <xf numFmtId="0" fontId="0" fillId="0" borderId="0" xfId="0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8" fillId="0" borderId="26" xfId="0" applyFont="1" applyBorder="1" applyAlignment="1">
      <alignment horizontal="center" vertical="center"/>
    </xf>
    <xf numFmtId="0" fontId="30" fillId="0" borderId="50" xfId="0" applyFont="1" applyBorder="1" applyAlignment="1">
      <alignment horizontal="center" vertical="center" wrapText="1"/>
    </xf>
    <xf numFmtId="0" fontId="30" fillId="0" borderId="52" xfId="0" applyFont="1" applyBorder="1" applyAlignment="1">
      <alignment horizontal="center" vertical="center" wrapText="1"/>
    </xf>
    <xf numFmtId="4" fontId="30" fillId="0" borderId="50" xfId="0" applyNumberFormat="1" applyFont="1" applyBorder="1" applyAlignment="1">
      <alignment horizontal="center" vertical="center" wrapText="1"/>
    </xf>
    <xf numFmtId="2" fontId="88" fillId="0" borderId="50" xfId="0" applyNumberFormat="1" applyFont="1" applyBorder="1" applyAlignment="1">
      <alignment horizontal="center" vertical="center" wrapText="1"/>
    </xf>
    <xf numFmtId="2" fontId="88" fillId="0" borderId="52" xfId="0" applyNumberFormat="1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84" fillId="0" borderId="42" xfId="0" applyFont="1" applyBorder="1" applyAlignment="1">
      <alignment horizontal="center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0" fontId="83" fillId="0" borderId="0" xfId="0" applyFont="1" applyAlignment="1"/>
    <xf numFmtId="0" fontId="85" fillId="0" borderId="42" xfId="0" applyFont="1" applyBorder="1" applyAlignment="1">
      <alignment horizontal="center"/>
    </xf>
    <xf numFmtId="0" fontId="85" fillId="0" borderId="42" xfId="0" applyFont="1" applyBorder="1" applyAlignment="1"/>
    <xf numFmtId="0" fontId="85" fillId="0" borderId="43" xfId="0" applyFont="1" applyBorder="1" applyAlignment="1"/>
    <xf numFmtId="0" fontId="85" fillId="0" borderId="41" xfId="0" applyFont="1" applyBorder="1" applyAlignment="1"/>
    <xf numFmtId="0" fontId="84" fillId="0" borderId="42" xfId="0" applyFont="1" applyBorder="1" applyAlignment="1"/>
    <xf numFmtId="0" fontId="84" fillId="0" borderId="43" xfId="0" applyFont="1" applyBorder="1" applyAlignment="1"/>
    <xf numFmtId="0" fontId="84" fillId="0" borderId="41" xfId="0" applyFont="1" applyBorder="1" applyAlignment="1"/>
    <xf numFmtId="172" fontId="86" fillId="0" borderId="0" xfId="12" applyNumberFormat="1" applyFont="1" applyBorder="1" applyAlignment="1">
      <alignment horizontal="center" vertical="center" wrapText="1" shrinkToFit="1"/>
    </xf>
    <xf numFmtId="165" fontId="86" fillId="0" borderId="0" xfId="12" applyNumberFormat="1" applyFont="1" applyBorder="1" applyAlignment="1">
      <alignment horizontal="center" vertical="center" wrapText="1" shrinkToFit="1"/>
    </xf>
    <xf numFmtId="0" fontId="83" fillId="0" borderId="1" xfId="12" applyFont="1" applyBorder="1" applyAlignment="1">
      <alignment horizontal="centerContinuous" vertical="center" wrapText="1" shrinkToFit="1"/>
    </xf>
    <xf numFmtId="4" fontId="84" fillId="0" borderId="1" xfId="12" applyNumberFormat="1" applyFont="1" applyBorder="1" applyAlignment="1">
      <alignment horizontal="centerContinuous" vertical="center" wrapText="1" shrinkToFit="1"/>
    </xf>
    <xf numFmtId="4" fontId="85" fillId="0" borderId="1" xfId="12" applyNumberFormat="1" applyFont="1" applyBorder="1" applyAlignment="1">
      <alignment horizontal="centerContinuous" vertical="center" wrapText="1" shrinkToFit="1"/>
    </xf>
    <xf numFmtId="170" fontId="84" fillId="0" borderId="1" xfId="12" applyNumberFormat="1" applyFont="1" applyBorder="1" applyAlignment="1">
      <alignment horizontal="centerContinuous" vertical="center" wrapText="1" shrinkToFit="1"/>
    </xf>
    <xf numFmtId="4" fontId="86" fillId="0" borderId="1" xfId="12" applyNumberFormat="1" applyFont="1" applyBorder="1" applyAlignment="1">
      <alignment horizontal="centerContinuous" vertical="center" wrapText="1" shrinkToFit="1"/>
    </xf>
    <xf numFmtId="4" fontId="87" fillId="0" borderId="1" xfId="12" applyNumberFormat="1" applyFont="1" applyBorder="1" applyAlignment="1">
      <alignment horizontal="centerContinuous" vertical="center" wrapText="1" shrinkToFit="1"/>
    </xf>
    <xf numFmtId="0" fontId="84" fillId="0" borderId="1" xfId="12" applyFont="1" applyBorder="1" applyAlignment="1">
      <alignment horizontal="centerContinuous" vertical="center" wrapText="1" shrinkToFit="1"/>
    </xf>
    <xf numFmtId="0" fontId="86" fillId="0" borderId="1" xfId="12" applyFont="1" applyBorder="1" applyAlignment="1">
      <alignment horizontal="centerContinuous" vertical="center" wrapText="1" shrinkToFit="1"/>
    </xf>
    <xf numFmtId="0" fontId="87" fillId="0" borderId="1" xfId="12" applyFont="1" applyBorder="1" applyAlignment="1">
      <alignment horizontal="centerContinuous" vertical="center" wrapText="1" shrinkToFit="1"/>
    </xf>
    <xf numFmtId="1" fontId="4" fillId="34" borderId="1" xfId="1" applyNumberFormat="1" applyFont="1" applyFill="1" applyBorder="1" applyAlignment="1">
      <alignment horizontal="center"/>
    </xf>
    <xf numFmtId="165" fontId="4" fillId="2" borderId="99" xfId="1" applyNumberFormat="1" applyFont="1" applyFill="1" applyBorder="1" applyAlignment="1">
      <alignment horizontal="center"/>
    </xf>
    <xf numFmtId="165" fontId="4" fillId="2" borderId="26" xfId="1" applyNumberFormat="1" applyFont="1" applyFill="1" applyBorder="1" applyAlignment="1">
      <alignment horizontal="center"/>
    </xf>
    <xf numFmtId="165" fontId="4" fillId="2" borderId="1" xfId="1" applyNumberFormat="1" applyFont="1" applyFill="1" applyBorder="1"/>
    <xf numFmtId="165" fontId="4" fillId="2" borderId="1" xfId="1" applyNumberFormat="1" applyFont="1" applyFill="1" applyBorder="1" applyAlignment="1">
      <alignment horizontal="center"/>
    </xf>
    <xf numFmtId="165" fontId="4" fillId="2" borderId="95" xfId="1" applyNumberFormat="1" applyFont="1" applyFill="1" applyBorder="1" applyAlignment="1">
      <alignment horizontal="center"/>
    </xf>
    <xf numFmtId="0" fontId="7" fillId="2" borderId="0" xfId="2" applyFont="1" applyFill="1"/>
    <xf numFmtId="0" fontId="4" fillId="2" borderId="4" xfId="1" applyFont="1" applyFill="1" applyBorder="1" applyAlignment="1"/>
    <xf numFmtId="0" fontId="34" fillId="2" borderId="3" xfId="2" applyFont="1" applyFill="1" applyBorder="1" applyAlignment="1">
      <alignment horizontal="left"/>
    </xf>
    <xf numFmtId="165" fontId="83" fillId="0" borderId="0" xfId="0" applyNumberFormat="1" applyFont="1" applyAlignment="1"/>
    <xf numFmtId="2" fontId="0" fillId="2" borderId="0" xfId="0" applyNumberFormat="1" applyFill="1" applyAlignment="1"/>
    <xf numFmtId="0" fontId="0" fillId="2" borderId="0" xfId="0" applyNumberFormat="1" applyFill="1" applyAlignment="1"/>
    <xf numFmtId="0" fontId="76" fillId="2" borderId="0" xfId="0" applyNumberFormat="1" applyFont="1" applyFill="1" applyAlignment="1"/>
    <xf numFmtId="0" fontId="3" fillId="0" borderId="1" xfId="1" applyFill="1" applyBorder="1" applyAlignment="1">
      <alignment horizontal="center"/>
    </xf>
    <xf numFmtId="2" fontId="83" fillId="0" borderId="1" xfId="0" applyNumberFormat="1" applyFont="1" applyBorder="1" applyAlignment="1">
      <alignment horizontal="centerContinuous" vertical="center"/>
    </xf>
    <xf numFmtId="0" fontId="89" fillId="0" borderId="42" xfId="0" applyFont="1" applyBorder="1" applyAlignment="1">
      <alignment horizontal="centerContinuous" vertical="center" wrapText="1"/>
    </xf>
    <xf numFmtId="0" fontId="90" fillId="0" borderId="43" xfId="0" applyFont="1" applyBorder="1" applyAlignment="1">
      <alignment horizontal="centerContinuous" vertical="center" wrapText="1"/>
    </xf>
    <xf numFmtId="0" fontId="88" fillId="0" borderId="1" xfId="0" applyFont="1" applyBorder="1" applyAlignment="1">
      <alignment horizontal="centerContinuous" vertical="center" wrapText="1"/>
    </xf>
    <xf numFmtId="0" fontId="88" fillId="0" borderId="26" xfId="0" applyFont="1" applyBorder="1" applyAlignment="1">
      <alignment horizontal="centerContinuous" vertical="center" wrapText="1"/>
    </xf>
    <xf numFmtId="2" fontId="0" fillId="0" borderId="0" xfId="0" applyNumberFormat="1" applyAlignment="1">
      <alignment horizontal="centerContinuous"/>
    </xf>
    <xf numFmtId="0" fontId="86" fillId="0" borderId="1" xfId="0" applyFont="1" applyBorder="1" applyAlignment="1">
      <alignment horizontal="centerContinuous"/>
    </xf>
    <xf numFmtId="0" fontId="84" fillId="0" borderId="1" xfId="0" applyFont="1" applyBorder="1" applyAlignment="1">
      <alignment horizontal="centerContinuous"/>
    </xf>
    <xf numFmtId="165" fontId="3" fillId="0" borderId="38" xfId="1" applyNumberFormat="1" applyFill="1" applyBorder="1"/>
    <xf numFmtId="165" fontId="3" fillId="0" borderId="42" xfId="1" applyNumberFormat="1" applyFill="1" applyBorder="1" applyAlignment="1">
      <alignment horizontal="center"/>
    </xf>
    <xf numFmtId="2" fontId="4" fillId="0" borderId="24" xfId="1" applyNumberFormat="1" applyFont="1" applyFill="1" applyBorder="1"/>
    <xf numFmtId="165" fontId="3" fillId="0" borderId="53" xfId="1" applyNumberFormat="1" applyFill="1" applyBorder="1" applyAlignment="1">
      <alignment horizontal="center"/>
    </xf>
    <xf numFmtId="2" fontId="3" fillId="0" borderId="36" xfId="1" applyNumberFormat="1" applyFill="1" applyBorder="1" applyAlignment="1">
      <alignment horizontal="center"/>
    </xf>
    <xf numFmtId="165" fontId="3" fillId="0" borderId="100" xfId="1" applyNumberFormat="1" applyFill="1" applyBorder="1" applyAlignment="1">
      <alignment horizontal="center"/>
    </xf>
    <xf numFmtId="165" fontId="3" fillId="0" borderId="38" xfId="1" applyNumberFormat="1" applyFill="1" applyBorder="1" applyAlignment="1">
      <alignment horizontal="center"/>
    </xf>
    <xf numFmtId="1" fontId="3" fillId="0" borderId="42" xfId="1" applyNumberFormat="1" applyFill="1" applyBorder="1" applyAlignment="1">
      <alignment horizontal="center"/>
    </xf>
    <xf numFmtId="1" fontId="3" fillId="0" borderId="53" xfId="1" applyNumberFormat="1" applyFill="1" applyBorder="1" applyAlignment="1">
      <alignment horizontal="center"/>
    </xf>
    <xf numFmtId="1" fontId="4" fillId="0" borderId="38" xfId="1" applyNumberFormat="1" applyFont="1" applyFill="1" applyBorder="1"/>
    <xf numFmtId="165" fontId="4" fillId="0" borderId="38" xfId="1" applyNumberFormat="1" applyFont="1" applyFill="1" applyBorder="1"/>
    <xf numFmtId="1" fontId="3" fillId="0" borderId="38" xfId="1" applyNumberFormat="1" applyFill="1" applyBorder="1" applyAlignment="1">
      <alignment horizontal="center"/>
    </xf>
    <xf numFmtId="165" fontId="3" fillId="0" borderId="54" xfId="1" applyNumberFormat="1" applyFill="1" applyBorder="1" applyAlignment="1">
      <alignment horizontal="center"/>
    </xf>
    <xf numFmtId="0" fontId="3" fillId="0" borderId="52" xfId="1" applyFill="1" applyBorder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0" fontId="83" fillId="0" borderId="36" xfId="13" applyFont="1" applyFill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9" fontId="85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4" fontId="85" fillId="33" borderId="1" xfId="13" applyNumberFormat="1" applyFont="1" applyFill="1" applyBorder="1" applyAlignment="1">
      <alignment horizontal="center" vertical="center" wrapText="1" shrinkToFit="1"/>
    </xf>
    <xf numFmtId="4" fontId="86" fillId="0" borderId="1" xfId="13" applyNumberFormat="1" applyFont="1" applyBorder="1" applyAlignment="1">
      <alignment horizontal="center" vertical="center" wrapText="1" shrinkToFit="1"/>
    </xf>
    <xf numFmtId="49" fontId="84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5" fillId="0" borderId="1" xfId="13" applyFont="1" applyBorder="1" applyAlignment="1">
      <alignment horizontal="center" vertical="center" wrapText="1" shrinkToFit="1"/>
    </xf>
    <xf numFmtId="2" fontId="85" fillId="33" borderId="1" xfId="13" applyNumberFormat="1" applyFont="1" applyFill="1" applyBorder="1" applyAlignment="1">
      <alignment horizontal="center" vertical="center" wrapText="1" shrinkToFit="1"/>
    </xf>
    <xf numFmtId="2" fontId="84" fillId="0" borderId="1" xfId="13" applyNumberFormat="1" applyFont="1" applyBorder="1" applyAlignment="1">
      <alignment horizontal="center" vertical="center" wrapText="1" shrinkToFit="1"/>
    </xf>
    <xf numFmtId="2" fontId="86" fillId="0" borderId="1" xfId="13" applyNumberFormat="1" applyFont="1" applyBorder="1" applyAlignment="1">
      <alignment horizontal="center" vertical="center" wrapText="1" shrinkToFit="1"/>
    </xf>
    <xf numFmtId="4" fontId="30" fillId="0" borderId="52" xfId="0" applyNumberFormat="1" applyFont="1" applyBorder="1" applyAlignment="1">
      <alignment horizontal="center" vertical="center" wrapText="1"/>
    </xf>
    <xf numFmtId="2" fontId="84" fillId="0" borderId="1" xfId="0" applyNumberFormat="1" applyFont="1" applyFill="1" applyBorder="1" applyAlignment="1">
      <alignment horizontal="center"/>
    </xf>
    <xf numFmtId="0" fontId="4" fillId="0" borderId="0" xfId="1" applyFont="1" applyFill="1" applyAlignment="1">
      <alignment horizontal="center"/>
    </xf>
    <xf numFmtId="0" fontId="83" fillId="0" borderId="0" xfId="0" applyFont="1" applyAlignment="1"/>
    <xf numFmtId="0" fontId="85" fillId="0" borderId="0" xfId="0" applyFont="1" applyAlignment="1"/>
    <xf numFmtId="0" fontId="3" fillId="0" borderId="1" xfId="1" applyFill="1" applyBorder="1" applyAlignment="1">
      <alignment horizontal="center"/>
    </xf>
    <xf numFmtId="0" fontId="94" fillId="0" borderId="0" xfId="0" applyFont="1"/>
    <xf numFmtId="0" fontId="83" fillId="0" borderId="0" xfId="0" applyFont="1" applyAlignment="1">
      <alignment vertical="center"/>
    </xf>
    <xf numFmtId="0" fontId="83" fillId="0" borderId="0" xfId="0" applyFont="1" applyAlignment="1">
      <alignment horizontal="right" vertical="center"/>
    </xf>
    <xf numFmtId="171" fontId="84" fillId="0" borderId="1" xfId="13" applyNumberFormat="1" applyFont="1" applyBorder="1" applyAlignment="1">
      <alignment horizontal="center" vertical="center" wrapText="1" shrinkToFit="1"/>
    </xf>
    <xf numFmtId="0" fontId="5" fillId="27" borderId="0" xfId="2" applyFill="1" applyBorder="1"/>
    <xf numFmtId="2" fontId="3" fillId="0" borderId="42" xfId="1" applyNumberFormat="1" applyFill="1" applyBorder="1"/>
    <xf numFmtId="2" fontId="3" fillId="0" borderId="50" xfId="1" applyNumberFormat="1" applyFill="1" applyBorder="1"/>
    <xf numFmtId="2" fontId="11" fillId="0" borderId="54" xfId="1" applyNumberFormat="1" applyFont="1" applyFill="1" applyBorder="1"/>
    <xf numFmtId="1" fontId="3" fillId="0" borderId="1" xfId="1" applyNumberFormat="1" applyFill="1" applyBorder="1"/>
    <xf numFmtId="1" fontId="3" fillId="0" borderId="56" xfId="1" applyNumberFormat="1" applyFill="1" applyBorder="1"/>
    <xf numFmtId="0" fontId="3" fillId="0" borderId="1" xfId="1" applyFont="1" applyFill="1" applyBorder="1" applyAlignment="1">
      <alignment horizontal="right"/>
    </xf>
    <xf numFmtId="2" fontId="3" fillId="0" borderId="30" xfId="1" applyNumberFormat="1" applyFill="1" applyBorder="1" applyAlignment="1">
      <alignment horizontal="center"/>
    </xf>
    <xf numFmtId="2" fontId="3" fillId="9" borderId="56" xfId="1" applyNumberFormat="1" applyFont="1" applyFill="1" applyBorder="1" applyAlignment="1">
      <alignment horizontal="center"/>
    </xf>
    <xf numFmtId="4" fontId="86" fillId="0" borderId="1" xfId="13" applyNumberFormat="1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0" fontId="83" fillId="0" borderId="1" xfId="13" applyFont="1" applyBorder="1" applyAlignment="1">
      <alignment horizontal="centerContinuous" vertical="center" wrapText="1" shrinkToFit="1"/>
    </xf>
    <xf numFmtId="1" fontId="84" fillId="0" borderId="1" xfId="12" applyNumberFormat="1" applyFont="1" applyBorder="1" applyAlignment="1">
      <alignment horizontal="center" vertical="center" wrapText="1" shrinkToFit="1"/>
    </xf>
    <xf numFmtId="170" fontId="85" fillId="0" borderId="1" xfId="12" applyNumberFormat="1" applyFont="1" applyBorder="1" applyAlignment="1">
      <alignment horizontal="centerContinuous" vertical="center" wrapText="1" shrinkToFit="1"/>
    </xf>
    <xf numFmtId="1" fontId="85" fillId="0" borderId="1" xfId="12" applyNumberFormat="1" applyFont="1" applyBorder="1" applyAlignment="1">
      <alignment horizontal="centerContinuous" vertical="center" wrapText="1" shrinkToFit="1"/>
    </xf>
    <xf numFmtId="0" fontId="85" fillId="0" borderId="1" xfId="12" applyFont="1" applyBorder="1" applyAlignment="1">
      <alignment horizontal="centerContinuous" vertical="center" wrapText="1" shrinkToFit="1"/>
    </xf>
    <xf numFmtId="178" fontId="85" fillId="33" borderId="1" xfId="12" applyNumberFormat="1" applyFont="1" applyFill="1" applyBorder="1" applyAlignment="1">
      <alignment horizontal="center" vertical="center" wrapText="1" shrinkToFit="1"/>
    </xf>
    <xf numFmtId="178" fontId="85" fillId="0" borderId="1" xfId="12" applyNumberFormat="1" applyFont="1" applyBorder="1" applyAlignment="1">
      <alignment horizontal="centerContinuous" vertical="center" wrapText="1" shrinkToFit="1"/>
    </xf>
    <xf numFmtId="178" fontId="86" fillId="0" borderId="1" xfId="12" applyNumberFormat="1" applyFont="1" applyBorder="1" applyAlignment="1">
      <alignment horizontal="center" vertical="center" wrapText="1" shrinkToFit="1"/>
    </xf>
    <xf numFmtId="0" fontId="4" fillId="0" borderId="0" xfId="1" applyFont="1" applyFill="1" applyAlignment="1">
      <alignment horizontal="center"/>
    </xf>
    <xf numFmtId="0" fontId="63" fillId="0" borderId="0" xfId="6" applyFont="1" applyAlignment="1">
      <alignment horizontal="center"/>
    </xf>
    <xf numFmtId="0" fontId="6" fillId="0" borderId="4" xfId="6" applyFont="1" applyBorder="1" applyAlignment="1">
      <alignment horizontal="center"/>
    </xf>
    <xf numFmtId="0" fontId="6" fillId="0" borderId="5" xfId="6" applyFont="1" applyBorder="1" applyAlignment="1">
      <alignment horizontal="center"/>
    </xf>
    <xf numFmtId="0" fontId="6" fillId="0" borderId="6" xfId="6" applyFont="1" applyBorder="1" applyAlignment="1">
      <alignment horizontal="center"/>
    </xf>
    <xf numFmtId="0" fontId="22" fillId="0" borderId="1" xfId="1" applyFont="1" applyFill="1" applyBorder="1" applyAlignment="1">
      <alignment horizontal="center"/>
    </xf>
    <xf numFmtId="2" fontId="18" fillId="0" borderId="1" xfId="1" applyNumberFormat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/>
    </xf>
    <xf numFmtId="0" fontId="10" fillId="0" borderId="1" xfId="1" applyFont="1" applyFill="1" applyBorder="1" applyAlignment="1">
      <alignment horizontal="center" vertical="center" wrapText="1" shrinkToFit="1"/>
    </xf>
    <xf numFmtId="165" fontId="18" fillId="0" borderId="1" xfId="1" applyNumberFormat="1" applyFont="1" applyFill="1" applyBorder="1" applyAlignment="1">
      <alignment horizontal="center"/>
    </xf>
    <xf numFmtId="0" fontId="4" fillId="0" borderId="23" xfId="1" applyFont="1" applyFill="1" applyBorder="1" applyAlignment="1">
      <alignment horizontal="center"/>
    </xf>
    <xf numFmtId="0" fontId="4" fillId="0" borderId="24" xfId="1" applyFont="1" applyFill="1" applyBorder="1" applyAlignment="1">
      <alignment horizontal="center"/>
    </xf>
    <xf numFmtId="0" fontId="4" fillId="0" borderId="60" xfId="1" applyFont="1" applyFill="1" applyBorder="1" applyAlignment="1">
      <alignment horizontal="center"/>
    </xf>
    <xf numFmtId="2" fontId="7" fillId="0" borderId="40" xfId="2" applyNumberFormat="1" applyFont="1" applyFill="1" applyBorder="1" applyAlignment="1">
      <alignment horizontal="center"/>
    </xf>
    <xf numFmtId="2" fontId="7" fillId="0" borderId="44" xfId="2" applyNumberFormat="1" applyFont="1" applyFill="1" applyBorder="1" applyAlignment="1">
      <alignment horizontal="center"/>
    </xf>
    <xf numFmtId="0" fontId="7" fillId="2" borderId="21" xfId="2" applyFont="1" applyFill="1" applyBorder="1" applyAlignment="1">
      <alignment horizontal="center"/>
    </xf>
    <xf numFmtId="0" fontId="7" fillId="2" borderId="22" xfId="2" applyFont="1" applyFill="1" applyBorder="1" applyAlignment="1">
      <alignment horizontal="center"/>
    </xf>
    <xf numFmtId="0" fontId="7" fillId="0" borderId="33" xfId="2" applyFont="1" applyFill="1" applyBorder="1" applyAlignment="1">
      <alignment horizontal="center"/>
    </xf>
    <xf numFmtId="0" fontId="7" fillId="0" borderId="34" xfId="2" applyFont="1" applyFill="1" applyBorder="1" applyAlignment="1">
      <alignment horizontal="center"/>
    </xf>
    <xf numFmtId="0" fontId="4" fillId="0" borderId="33" xfId="1" applyFont="1" applyFill="1" applyBorder="1" applyAlignment="1">
      <alignment horizontal="center"/>
    </xf>
    <xf numFmtId="0" fontId="4" fillId="0" borderId="26" xfId="1" applyFont="1" applyFill="1" applyBorder="1" applyAlignment="1">
      <alignment horizontal="center"/>
    </xf>
    <xf numFmtId="0" fontId="4" fillId="0" borderId="34" xfId="1" applyFont="1" applyFill="1" applyBorder="1" applyAlignment="1">
      <alignment horizontal="center"/>
    </xf>
    <xf numFmtId="0" fontId="4" fillId="0" borderId="21" xfId="1" applyFont="1" applyFill="1" applyBorder="1" applyAlignment="1">
      <alignment horizontal="center"/>
    </xf>
    <xf numFmtId="0" fontId="4" fillId="0" borderId="1" xfId="1" applyFont="1" applyFill="1" applyBorder="1" applyAlignment="1">
      <alignment horizontal="center"/>
    </xf>
    <xf numFmtId="0" fontId="4" fillId="0" borderId="22" xfId="1" applyFont="1" applyFill="1" applyBorder="1" applyAlignment="1">
      <alignment horizontal="center"/>
    </xf>
    <xf numFmtId="0" fontId="4" fillId="0" borderId="55" xfId="1" applyFont="1" applyFill="1" applyBorder="1" applyAlignment="1">
      <alignment horizontal="center"/>
    </xf>
    <xf numFmtId="0" fontId="4" fillId="0" borderId="56" xfId="1" applyFont="1" applyFill="1" applyBorder="1" applyAlignment="1">
      <alignment horizontal="center"/>
    </xf>
    <xf numFmtId="0" fontId="7" fillId="10" borderId="32" xfId="2" applyFont="1" applyFill="1" applyBorder="1" applyAlignment="1">
      <alignment horizontal="center"/>
    </xf>
    <xf numFmtId="0" fontId="7" fillId="10" borderId="16" xfId="2" applyFont="1" applyFill="1" applyBorder="1" applyAlignment="1">
      <alignment horizontal="center"/>
    </xf>
    <xf numFmtId="0" fontId="7" fillId="10" borderId="17" xfId="2" applyFont="1" applyFill="1" applyBorder="1" applyAlignment="1">
      <alignment horizontal="center"/>
    </xf>
    <xf numFmtId="0" fontId="4" fillId="10" borderId="32" xfId="1" applyFont="1" applyFill="1" applyBorder="1" applyAlignment="1">
      <alignment horizontal="center"/>
    </xf>
    <xf numFmtId="0" fontId="4" fillId="10" borderId="16" xfId="1" applyFont="1" applyFill="1" applyBorder="1" applyAlignment="1">
      <alignment horizontal="center"/>
    </xf>
    <xf numFmtId="0" fontId="4" fillId="10" borderId="17" xfId="1" applyFont="1" applyFill="1" applyBorder="1" applyAlignment="1">
      <alignment horizontal="center"/>
    </xf>
    <xf numFmtId="14" fontId="4" fillId="2" borderId="33" xfId="1" applyNumberFormat="1" applyFont="1" applyFill="1" applyBorder="1" applyAlignment="1">
      <alignment horizontal="center"/>
    </xf>
    <xf numFmtId="14" fontId="4" fillId="2" borderId="26" xfId="1" applyNumberFormat="1" applyFont="1" applyFill="1" applyBorder="1" applyAlignment="1">
      <alignment horizontal="center"/>
    </xf>
    <xf numFmtId="14" fontId="4" fillId="2" borderId="34" xfId="1" applyNumberFormat="1" applyFont="1" applyFill="1" applyBorder="1" applyAlignment="1">
      <alignment horizontal="center"/>
    </xf>
    <xf numFmtId="0" fontId="4" fillId="2" borderId="4" xfId="1" applyFont="1" applyFill="1" applyBorder="1" applyAlignment="1">
      <alignment horizontal="center"/>
    </xf>
    <xf numFmtId="0" fontId="4" fillId="2" borderId="5" xfId="1" applyFont="1" applyFill="1" applyBorder="1" applyAlignment="1">
      <alignment horizontal="center"/>
    </xf>
    <xf numFmtId="0" fontId="4" fillId="2" borderId="6" xfId="1" applyFont="1" applyFill="1" applyBorder="1" applyAlignment="1">
      <alignment horizontal="center"/>
    </xf>
    <xf numFmtId="0" fontId="7" fillId="0" borderId="21" xfId="2" applyFont="1" applyFill="1" applyBorder="1" applyAlignment="1">
      <alignment horizontal="center"/>
    </xf>
    <xf numFmtId="0" fontId="7" fillId="0" borderId="22" xfId="2" applyFont="1" applyFill="1" applyBorder="1" applyAlignment="1">
      <alignment horizontal="center"/>
    </xf>
    <xf numFmtId="0" fontId="7" fillId="10" borderId="21" xfId="2" applyFont="1" applyFill="1" applyBorder="1" applyAlignment="1">
      <alignment horizontal="center"/>
    </xf>
    <xf numFmtId="0" fontId="7" fillId="10" borderId="22" xfId="2" applyFont="1" applyFill="1" applyBorder="1" applyAlignment="1">
      <alignment horizontal="center"/>
    </xf>
    <xf numFmtId="1" fontId="7" fillId="2" borderId="21" xfId="2" applyNumberFormat="1" applyFont="1" applyFill="1" applyBorder="1" applyAlignment="1">
      <alignment horizontal="center"/>
    </xf>
    <xf numFmtId="1" fontId="7" fillId="2" borderId="22" xfId="2" applyNumberFormat="1" applyFont="1" applyFill="1" applyBorder="1" applyAlignment="1">
      <alignment horizontal="center"/>
    </xf>
    <xf numFmtId="0" fontId="7" fillId="0" borderId="0" xfId="2" applyFont="1" applyFill="1" applyBorder="1" applyAlignment="1">
      <alignment horizontal="center"/>
    </xf>
    <xf numFmtId="0" fontId="4" fillId="0" borderId="0" xfId="1" applyFont="1" applyFill="1" applyBorder="1" applyAlignment="1">
      <alignment horizontal="center"/>
    </xf>
    <xf numFmtId="0" fontId="4" fillId="0" borderId="8" xfId="1" applyFont="1" applyFill="1" applyBorder="1" applyAlignment="1">
      <alignment horizontal="center"/>
    </xf>
    <xf numFmtId="14" fontId="7" fillId="0" borderId="23" xfId="2" applyNumberFormat="1" applyFont="1" applyFill="1" applyBorder="1" applyAlignment="1">
      <alignment horizontal="center"/>
    </xf>
    <xf numFmtId="0" fontId="7" fillId="0" borderId="25" xfId="2" applyFont="1" applyFill="1" applyBorder="1" applyAlignment="1">
      <alignment horizontal="center"/>
    </xf>
    <xf numFmtId="0" fontId="4" fillId="0" borderId="45" xfId="1" applyFont="1" applyFill="1" applyBorder="1" applyAlignment="1">
      <alignment horizontal="center"/>
    </xf>
    <xf numFmtId="0" fontId="3" fillId="0" borderId="4" xfId="1" applyFill="1" applyBorder="1" applyAlignment="1">
      <alignment horizontal="center"/>
    </xf>
    <xf numFmtId="0" fontId="3" fillId="0" borderId="5" xfId="1" applyFill="1" applyBorder="1" applyAlignment="1">
      <alignment horizontal="center"/>
    </xf>
    <xf numFmtId="0" fontId="3" fillId="0" borderId="6" xfId="1" applyFill="1" applyBorder="1" applyAlignment="1">
      <alignment horizontal="center"/>
    </xf>
    <xf numFmtId="0" fontId="3" fillId="0" borderId="2" xfId="1" applyFill="1" applyBorder="1" applyAlignment="1">
      <alignment horizontal="center" vertical="center" wrapText="1" shrinkToFit="1"/>
    </xf>
    <xf numFmtId="0" fontId="3" fillId="0" borderId="7" xfId="1" applyFill="1" applyBorder="1" applyAlignment="1">
      <alignment horizontal="center" vertical="center" wrapText="1" shrinkToFit="1"/>
    </xf>
    <xf numFmtId="0" fontId="3" fillId="0" borderId="9" xfId="1" applyFill="1" applyBorder="1" applyAlignment="1">
      <alignment horizontal="center" vertical="center" wrapText="1" shrinkToFit="1"/>
    </xf>
    <xf numFmtId="49" fontId="85" fillId="0" borderId="1" xfId="0" applyNumberFormat="1" applyFon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" fontId="85" fillId="0" borderId="1" xfId="0" applyNumberFormat="1" applyFont="1" applyBorder="1" applyAlignment="1">
      <alignment horizontal="center" vertical="center" wrapText="1" shrinkToFit="1"/>
    </xf>
    <xf numFmtId="0" fontId="85" fillId="0" borderId="1" xfId="0" applyFont="1" applyBorder="1" applyAlignment="1">
      <alignment horizontal="center" vertical="center" wrapText="1" shrinkToFit="1"/>
    </xf>
    <xf numFmtId="0" fontId="83" fillId="0" borderId="0" xfId="0" applyFont="1" applyAlignment="1"/>
    <xf numFmtId="0" fontId="0" fillId="0" borderId="0" xfId="0" applyAlignment="1"/>
    <xf numFmtId="0" fontId="84" fillId="0" borderId="1" xfId="0" applyFont="1" applyBorder="1" applyAlignment="1">
      <alignment horizontal="center"/>
    </xf>
    <xf numFmtId="0" fontId="93" fillId="0" borderId="1" xfId="0" applyFont="1" applyBorder="1" applyAlignment="1">
      <alignment horizontal="center"/>
    </xf>
    <xf numFmtId="0" fontId="84" fillId="0" borderId="1" xfId="0" applyFont="1" applyBorder="1" applyAlignment="1"/>
    <xf numFmtId="0" fontId="0" fillId="0" borderId="1" xfId="0" applyBorder="1" applyAlignment="1"/>
    <xf numFmtId="0" fontId="69" fillId="0" borderId="0" xfId="0" applyFont="1" applyAlignment="1">
      <alignment horizontal="center"/>
    </xf>
    <xf numFmtId="0" fontId="85" fillId="0" borderId="0" xfId="0" applyFont="1" applyAlignment="1"/>
    <xf numFmtId="0" fontId="86" fillId="0" borderId="84" xfId="0" applyFont="1" applyBorder="1" applyAlignment="1">
      <alignment horizontal="center"/>
    </xf>
    <xf numFmtId="0" fontId="86" fillId="0" borderId="43" xfId="0" applyFont="1" applyBorder="1" applyAlignment="1">
      <alignment horizontal="center"/>
    </xf>
    <xf numFmtId="0" fontId="83" fillId="0" borderId="1" xfId="0" applyFont="1" applyBorder="1" applyAlignment="1">
      <alignment horizontal="center" vertical="center" wrapText="1"/>
    </xf>
    <xf numFmtId="0" fontId="88" fillId="0" borderId="1" xfId="0" applyFont="1" applyBorder="1" applyAlignment="1">
      <alignment horizontal="center" vertical="center"/>
    </xf>
    <xf numFmtId="0" fontId="92" fillId="0" borderId="1" xfId="0" applyFont="1" applyBorder="1" applyAlignment="1">
      <alignment horizontal="center" vertical="center"/>
    </xf>
    <xf numFmtId="0" fontId="88" fillId="0" borderId="1" xfId="0" applyFont="1" applyBorder="1" applyAlignment="1">
      <alignment vertical="center" wrapText="1"/>
    </xf>
    <xf numFmtId="0" fontId="89" fillId="0" borderId="42" xfId="0" applyFont="1" applyBorder="1" applyAlignment="1">
      <alignment vertical="center" wrapText="1"/>
    </xf>
    <xf numFmtId="0" fontId="90" fillId="0" borderId="43" xfId="0" applyFont="1" applyBorder="1" applyAlignment="1">
      <alignment vertical="center" wrapText="1"/>
    </xf>
    <xf numFmtId="4" fontId="86" fillId="0" borderId="1" xfId="13" applyNumberFormat="1" applyFont="1" applyBorder="1" applyAlignment="1">
      <alignment horizontal="center" vertical="center" wrapText="1" shrinkToFit="1"/>
    </xf>
    <xf numFmtId="4" fontId="87" fillId="0" borderId="1" xfId="13" applyNumberFormat="1" applyFont="1" applyBorder="1" applyAlignment="1">
      <alignment horizontal="center" vertical="center" wrapText="1" shrinkToFit="1"/>
    </xf>
    <xf numFmtId="0" fontId="83" fillId="0" borderId="0" xfId="0" applyFont="1" applyAlignment="1">
      <alignment horizontal="center"/>
    </xf>
    <xf numFmtId="0" fontId="83" fillId="0" borderId="1" xfId="13" applyFont="1" applyBorder="1" applyAlignment="1">
      <alignment horizontal="center" vertical="center" wrapText="1" shrinkToFit="1"/>
    </xf>
    <xf numFmtId="4" fontId="84" fillId="0" borderId="1" xfId="13" applyNumberFormat="1" applyFont="1" applyBorder="1" applyAlignment="1">
      <alignment horizontal="center" vertical="center" wrapText="1" shrinkToFit="1"/>
    </xf>
    <xf numFmtId="4" fontId="85" fillId="0" borderId="1" xfId="13" applyNumberFormat="1" applyFont="1" applyBorder="1" applyAlignment="1">
      <alignment horizontal="center" vertical="center" wrapText="1" shrinkToFit="1"/>
    </xf>
    <xf numFmtId="14" fontId="4" fillId="2" borderId="4" xfId="1" applyNumberFormat="1" applyFont="1" applyFill="1" applyBorder="1" applyAlignment="1">
      <alignment horizontal="center"/>
    </xf>
    <xf numFmtId="14" fontId="4" fillId="2" borderId="5" xfId="1" applyNumberFormat="1" applyFont="1" applyFill="1" applyBorder="1" applyAlignment="1">
      <alignment horizontal="center"/>
    </xf>
    <xf numFmtId="14" fontId="4" fillId="2" borderId="6" xfId="1" applyNumberFormat="1" applyFont="1" applyFill="1" applyBorder="1" applyAlignment="1">
      <alignment horizontal="center"/>
    </xf>
    <xf numFmtId="0" fontId="4" fillId="0" borderId="4" xfId="1" applyFont="1" applyFill="1" applyBorder="1" applyAlignment="1">
      <alignment horizontal="center"/>
    </xf>
    <xf numFmtId="0" fontId="4" fillId="0" borderId="5" xfId="1" applyFont="1" applyFill="1" applyBorder="1" applyAlignment="1">
      <alignment horizontal="center"/>
    </xf>
    <xf numFmtId="0" fontId="4" fillId="0" borderId="6" xfId="1" applyFont="1" applyFill="1" applyBorder="1" applyAlignment="1">
      <alignment horizontal="center"/>
    </xf>
    <xf numFmtId="0" fontId="21" fillId="0" borderId="0" xfId="2" applyFont="1" applyFill="1" applyAlignment="1">
      <alignment horizontal="right"/>
    </xf>
    <xf numFmtId="0" fontId="7" fillId="0" borderId="8" xfId="2" applyFont="1" applyFill="1" applyBorder="1" applyAlignment="1">
      <alignment horizontal="center"/>
    </xf>
    <xf numFmtId="0" fontId="7" fillId="0" borderId="45" xfId="2" applyFont="1" applyFill="1" applyBorder="1" applyAlignment="1">
      <alignment horizontal="center"/>
    </xf>
    <xf numFmtId="49" fontId="4" fillId="0" borderId="4" xfId="1" applyNumberFormat="1" applyFont="1" applyFill="1" applyBorder="1" applyAlignment="1">
      <alignment horizontal="center"/>
    </xf>
    <xf numFmtId="49" fontId="4" fillId="0" borderId="5" xfId="1" applyNumberFormat="1" applyFont="1" applyFill="1" applyBorder="1" applyAlignment="1">
      <alignment horizontal="center"/>
    </xf>
    <xf numFmtId="49" fontId="4" fillId="0" borderId="6" xfId="1" applyNumberFormat="1" applyFont="1" applyFill="1" applyBorder="1" applyAlignment="1">
      <alignment horizontal="center"/>
    </xf>
    <xf numFmtId="168" fontId="4" fillId="0" borderId="4" xfId="1" applyNumberFormat="1" applyFont="1" applyFill="1" applyBorder="1" applyAlignment="1">
      <alignment horizontal="center"/>
    </xf>
    <xf numFmtId="168" fontId="4" fillId="0" borderId="5" xfId="1" applyNumberFormat="1" applyFont="1" applyFill="1" applyBorder="1" applyAlignment="1">
      <alignment horizontal="center"/>
    </xf>
    <xf numFmtId="168" fontId="4" fillId="0" borderId="6" xfId="1" applyNumberFormat="1" applyFont="1" applyFill="1" applyBorder="1" applyAlignment="1">
      <alignment horizontal="center"/>
    </xf>
    <xf numFmtId="2" fontId="5" fillId="2" borderId="4" xfId="2" applyNumberFormat="1" applyFill="1" applyBorder="1" applyAlignment="1">
      <alignment horizontal="center"/>
    </xf>
    <xf numFmtId="2" fontId="5" fillId="2" borderId="6" xfId="2" applyNumberFormat="1" applyFill="1" applyBorder="1" applyAlignment="1">
      <alignment horizontal="center"/>
    </xf>
    <xf numFmtId="0" fontId="4" fillId="8" borderId="4" xfId="1" applyFont="1" applyFill="1" applyBorder="1" applyAlignment="1">
      <alignment horizontal="center"/>
    </xf>
    <xf numFmtId="0" fontId="4" fillId="8" borderId="5" xfId="1" applyFont="1" applyFill="1" applyBorder="1" applyAlignment="1">
      <alignment horizontal="center"/>
    </xf>
    <xf numFmtId="0" fontId="4" fillId="8" borderId="6" xfId="1" applyFont="1" applyFill="1" applyBorder="1" applyAlignment="1">
      <alignment horizontal="center"/>
    </xf>
    <xf numFmtId="0" fontId="7" fillId="2" borderId="4" xfId="2" applyFont="1" applyFill="1" applyBorder="1" applyAlignment="1">
      <alignment horizontal="center"/>
    </xf>
    <xf numFmtId="0" fontId="7" fillId="2" borderId="6" xfId="2" applyFont="1" applyFill="1" applyBorder="1" applyAlignment="1">
      <alignment horizontal="center"/>
    </xf>
    <xf numFmtId="0" fontId="7" fillId="9" borderId="4" xfId="2" applyFont="1" applyFill="1" applyBorder="1" applyAlignment="1">
      <alignment horizontal="center"/>
    </xf>
    <xf numFmtId="0" fontId="7" fillId="9" borderId="6" xfId="2" applyFont="1" applyFill="1" applyBorder="1" applyAlignment="1">
      <alignment horizontal="center"/>
    </xf>
    <xf numFmtId="1" fontId="5" fillId="2" borderId="4" xfId="2" applyNumberFormat="1" applyFill="1" applyBorder="1" applyAlignment="1">
      <alignment horizontal="center"/>
    </xf>
    <xf numFmtId="0" fontId="5" fillId="2" borderId="6" xfId="2" applyFill="1" applyBorder="1" applyAlignment="1">
      <alignment horizontal="center"/>
    </xf>
    <xf numFmtId="1" fontId="5" fillId="2" borderId="6" xfId="2" applyNumberFormat="1" applyFill="1" applyBorder="1" applyAlignment="1">
      <alignment horizontal="center"/>
    </xf>
    <xf numFmtId="0" fontId="20" fillId="0" borderId="0" xfId="1" applyFont="1" applyFill="1" applyAlignment="1">
      <alignment horizontal="right"/>
    </xf>
    <xf numFmtId="0" fontId="20" fillId="0" borderId="51" xfId="1" applyFont="1" applyFill="1" applyBorder="1" applyAlignment="1">
      <alignment horizontal="right"/>
    </xf>
    <xf numFmtId="0" fontId="18" fillId="0" borderId="75" xfId="1" applyFont="1" applyFill="1" applyBorder="1" applyAlignment="1">
      <alignment horizontal="right"/>
    </xf>
    <xf numFmtId="0" fontId="7" fillId="8" borderId="4" xfId="2" applyFont="1" applyFill="1" applyBorder="1" applyAlignment="1">
      <alignment horizontal="center"/>
    </xf>
    <xf numFmtId="0" fontId="7" fillId="8" borderId="5" xfId="2" applyFont="1" applyFill="1" applyBorder="1" applyAlignment="1">
      <alignment horizontal="center"/>
    </xf>
    <xf numFmtId="0" fontId="7" fillId="8" borderId="6" xfId="2" applyFont="1" applyFill="1" applyBorder="1" applyAlignment="1">
      <alignment horizontal="center"/>
    </xf>
    <xf numFmtId="0" fontId="7" fillId="0" borderId="10" xfId="2" applyFont="1" applyFill="1" applyBorder="1" applyAlignment="1">
      <alignment horizontal="center"/>
    </xf>
    <xf numFmtId="0" fontId="7" fillId="0" borderId="77" xfId="2" applyFont="1" applyFill="1" applyBorder="1" applyAlignment="1">
      <alignment horizontal="center"/>
    </xf>
    <xf numFmtId="0" fontId="4" fillId="0" borderId="10" xfId="1" applyFont="1" applyFill="1" applyBorder="1" applyAlignment="1">
      <alignment horizontal="center"/>
    </xf>
    <xf numFmtId="0" fontId="4" fillId="0" borderId="76" xfId="1" applyFont="1" applyFill="1" applyBorder="1" applyAlignment="1">
      <alignment horizontal="center"/>
    </xf>
    <xf numFmtId="0" fontId="4" fillId="0" borderId="77" xfId="1" applyFont="1" applyFill="1" applyBorder="1" applyAlignment="1">
      <alignment horizontal="center"/>
    </xf>
    <xf numFmtId="0" fontId="3" fillId="0" borderId="42" xfId="1" applyFill="1" applyBorder="1" applyAlignment="1">
      <alignment horizontal="center"/>
    </xf>
    <xf numFmtId="0" fontId="3" fillId="0" borderId="41" xfId="1" applyFill="1" applyBorder="1" applyAlignment="1">
      <alignment horizontal="center"/>
    </xf>
    <xf numFmtId="0" fontId="5" fillId="0" borderId="4" xfId="2" applyFill="1" applyBorder="1" applyAlignment="1">
      <alignment horizontal="center"/>
    </xf>
    <xf numFmtId="0" fontId="5" fillId="0" borderId="6" xfId="2" applyFill="1" applyBorder="1" applyAlignment="1">
      <alignment horizontal="center"/>
    </xf>
    <xf numFmtId="0" fontId="5" fillId="8" borderId="4" xfId="2" applyFill="1" applyBorder="1" applyAlignment="1">
      <alignment horizontal="center"/>
    </xf>
    <xf numFmtId="0" fontId="5" fillId="8" borderId="6" xfId="2" applyFill="1" applyBorder="1" applyAlignment="1">
      <alignment horizontal="center"/>
    </xf>
    <xf numFmtId="167" fontId="5" fillId="0" borderId="4" xfId="2" applyNumberFormat="1" applyFill="1" applyBorder="1" applyAlignment="1">
      <alignment horizontal="center"/>
    </xf>
    <xf numFmtId="167" fontId="5" fillId="0" borderId="6" xfId="2" applyNumberFormat="1" applyFill="1" applyBorder="1" applyAlignment="1">
      <alignment horizontal="center"/>
    </xf>
    <xf numFmtId="0" fontId="5" fillId="2" borderId="4" xfId="2" applyFill="1" applyBorder="1" applyAlignment="1">
      <alignment horizontal="center"/>
    </xf>
    <xf numFmtId="0" fontId="7" fillId="9" borderId="5" xfId="2" applyFont="1" applyFill="1" applyBorder="1" applyAlignment="1">
      <alignment horizontal="center"/>
    </xf>
    <xf numFmtId="0" fontId="3" fillId="0" borderId="32" xfId="1" applyFill="1" applyBorder="1" applyAlignment="1">
      <alignment horizontal="center"/>
    </xf>
    <xf numFmtId="0" fontId="3" fillId="0" borderId="17" xfId="1" applyFill="1" applyBorder="1" applyAlignment="1">
      <alignment horizontal="center"/>
    </xf>
    <xf numFmtId="0" fontId="10" fillId="0" borderId="27" xfId="1" applyFont="1" applyFill="1" applyBorder="1" applyAlignment="1">
      <alignment horizontal="center" vertical="center" wrapText="1" shrinkToFit="1"/>
    </xf>
    <xf numFmtId="0" fontId="10" fillId="0" borderId="37" xfId="1" applyFont="1" applyFill="1" applyBorder="1" applyAlignment="1">
      <alignment horizontal="center" vertical="center" wrapText="1" shrinkToFit="1"/>
    </xf>
    <xf numFmtId="0" fontId="10" fillId="0" borderId="38" xfId="1" applyFont="1" applyFill="1" applyBorder="1" applyAlignment="1">
      <alignment horizontal="center"/>
    </xf>
    <xf numFmtId="0" fontId="10" fillId="0" borderId="37" xfId="1" applyFont="1" applyFill="1" applyBorder="1" applyAlignment="1">
      <alignment horizontal="center"/>
    </xf>
    <xf numFmtId="0" fontId="10" fillId="0" borderId="28" xfId="1" applyFont="1" applyFill="1" applyBorder="1" applyAlignment="1">
      <alignment horizontal="center"/>
    </xf>
    <xf numFmtId="0" fontId="10" fillId="0" borderId="39" xfId="1" applyFont="1" applyFill="1" applyBorder="1" applyAlignment="1">
      <alignment horizontal="center"/>
    </xf>
    <xf numFmtId="165" fontId="6" fillId="0" borderId="40" xfId="1" applyNumberFormat="1" applyFont="1" applyFill="1" applyBorder="1" applyAlignment="1">
      <alignment horizontal="center"/>
    </xf>
    <xf numFmtId="165" fontId="6" fillId="0" borderId="41" xfId="1" applyNumberFormat="1" applyFont="1" applyFill="1" applyBorder="1" applyAlignment="1">
      <alignment horizontal="center"/>
    </xf>
    <xf numFmtId="165" fontId="6" fillId="0" borderId="42" xfId="1" applyNumberFormat="1" applyFont="1" applyFill="1" applyBorder="1" applyAlignment="1">
      <alignment horizontal="center"/>
    </xf>
    <xf numFmtId="165" fontId="12" fillId="0" borderId="42" xfId="1" applyNumberFormat="1" applyFont="1" applyFill="1" applyBorder="1" applyAlignment="1">
      <alignment horizontal="center"/>
    </xf>
    <xf numFmtId="165" fontId="12" fillId="0" borderId="43" xfId="1" applyNumberFormat="1" applyFont="1" applyFill="1" applyBorder="1" applyAlignment="1">
      <alignment horizontal="center"/>
    </xf>
    <xf numFmtId="165" fontId="12" fillId="0" borderId="44" xfId="1" applyNumberFormat="1" applyFont="1" applyFill="1" applyBorder="1" applyAlignment="1">
      <alignment horizontal="center"/>
    </xf>
    <xf numFmtId="0" fontId="3" fillId="0" borderId="1" xfId="1" applyFill="1" applyBorder="1" applyAlignment="1">
      <alignment horizontal="center"/>
    </xf>
    <xf numFmtId="14" fontId="5" fillId="0" borderId="4" xfId="2" applyNumberFormat="1" applyFill="1" applyBorder="1" applyAlignment="1">
      <alignment horizontal="center"/>
    </xf>
    <xf numFmtId="14" fontId="5" fillId="0" borderId="6" xfId="2" applyNumberFormat="1" applyFill="1" applyBorder="1" applyAlignment="1">
      <alignment horizontal="center"/>
    </xf>
    <xf numFmtId="0" fontId="4" fillId="8" borderId="10" xfId="1" applyFont="1" applyFill="1" applyBorder="1" applyAlignment="1">
      <alignment horizontal="center"/>
    </xf>
    <xf numFmtId="0" fontId="4" fillId="8" borderId="76" xfId="1" applyFont="1" applyFill="1" applyBorder="1" applyAlignment="1">
      <alignment horizontal="center"/>
    </xf>
    <xf numFmtId="0" fontId="4" fillId="8" borderId="77" xfId="1" applyFont="1" applyFill="1" applyBorder="1" applyAlignment="1">
      <alignment horizontal="center"/>
    </xf>
    <xf numFmtId="0" fontId="5" fillId="0" borderId="10" xfId="2" applyFill="1" applyBorder="1" applyAlignment="1">
      <alignment horizontal="center"/>
    </xf>
    <xf numFmtId="0" fontId="5" fillId="0" borderId="77" xfId="2" applyFill="1" applyBorder="1" applyAlignment="1">
      <alignment horizontal="center"/>
    </xf>
    <xf numFmtId="0" fontId="7" fillId="2" borderId="5" xfId="2" applyFont="1" applyFill="1" applyBorder="1" applyAlignment="1">
      <alignment horizontal="center"/>
    </xf>
    <xf numFmtId="0" fontId="20" fillId="0" borderId="0" xfId="1" applyFont="1" applyFill="1" applyAlignment="1">
      <alignment horizontal="right" indent="1"/>
    </xf>
    <xf numFmtId="49" fontId="84" fillId="0" borderId="1" xfId="0" applyNumberFormat="1" applyFont="1" applyBorder="1" applyAlignment="1">
      <alignment horizontal="center"/>
    </xf>
    <xf numFmtId="49" fontId="93" fillId="0" borderId="1" xfId="0" applyNumberFormat="1" applyFont="1" applyBorder="1" applyAlignment="1">
      <alignment horizontal="center"/>
    </xf>
    <xf numFmtId="0" fontId="85" fillId="0" borderId="1" xfId="0" applyFont="1" applyBorder="1" applyAlignment="1"/>
    <xf numFmtId="0" fontId="86" fillId="0" borderId="1" xfId="13" applyFont="1" applyBorder="1" applyAlignment="1">
      <alignment horizontal="center" vertical="center" wrapText="1" shrinkToFit="1"/>
    </xf>
    <xf numFmtId="0" fontId="87" fillId="0" borderId="1" xfId="13" applyFont="1" applyBorder="1" applyAlignment="1">
      <alignment horizontal="center" vertical="center" wrapText="1" shrinkToFit="1"/>
    </xf>
    <xf numFmtId="0" fontId="84" fillId="0" borderId="1" xfId="13" applyFont="1" applyBorder="1" applyAlignment="1">
      <alignment horizontal="center" vertical="center" wrapText="1" shrinkToFit="1"/>
    </xf>
    <xf numFmtId="4" fontId="84" fillId="0" borderId="42" xfId="13" applyNumberFormat="1" applyFont="1" applyBorder="1" applyAlignment="1">
      <alignment horizontal="center" vertical="center" wrapText="1" shrinkToFit="1"/>
    </xf>
    <xf numFmtId="4" fontId="84" fillId="0" borderId="41" xfId="13" applyNumberFormat="1" applyFont="1" applyBorder="1" applyAlignment="1">
      <alignment horizontal="center" vertical="center" wrapText="1" shrinkToFit="1"/>
    </xf>
  </cellXfs>
  <cellStyles count="14">
    <cellStyle name="Обычный" xfId="0" builtinId="0"/>
    <cellStyle name="Обычный 2" xfId="3"/>
    <cellStyle name="Обычный 2 2" xfId="6"/>
    <cellStyle name="Обычный 2 3" xfId="12"/>
    <cellStyle name="Обычный 2 4" xfId="13"/>
    <cellStyle name="Обычный 3" xfId="4"/>
    <cellStyle name="Обычный 4" xfId="10"/>
    <cellStyle name="Обычный_l_k" xfId="5"/>
    <cellStyle name="Обычный_Мастера" xfId="9"/>
    <cellStyle name="Обычный_Мастера_1" xfId="8"/>
    <cellStyle name="Обычный_Реализация (1) (1)" xfId="7"/>
    <cellStyle name="Обычный_Тех карти. Finpla~1" xfId="1"/>
    <cellStyle name="Обычный_Техкарта РГК" xfId="2"/>
    <cellStyle name="Финансовый" xfId="11" builtinId="3"/>
  </cellStyles>
  <dxfs count="414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</dxf>
    <dxf>
      <border diagonalUp="0" diagonalDown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medium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22"/>
        <name val="0"/>
        <scheme val="none"/>
      </font>
      <border diagonalUp="0" diagonalDown="0">
        <left/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9" formatCode="m/d/yyyy"/>
    </dxf>
    <dxf>
      <numFmt numFmtId="169" formatCode="m/d/yyyy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65" formatCode="0.000"/>
    </dxf>
    <dxf>
      <numFmt numFmtId="165" formatCode="0.000"/>
    </dxf>
    <dxf>
      <numFmt numFmtId="1" formatCode="0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>
          <fgColor indexed="64"/>
          <bgColor theme="3" tint="0.39997558519241921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numFmt numFmtId="166" formatCode="[$-FC22]d\ mmmm\ yyyy&quot; р.&quot;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imes New Roman"/>
        <scheme val="none"/>
      </font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5" formatCode="0.000"/>
      <alignment horizontal="left" vertical="bottom" textRotation="0" wrapText="0" indent="0" justifyLastLine="0" shrinkToFit="0" readingOrder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mo"/>
        <scheme val="none"/>
      </font>
      <fill>
        <patternFill patternType="solid">
          <fgColor indexed="64"/>
          <bgColor rgb="FF00B050"/>
        </patternFill>
      </fill>
      <alignment horizontal="right" vertical="bottom" textRotation="0" wrapText="1" indent="0" justifyLastLine="0" shrinkToFit="0" readingOrder="0"/>
      <border diagonalUp="0" diagonalDown="0">
        <left style="thick">
          <color rgb="FF000000"/>
        </left>
        <right style="medium">
          <color rgb="FF000000"/>
        </right>
        <top style="medium">
          <color rgb="FFCCCCCC"/>
        </top>
        <bottom style="medium">
          <color rgb="FF000000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</dxf>
    <dxf>
      <alignment horizontal="center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indexed="4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alignment horizontal="general" vertical="bottom" textRotation="0" wrapText="1" indent="0" justifyLastLine="0" shrinkToFit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bottom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ndense val="0"/>
        <extend val="0"/>
        <color indexed="10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9" formatCode="m/d/yyyy"/>
    </dxf>
    <dxf>
      <numFmt numFmtId="16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numFmt numFmtId="0" formatCode="General"/>
      <fill>
        <patternFill patternType="solid">
          <fgColor indexed="64"/>
          <bgColor indexed="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0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  <vertical/>
        <horizontal/>
      </border>
    </dxf>
    <dxf>
      <numFmt numFmtId="179" formatCode="m/d/yyyy\ h:mm"/>
    </dxf>
    <dxf>
      <numFmt numFmtId="0" formatCode="General"/>
    </dxf>
    <dxf>
      <numFmt numFmtId="179" formatCode="m/d/yyyy\ h:mm"/>
      <fill>
        <patternFill patternType="none">
          <fgColor indexed="64"/>
          <bgColor indexed="65"/>
        </patternFill>
      </fill>
    </dxf>
    <dxf>
      <numFmt numFmtId="179" formatCode="m/d/yyyy\ h:mm"/>
    </dxf>
    <dxf>
      <numFmt numFmtId="179" formatCode="m/d/yyyy\ h:mm"/>
    </dxf>
    <dxf>
      <numFmt numFmtId="179" formatCode="m/d/yyyy\ h:mm"/>
    </dxf>
    <dxf>
      <numFmt numFmtId="179" formatCode="m/d/yyyy\ 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ourier New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  <border diagonalUp="0" diagonalDown="0">
        <left/>
        <right/>
        <top style="thin">
          <color rgb="FFA9D08E"/>
        </top>
        <bottom style="thin">
          <color rgb="FFA9D08E"/>
        </bottom>
        <vertical/>
        <horizontal/>
      </border>
    </dxf>
    <dxf>
      <border outline="0">
        <top style="thin">
          <color rgb="FFA9D08E"/>
        </top>
      </border>
    </dxf>
    <dxf>
      <border outline="0"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Cyr"/>
        <scheme val="none"/>
      </font>
    </dxf>
    <dxf>
      <border outline="0">
        <bottom style="thin">
          <color rgb="FFA9D08E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 Cyr"/>
        <scheme val="none"/>
      </font>
      <fill>
        <patternFill patternType="solid">
          <fgColor rgb="FF70AD47"/>
          <bgColor rgb="FF70AD4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numFmt numFmtId="0" formatCode="General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double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Book Antiqua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51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general" vertical="top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165" formatCode="0.000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30" formatCode="@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top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general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13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1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top" textRotation="0" wrapText="0" 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scheme val="none"/>
      </font>
      <numFmt numFmtId="0" formatCode="General"/>
      <fill>
        <patternFill patternType="solid">
          <fgColor indexed="64"/>
          <bgColor indexed="47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externalLink" Target="externalLinks/externalLink1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onnections" Target="connections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85725</xdr:rowOff>
        </xdr:from>
        <xdr:to>
          <xdr:col>2</xdr:col>
          <xdr:colOff>447675</xdr:colOff>
          <xdr:row>3</xdr:row>
          <xdr:rowOff>38100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581025</xdr:colOff>
          <xdr:row>1</xdr:row>
          <xdr:rowOff>66675</xdr:rowOff>
        </xdr:from>
        <xdr:to>
          <xdr:col>4</xdr:col>
          <xdr:colOff>352425</xdr:colOff>
          <xdr:row>3</xdr:row>
          <xdr:rowOff>38100</xdr:rowOff>
        </xdr:to>
        <xdr:sp macro="" textlink="">
          <xdr:nvSpPr>
            <xdr:cNvPr id="86018" name="Button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Перенести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85725</xdr:rowOff>
        </xdr:from>
        <xdr:to>
          <xdr:col>6</xdr:col>
          <xdr:colOff>447675</xdr:colOff>
          <xdr:row>3</xdr:row>
          <xdr:rowOff>19050</xdr:rowOff>
        </xdr:to>
        <xdr:sp macro="" textlink="">
          <xdr:nvSpPr>
            <xdr:cNvPr id="86019" name="Button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Взять с ТЗ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</xdr:row>
          <xdr:rowOff>161925</xdr:rowOff>
        </xdr:from>
        <xdr:to>
          <xdr:col>15</xdr:col>
          <xdr:colOff>533400</xdr:colOff>
          <xdr:row>4</xdr:row>
          <xdr:rowOff>66675</xdr:rowOff>
        </xdr:to>
        <xdr:sp macro="" textlink="">
          <xdr:nvSpPr>
            <xdr:cNvPr id="86021" name="ComboBox1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1123950</xdr:colOff>
      <xdr:row>1</xdr:row>
      <xdr:rowOff>28575</xdr:rowOff>
    </xdr:to>
    <xdr:sp macro="" textlink="$F$44">
      <xdr:nvSpPr>
        <xdr:cNvPr id="3" name="Прямоугольник 2"/>
        <xdr:cNvSpPr/>
      </xdr:nvSpPr>
      <xdr:spPr>
        <a:xfrm>
          <a:off x="0" y="0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3C24F541-DE0D-46E3-84D2-69C85E20CC90}" type="TxLink">
            <a:rPr lang="ru-RU" sz="1100"/>
            <a:pPr algn="l"/>
            <a:t>216,91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1400175</xdr:colOff>
      <xdr:row>8</xdr:row>
      <xdr:rowOff>212099</xdr:rowOff>
    </xdr:from>
    <xdr:to>
      <xdr:col>0</xdr:col>
      <xdr:colOff>2533650</xdr:colOff>
      <xdr:row>10</xdr:row>
      <xdr:rowOff>103031</xdr:rowOff>
    </xdr:to>
    <xdr:sp macro="[0]!ВТеккарту" textlink="$Q$43">
      <xdr:nvSpPr>
        <xdr:cNvPr id="7" name="Прямоугольник 6"/>
        <xdr:cNvSpPr/>
      </xdr:nvSpPr>
      <xdr:spPr>
        <a:xfrm>
          <a:off x="1400175" y="2143125"/>
          <a:ext cx="1133475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A66646DE-7C0F-4004-93FC-F2570741DE53}" type="TxLink">
            <a:rPr lang="ru-RU" sz="1100"/>
            <a:pPr algn="l"/>
            <a:t>5726,387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2012323</xdr:colOff>
      <xdr:row>0</xdr:row>
      <xdr:rowOff>26831</xdr:rowOff>
    </xdr:from>
    <xdr:to>
      <xdr:col>0</xdr:col>
      <xdr:colOff>2806520</xdr:colOff>
      <xdr:row>0</xdr:row>
      <xdr:rowOff>245906</xdr:rowOff>
    </xdr:to>
    <xdr:sp macro="ClickShape" textlink="$R$1">
      <xdr:nvSpPr>
        <xdr:cNvPr id="2" name="TextBox 1"/>
        <xdr:cNvSpPr txBox="1"/>
      </xdr:nvSpPr>
      <xdr:spPr>
        <a:xfrm>
          <a:off x="2012323" y="26831"/>
          <a:ext cx="794197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fld id="{10DE6A0E-8BCC-44CD-905E-EC066ACB8F91}" type="TxLink">
            <a:rPr lang="ru-RU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Кошторис</a:t>
          </a:fld>
          <a:endParaRPr lang="ru-RU" sz="1100"/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685800</xdr:colOff>
      <xdr:row>0</xdr:row>
      <xdr:rowOff>28575</xdr:rowOff>
    </xdr:from>
    <xdr:to>
      <xdr:col>10</xdr:col>
      <xdr:colOff>885825</xdr:colOff>
      <xdr:row>1</xdr:row>
      <xdr:rowOff>66675</xdr:rowOff>
    </xdr:to>
    <xdr:sp macro="ClickShape" textlink="$M$1">
      <xdr:nvSpPr>
        <xdr:cNvPr id="2" name="TextBox 1"/>
        <xdr:cNvSpPr txBox="1"/>
      </xdr:nvSpPr>
      <xdr:spPr>
        <a:xfrm>
          <a:off x="6419850" y="28575"/>
          <a:ext cx="1143000" cy="276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fld id="{C0C8DBE8-218E-465A-BC9F-AD29DBA12917}" type="TxLink">
            <a:rPr lang="ru-RU" sz="1400" b="0" i="0" u="none" strike="noStrike">
              <a:solidFill>
                <a:srgbClr val="000000"/>
              </a:solidFill>
              <a:latin typeface="Courier New"/>
              <a:cs typeface="Courier New"/>
            </a:rPr>
            <a:pPr/>
            <a:t>РГК</a:t>
          </a:fld>
          <a:endParaRPr lang="ru-RU" sz="1100"/>
        </a:p>
      </xdr:txBody>
    </xdr:sp>
    <xdr:clientData fPrintsWithSheet="0"/>
  </xdr:twoCellAnchor>
  <xdr:twoCellAnchor>
    <xdr:from>
      <xdr:col>1</xdr:col>
      <xdr:colOff>0</xdr:colOff>
      <xdr:row>0</xdr:row>
      <xdr:rowOff>0</xdr:rowOff>
    </xdr:from>
    <xdr:to>
      <xdr:col>2</xdr:col>
      <xdr:colOff>209550</xdr:colOff>
      <xdr:row>0</xdr:row>
      <xdr:rowOff>219075</xdr:rowOff>
    </xdr:to>
    <xdr:sp macro="ClickShape" textlink="$B$1">
      <xdr:nvSpPr>
        <xdr:cNvPr id="3" name="TextBox 2"/>
        <xdr:cNvSpPr txBox="1"/>
      </xdr:nvSpPr>
      <xdr:spPr>
        <a:xfrm>
          <a:off x="609600" y="0"/>
          <a:ext cx="8001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fld id="{8C2A7C63-00D9-40E7-A307-A48A096A9A4E}" type="TxLink">
            <a:rPr lang="ru-RU" sz="10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/>
            <a:t>Техкарта</a:t>
          </a:fld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3464718</xdr:colOff>
      <xdr:row>3</xdr:row>
      <xdr:rowOff>122464</xdr:rowOff>
    </xdr:from>
    <xdr:to>
      <xdr:col>0</xdr:col>
      <xdr:colOff>4679155</xdr:colOff>
      <xdr:row>4</xdr:row>
      <xdr:rowOff>199004</xdr:rowOff>
    </xdr:to>
    <xdr:sp macro="[0]!ВТеккарту" textlink="gSumDog">
      <xdr:nvSpPr>
        <xdr:cNvPr id="2" name="Прямоугольник 1"/>
        <xdr:cNvSpPr/>
      </xdr:nvSpPr>
      <xdr:spPr>
        <a:xfrm>
          <a:off x="3464718" y="955902"/>
          <a:ext cx="1214437" cy="32657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BEE6D6F6-12E4-4739-BE79-617BF4FC0A4D}" type="TxLink">
            <a:rPr lang="en-US" sz="1000" b="0" i="0" u="none" strike="noStrike">
              <a:solidFill>
                <a:srgbClr val="FFFFFF"/>
              </a:solidFill>
              <a:latin typeface="Arial Cyr"/>
              <a:cs typeface="Arial Cyr"/>
            </a:rPr>
            <a:pPr algn="l"/>
            <a:t>6927,761</a:t>
          </a:fld>
          <a:endParaRPr lang="uk-UA" sz="1100"/>
        </a:p>
      </xdr:txBody>
    </xdr:sp>
    <xdr:clientData fPrintsWithSheet="0"/>
  </xdr:twoCellAnchor>
  <xdr:twoCellAnchor>
    <xdr:from>
      <xdr:col>0</xdr:col>
      <xdr:colOff>3463584</xdr:colOff>
      <xdr:row>1</xdr:row>
      <xdr:rowOff>95251</xdr:rowOff>
    </xdr:from>
    <xdr:to>
      <xdr:col>0</xdr:col>
      <xdr:colOff>4676888</xdr:colOff>
      <xdr:row>3</xdr:row>
      <xdr:rowOff>56698</xdr:rowOff>
    </xdr:to>
    <xdr:sp macro="" textlink="#REF!">
      <xdr:nvSpPr>
        <xdr:cNvPr id="3" name="Прямоугольник 2"/>
        <xdr:cNvSpPr/>
      </xdr:nvSpPr>
      <xdr:spPr>
        <a:xfrm>
          <a:off x="3463584" y="404814"/>
          <a:ext cx="1213304" cy="4853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723C3862-9103-499F-8896-E0EF703633B0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92,043</a:t>
          </a:fld>
          <a:endParaRPr lang="ru-RU" sz="1100"/>
        </a:p>
      </xdr:txBody>
    </xdr:sp>
    <xdr:clientData fPrintsWithSheet="0"/>
  </xdr:twoCellAnchor>
  <xdr:twoCellAnchor>
    <xdr:from>
      <xdr:col>0</xdr:col>
      <xdr:colOff>2047875</xdr:colOff>
      <xdr:row>3</xdr:row>
      <xdr:rowOff>35718</xdr:rowOff>
    </xdr:from>
    <xdr:to>
      <xdr:col>0</xdr:col>
      <xdr:colOff>3262312</xdr:colOff>
      <xdr:row>5</xdr:row>
      <xdr:rowOff>47624</xdr:rowOff>
    </xdr:to>
    <xdr:sp macro="[0]!ВТеккарту" textlink="gSumDog">
      <xdr:nvSpPr>
        <xdr:cNvPr id="4" name="Прямоугольник 3"/>
        <xdr:cNvSpPr/>
      </xdr:nvSpPr>
      <xdr:spPr>
        <a:xfrm>
          <a:off x="2047875" y="869156"/>
          <a:ext cx="1214437" cy="47624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40E6B556-E49B-4C31-87E3-8B93188F248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6927,761</a:t>
          </a:fld>
          <a:endParaRPr lang="uk-UA" sz="1100"/>
        </a:p>
      </xdr:txBody>
    </xdr:sp>
    <xdr:clientData fPrintsWithSheet="0"/>
  </xdr:twoCellAnchor>
  <xdr:twoCellAnchor>
    <xdr:from>
      <xdr:col>0</xdr:col>
      <xdr:colOff>2059782</xdr:colOff>
      <xdr:row>0</xdr:row>
      <xdr:rowOff>285751</xdr:rowOff>
    </xdr:from>
    <xdr:to>
      <xdr:col>0</xdr:col>
      <xdr:colOff>3273086</xdr:colOff>
      <xdr:row>2</xdr:row>
      <xdr:rowOff>209098</xdr:rowOff>
    </xdr:to>
    <xdr:sp macro="" textlink="$F$69">
      <xdr:nvSpPr>
        <xdr:cNvPr id="5" name="Прямоугольник 4"/>
        <xdr:cNvSpPr/>
      </xdr:nvSpPr>
      <xdr:spPr>
        <a:xfrm>
          <a:off x="2059782" y="285751"/>
          <a:ext cx="1213304" cy="49484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83FA139C-4603-4663-8C0B-5589197E4CA4}" type="TxLink">
            <a:rPr lang="en-US" sz="1200" b="1" i="0" u="none" strike="noStrike">
              <a:solidFill>
                <a:srgbClr val="000000"/>
              </a:solidFill>
              <a:latin typeface="Arial Cyr"/>
              <a:cs typeface="Arial Cyr"/>
            </a:rPr>
            <a:pPr algn="l"/>
            <a:t>83,467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95251</xdr:colOff>
      <xdr:row>0</xdr:row>
      <xdr:rowOff>11906</xdr:rowOff>
    </xdr:from>
    <xdr:to>
      <xdr:col>0</xdr:col>
      <xdr:colOff>952501</xdr:colOff>
      <xdr:row>0</xdr:row>
      <xdr:rowOff>297656</xdr:rowOff>
    </xdr:to>
    <xdr:sp macro="[0]!ClickShape" textlink="">
      <xdr:nvSpPr>
        <xdr:cNvPr id="6" name="TextBox 5"/>
        <xdr:cNvSpPr txBox="1"/>
      </xdr:nvSpPr>
      <xdr:spPr>
        <a:xfrm>
          <a:off x="95251" y="11906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Кошторис</a:t>
          </a:r>
        </a:p>
      </xdr:txBody>
    </xdr:sp>
    <xdr:clientData fPrintsWithSheet="0"/>
  </xdr:twoCellAnchor>
  <xdr:twoCellAnchor editAs="absolute">
    <xdr:from>
      <xdr:col>0</xdr:col>
      <xdr:colOff>976313</xdr:colOff>
      <xdr:row>0</xdr:row>
      <xdr:rowOff>23812</xdr:rowOff>
    </xdr:from>
    <xdr:to>
      <xdr:col>0</xdr:col>
      <xdr:colOff>1781175</xdr:colOff>
      <xdr:row>0</xdr:row>
      <xdr:rowOff>297655</xdr:rowOff>
    </xdr:to>
    <xdr:sp macro="ClickShape" textlink="$Y$1">
      <xdr:nvSpPr>
        <xdr:cNvPr id="7" name="TextBox 6"/>
        <xdr:cNvSpPr txBox="1"/>
      </xdr:nvSpPr>
      <xdr:spPr>
        <a:xfrm>
          <a:off x="976313" y="23812"/>
          <a:ext cx="804862" cy="27384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fld id="{15439B4E-B4D5-4ADF-8404-6E32E83B0D3E}" type="TxLink">
            <a:rPr lang="ru-RU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Техкарта</a:t>
          </a:fld>
          <a:endParaRPr lang="ru-RU" sz="1100"/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276225</xdr:colOff>
      <xdr:row>0</xdr:row>
      <xdr:rowOff>9525</xdr:rowOff>
    </xdr:from>
    <xdr:to>
      <xdr:col>10</xdr:col>
      <xdr:colOff>180975</xdr:colOff>
      <xdr:row>1</xdr:row>
      <xdr:rowOff>38100</xdr:rowOff>
    </xdr:to>
    <xdr:sp macro="ClickShape" textlink="$H$1">
      <xdr:nvSpPr>
        <xdr:cNvPr id="2" name="TextBox 1"/>
        <xdr:cNvSpPr txBox="1"/>
      </xdr:nvSpPr>
      <xdr:spPr>
        <a:xfrm>
          <a:off x="6743700" y="9525"/>
          <a:ext cx="8001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fld id="{1C52A2E3-FA82-490F-B4EE-0C9D05CB7B63}" type="TxLink">
            <a:rPr lang="ru-RU" sz="1000" b="1" i="0" u="none" strike="noStrike">
              <a:solidFill>
                <a:srgbClr val="000000"/>
              </a:solidFill>
              <a:latin typeface="Times New Roman"/>
              <a:cs typeface="Times New Roman"/>
            </a:rPr>
            <a:pPr/>
            <a:t>РГК</a:t>
          </a:fld>
          <a:endParaRPr lang="ru-RU" sz="1100"/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3524250</xdr:colOff>
      <xdr:row>0</xdr:row>
      <xdr:rowOff>38100</xdr:rowOff>
    </xdr:from>
    <xdr:to>
      <xdr:col>0</xdr:col>
      <xdr:colOff>4657725</xdr:colOff>
      <xdr:row>1</xdr:row>
      <xdr:rowOff>190500</xdr:rowOff>
    </xdr:to>
    <xdr:sp macro="[0]!ВТеккарту" textlink="dSumDog">
      <xdr:nvSpPr>
        <xdr:cNvPr id="2" name="Прямоугольник 1"/>
        <xdr:cNvSpPr/>
      </xdr:nvSpPr>
      <xdr:spPr>
        <a:xfrm>
          <a:off x="3524250" y="38100"/>
          <a:ext cx="113347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0DA8D430-BFF0-4764-A925-6E4A48DB7A1D}" type="TxLink">
            <a:rPr lang="ru-RU" sz="1100"/>
            <a:pPr algn="l"/>
            <a:t>4827,341</a:t>
          </a:fld>
          <a:endParaRPr lang="ru-RU" sz="1100"/>
        </a:p>
      </xdr:txBody>
    </xdr:sp>
    <xdr:clientData fPrintsWithSheet="0"/>
  </xdr:twoCellAnchor>
  <xdr:twoCellAnchor editAs="absolute">
    <xdr:from>
      <xdr:col>0</xdr:col>
      <xdr:colOff>161925</xdr:colOff>
      <xdr:row>0</xdr:row>
      <xdr:rowOff>85725</xdr:rowOff>
    </xdr:from>
    <xdr:to>
      <xdr:col>0</xdr:col>
      <xdr:colOff>1285875</xdr:colOff>
      <xdr:row>1</xdr:row>
      <xdr:rowOff>85725</xdr:rowOff>
    </xdr:to>
    <xdr:sp macro="" textlink="$F$59">
      <xdr:nvSpPr>
        <xdr:cNvPr id="3" name="Прямоугольник 2"/>
        <xdr:cNvSpPr/>
      </xdr:nvSpPr>
      <xdr:spPr>
        <a:xfrm>
          <a:off x="161925" y="85725"/>
          <a:ext cx="112395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692DA5E7-3542-4D5F-8BD4-0C0598CACA64}" type="TxLink">
            <a:rPr lang="ru-RU" sz="1100"/>
            <a:pPr algn="l"/>
            <a:t>104,942</a:t>
          </a:fld>
          <a:endParaRPr lang="ru-RU" sz="1100"/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66675</xdr:colOff>
      <xdr:row>0</xdr:row>
      <xdr:rowOff>9525</xdr:rowOff>
    </xdr:from>
    <xdr:to>
      <xdr:col>10</xdr:col>
      <xdr:colOff>866775</xdr:colOff>
      <xdr:row>0</xdr:row>
      <xdr:rowOff>228600</xdr:rowOff>
    </xdr:to>
    <xdr:sp macro="[0]!ClickShape" textlink="$J$1">
      <xdr:nvSpPr>
        <xdr:cNvPr id="3" name="TextBox 2"/>
        <xdr:cNvSpPr txBox="1"/>
      </xdr:nvSpPr>
      <xdr:spPr>
        <a:xfrm>
          <a:off x="6743700" y="9525"/>
          <a:ext cx="800100" cy="219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9F41C6D-D0A6-4F4B-AE7A-62E3889A9C6E}" type="TxLink">
            <a:rPr lang="ru-RU" sz="1400" b="0" i="0" u="none" strike="noStrike">
              <a:solidFill>
                <a:srgbClr val="000000"/>
              </a:solidFill>
              <a:latin typeface="Courier New"/>
              <a:cs typeface="Courier New"/>
            </a:rPr>
            <a:pPr/>
            <a:t>РГК_кошторис</a:t>
          </a:fld>
          <a:endParaRPr lang="ru-RU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38100</xdr:rowOff>
    </xdr:from>
    <xdr:to>
      <xdr:col>1</xdr:col>
      <xdr:colOff>485775</xdr:colOff>
      <xdr:row>0</xdr:row>
      <xdr:rowOff>333375</xdr:rowOff>
    </xdr:to>
    <xdr:sp macro="[0]!PrintSelectionTexkart" textlink="">
      <xdr:nvSpPr>
        <xdr:cNvPr id="2" name="Улыбающееся лицо 1"/>
        <xdr:cNvSpPr/>
      </xdr:nvSpPr>
      <xdr:spPr>
        <a:xfrm>
          <a:off x="438150" y="38100"/>
          <a:ext cx="323850" cy="295275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 fPrintsWithSheet="0"/>
  </xdr:twoCellAnchor>
  <xdr:twoCellAnchor>
    <xdr:from>
      <xdr:col>3</xdr:col>
      <xdr:colOff>152400</xdr:colOff>
      <xdr:row>0</xdr:row>
      <xdr:rowOff>66676</xdr:rowOff>
    </xdr:from>
    <xdr:to>
      <xdr:col>4</xdr:col>
      <xdr:colOff>104775</xdr:colOff>
      <xdr:row>0</xdr:row>
      <xdr:rowOff>390526</xdr:rowOff>
    </xdr:to>
    <xdr:sp macro="[0]!ВКомплект" textlink="">
      <xdr:nvSpPr>
        <xdr:cNvPr id="3" name="5-конечная звезда 2"/>
        <xdr:cNvSpPr/>
      </xdr:nvSpPr>
      <xdr:spPr>
        <a:xfrm>
          <a:off x="3190875" y="66676"/>
          <a:ext cx="400050" cy="323850"/>
        </a:xfrm>
        <a:prstGeom prst="star5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561975</xdr:colOff>
      <xdr:row>0</xdr:row>
      <xdr:rowOff>161925</xdr:rowOff>
    </xdr:from>
    <xdr:to>
      <xdr:col>8</xdr:col>
      <xdr:colOff>1047750</xdr:colOff>
      <xdr:row>0</xdr:row>
      <xdr:rowOff>457200</xdr:rowOff>
    </xdr:to>
    <xdr:sp macro="[0]!ClickShape" textlink="">
      <xdr:nvSpPr>
        <xdr:cNvPr id="4" name="TextBox 3"/>
        <xdr:cNvSpPr txBox="1"/>
      </xdr:nvSpPr>
      <xdr:spPr>
        <a:xfrm>
          <a:off x="5695950" y="161925"/>
          <a:ext cx="485775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="1"/>
            <a:t>РГК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Deskstop\&#1058;&#1077;&#1093;&#1082;&#1072;&#1088;&#1090;&#1080;%20&#1073;&#1083;&#1072;&#1085;&#1082;&#1080;\1011%20&#1047;&#1072;&#1088;&#1091;&#1076;.%20&#1047;&#1072;&#1082;&#1088;.%208,%2010,5,%202,9%20&#1088;&#1075;&#1082;%20(3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говір"/>
      <sheetName val="тех.завд."/>
      <sheetName val="кошторис"/>
      <sheetName val="протокол"/>
      <sheetName val="акт"/>
      <sheetName val="акт (2)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Администратор" refreshedDate="43104.555031018521" createdVersion="6" refreshedVersion="6" minRefreshableVersion="3" recordCount="575">
  <cacheSource type="worksheet">
    <worksheetSource name="ІнформаціяДляСтроки7"/>
  </cacheSource>
  <cacheFields count="15">
    <cacheField name="ИнформацияДляСтрочки.1" numFmtId="0">
      <sharedItems containsSemiMixedTypes="0" containsString="0" containsNumber="1" containsInteger="1" minValue="514151" maxValue="556623" count="102">
        <n v="514151"/>
        <n v="514152"/>
        <n v="514153"/>
        <n v="514154"/>
        <n v="514155"/>
        <n v="514156"/>
        <n v="514159"/>
        <n v="514160"/>
        <n v="514161"/>
        <n v="514162"/>
        <n v="514163"/>
        <n v="514164"/>
        <n v="514165"/>
        <n v="514166"/>
        <n v="514167"/>
        <n v="514168"/>
        <n v="514169"/>
        <n v="514170"/>
        <n v="514171"/>
        <n v="514172"/>
        <n v="514173"/>
        <n v="514174"/>
        <n v="514175"/>
        <n v="514157"/>
        <n v="514176"/>
        <n v="514177"/>
        <n v="514178"/>
        <n v="514179"/>
        <n v="514180"/>
        <n v="514181"/>
        <n v="514182"/>
        <n v="514183"/>
        <n v="514184"/>
        <n v="514185"/>
        <n v="514186"/>
        <n v="514187"/>
        <n v="514188"/>
        <n v="514189"/>
        <n v="514190"/>
        <n v="514191"/>
        <n v="514192"/>
        <n v="514193"/>
        <n v="514194"/>
        <n v="514195"/>
        <n v="514196"/>
        <n v="514197"/>
        <n v="514198"/>
        <n v="514199"/>
        <n v="556570"/>
        <n v="556571"/>
        <n v="556572"/>
        <n v="556573"/>
        <n v="556574"/>
        <n v="556575"/>
        <n v="556576"/>
        <n v="556577"/>
        <n v="556578"/>
        <n v="556579"/>
        <n v="556580"/>
        <n v="556581"/>
        <n v="556582"/>
        <n v="556583"/>
        <n v="556584"/>
        <n v="556585"/>
        <n v="556586"/>
        <n v="556587"/>
        <n v="556588"/>
        <n v="556589"/>
        <n v="556590"/>
        <n v="556591"/>
        <n v="556592"/>
        <n v="556593"/>
        <n v="556594"/>
        <n v="556595"/>
        <n v="556596"/>
        <n v="556597"/>
        <n v="556598"/>
        <n v="556599"/>
        <n v="556600"/>
        <n v="556601"/>
        <n v="556602"/>
        <n v="556603"/>
        <n v="556604"/>
        <n v="556605"/>
        <n v="556606"/>
        <n v="556607"/>
        <n v="556608"/>
        <n v="556609"/>
        <n v="556610"/>
        <n v="556611"/>
        <n v="556612"/>
        <n v="556613"/>
        <n v="556614"/>
        <n v="556615"/>
        <n v="556616"/>
        <n v="556623"/>
        <n v="556617"/>
        <n v="556618"/>
        <n v="556619"/>
        <n v="556620"/>
        <n v="556621"/>
        <n v="556622"/>
      </sharedItems>
    </cacheField>
    <cacheField name="ИнформацияДляСтрочки.2" numFmtId="0">
      <sharedItems containsSemiMixedTypes="0" containsString="0" containsNumber="1" containsInteger="1" minValue="1" maxValue="170"/>
    </cacheField>
    <cacheField name="ИнформацияДляСтрочки.3" numFmtId="0">
      <sharedItems containsSemiMixedTypes="0" containsString="0" containsNumber="1" containsInteger="1" minValue="1" maxValue="61"/>
    </cacheField>
    <cacheField name="ИнформацияДляСтрочки.4" numFmtId="0">
      <sharedItems containsSemiMixedTypes="0" containsString="0" containsNumber="1" containsInteger="1" minValue="0" maxValue="5"/>
    </cacheField>
    <cacheField name="ИнформацияДляСтрочки.5" numFmtId="0">
      <sharedItems containsSemiMixedTypes="0" containsString="0" containsNumber="1" minValue="0" maxValue="33"/>
    </cacheField>
    <cacheField name="ИнформацияДляСтрочки.6" numFmtId="0">
      <sharedItems containsString="0" containsBlank="1" containsNumber="1" containsInteger="1" minValue="0" maxValue="733"/>
    </cacheField>
    <cacheField name="ИнформацияДляСтрочки.7" numFmtId="0">
      <sharedItems containsString="0" containsBlank="1" containsNumber="1" containsInteger="1" minValue="1" maxValue="4554"/>
    </cacheField>
    <cacheField name="ИнформацияДляСтрочки.8" numFmtId="0">
      <sharedItems containsString="0" containsBlank="1" containsNumber="1" containsInteger="1" minValue="1" maxValue="151"/>
    </cacheField>
    <cacheField name="ИнформацияДляСтрочки.9" numFmtId="0">
      <sharedItems containsString="0" containsBlank="1" containsNumber="1" containsInteger="1" minValue="1" maxValue="178"/>
    </cacheField>
    <cacheField name="ИнформацияДляСтрочки.10" numFmtId="0">
      <sharedItems/>
    </cacheField>
    <cacheField name="ИнформацияДляСтрочки.11" numFmtId="0">
      <sharedItems/>
    </cacheField>
    <cacheField name="ИнформацияДляСтрочки.12" numFmtId="0">
      <sharedItems/>
    </cacheField>
    <cacheField name="ИнформацияДляСтрочки.13" numFmtId="0">
      <sharedItems/>
    </cacheField>
    <cacheField name="ИнформацияДляСтрочки.14" numFmtId="0">
      <sharedItems/>
    </cacheField>
    <cacheField name="ИнформацияДляСтрочки.15" numFmtId="0">
      <sharedItems count="6">
        <s v="Козачанське"/>
        <s v="Хлипнівське"/>
        <s v="Пехівське"/>
        <s v="Вільхівецьке"/>
        <s v="Катеринопільське"/>
        <s v="Шполянське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5">
  <r>
    <x v="0"/>
    <n v="6"/>
    <n v="6"/>
    <n v="0"/>
    <n v="1.5"/>
    <n v="240"/>
    <n v="300"/>
    <n v="46"/>
    <n v="34"/>
    <s v=""/>
    <s v=""/>
    <s v=""/>
    <s v=""/>
    <s v="тл"/>
    <x v="0"/>
  </r>
  <r>
    <x v="0"/>
    <n v="18"/>
    <n v="7"/>
    <n v="1"/>
    <n v="4.2"/>
    <n v="566"/>
    <n v="960"/>
    <n v="121"/>
    <n v="108"/>
    <s v=""/>
    <s v=""/>
    <s v=""/>
    <s v=""/>
    <s v="тл"/>
    <x v="0"/>
  </r>
  <r>
    <x v="0"/>
    <n v="4"/>
    <n v="10"/>
    <n v="0"/>
    <n v="2.6"/>
    <n v="630"/>
    <n v="568"/>
    <n v="101"/>
    <n v="79"/>
    <s v=""/>
    <s v=""/>
    <s v=""/>
    <s v=""/>
    <s v="тл"/>
    <x v="0"/>
  </r>
  <r>
    <x v="0"/>
    <n v="37"/>
    <n v="3"/>
    <n v="1"/>
    <n v="3.7"/>
    <n v="602"/>
    <n v="595"/>
    <n v="96"/>
    <n v="88"/>
    <s v=""/>
    <s v=""/>
    <s v=""/>
    <s v=""/>
    <s v="тл"/>
    <x v="0"/>
  </r>
  <r>
    <x v="0"/>
    <n v="69"/>
    <n v="4"/>
    <n v="1"/>
    <n v="2.5"/>
    <n v="307"/>
    <n v="495"/>
    <n v="69"/>
    <n v="55"/>
    <s v=""/>
    <s v=""/>
    <s v=""/>
    <s v=""/>
    <s v="тл"/>
    <x v="0"/>
  </r>
  <r>
    <x v="0"/>
    <n v="65"/>
    <n v="4"/>
    <n v="0"/>
    <n v="3.1"/>
    <n v="350"/>
    <n v="483"/>
    <n v="67"/>
    <n v="62"/>
    <s v=""/>
    <s v=""/>
    <s v=""/>
    <s v=""/>
    <s v="тл"/>
    <x v="0"/>
  </r>
  <r>
    <x v="0"/>
    <n v="53"/>
    <n v="4"/>
    <n v="1"/>
    <n v="3.3"/>
    <n v="327"/>
    <n v="688"/>
    <n v="83"/>
    <n v="68"/>
    <s v=""/>
    <s v=""/>
    <s v=""/>
    <s v=""/>
    <s v="тл"/>
    <x v="0"/>
  </r>
  <r>
    <x v="0"/>
    <n v="81"/>
    <n v="4"/>
    <n v="1"/>
    <n v="5"/>
    <n v="727"/>
    <n v="876"/>
    <n v="147"/>
    <n v="106"/>
    <s v=""/>
    <s v=""/>
    <s v=""/>
    <s v=""/>
    <s v="тл"/>
    <x v="0"/>
  </r>
  <r>
    <x v="1"/>
    <n v="8"/>
    <n v="1"/>
    <n v="2"/>
    <n v="2.6"/>
    <n v="491"/>
    <n v="195"/>
    <n v="49"/>
    <n v="55"/>
    <s v=""/>
    <s v=""/>
    <s v=""/>
    <s v=""/>
    <s v="тл"/>
    <x v="1"/>
  </r>
  <r>
    <x v="1"/>
    <n v="130"/>
    <n v="5"/>
    <n v="1"/>
    <n v="3"/>
    <m/>
    <n v="240"/>
    <n v="10"/>
    <n v="39"/>
    <s v=""/>
    <s v=""/>
    <s v=""/>
    <s v=""/>
    <s v="тл"/>
    <x v="1"/>
  </r>
  <r>
    <x v="1"/>
    <n v="103"/>
    <n v="7"/>
    <n v="0"/>
    <n v="0.8"/>
    <n v="135"/>
    <n v="174"/>
    <n v="24"/>
    <n v="22"/>
    <s v=""/>
    <s v=""/>
    <s v=""/>
    <s v=""/>
    <s v="тл"/>
    <x v="1"/>
  </r>
  <r>
    <x v="1"/>
    <n v="132"/>
    <n v="7"/>
    <n v="0"/>
    <n v="0.4"/>
    <m/>
    <n v="60"/>
    <n v="3"/>
    <n v="11"/>
    <s v=""/>
    <s v=""/>
    <s v=""/>
    <s v=""/>
    <s v="тл"/>
    <x v="1"/>
  </r>
  <r>
    <x v="1"/>
    <n v="132"/>
    <n v="5"/>
    <n v="0"/>
    <n v="0.3"/>
    <m/>
    <n v="44"/>
    <n v="2"/>
    <n v="7"/>
    <s v=""/>
    <s v=""/>
    <s v=""/>
    <s v=""/>
    <s v="тл"/>
    <x v="1"/>
  </r>
  <r>
    <x v="1"/>
    <n v="136"/>
    <n v="60"/>
    <n v="1"/>
    <n v="2.8"/>
    <n v="4"/>
    <n v="406"/>
    <n v="30"/>
    <n v="43"/>
    <s v=""/>
    <s v=""/>
    <s v=""/>
    <s v=""/>
    <s v="тл"/>
    <x v="1"/>
  </r>
  <r>
    <x v="1"/>
    <n v="100"/>
    <n v="8"/>
    <n v="0"/>
    <n v="1.6"/>
    <n v="148"/>
    <n v="342"/>
    <n v="31"/>
    <n v="45"/>
    <s v=""/>
    <s v=""/>
    <s v=""/>
    <s v=""/>
    <s v="тл"/>
    <x v="1"/>
  </r>
  <r>
    <x v="1"/>
    <n v="107"/>
    <n v="3"/>
    <n v="0"/>
    <n v="1"/>
    <n v="91"/>
    <n v="135"/>
    <n v="19"/>
    <n v="20"/>
    <s v=""/>
    <s v=""/>
    <s v=""/>
    <s v=""/>
    <s v="тл"/>
    <x v="1"/>
  </r>
  <r>
    <x v="1"/>
    <n v="116"/>
    <n v="1"/>
    <n v="0"/>
    <n v="1.4"/>
    <n v="147"/>
    <n v="295"/>
    <n v="34"/>
    <n v="31"/>
    <s v=""/>
    <s v=""/>
    <s v=""/>
    <s v=""/>
    <s v="тл"/>
    <x v="1"/>
  </r>
  <r>
    <x v="1"/>
    <n v="133"/>
    <n v="19"/>
    <n v="0"/>
    <n v="2.2999999999999998"/>
    <n v="277"/>
    <n v="309"/>
    <n v="41"/>
    <n v="54"/>
    <s v=""/>
    <s v=""/>
    <s v=""/>
    <s v=""/>
    <s v="тл"/>
    <x v="1"/>
  </r>
  <r>
    <x v="1"/>
    <n v="58"/>
    <n v="4"/>
    <n v="1"/>
    <n v="2.9"/>
    <n v="427"/>
    <n v="439"/>
    <n v="68"/>
    <n v="69"/>
    <s v=""/>
    <s v=""/>
    <s v=""/>
    <s v=""/>
    <s v="тл"/>
    <x v="1"/>
  </r>
  <r>
    <x v="1"/>
    <n v="85"/>
    <n v="30"/>
    <n v="0"/>
    <n v="2.1"/>
    <n v="288"/>
    <n v="209"/>
    <n v="19"/>
    <n v="51"/>
    <s v=""/>
    <s v=""/>
    <s v=""/>
    <s v=""/>
    <s v="хв"/>
    <x v="1"/>
  </r>
  <r>
    <x v="1"/>
    <n v="55"/>
    <n v="5"/>
    <n v="3"/>
    <n v="1.4"/>
    <n v="66"/>
    <n v="304"/>
    <n v="31"/>
    <n v="24"/>
    <s v=""/>
    <s v=""/>
    <s v=""/>
    <s v=""/>
    <s v="тл"/>
    <x v="1"/>
  </r>
  <r>
    <x v="1"/>
    <n v="90"/>
    <n v="3"/>
    <n v="0"/>
    <n v="1.5"/>
    <n v="130"/>
    <n v="232"/>
    <n v="19"/>
    <n v="30"/>
    <s v=""/>
    <s v=""/>
    <s v=""/>
    <s v=""/>
    <s v="хв"/>
    <x v="1"/>
  </r>
  <r>
    <x v="1"/>
    <n v="38"/>
    <n v="4"/>
    <n v="1"/>
    <n v="1.2"/>
    <n v="133"/>
    <n v="227"/>
    <n v="28"/>
    <n v="25"/>
    <s v=""/>
    <s v=""/>
    <s v=""/>
    <s v=""/>
    <s v="тл"/>
    <x v="1"/>
  </r>
  <r>
    <x v="2"/>
    <n v="57"/>
    <n v="12"/>
    <n v="0"/>
    <n v="2.9"/>
    <n v="279"/>
    <n v="389"/>
    <n v="57"/>
    <n v="47"/>
    <s v=""/>
    <s v=""/>
    <s v=""/>
    <s v=""/>
    <s v="тл"/>
    <x v="2"/>
  </r>
  <r>
    <x v="2"/>
    <n v="23"/>
    <n v="3"/>
    <n v="2"/>
    <n v="2.1"/>
    <n v="402"/>
    <n v="214"/>
    <n v="61"/>
    <n v="42"/>
    <s v=""/>
    <s v=""/>
    <s v=""/>
    <s v=""/>
    <s v="тл"/>
    <x v="2"/>
  </r>
  <r>
    <x v="2"/>
    <n v="30"/>
    <n v="3"/>
    <n v="1"/>
    <n v="3.6"/>
    <n v="174"/>
    <n v="587"/>
    <n v="77"/>
    <n v="50"/>
    <s v=""/>
    <s v=""/>
    <s v=""/>
    <s v=""/>
    <s v="тл"/>
    <x v="2"/>
  </r>
  <r>
    <x v="2"/>
    <n v="59"/>
    <n v="11"/>
    <n v="0"/>
    <n v="1"/>
    <n v="107"/>
    <n v="146"/>
    <n v="25"/>
    <n v="18"/>
    <s v=""/>
    <s v=""/>
    <s v=""/>
    <s v=""/>
    <s v="тл"/>
    <x v="2"/>
  </r>
  <r>
    <x v="2"/>
    <n v="71"/>
    <n v="2"/>
    <n v="0"/>
    <n v="0.6"/>
    <n v="150"/>
    <n v="145"/>
    <n v="26"/>
    <n v="21"/>
    <s v=""/>
    <s v=""/>
    <s v=""/>
    <s v=""/>
    <s v="тл"/>
    <x v="2"/>
  </r>
  <r>
    <x v="3"/>
    <n v="125"/>
    <n v="14"/>
    <n v="1"/>
    <n v="2.8"/>
    <n v="150"/>
    <n v="470"/>
    <n v="51"/>
    <n v="47"/>
    <s v=""/>
    <s v=""/>
    <s v=""/>
    <s v=""/>
    <s v="тл"/>
    <x v="3"/>
  </r>
  <r>
    <x v="3"/>
    <n v="19"/>
    <n v="6"/>
    <n v="0"/>
    <n v="1.3"/>
    <n v="128"/>
    <n v="406"/>
    <n v="42"/>
    <n v="38"/>
    <s v=""/>
    <s v=""/>
    <s v=""/>
    <s v=""/>
    <s v="тл"/>
    <x v="3"/>
  </r>
  <r>
    <x v="3"/>
    <n v="106"/>
    <n v="4"/>
    <n v="1"/>
    <n v="4.5"/>
    <n v="374"/>
    <n v="744"/>
    <n v="83"/>
    <n v="85"/>
    <s v=""/>
    <s v=""/>
    <s v=""/>
    <s v=""/>
    <s v="тл"/>
    <x v="3"/>
  </r>
  <r>
    <x v="3"/>
    <n v="108"/>
    <n v="7"/>
    <n v="0"/>
    <n v="0.4"/>
    <n v="33"/>
    <n v="69"/>
    <n v="8"/>
    <n v="8"/>
    <s v=""/>
    <s v=""/>
    <s v=""/>
    <s v=""/>
    <s v="тл"/>
    <x v="3"/>
  </r>
  <r>
    <x v="3"/>
    <n v="94"/>
    <n v="2"/>
    <n v="1"/>
    <n v="3"/>
    <n v="169"/>
    <n v="513"/>
    <n v="53"/>
    <n v="48"/>
    <s v=""/>
    <s v=""/>
    <s v=""/>
    <s v=""/>
    <s v="тл"/>
    <x v="3"/>
  </r>
  <r>
    <x v="3"/>
    <n v="79"/>
    <n v="18"/>
    <n v="0"/>
    <n v="0.7"/>
    <n v="55"/>
    <n v="216"/>
    <n v="22"/>
    <n v="20"/>
    <s v=""/>
    <s v=""/>
    <s v=""/>
    <s v=""/>
    <s v="тл"/>
    <x v="3"/>
  </r>
  <r>
    <x v="3"/>
    <n v="83"/>
    <n v="6"/>
    <n v="0"/>
    <n v="0.6"/>
    <n v="36"/>
    <n v="158"/>
    <n v="16"/>
    <n v="13"/>
    <s v=""/>
    <s v=""/>
    <s v=""/>
    <s v=""/>
    <s v="тл"/>
    <x v="3"/>
  </r>
  <r>
    <x v="3"/>
    <n v="44"/>
    <n v="5"/>
    <n v="0"/>
    <n v="1.7"/>
    <n v="100"/>
    <n v="336"/>
    <n v="34"/>
    <n v="32"/>
    <s v=""/>
    <s v=""/>
    <s v=""/>
    <s v=""/>
    <s v="тл"/>
    <x v="3"/>
  </r>
  <r>
    <x v="3"/>
    <n v="69"/>
    <n v="2"/>
    <n v="1"/>
    <n v="2.4"/>
    <n v="403"/>
    <n v="276"/>
    <n v="56"/>
    <n v="53"/>
    <s v=""/>
    <s v=""/>
    <s v=""/>
    <s v=""/>
    <s v="тл"/>
    <x v="3"/>
  </r>
  <r>
    <x v="3"/>
    <n v="61"/>
    <n v="1"/>
    <n v="0"/>
    <n v="0.5"/>
    <n v="41"/>
    <n v="86"/>
    <n v="9"/>
    <n v="11"/>
    <s v=""/>
    <s v=""/>
    <s v=""/>
    <s v=""/>
    <s v="тл"/>
    <x v="3"/>
  </r>
  <r>
    <x v="3"/>
    <n v="48"/>
    <n v="2"/>
    <n v="1"/>
    <n v="3.6"/>
    <n v="116"/>
    <n v="437"/>
    <n v="39"/>
    <n v="51"/>
    <s v=""/>
    <s v=""/>
    <s v=""/>
    <s v=""/>
    <s v="тл"/>
    <x v="3"/>
  </r>
  <r>
    <x v="3"/>
    <n v="55"/>
    <n v="1"/>
    <n v="0"/>
    <n v="0.7"/>
    <n v="45"/>
    <n v="96"/>
    <n v="12"/>
    <n v="11"/>
    <s v=""/>
    <s v=""/>
    <s v=""/>
    <s v=""/>
    <s v="тл"/>
    <x v="3"/>
  </r>
  <r>
    <x v="3"/>
    <n v="20"/>
    <n v="15"/>
    <n v="0"/>
    <n v="3"/>
    <n v="2"/>
    <n v="342"/>
    <n v="20"/>
    <n v="51"/>
    <s v=""/>
    <s v=""/>
    <s v=""/>
    <s v=""/>
    <s v="тл"/>
    <x v="3"/>
  </r>
  <r>
    <x v="3"/>
    <n v="130"/>
    <n v="1"/>
    <n v="1"/>
    <n v="1"/>
    <m/>
    <n v="65"/>
    <n v="2"/>
    <n v="11"/>
    <s v=""/>
    <s v=""/>
    <s v=""/>
    <s v=""/>
    <s v="тл"/>
    <x v="3"/>
  </r>
  <r>
    <x v="4"/>
    <n v="15"/>
    <n v="4"/>
    <n v="1"/>
    <n v="2.4"/>
    <n v="208"/>
    <n v="348"/>
    <n v="28"/>
    <n v="52"/>
    <s v=""/>
    <s v=""/>
    <s v=""/>
    <s v=""/>
    <s v="хв"/>
    <x v="4"/>
  </r>
  <r>
    <x v="4"/>
    <n v="114"/>
    <n v="1"/>
    <n v="1"/>
    <n v="1"/>
    <n v="7"/>
    <n v="233"/>
    <n v="16"/>
    <n v="28"/>
    <s v=""/>
    <s v=""/>
    <s v=""/>
    <s v=""/>
    <s v="тл"/>
    <x v="4"/>
  </r>
  <r>
    <x v="4"/>
    <n v="84"/>
    <n v="2"/>
    <n v="0"/>
    <n v="2.2999999999999998"/>
    <n v="242"/>
    <n v="575"/>
    <n v="68"/>
    <n v="57"/>
    <s v=""/>
    <s v=""/>
    <s v=""/>
    <s v=""/>
    <s v="тл"/>
    <x v="4"/>
  </r>
  <r>
    <x v="4"/>
    <n v="111"/>
    <n v="13"/>
    <n v="0"/>
    <n v="1.2"/>
    <n v="24"/>
    <n v="240"/>
    <n v="19"/>
    <n v="23"/>
    <s v=""/>
    <s v=""/>
    <s v=""/>
    <s v=""/>
    <s v="тл"/>
    <x v="4"/>
  </r>
  <r>
    <x v="4"/>
    <n v="84"/>
    <n v="9"/>
    <n v="0"/>
    <n v="2.2000000000000002"/>
    <n v="302"/>
    <n v="510"/>
    <n v="69"/>
    <n v="61"/>
    <s v=""/>
    <s v=""/>
    <s v=""/>
    <s v=""/>
    <s v="тл"/>
    <x v="4"/>
  </r>
  <r>
    <x v="4"/>
    <n v="83"/>
    <n v="1"/>
    <n v="1"/>
    <n v="2.2999999999999998"/>
    <n v="143"/>
    <n v="623"/>
    <n v="61"/>
    <n v="64"/>
    <s v=""/>
    <s v=""/>
    <s v=""/>
    <s v=""/>
    <s v="тл"/>
    <x v="4"/>
  </r>
  <r>
    <x v="4"/>
    <n v="78"/>
    <n v="15"/>
    <n v="0"/>
    <n v="1.7"/>
    <n v="135"/>
    <n v="658"/>
    <n v="61"/>
    <n v="58"/>
    <s v=""/>
    <s v=""/>
    <s v=""/>
    <s v=""/>
    <s v="тл"/>
    <x v="4"/>
  </r>
  <r>
    <x v="4"/>
    <n v="8"/>
    <n v="1"/>
    <n v="1"/>
    <n v="2.1"/>
    <n v="190"/>
    <n v="653"/>
    <n v="69"/>
    <n v="70"/>
    <s v=""/>
    <s v=""/>
    <s v=""/>
    <s v=""/>
    <s v="тл"/>
    <x v="4"/>
  </r>
  <r>
    <x v="5"/>
    <n v="13"/>
    <n v="3"/>
    <n v="0"/>
    <n v="2.7"/>
    <n v="370"/>
    <n v="352"/>
    <n v="66"/>
    <n v="54"/>
    <s v=""/>
    <s v=""/>
    <s v=""/>
    <s v=""/>
    <s v="тл"/>
    <x v="5"/>
  </r>
  <r>
    <x v="5"/>
    <n v="30"/>
    <n v="2"/>
    <n v="4"/>
    <n v="1.7"/>
    <n v="263"/>
    <n v="307"/>
    <n v="51"/>
    <n v="34"/>
    <s v=""/>
    <s v=""/>
    <s v=""/>
    <s v=""/>
    <s v="тл"/>
    <x v="5"/>
  </r>
  <r>
    <x v="5"/>
    <n v="64"/>
    <n v="1"/>
    <n v="0"/>
    <n v="0.8"/>
    <n v="100"/>
    <n v="191"/>
    <n v="24"/>
    <n v="20"/>
    <s v=""/>
    <s v=""/>
    <s v=""/>
    <s v=""/>
    <s v="тл"/>
    <x v="5"/>
  </r>
  <r>
    <x v="5"/>
    <n v="118"/>
    <n v="3"/>
    <n v="0"/>
    <n v="0.7"/>
    <n v="130"/>
    <n v="139"/>
    <n v="24"/>
    <n v="19"/>
    <s v=""/>
    <s v=""/>
    <s v=""/>
    <s v=""/>
    <s v="тл"/>
    <x v="5"/>
  </r>
  <r>
    <x v="5"/>
    <n v="153"/>
    <n v="9"/>
    <n v="0"/>
    <n v="1.1000000000000001"/>
    <n v="73"/>
    <n v="262"/>
    <n v="25"/>
    <n v="23"/>
    <s v=""/>
    <s v=""/>
    <s v=""/>
    <s v=""/>
    <s v="тл"/>
    <x v="5"/>
  </r>
  <r>
    <x v="5"/>
    <n v="30"/>
    <n v="2"/>
    <n v="3"/>
    <n v="2"/>
    <n v="214"/>
    <n v="287"/>
    <n v="48"/>
    <n v="34"/>
    <s v=""/>
    <s v=""/>
    <s v=""/>
    <s v=""/>
    <s v="тл"/>
    <x v="5"/>
  </r>
  <r>
    <x v="5"/>
    <n v="60"/>
    <n v="6"/>
    <n v="0"/>
    <n v="2.9"/>
    <n v="264"/>
    <n v="630"/>
    <n v="62"/>
    <n v="86"/>
    <s v=""/>
    <s v=""/>
    <s v=""/>
    <s v=""/>
    <s v="тл"/>
    <x v="5"/>
  </r>
  <r>
    <x v="5"/>
    <n v="3"/>
    <n v="5"/>
    <n v="2"/>
    <n v="2.5"/>
    <n v="284"/>
    <n v="476"/>
    <n v="64"/>
    <n v="60"/>
    <s v=""/>
    <s v=""/>
    <s v=""/>
    <s v=""/>
    <s v="тл"/>
    <x v="5"/>
  </r>
  <r>
    <x v="5"/>
    <n v="121"/>
    <n v="1"/>
    <n v="1"/>
    <n v="2.5"/>
    <n v="386"/>
    <n v="702"/>
    <n v="80"/>
    <n v="84"/>
    <s v=""/>
    <s v=""/>
    <s v=""/>
    <s v=""/>
    <s v="тл"/>
    <x v="5"/>
  </r>
  <r>
    <x v="5"/>
    <n v="29"/>
    <n v="7"/>
    <n v="3"/>
    <n v="3"/>
    <n v="472"/>
    <n v="533"/>
    <n v="90"/>
    <n v="66"/>
    <s v=""/>
    <s v=""/>
    <s v=""/>
    <s v=""/>
    <s v="тл"/>
    <x v="5"/>
  </r>
  <r>
    <x v="5"/>
    <n v="99"/>
    <n v="2"/>
    <n v="3"/>
    <n v="3.8"/>
    <n v="516"/>
    <n v="545"/>
    <n v="98"/>
    <n v="67"/>
    <s v=""/>
    <s v=""/>
    <s v=""/>
    <s v=""/>
    <s v="тл"/>
    <x v="5"/>
  </r>
  <r>
    <x v="5"/>
    <n v="59"/>
    <n v="2"/>
    <n v="0"/>
    <n v="2.8"/>
    <n v="295"/>
    <n v="444"/>
    <n v="52"/>
    <n v="66"/>
    <s v=""/>
    <s v=""/>
    <s v=""/>
    <s v=""/>
    <s v="тл"/>
    <x v="5"/>
  </r>
  <r>
    <x v="5"/>
    <n v="104"/>
    <n v="1"/>
    <n v="2"/>
    <n v="4.0999999999999996"/>
    <n v="356"/>
    <n v="1036"/>
    <n v="120"/>
    <n v="96"/>
    <s v=""/>
    <s v=""/>
    <s v=""/>
    <s v=""/>
    <s v="тл"/>
    <x v="5"/>
  </r>
  <r>
    <x v="6"/>
    <n v="73"/>
    <n v="1"/>
    <n v="0"/>
    <n v="11.7"/>
    <n v="10"/>
    <n v="133"/>
    <n v="4"/>
    <n v="18"/>
    <s v=""/>
    <s v=""/>
    <s v=""/>
    <s v=""/>
    <s v="тл"/>
    <x v="2"/>
  </r>
  <r>
    <x v="6"/>
    <n v="74"/>
    <n v="5"/>
    <n v="0"/>
    <n v="6.1"/>
    <n v="27"/>
    <n v="78"/>
    <n v="6"/>
    <n v="10"/>
    <s v=""/>
    <s v=""/>
    <s v=""/>
    <s v=""/>
    <s v="тл"/>
    <x v="2"/>
  </r>
  <r>
    <x v="6"/>
    <n v="81"/>
    <n v="20"/>
    <n v="0"/>
    <n v="3"/>
    <m/>
    <n v="41"/>
    <m/>
    <n v="4"/>
    <s v=""/>
    <s v=""/>
    <s v=""/>
    <s v=""/>
    <s v="тл"/>
    <x v="2"/>
  </r>
  <r>
    <x v="7"/>
    <n v="27"/>
    <n v="1"/>
    <n v="0"/>
    <n v="5.5"/>
    <m/>
    <n v="45"/>
    <m/>
    <n v="7"/>
    <s v=""/>
    <s v=""/>
    <s v=""/>
    <s v=""/>
    <s v="тл"/>
    <x v="2"/>
  </r>
  <r>
    <x v="7"/>
    <n v="53"/>
    <n v="3"/>
    <n v="0"/>
    <n v="4.5"/>
    <m/>
    <n v="49"/>
    <m/>
    <n v="24"/>
    <s v=""/>
    <s v=""/>
    <s v=""/>
    <s v=""/>
    <s v="тл"/>
    <x v="2"/>
  </r>
  <r>
    <x v="7"/>
    <n v="62"/>
    <n v="1"/>
    <n v="0"/>
    <n v="6"/>
    <m/>
    <m/>
    <m/>
    <n v="25"/>
    <s v=""/>
    <s v=""/>
    <s v=""/>
    <s v=""/>
    <s v="тл"/>
    <x v="2"/>
  </r>
  <r>
    <x v="7"/>
    <n v="81"/>
    <n v="19"/>
    <n v="0"/>
    <n v="2.4"/>
    <m/>
    <n v="25"/>
    <m/>
    <n v="3"/>
    <s v=""/>
    <s v=""/>
    <s v=""/>
    <s v=""/>
    <s v="тл"/>
    <x v="2"/>
  </r>
  <r>
    <x v="8"/>
    <n v="69"/>
    <n v="5"/>
    <n v="0"/>
    <n v="5.3"/>
    <m/>
    <m/>
    <m/>
    <n v="178"/>
    <s v=""/>
    <s v=""/>
    <s v=""/>
    <s v=""/>
    <s v="тл"/>
    <x v="0"/>
  </r>
  <r>
    <x v="8"/>
    <n v="38"/>
    <n v="8"/>
    <n v="0"/>
    <n v="3"/>
    <m/>
    <m/>
    <m/>
    <n v="126"/>
    <s v=""/>
    <s v=""/>
    <s v=""/>
    <s v=""/>
    <s v="тл"/>
    <x v="0"/>
  </r>
  <r>
    <x v="8"/>
    <n v="38"/>
    <n v="10"/>
    <n v="0"/>
    <n v="3.5"/>
    <m/>
    <m/>
    <m/>
    <n v="139"/>
    <s v=""/>
    <s v=""/>
    <s v=""/>
    <s v=""/>
    <s v="тл"/>
    <x v="0"/>
  </r>
  <r>
    <x v="8"/>
    <n v="38"/>
    <n v="13"/>
    <n v="0"/>
    <n v="0.4"/>
    <m/>
    <m/>
    <m/>
    <n v="15"/>
    <s v=""/>
    <s v=""/>
    <s v=""/>
    <s v=""/>
    <s v="тл"/>
    <x v="0"/>
  </r>
  <r>
    <x v="8"/>
    <n v="69"/>
    <n v="3"/>
    <n v="0"/>
    <n v="2.6"/>
    <m/>
    <m/>
    <m/>
    <n v="110"/>
    <s v=""/>
    <s v=""/>
    <s v=""/>
    <s v=""/>
    <s v="тл"/>
    <x v="0"/>
  </r>
  <r>
    <x v="8"/>
    <n v="26"/>
    <n v="1"/>
    <n v="0"/>
    <n v="0.9"/>
    <m/>
    <m/>
    <m/>
    <n v="26"/>
    <s v=""/>
    <s v=""/>
    <s v=""/>
    <s v=""/>
    <s v="тл"/>
    <x v="0"/>
  </r>
  <r>
    <x v="8"/>
    <n v="38"/>
    <n v="6"/>
    <n v="0"/>
    <n v="0.2"/>
    <m/>
    <m/>
    <m/>
    <n v="1"/>
    <s v=""/>
    <s v=""/>
    <s v=""/>
    <s v=""/>
    <s v="тл"/>
    <x v="0"/>
  </r>
  <r>
    <x v="9"/>
    <n v="42"/>
    <n v="5"/>
    <n v="0"/>
    <n v="0.7"/>
    <m/>
    <n v="4"/>
    <m/>
    <n v="19"/>
    <s v=""/>
    <s v=""/>
    <s v=""/>
    <s v=""/>
    <s v="тл"/>
    <x v="0"/>
  </r>
  <r>
    <x v="9"/>
    <n v="42"/>
    <n v="6"/>
    <n v="0"/>
    <n v="0.8"/>
    <m/>
    <n v="5"/>
    <m/>
    <n v="20"/>
    <s v=""/>
    <s v=""/>
    <s v=""/>
    <s v=""/>
    <s v="тл"/>
    <x v="0"/>
  </r>
  <r>
    <x v="9"/>
    <n v="24"/>
    <n v="11"/>
    <n v="0"/>
    <n v="5.4"/>
    <m/>
    <n v="23"/>
    <m/>
    <n v="160"/>
    <s v=""/>
    <s v=""/>
    <s v=""/>
    <s v=""/>
    <s v="тл"/>
    <x v="0"/>
  </r>
  <r>
    <x v="10"/>
    <n v="87"/>
    <n v="11"/>
    <n v="2"/>
    <n v="4"/>
    <m/>
    <n v="68"/>
    <n v="1"/>
    <n v="9"/>
    <s v=""/>
    <s v=""/>
    <s v=""/>
    <s v=""/>
    <s v="тл"/>
    <x v="0"/>
  </r>
  <r>
    <x v="10"/>
    <n v="53"/>
    <n v="1"/>
    <n v="1"/>
    <n v="5"/>
    <n v="23"/>
    <n v="118"/>
    <n v="10"/>
    <n v="12"/>
    <s v=""/>
    <s v=""/>
    <s v=""/>
    <s v=""/>
    <s v="тл"/>
    <x v="0"/>
  </r>
  <r>
    <x v="11"/>
    <n v="37"/>
    <n v="7"/>
    <n v="0"/>
    <n v="1.5"/>
    <m/>
    <m/>
    <m/>
    <n v="12"/>
    <s v=""/>
    <s v=""/>
    <s v=""/>
    <s v=""/>
    <s v="тл"/>
    <x v="1"/>
  </r>
  <r>
    <x v="11"/>
    <n v="31"/>
    <n v="8"/>
    <n v="0"/>
    <n v="1.2"/>
    <m/>
    <m/>
    <m/>
    <n v="15"/>
    <s v=""/>
    <s v=""/>
    <s v=""/>
    <s v=""/>
    <s v="тл"/>
    <x v="1"/>
  </r>
  <r>
    <x v="11"/>
    <n v="37"/>
    <n v="9"/>
    <n v="0"/>
    <n v="1.2"/>
    <m/>
    <m/>
    <m/>
    <n v="8"/>
    <s v=""/>
    <s v=""/>
    <s v=""/>
    <s v=""/>
    <s v="тл"/>
    <x v="1"/>
  </r>
  <r>
    <x v="11"/>
    <n v="35"/>
    <n v="1"/>
    <n v="0"/>
    <n v="3.7"/>
    <m/>
    <m/>
    <m/>
    <n v="55"/>
    <s v=""/>
    <s v=""/>
    <s v=""/>
    <s v=""/>
    <s v="тл"/>
    <x v="1"/>
  </r>
  <r>
    <x v="11"/>
    <n v="32"/>
    <n v="4"/>
    <n v="0"/>
    <n v="0.6"/>
    <m/>
    <m/>
    <m/>
    <n v="8"/>
    <s v=""/>
    <s v=""/>
    <s v=""/>
    <s v=""/>
    <s v="тл"/>
    <x v="1"/>
  </r>
  <r>
    <x v="11"/>
    <n v="94"/>
    <n v="2"/>
    <n v="0"/>
    <n v="5"/>
    <m/>
    <m/>
    <m/>
    <n v="67"/>
    <s v=""/>
    <s v=""/>
    <s v=""/>
    <s v=""/>
    <s v="тл"/>
    <x v="1"/>
  </r>
  <r>
    <x v="11"/>
    <n v="15"/>
    <n v="5"/>
    <n v="0"/>
    <n v="2.1"/>
    <m/>
    <m/>
    <m/>
    <n v="20"/>
    <s v=""/>
    <s v=""/>
    <s v=""/>
    <s v=""/>
    <s v="тл"/>
    <x v="1"/>
  </r>
  <r>
    <x v="11"/>
    <n v="50"/>
    <n v="7"/>
    <n v="0"/>
    <n v="0.4"/>
    <m/>
    <m/>
    <m/>
    <n v="4"/>
    <s v=""/>
    <s v=""/>
    <s v=""/>
    <s v=""/>
    <s v="хв"/>
    <x v="1"/>
  </r>
  <r>
    <x v="11"/>
    <n v="16"/>
    <n v="5"/>
    <n v="0"/>
    <n v="1.5"/>
    <m/>
    <m/>
    <m/>
    <n v="9"/>
    <s v=""/>
    <s v=""/>
    <s v=""/>
    <s v=""/>
    <s v="тл"/>
    <x v="1"/>
  </r>
  <r>
    <x v="12"/>
    <n v="13"/>
    <n v="3"/>
    <n v="0"/>
    <n v="6.2"/>
    <m/>
    <n v="74"/>
    <m/>
    <n v="13"/>
    <s v=""/>
    <s v=""/>
    <s v=""/>
    <s v=""/>
    <s v="тл"/>
    <x v="1"/>
  </r>
  <r>
    <x v="12"/>
    <n v="1"/>
    <n v="9"/>
    <n v="0"/>
    <n v="2.1"/>
    <m/>
    <n v="14"/>
    <m/>
    <n v="2"/>
    <s v=""/>
    <s v=""/>
    <s v=""/>
    <s v=""/>
    <s v="тл"/>
    <x v="1"/>
  </r>
  <r>
    <x v="12"/>
    <n v="10"/>
    <n v="5"/>
    <n v="0"/>
    <n v="1.3"/>
    <m/>
    <n v="4"/>
    <m/>
    <n v="1"/>
    <s v=""/>
    <s v=""/>
    <s v=""/>
    <s v=""/>
    <s v="тл"/>
    <x v="1"/>
  </r>
  <r>
    <x v="12"/>
    <n v="69"/>
    <n v="5"/>
    <n v="0"/>
    <n v="0.7"/>
    <m/>
    <n v="10"/>
    <m/>
    <n v="2"/>
    <s v=""/>
    <s v=""/>
    <s v=""/>
    <s v=""/>
    <s v="хв"/>
    <x v="1"/>
  </r>
  <r>
    <x v="12"/>
    <n v="53"/>
    <n v="4"/>
    <n v="0"/>
    <n v="1.2"/>
    <m/>
    <n v="15"/>
    <m/>
    <n v="3"/>
    <s v=""/>
    <s v=""/>
    <s v=""/>
    <s v=""/>
    <s v="хв"/>
    <x v="1"/>
  </r>
  <r>
    <x v="12"/>
    <n v="53"/>
    <n v="6"/>
    <n v="0"/>
    <n v="0.7"/>
    <n v="2"/>
    <n v="14"/>
    <m/>
    <n v="4"/>
    <s v=""/>
    <s v=""/>
    <s v=""/>
    <s v=""/>
    <s v="хв"/>
    <x v="1"/>
  </r>
  <r>
    <x v="12"/>
    <n v="104"/>
    <n v="13"/>
    <n v="0"/>
    <n v="1.7"/>
    <n v="3"/>
    <n v="48"/>
    <n v="3"/>
    <n v="5"/>
    <s v=""/>
    <s v=""/>
    <s v=""/>
    <s v=""/>
    <s v="тл"/>
    <x v="1"/>
  </r>
  <r>
    <x v="12"/>
    <n v="13"/>
    <n v="7"/>
    <n v="0"/>
    <n v="4.9000000000000004"/>
    <n v="1"/>
    <n v="101"/>
    <n v="2"/>
    <n v="83"/>
    <s v=""/>
    <s v=""/>
    <s v=""/>
    <s v=""/>
    <s v="тл"/>
    <x v="1"/>
  </r>
  <r>
    <x v="12"/>
    <n v="12"/>
    <n v="9"/>
    <n v="0"/>
    <n v="1.5"/>
    <m/>
    <n v="3"/>
    <m/>
    <n v="1"/>
    <s v=""/>
    <s v=""/>
    <s v=""/>
    <s v=""/>
    <s v="тл"/>
    <x v="1"/>
  </r>
  <r>
    <x v="13"/>
    <n v="102"/>
    <n v="3"/>
    <n v="0"/>
    <n v="2.1"/>
    <n v="9"/>
    <n v="67"/>
    <n v="4"/>
    <n v="8"/>
    <s v=""/>
    <s v=""/>
    <s v=""/>
    <s v=""/>
    <s v="тл"/>
    <x v="1"/>
  </r>
  <r>
    <x v="13"/>
    <n v="133"/>
    <n v="1"/>
    <n v="0"/>
    <n v="4.2"/>
    <n v="4"/>
    <n v="63"/>
    <n v="2"/>
    <n v="8"/>
    <s v=""/>
    <s v=""/>
    <s v=""/>
    <s v=""/>
    <s v="тл"/>
    <x v="1"/>
  </r>
  <r>
    <x v="13"/>
    <n v="53"/>
    <n v="5"/>
    <n v="1"/>
    <n v="5.6"/>
    <n v="114"/>
    <n v="250"/>
    <n v="4"/>
    <n v="55"/>
    <s v=""/>
    <s v=""/>
    <s v=""/>
    <s v=""/>
    <s v="хв"/>
    <x v="1"/>
  </r>
  <r>
    <x v="13"/>
    <n v="42"/>
    <n v="11"/>
    <n v="0"/>
    <n v="5.6"/>
    <n v="4"/>
    <n v="110"/>
    <n v="5"/>
    <n v="14"/>
    <s v=""/>
    <s v=""/>
    <s v=""/>
    <s v=""/>
    <s v="тл"/>
    <x v="1"/>
  </r>
  <r>
    <x v="13"/>
    <n v="4"/>
    <n v="3"/>
    <n v="1"/>
    <n v="4"/>
    <n v="3"/>
    <n v="37"/>
    <n v="2"/>
    <n v="5"/>
    <s v=""/>
    <s v=""/>
    <s v=""/>
    <s v=""/>
    <s v="тл"/>
    <x v="1"/>
  </r>
  <r>
    <x v="13"/>
    <n v="22"/>
    <n v="8"/>
    <n v="0"/>
    <n v="1.7"/>
    <m/>
    <n v="9"/>
    <m/>
    <n v="2"/>
    <s v=""/>
    <s v=""/>
    <s v=""/>
    <s v=""/>
    <s v="тл"/>
    <x v="1"/>
  </r>
  <r>
    <x v="14"/>
    <n v="77"/>
    <n v="6"/>
    <n v="0"/>
    <n v="2.8"/>
    <m/>
    <m/>
    <m/>
    <n v="54"/>
    <s v=""/>
    <s v=""/>
    <s v=""/>
    <s v=""/>
    <s v="тл"/>
    <x v="4"/>
  </r>
  <r>
    <x v="14"/>
    <n v="72"/>
    <n v="3"/>
    <n v="0"/>
    <n v="3.8"/>
    <m/>
    <m/>
    <m/>
    <n v="66"/>
    <s v=""/>
    <s v=""/>
    <s v=""/>
    <s v=""/>
    <s v="тл"/>
    <x v="4"/>
  </r>
  <r>
    <x v="14"/>
    <n v="69"/>
    <n v="4"/>
    <n v="0"/>
    <n v="3"/>
    <m/>
    <m/>
    <m/>
    <n v="46"/>
    <s v=""/>
    <s v=""/>
    <s v=""/>
    <s v=""/>
    <s v="тл"/>
    <x v="4"/>
  </r>
  <r>
    <x v="14"/>
    <n v="66"/>
    <n v="6"/>
    <n v="0"/>
    <n v="2.9"/>
    <m/>
    <m/>
    <m/>
    <n v="32"/>
    <s v=""/>
    <s v=""/>
    <s v=""/>
    <s v=""/>
    <s v="тл"/>
    <x v="4"/>
  </r>
  <r>
    <x v="14"/>
    <n v="49"/>
    <n v="5"/>
    <n v="0"/>
    <n v="4.0999999999999996"/>
    <m/>
    <m/>
    <m/>
    <n v="66"/>
    <s v=""/>
    <s v=""/>
    <s v=""/>
    <s v=""/>
    <s v="тл"/>
    <x v="4"/>
  </r>
  <r>
    <x v="14"/>
    <n v="2"/>
    <n v="4"/>
    <n v="0"/>
    <n v="3"/>
    <m/>
    <m/>
    <m/>
    <n v="53"/>
    <s v=""/>
    <s v=""/>
    <s v=""/>
    <s v=""/>
    <s v="тл"/>
    <x v="4"/>
  </r>
  <r>
    <x v="14"/>
    <n v="9"/>
    <n v="4"/>
    <n v="0"/>
    <n v="1"/>
    <m/>
    <m/>
    <m/>
    <n v="5"/>
    <s v=""/>
    <s v=""/>
    <s v=""/>
    <s v=""/>
    <s v="тл"/>
    <x v="4"/>
  </r>
  <r>
    <x v="15"/>
    <n v="49"/>
    <n v="4"/>
    <n v="0"/>
    <n v="2"/>
    <m/>
    <n v="50"/>
    <n v="2"/>
    <n v="5"/>
    <s v=""/>
    <s v=""/>
    <s v=""/>
    <s v=""/>
    <s v="тл"/>
    <x v="4"/>
  </r>
  <r>
    <x v="15"/>
    <n v="96"/>
    <n v="11"/>
    <n v="0"/>
    <n v="6.4"/>
    <n v="1"/>
    <n v="254"/>
    <n v="1"/>
    <n v="48"/>
    <s v=""/>
    <s v=""/>
    <s v=""/>
    <s v=""/>
    <s v="хв"/>
    <x v="4"/>
  </r>
  <r>
    <x v="16"/>
    <n v="100"/>
    <n v="1"/>
    <n v="0"/>
    <n v="13.8"/>
    <n v="17"/>
    <n v="971"/>
    <n v="12"/>
    <n v="151"/>
    <s v=""/>
    <s v=""/>
    <s v=""/>
    <s v=""/>
    <s v="хв"/>
    <x v="4"/>
  </r>
  <r>
    <x v="17"/>
    <n v="63"/>
    <n v="1"/>
    <n v="0"/>
    <n v="5.0999999999999996"/>
    <m/>
    <m/>
    <m/>
    <n v="135"/>
    <s v=""/>
    <s v=""/>
    <s v=""/>
    <s v=""/>
    <s v="тл"/>
    <x v="5"/>
  </r>
  <r>
    <x v="17"/>
    <n v="49"/>
    <n v="2"/>
    <n v="0"/>
    <n v="5.9"/>
    <m/>
    <m/>
    <m/>
    <n v="100"/>
    <s v=""/>
    <s v=""/>
    <s v=""/>
    <s v=""/>
    <s v="тл"/>
    <x v="5"/>
  </r>
  <r>
    <x v="17"/>
    <n v="135"/>
    <n v="8"/>
    <n v="0"/>
    <n v="4.7"/>
    <m/>
    <m/>
    <m/>
    <n v="171"/>
    <s v=""/>
    <s v=""/>
    <s v=""/>
    <s v=""/>
    <s v="тл"/>
    <x v="5"/>
  </r>
  <r>
    <x v="17"/>
    <n v="59"/>
    <n v="6"/>
    <n v="0"/>
    <n v="2.4"/>
    <m/>
    <n v="12"/>
    <m/>
    <n v="22"/>
    <s v=""/>
    <s v=""/>
    <s v=""/>
    <s v=""/>
    <s v="тл"/>
    <x v="5"/>
  </r>
  <r>
    <x v="17"/>
    <n v="101"/>
    <n v="6"/>
    <n v="0"/>
    <n v="5.9"/>
    <m/>
    <m/>
    <m/>
    <n v="104"/>
    <s v=""/>
    <s v=""/>
    <s v=""/>
    <s v=""/>
    <s v="тл"/>
    <x v="5"/>
  </r>
  <r>
    <x v="17"/>
    <n v="105"/>
    <n v="4"/>
    <n v="0"/>
    <n v="4"/>
    <m/>
    <m/>
    <m/>
    <n v="86"/>
    <s v=""/>
    <s v=""/>
    <s v=""/>
    <s v=""/>
    <s v="тл"/>
    <x v="5"/>
  </r>
  <r>
    <x v="17"/>
    <n v="119"/>
    <n v="8"/>
    <n v="0"/>
    <n v="3.6"/>
    <m/>
    <m/>
    <m/>
    <n v="64"/>
    <s v=""/>
    <s v=""/>
    <s v=""/>
    <s v=""/>
    <s v="тл"/>
    <x v="5"/>
  </r>
  <r>
    <x v="17"/>
    <n v="52"/>
    <n v="6"/>
    <n v="0"/>
    <n v="1.5"/>
    <m/>
    <m/>
    <m/>
    <n v="27"/>
    <s v=""/>
    <s v=""/>
    <s v=""/>
    <s v=""/>
    <s v="тл"/>
    <x v="5"/>
  </r>
  <r>
    <x v="18"/>
    <n v="82"/>
    <n v="1"/>
    <n v="0"/>
    <n v="9.4"/>
    <n v="3"/>
    <n v="132"/>
    <n v="7"/>
    <n v="18"/>
    <s v=""/>
    <s v=""/>
    <s v=""/>
    <s v=""/>
    <s v="тл"/>
    <x v="5"/>
  </r>
  <r>
    <x v="18"/>
    <n v="32"/>
    <n v="2"/>
    <n v="0"/>
    <n v="1.3"/>
    <m/>
    <n v="22"/>
    <m/>
    <n v="2"/>
    <s v=""/>
    <s v=""/>
    <s v=""/>
    <s v=""/>
    <s v="тл"/>
    <x v="5"/>
  </r>
  <r>
    <x v="18"/>
    <n v="116"/>
    <n v="7"/>
    <n v="0"/>
    <n v="3.1"/>
    <n v="4"/>
    <n v="101"/>
    <n v="4"/>
    <n v="14"/>
    <s v=""/>
    <s v=""/>
    <s v=""/>
    <s v=""/>
    <s v="тл"/>
    <x v="5"/>
  </r>
  <r>
    <x v="18"/>
    <n v="89"/>
    <n v="4"/>
    <n v="0"/>
    <n v="3.4"/>
    <m/>
    <n v="57"/>
    <n v="2"/>
    <n v="7"/>
    <s v=""/>
    <s v=""/>
    <s v=""/>
    <s v=""/>
    <s v="тл"/>
    <x v="5"/>
  </r>
  <r>
    <x v="19"/>
    <n v="118"/>
    <n v="5"/>
    <n v="0"/>
    <n v="7.4"/>
    <n v="46"/>
    <n v="268"/>
    <n v="20"/>
    <n v="27"/>
    <s v=""/>
    <s v=""/>
    <s v=""/>
    <s v=""/>
    <s v="тл"/>
    <x v="5"/>
  </r>
  <r>
    <x v="19"/>
    <n v="61"/>
    <n v="5"/>
    <n v="0"/>
    <n v="5.2"/>
    <n v="55"/>
    <n v="199"/>
    <n v="17"/>
    <n v="22"/>
    <s v=""/>
    <s v=""/>
    <s v=""/>
    <s v=""/>
    <s v="тл"/>
    <x v="5"/>
  </r>
  <r>
    <x v="19"/>
    <n v="123"/>
    <n v="4"/>
    <n v="0"/>
    <n v="5.6"/>
    <n v="28"/>
    <n v="218"/>
    <n v="11"/>
    <n v="27"/>
    <s v=""/>
    <s v=""/>
    <s v=""/>
    <s v=""/>
    <s v="тл"/>
    <x v="5"/>
  </r>
  <r>
    <x v="19"/>
    <n v="84"/>
    <n v="2"/>
    <n v="0"/>
    <n v="2.5"/>
    <n v="20"/>
    <n v="90"/>
    <n v="9"/>
    <n v="9"/>
    <s v=""/>
    <s v=""/>
    <s v=""/>
    <s v=""/>
    <s v="тл"/>
    <x v="5"/>
  </r>
  <r>
    <x v="19"/>
    <n v="67"/>
    <n v="1"/>
    <n v="0"/>
    <n v="8.4"/>
    <n v="81"/>
    <n v="104"/>
    <n v="17"/>
    <n v="12"/>
    <s v=""/>
    <s v=""/>
    <s v=""/>
    <s v=""/>
    <s v="тл"/>
    <x v="5"/>
  </r>
  <r>
    <x v="19"/>
    <n v="6"/>
    <n v="12"/>
    <n v="0"/>
    <n v="0.8"/>
    <n v="9"/>
    <n v="33"/>
    <n v="3"/>
    <n v="4"/>
    <s v=""/>
    <s v=""/>
    <s v=""/>
    <s v=""/>
    <s v="тл"/>
    <x v="5"/>
  </r>
  <r>
    <x v="20"/>
    <n v="70"/>
    <n v="3"/>
    <n v="0"/>
    <n v="1.7"/>
    <m/>
    <m/>
    <m/>
    <n v="22"/>
    <s v=""/>
    <s v=""/>
    <s v=""/>
    <s v=""/>
    <s v="тл"/>
    <x v="3"/>
  </r>
  <r>
    <x v="20"/>
    <n v="108"/>
    <n v="8"/>
    <n v="0"/>
    <n v="1.7"/>
    <m/>
    <m/>
    <m/>
    <n v="18"/>
    <s v=""/>
    <s v=""/>
    <s v=""/>
    <s v=""/>
    <s v="тл"/>
    <x v="3"/>
  </r>
  <r>
    <x v="20"/>
    <n v="58"/>
    <n v="3"/>
    <n v="0"/>
    <n v="4.9000000000000004"/>
    <m/>
    <m/>
    <m/>
    <n v="42"/>
    <s v=""/>
    <s v=""/>
    <s v=""/>
    <s v=""/>
    <s v="тл"/>
    <x v="3"/>
  </r>
  <r>
    <x v="20"/>
    <n v="87"/>
    <n v="10"/>
    <n v="0"/>
    <n v="0.2"/>
    <m/>
    <m/>
    <m/>
    <n v="2"/>
    <s v=""/>
    <s v=""/>
    <s v=""/>
    <s v=""/>
    <s v="тл"/>
    <x v="3"/>
  </r>
  <r>
    <x v="20"/>
    <n v="88"/>
    <n v="8"/>
    <n v="0"/>
    <n v="0.4"/>
    <m/>
    <m/>
    <m/>
    <n v="4"/>
    <s v=""/>
    <s v=""/>
    <s v=""/>
    <s v=""/>
    <s v="тл"/>
    <x v="3"/>
  </r>
  <r>
    <x v="20"/>
    <n v="42"/>
    <n v="3"/>
    <n v="0"/>
    <n v="1.2"/>
    <m/>
    <m/>
    <m/>
    <n v="23"/>
    <s v=""/>
    <s v=""/>
    <s v=""/>
    <s v=""/>
    <s v="тл"/>
    <x v="3"/>
  </r>
  <r>
    <x v="20"/>
    <n v="40"/>
    <n v="2"/>
    <n v="0"/>
    <n v="0.5"/>
    <m/>
    <m/>
    <m/>
    <n v="4"/>
    <s v=""/>
    <s v=""/>
    <s v=""/>
    <s v=""/>
    <s v="тл"/>
    <x v="3"/>
  </r>
  <r>
    <x v="20"/>
    <n v="59"/>
    <n v="7"/>
    <n v="0"/>
    <n v="2.1"/>
    <m/>
    <m/>
    <m/>
    <n v="21"/>
    <s v=""/>
    <s v=""/>
    <s v=""/>
    <s v=""/>
    <s v="тл"/>
    <x v="3"/>
  </r>
  <r>
    <x v="20"/>
    <n v="59"/>
    <n v="1"/>
    <n v="0"/>
    <n v="4.5999999999999996"/>
    <m/>
    <m/>
    <m/>
    <n v="35"/>
    <s v=""/>
    <s v=""/>
    <s v=""/>
    <s v=""/>
    <s v="тл"/>
    <x v="3"/>
  </r>
  <r>
    <x v="21"/>
    <n v="98"/>
    <n v="11"/>
    <n v="0"/>
    <n v="12.3"/>
    <m/>
    <m/>
    <m/>
    <n v="162"/>
    <s v=""/>
    <s v=""/>
    <s v=""/>
    <s v=""/>
    <s v="тл"/>
    <x v="3"/>
  </r>
  <r>
    <x v="21"/>
    <n v="114"/>
    <n v="1"/>
    <n v="0"/>
    <n v="6.7"/>
    <m/>
    <n v="91"/>
    <n v="1"/>
    <n v="15"/>
    <s v=""/>
    <s v=""/>
    <s v=""/>
    <s v=""/>
    <s v="тл"/>
    <x v="3"/>
  </r>
  <r>
    <x v="21"/>
    <n v="34"/>
    <n v="5"/>
    <n v="0"/>
    <n v="8.6999999999999993"/>
    <m/>
    <n v="124"/>
    <n v="2"/>
    <n v="20"/>
    <s v=""/>
    <s v=""/>
    <s v=""/>
    <s v=""/>
    <s v="тл"/>
    <x v="3"/>
  </r>
  <r>
    <x v="22"/>
    <n v="88"/>
    <n v="7"/>
    <n v="0"/>
    <n v="5.0999999999999996"/>
    <n v="8"/>
    <n v="70"/>
    <n v="3"/>
    <n v="10"/>
    <s v=""/>
    <s v=""/>
    <s v=""/>
    <s v=""/>
    <s v="тл"/>
    <x v="3"/>
  </r>
  <r>
    <x v="22"/>
    <n v="60"/>
    <n v="3"/>
    <n v="0"/>
    <n v="3.5"/>
    <n v="23"/>
    <n v="101"/>
    <n v="9"/>
    <n v="11"/>
    <s v=""/>
    <s v=""/>
    <s v=""/>
    <s v=""/>
    <s v="тл"/>
    <x v="3"/>
  </r>
  <r>
    <x v="22"/>
    <n v="51"/>
    <n v="1"/>
    <n v="0"/>
    <n v="3.8"/>
    <n v="15"/>
    <n v="142"/>
    <n v="8"/>
    <n v="17"/>
    <s v=""/>
    <s v=""/>
    <s v=""/>
    <s v=""/>
    <s v="тл"/>
    <x v="3"/>
  </r>
  <r>
    <x v="22"/>
    <n v="109"/>
    <n v="6"/>
    <n v="0"/>
    <n v="0.8"/>
    <n v="5"/>
    <n v="25"/>
    <n v="2"/>
    <n v="3"/>
    <s v=""/>
    <s v=""/>
    <s v=""/>
    <s v=""/>
    <s v="тл"/>
    <x v="3"/>
  </r>
  <r>
    <x v="22"/>
    <n v="78"/>
    <n v="1"/>
    <n v="0"/>
    <n v="7.5"/>
    <n v="11"/>
    <n v="241"/>
    <n v="16"/>
    <n v="24"/>
    <s v=""/>
    <s v=""/>
    <s v=""/>
    <s v=""/>
    <s v="тл"/>
    <x v="3"/>
  </r>
  <r>
    <x v="23"/>
    <n v="22"/>
    <n v="9"/>
    <n v="0"/>
    <n v="1"/>
    <m/>
    <m/>
    <m/>
    <n v="15"/>
    <s v=""/>
    <s v=""/>
    <s v=""/>
    <s v=""/>
    <s v="тл"/>
    <x v="2"/>
  </r>
  <r>
    <x v="23"/>
    <n v="26"/>
    <n v="8"/>
    <n v="0"/>
    <n v="1.1000000000000001"/>
    <m/>
    <n v="4"/>
    <m/>
    <n v="16"/>
    <s v=""/>
    <s v=""/>
    <s v=""/>
    <s v=""/>
    <s v="тл"/>
    <x v="2"/>
  </r>
  <r>
    <x v="23"/>
    <n v="28"/>
    <n v="4"/>
    <n v="0"/>
    <n v="3.6"/>
    <m/>
    <n v="4"/>
    <m/>
    <n v="39"/>
    <s v=""/>
    <s v=""/>
    <s v=""/>
    <s v=""/>
    <s v="тл"/>
    <x v="2"/>
  </r>
  <r>
    <x v="23"/>
    <n v="60"/>
    <n v="6"/>
    <n v="0"/>
    <n v="4"/>
    <m/>
    <m/>
    <m/>
    <n v="40"/>
    <s v=""/>
    <s v=""/>
    <s v=""/>
    <s v=""/>
    <s v="тл"/>
    <x v="2"/>
  </r>
  <r>
    <x v="23"/>
    <n v="74"/>
    <n v="2"/>
    <n v="0"/>
    <n v="2.6"/>
    <m/>
    <m/>
    <m/>
    <n v="44"/>
    <s v=""/>
    <s v=""/>
    <s v=""/>
    <s v=""/>
    <s v="тл"/>
    <x v="2"/>
  </r>
  <r>
    <x v="23"/>
    <n v="78"/>
    <n v="12"/>
    <n v="0"/>
    <n v="3.7"/>
    <m/>
    <m/>
    <m/>
    <n v="48"/>
    <s v=""/>
    <s v=""/>
    <s v=""/>
    <s v=""/>
    <s v="тл"/>
    <x v="2"/>
  </r>
  <r>
    <x v="23"/>
    <n v="78"/>
    <n v="13"/>
    <n v="0"/>
    <n v="4.3"/>
    <m/>
    <m/>
    <m/>
    <n v="53"/>
    <s v=""/>
    <s v=""/>
    <s v=""/>
    <s v=""/>
    <s v="тл"/>
    <x v="2"/>
  </r>
  <r>
    <x v="23"/>
    <n v="79"/>
    <n v="14"/>
    <n v="0"/>
    <n v="0.5"/>
    <m/>
    <m/>
    <m/>
    <n v="11"/>
    <s v=""/>
    <s v=""/>
    <s v=""/>
    <s v=""/>
    <s v="тл"/>
    <x v="2"/>
  </r>
  <r>
    <x v="23"/>
    <n v="80"/>
    <n v="5"/>
    <n v="0"/>
    <n v="1.6"/>
    <m/>
    <m/>
    <m/>
    <n v="12"/>
    <s v=""/>
    <s v=""/>
    <s v=""/>
    <s v=""/>
    <s v="тл"/>
    <x v="2"/>
  </r>
  <r>
    <x v="24"/>
    <n v="84"/>
    <n v="10"/>
    <n v="0"/>
    <n v="6.8"/>
    <n v="1"/>
    <n v="35"/>
    <n v="2"/>
    <n v="4"/>
    <s v=""/>
    <s v=""/>
    <s v=""/>
    <s v=""/>
    <s v="тл"/>
    <x v="3"/>
  </r>
  <r>
    <x v="24"/>
    <n v="129"/>
    <n v="8"/>
    <n v="0"/>
    <n v="3.8"/>
    <m/>
    <n v="71"/>
    <n v="5"/>
    <n v="8"/>
    <s v=""/>
    <s v=""/>
    <s v=""/>
    <s v=""/>
    <s v="тл"/>
    <x v="3"/>
  </r>
  <r>
    <x v="24"/>
    <n v="80"/>
    <n v="9"/>
    <n v="0"/>
    <n v="18.399999999999999"/>
    <n v="45"/>
    <n v="217"/>
    <n v="21"/>
    <n v="22"/>
    <s v=""/>
    <s v=""/>
    <s v=""/>
    <s v=""/>
    <s v="тл"/>
    <x v="3"/>
  </r>
  <r>
    <x v="25"/>
    <n v="132"/>
    <n v="20"/>
    <n v="0"/>
    <n v="0.9"/>
    <n v="4"/>
    <n v="18"/>
    <n v="2"/>
    <n v="1"/>
    <s v=""/>
    <s v=""/>
    <s v=""/>
    <s v=""/>
    <s v="тл"/>
    <x v="1"/>
  </r>
  <r>
    <x v="25"/>
    <n v="112"/>
    <n v="7"/>
    <n v="0"/>
    <n v="9"/>
    <n v="14"/>
    <n v="105"/>
    <n v="7"/>
    <n v="12"/>
    <s v=""/>
    <s v=""/>
    <s v=""/>
    <s v=""/>
    <s v="тл"/>
    <x v="1"/>
  </r>
  <r>
    <x v="25"/>
    <n v="18"/>
    <n v="6"/>
    <n v="0"/>
    <n v="6.1"/>
    <n v="8"/>
    <n v="67"/>
    <n v="5"/>
    <n v="9"/>
    <s v=""/>
    <s v=""/>
    <s v=""/>
    <s v=""/>
    <s v="тл"/>
    <x v="1"/>
  </r>
  <r>
    <x v="25"/>
    <n v="99"/>
    <n v="11"/>
    <n v="0"/>
    <n v="0.7"/>
    <n v="4"/>
    <n v="26"/>
    <n v="3"/>
    <n v="1"/>
    <s v=""/>
    <s v=""/>
    <s v=""/>
    <s v=""/>
    <s v="тл"/>
    <x v="1"/>
  </r>
  <r>
    <x v="25"/>
    <n v="97"/>
    <n v="1"/>
    <n v="0"/>
    <n v="7.3"/>
    <n v="14"/>
    <n v="83"/>
    <n v="8"/>
    <n v="7"/>
    <s v=""/>
    <s v=""/>
    <s v=""/>
    <s v=""/>
    <s v="тл"/>
    <x v="1"/>
  </r>
  <r>
    <x v="25"/>
    <n v="11"/>
    <n v="15"/>
    <n v="0"/>
    <n v="2.2000000000000002"/>
    <n v="3"/>
    <n v="37"/>
    <n v="3"/>
    <n v="4"/>
    <s v=""/>
    <s v=""/>
    <s v=""/>
    <s v=""/>
    <s v="тл"/>
    <x v="1"/>
  </r>
  <r>
    <x v="25"/>
    <n v="125"/>
    <n v="49"/>
    <n v="0"/>
    <n v="7"/>
    <m/>
    <n v="130"/>
    <n v="7"/>
    <n v="20"/>
    <s v=""/>
    <s v=""/>
    <s v=""/>
    <s v=""/>
    <s v="тл"/>
    <x v="1"/>
  </r>
  <r>
    <x v="25"/>
    <n v="55"/>
    <n v="1"/>
    <n v="0"/>
    <n v="2.5"/>
    <n v="13"/>
    <n v="61"/>
    <n v="1"/>
    <n v="12"/>
    <s v=""/>
    <s v=""/>
    <s v=""/>
    <s v=""/>
    <s v="хв"/>
    <x v="1"/>
  </r>
  <r>
    <x v="25"/>
    <n v="133"/>
    <n v="4"/>
    <n v="0"/>
    <n v="4.9000000000000004"/>
    <n v="5"/>
    <n v="80"/>
    <n v="6"/>
    <n v="8"/>
    <s v=""/>
    <s v=""/>
    <s v=""/>
    <s v=""/>
    <s v="тл"/>
    <x v="1"/>
  </r>
  <r>
    <x v="25"/>
    <n v="91"/>
    <n v="1"/>
    <n v="0"/>
    <n v="7.4"/>
    <n v="17"/>
    <n v="100"/>
    <n v="3"/>
    <n v="15"/>
    <s v=""/>
    <s v=""/>
    <s v=""/>
    <s v=""/>
    <s v="хв"/>
    <x v="1"/>
  </r>
  <r>
    <x v="25"/>
    <n v="115"/>
    <n v="7"/>
    <n v="0"/>
    <n v="3"/>
    <n v="2"/>
    <n v="39"/>
    <n v="2"/>
    <n v="5"/>
    <s v=""/>
    <s v=""/>
    <s v=""/>
    <s v=""/>
    <s v="тл"/>
    <x v="1"/>
  </r>
  <r>
    <x v="25"/>
    <n v="92"/>
    <n v="4"/>
    <n v="0"/>
    <n v="1.9"/>
    <n v="9"/>
    <n v="35"/>
    <n v="4"/>
    <n v="3"/>
    <s v=""/>
    <s v=""/>
    <s v=""/>
    <s v=""/>
    <s v="тл"/>
    <x v="1"/>
  </r>
  <r>
    <x v="25"/>
    <n v="65"/>
    <n v="6"/>
    <n v="0"/>
    <n v="2.1"/>
    <n v="5"/>
    <n v="16"/>
    <n v="1"/>
    <n v="3"/>
    <s v=""/>
    <s v=""/>
    <s v=""/>
    <s v=""/>
    <s v="хв"/>
    <x v="1"/>
  </r>
  <r>
    <x v="25"/>
    <n v="37"/>
    <n v="2"/>
    <n v="0"/>
    <n v="1.6"/>
    <m/>
    <n v="8"/>
    <m/>
    <n v="1"/>
    <s v=""/>
    <s v=""/>
    <s v=""/>
    <s v=""/>
    <s v="тл"/>
    <x v="1"/>
  </r>
  <r>
    <x v="25"/>
    <n v="63"/>
    <n v="2"/>
    <n v="0"/>
    <n v="7.7"/>
    <n v="14"/>
    <n v="92"/>
    <n v="9"/>
    <n v="9"/>
    <s v=""/>
    <s v=""/>
    <s v=""/>
    <s v=""/>
    <s v="тл"/>
    <x v="1"/>
  </r>
  <r>
    <x v="25"/>
    <n v="45"/>
    <n v="5"/>
    <n v="0"/>
    <n v="0.9"/>
    <n v="1"/>
    <n v="50"/>
    <n v="4"/>
    <n v="4"/>
    <s v=""/>
    <s v=""/>
    <s v=""/>
    <s v=""/>
    <s v="тл"/>
    <x v="1"/>
  </r>
  <r>
    <x v="25"/>
    <n v="23"/>
    <n v="3"/>
    <n v="0"/>
    <n v="1.2"/>
    <n v="2"/>
    <n v="32"/>
    <n v="2"/>
    <n v="4"/>
    <s v=""/>
    <s v=""/>
    <s v=""/>
    <s v=""/>
    <s v="тл"/>
    <x v="1"/>
  </r>
  <r>
    <x v="25"/>
    <n v="11"/>
    <n v="14"/>
    <n v="0"/>
    <n v="1.1000000000000001"/>
    <n v="1"/>
    <n v="8"/>
    <n v="1"/>
    <n v="1"/>
    <s v=""/>
    <s v=""/>
    <s v=""/>
    <s v=""/>
    <s v="тл"/>
    <x v="1"/>
  </r>
  <r>
    <x v="26"/>
    <n v="41"/>
    <n v="8"/>
    <n v="0"/>
    <n v="4.5999999999999996"/>
    <n v="2"/>
    <n v="41"/>
    <n v="2"/>
    <n v="5"/>
    <s v=""/>
    <s v=""/>
    <s v=""/>
    <s v=""/>
    <s v="тл"/>
    <x v="2"/>
  </r>
  <r>
    <x v="26"/>
    <n v="42"/>
    <n v="1"/>
    <n v="0"/>
    <n v="15.9"/>
    <n v="20"/>
    <n v="122"/>
    <n v="6"/>
    <n v="16"/>
    <s v=""/>
    <s v=""/>
    <s v=""/>
    <s v=""/>
    <s v="тл"/>
    <x v="2"/>
  </r>
  <r>
    <x v="26"/>
    <n v="66"/>
    <n v="1"/>
    <n v="0"/>
    <n v="14.7"/>
    <n v="19"/>
    <n v="167"/>
    <n v="10"/>
    <n v="20"/>
    <s v=""/>
    <s v=""/>
    <s v=""/>
    <s v=""/>
    <s v="тл"/>
    <x v="2"/>
  </r>
  <r>
    <x v="26"/>
    <n v="52"/>
    <n v="8"/>
    <n v="0"/>
    <n v="4.9000000000000004"/>
    <n v="9"/>
    <n v="42"/>
    <n v="3"/>
    <n v="5"/>
    <s v=""/>
    <s v=""/>
    <s v=""/>
    <s v=""/>
    <s v="тл"/>
    <x v="2"/>
  </r>
  <r>
    <x v="27"/>
    <n v="97"/>
    <n v="3"/>
    <n v="0"/>
    <n v="0.1"/>
    <n v="1"/>
    <n v="20"/>
    <m/>
    <n v="4"/>
    <s v=""/>
    <s v=""/>
    <s v=""/>
    <s v=""/>
    <s v="хв"/>
    <x v="5"/>
  </r>
  <r>
    <x v="27"/>
    <n v="157"/>
    <n v="28"/>
    <n v="0"/>
    <n v="3.7"/>
    <n v="1"/>
    <n v="37"/>
    <n v="3"/>
    <n v="3"/>
    <s v=""/>
    <s v=""/>
    <s v=""/>
    <s v=""/>
    <s v="тл"/>
    <x v="5"/>
  </r>
  <r>
    <x v="27"/>
    <n v="131"/>
    <n v="1"/>
    <n v="2"/>
    <n v="11.7"/>
    <n v="2"/>
    <n v="124"/>
    <n v="9"/>
    <n v="10"/>
    <s v=""/>
    <s v=""/>
    <s v=""/>
    <s v=""/>
    <s v="тл"/>
    <x v="5"/>
  </r>
  <r>
    <x v="27"/>
    <n v="98"/>
    <n v="1"/>
    <n v="0"/>
    <n v="2.2000000000000002"/>
    <n v="5"/>
    <n v="84"/>
    <n v="4"/>
    <n v="11"/>
    <s v=""/>
    <s v=""/>
    <s v=""/>
    <s v=""/>
    <s v="хв"/>
    <x v="5"/>
  </r>
  <r>
    <x v="27"/>
    <n v="3"/>
    <n v="5"/>
    <n v="0"/>
    <n v="5.4"/>
    <n v="4"/>
    <n v="49"/>
    <n v="4"/>
    <n v="5"/>
    <s v=""/>
    <s v=""/>
    <s v=""/>
    <s v=""/>
    <s v="тл"/>
    <x v="5"/>
  </r>
  <r>
    <x v="27"/>
    <n v="97"/>
    <n v="4"/>
    <n v="0"/>
    <n v="6.6"/>
    <n v="14"/>
    <n v="75"/>
    <n v="6"/>
    <n v="8"/>
    <s v=""/>
    <s v=""/>
    <s v=""/>
    <s v=""/>
    <s v="тл"/>
    <x v="5"/>
  </r>
  <r>
    <x v="27"/>
    <n v="117"/>
    <n v="1"/>
    <n v="0"/>
    <n v="10"/>
    <n v="8"/>
    <n v="194"/>
    <n v="14"/>
    <n v="18"/>
    <s v=""/>
    <s v=""/>
    <s v=""/>
    <s v=""/>
    <s v="тл"/>
    <x v="5"/>
  </r>
  <r>
    <x v="27"/>
    <n v="69"/>
    <n v="4"/>
    <n v="0"/>
    <n v="5.5"/>
    <n v="2"/>
    <n v="73"/>
    <n v="7"/>
    <n v="4"/>
    <s v=""/>
    <s v=""/>
    <s v=""/>
    <s v=""/>
    <s v="тл"/>
    <x v="5"/>
  </r>
  <r>
    <x v="28"/>
    <n v="15"/>
    <n v="15"/>
    <n v="0"/>
    <n v="6"/>
    <m/>
    <n v="72"/>
    <n v="3"/>
    <n v="10"/>
    <s v=""/>
    <s v=""/>
    <s v=""/>
    <s v=""/>
    <s v="тл"/>
    <x v="0"/>
  </r>
  <r>
    <x v="28"/>
    <n v="29"/>
    <n v="6"/>
    <n v="0"/>
    <n v="5"/>
    <n v="3"/>
    <n v="110"/>
    <n v="8"/>
    <n v="12"/>
    <s v=""/>
    <s v=""/>
    <s v=""/>
    <s v=""/>
    <s v="тл"/>
    <x v="0"/>
  </r>
  <r>
    <x v="28"/>
    <n v="73"/>
    <n v="1"/>
    <n v="1"/>
    <n v="8"/>
    <n v="8"/>
    <n v="120"/>
    <n v="8"/>
    <n v="11"/>
    <s v=""/>
    <s v=""/>
    <s v=""/>
    <s v=""/>
    <s v="тл"/>
    <x v="0"/>
  </r>
  <r>
    <x v="28"/>
    <n v="22"/>
    <n v="5"/>
    <n v="0"/>
    <n v="7"/>
    <n v="11"/>
    <n v="101"/>
    <n v="8"/>
    <n v="8"/>
    <s v=""/>
    <s v=""/>
    <s v=""/>
    <s v=""/>
    <s v="тл"/>
    <x v="0"/>
  </r>
  <r>
    <x v="29"/>
    <n v="84"/>
    <n v="1"/>
    <n v="0"/>
    <n v="12.4"/>
    <n v="1"/>
    <n v="45"/>
    <n v="1"/>
    <n v="7"/>
    <s v=""/>
    <s v=""/>
    <s v=""/>
    <s v=""/>
    <s v="тл"/>
    <x v="3"/>
  </r>
  <r>
    <x v="29"/>
    <n v="129"/>
    <n v="1"/>
    <n v="0"/>
    <n v="2.6"/>
    <m/>
    <n v="59"/>
    <n v="3"/>
    <n v="9"/>
    <s v=""/>
    <s v=""/>
    <s v=""/>
    <s v=""/>
    <s v="тл"/>
    <x v="3"/>
  </r>
  <r>
    <x v="29"/>
    <n v="129"/>
    <n v="2"/>
    <n v="0"/>
    <n v="3.5"/>
    <m/>
    <n v="65"/>
    <n v="4"/>
    <n v="10"/>
    <s v=""/>
    <s v=""/>
    <s v=""/>
    <s v=""/>
    <s v="тл"/>
    <x v="3"/>
  </r>
  <r>
    <x v="30"/>
    <n v="91"/>
    <n v="10"/>
    <n v="1"/>
    <n v="6.5"/>
    <m/>
    <n v="83"/>
    <n v="1"/>
    <n v="12"/>
    <s v=""/>
    <s v=""/>
    <s v=""/>
    <s v=""/>
    <s v="хв"/>
    <x v="0"/>
  </r>
  <r>
    <x v="31"/>
    <n v="51"/>
    <n v="1"/>
    <n v="0"/>
    <n v="0.1"/>
    <m/>
    <m/>
    <m/>
    <n v="3"/>
    <s v=""/>
    <s v=""/>
    <s v=""/>
    <s v=""/>
    <s v="тл"/>
    <x v="2"/>
  </r>
  <r>
    <x v="31"/>
    <n v="35"/>
    <n v="4"/>
    <n v="0"/>
    <n v="0.1"/>
    <m/>
    <m/>
    <m/>
    <n v="3"/>
    <s v=""/>
    <s v=""/>
    <s v=""/>
    <s v=""/>
    <s v="тл"/>
    <x v="2"/>
  </r>
  <r>
    <x v="31"/>
    <n v="36"/>
    <n v="1"/>
    <n v="0"/>
    <n v="0.1"/>
    <m/>
    <m/>
    <m/>
    <n v="3"/>
    <s v=""/>
    <s v=""/>
    <s v=""/>
    <s v=""/>
    <s v="тл"/>
    <x v="2"/>
  </r>
  <r>
    <x v="31"/>
    <n v="63"/>
    <n v="1"/>
    <n v="0"/>
    <n v="0.1"/>
    <m/>
    <m/>
    <m/>
    <n v="3"/>
    <s v=""/>
    <s v=""/>
    <s v=""/>
    <s v=""/>
    <s v="тл"/>
    <x v="2"/>
  </r>
  <r>
    <x v="31"/>
    <n v="54"/>
    <n v="1"/>
    <n v="0"/>
    <n v="0.1"/>
    <m/>
    <m/>
    <m/>
    <n v="3"/>
    <s v=""/>
    <s v=""/>
    <s v=""/>
    <s v=""/>
    <s v="тл"/>
    <x v="2"/>
  </r>
  <r>
    <x v="31"/>
    <n v="62"/>
    <n v="3"/>
    <n v="0"/>
    <n v="0.2"/>
    <m/>
    <m/>
    <m/>
    <n v="6"/>
    <s v=""/>
    <s v=""/>
    <s v=""/>
    <s v=""/>
    <s v="тл"/>
    <x v="2"/>
  </r>
  <r>
    <x v="31"/>
    <n v="53"/>
    <n v="6"/>
    <n v="0"/>
    <n v="0.1"/>
    <m/>
    <m/>
    <m/>
    <n v="3"/>
    <s v=""/>
    <s v=""/>
    <s v=""/>
    <s v=""/>
    <s v="тл"/>
    <x v="2"/>
  </r>
  <r>
    <x v="31"/>
    <n v="53"/>
    <n v="2"/>
    <n v="0"/>
    <n v="0.1"/>
    <m/>
    <m/>
    <m/>
    <n v="3"/>
    <s v=""/>
    <s v=""/>
    <s v=""/>
    <s v=""/>
    <s v="тл"/>
    <x v="2"/>
  </r>
  <r>
    <x v="31"/>
    <n v="39"/>
    <n v="3"/>
    <n v="0"/>
    <n v="0.12"/>
    <m/>
    <m/>
    <m/>
    <n v="4"/>
    <s v=""/>
    <s v=""/>
    <s v=""/>
    <s v=""/>
    <s v="тл"/>
    <x v="2"/>
  </r>
  <r>
    <x v="31"/>
    <n v="40"/>
    <n v="1"/>
    <n v="0"/>
    <n v="0.15"/>
    <m/>
    <m/>
    <m/>
    <n v="4"/>
    <s v=""/>
    <s v=""/>
    <s v=""/>
    <s v=""/>
    <s v="тл"/>
    <x v="2"/>
  </r>
  <r>
    <x v="32"/>
    <n v="34"/>
    <n v="2"/>
    <n v="0"/>
    <n v="0.2"/>
    <m/>
    <n v="1"/>
    <m/>
    <n v="8"/>
    <s v=""/>
    <s v=""/>
    <s v=""/>
    <s v=""/>
    <s v="тл"/>
    <x v="2"/>
  </r>
  <r>
    <x v="32"/>
    <n v="34"/>
    <n v="4"/>
    <n v="0"/>
    <n v="0.1"/>
    <m/>
    <m/>
    <m/>
    <n v="3"/>
    <s v=""/>
    <s v=""/>
    <s v=""/>
    <s v=""/>
    <s v="тл"/>
    <x v="2"/>
  </r>
  <r>
    <x v="32"/>
    <n v="34"/>
    <n v="5"/>
    <n v="0"/>
    <n v="0.1"/>
    <m/>
    <m/>
    <m/>
    <n v="4"/>
    <s v=""/>
    <s v=""/>
    <s v=""/>
    <s v=""/>
    <s v="тл"/>
    <x v="2"/>
  </r>
  <r>
    <x v="32"/>
    <n v="45"/>
    <n v="1"/>
    <n v="0"/>
    <n v="0.2"/>
    <m/>
    <m/>
    <m/>
    <n v="8"/>
    <s v=""/>
    <s v=""/>
    <s v=""/>
    <s v=""/>
    <s v="тл"/>
    <x v="2"/>
  </r>
  <r>
    <x v="32"/>
    <n v="49"/>
    <n v="4"/>
    <n v="0"/>
    <n v="0.1"/>
    <m/>
    <n v="2"/>
    <m/>
    <n v="4"/>
    <s v=""/>
    <s v=""/>
    <s v=""/>
    <s v=""/>
    <s v="тл"/>
    <x v="2"/>
  </r>
  <r>
    <x v="32"/>
    <n v="46"/>
    <n v="5"/>
    <n v="0"/>
    <n v="0.2"/>
    <m/>
    <m/>
    <m/>
    <n v="8"/>
    <s v=""/>
    <s v=""/>
    <s v=""/>
    <s v=""/>
    <s v="тл"/>
    <x v="2"/>
  </r>
  <r>
    <x v="32"/>
    <n v="50"/>
    <n v="1"/>
    <n v="0"/>
    <n v="0.2"/>
    <m/>
    <m/>
    <m/>
    <n v="8"/>
    <s v=""/>
    <s v=""/>
    <s v=""/>
    <s v=""/>
    <s v="тл"/>
    <x v="2"/>
  </r>
  <r>
    <x v="33"/>
    <n v="127"/>
    <n v="32"/>
    <n v="0"/>
    <n v="10.8"/>
    <m/>
    <n v="189"/>
    <n v="10"/>
    <n v="29"/>
    <s v=""/>
    <s v=""/>
    <s v=""/>
    <s v=""/>
    <s v="тл"/>
    <x v="1"/>
  </r>
  <r>
    <x v="33"/>
    <n v="125"/>
    <n v="48"/>
    <n v="0"/>
    <n v="4.7"/>
    <n v="5"/>
    <n v="121"/>
    <n v="3"/>
    <n v="19"/>
    <s v=""/>
    <s v=""/>
    <s v=""/>
    <s v=""/>
    <s v="хв"/>
    <x v="1"/>
  </r>
  <r>
    <x v="33"/>
    <n v="11"/>
    <n v="1"/>
    <n v="0"/>
    <n v="2.2000000000000002"/>
    <n v="4"/>
    <n v="49"/>
    <n v="4"/>
    <n v="4"/>
    <s v=""/>
    <s v=""/>
    <s v=""/>
    <s v=""/>
    <s v="тл"/>
    <x v="1"/>
  </r>
  <r>
    <x v="34"/>
    <n v="87"/>
    <n v="6"/>
    <n v="0"/>
    <n v="1.6"/>
    <m/>
    <n v="39"/>
    <n v="2"/>
    <n v="7"/>
    <s v=""/>
    <s v=""/>
    <s v=""/>
    <s v=""/>
    <s v="тл"/>
    <x v="0"/>
  </r>
  <r>
    <x v="35"/>
    <n v="13"/>
    <n v="1"/>
    <n v="0"/>
    <n v="9.1"/>
    <n v="4"/>
    <n v="76"/>
    <n v="5"/>
    <n v="8"/>
    <s v=""/>
    <s v=""/>
    <s v=""/>
    <s v=""/>
    <s v="тл"/>
    <x v="5"/>
  </r>
  <r>
    <x v="35"/>
    <n v="34"/>
    <n v="7"/>
    <n v="0"/>
    <n v="8"/>
    <n v="8"/>
    <n v="120"/>
    <n v="9"/>
    <n v="11"/>
    <s v=""/>
    <s v=""/>
    <s v=""/>
    <s v=""/>
    <s v="тл"/>
    <x v="5"/>
  </r>
  <r>
    <x v="35"/>
    <n v="35"/>
    <n v="4"/>
    <n v="0"/>
    <n v="5"/>
    <n v="1"/>
    <n v="65"/>
    <n v="4"/>
    <n v="7"/>
    <s v=""/>
    <s v=""/>
    <s v=""/>
    <s v=""/>
    <s v="тл"/>
    <x v="5"/>
  </r>
  <r>
    <x v="35"/>
    <n v="74"/>
    <n v="2"/>
    <n v="2"/>
    <n v="7.5"/>
    <n v="13"/>
    <n v="217"/>
    <n v="16"/>
    <n v="21"/>
    <s v=""/>
    <s v=""/>
    <s v=""/>
    <s v=""/>
    <s v="тл"/>
    <x v="5"/>
  </r>
  <r>
    <x v="35"/>
    <n v="97"/>
    <n v="1"/>
    <n v="0"/>
    <n v="1.1000000000000001"/>
    <n v="4"/>
    <n v="30"/>
    <n v="3"/>
    <n v="2"/>
    <s v=""/>
    <s v=""/>
    <s v=""/>
    <s v=""/>
    <s v="тл"/>
    <x v="5"/>
  </r>
  <r>
    <x v="36"/>
    <n v="110"/>
    <n v="3"/>
    <n v="0"/>
    <n v="1.3"/>
    <n v="4"/>
    <n v="32"/>
    <n v="3"/>
    <n v="3"/>
    <s v=""/>
    <s v=""/>
    <s v=""/>
    <s v=""/>
    <s v="тл"/>
    <x v="3"/>
  </r>
  <r>
    <x v="36"/>
    <n v="98"/>
    <n v="1"/>
    <n v="0"/>
    <n v="1.7"/>
    <m/>
    <n v="21"/>
    <n v="1"/>
    <n v="4"/>
    <s v=""/>
    <s v=""/>
    <s v=""/>
    <s v=""/>
    <s v="тл"/>
    <x v="3"/>
  </r>
  <r>
    <x v="36"/>
    <n v="90"/>
    <n v="6"/>
    <n v="1"/>
    <n v="10.1"/>
    <n v="2"/>
    <n v="91"/>
    <n v="7"/>
    <n v="16"/>
    <s v=""/>
    <s v=""/>
    <s v=""/>
    <s v=""/>
    <s v="тл"/>
    <x v="3"/>
  </r>
  <r>
    <x v="37"/>
    <n v="51"/>
    <n v="7"/>
    <n v="1"/>
    <n v="0.5"/>
    <n v="10"/>
    <n v="29"/>
    <n v="4"/>
    <n v="2"/>
    <s v=""/>
    <s v=""/>
    <s v=""/>
    <s v=""/>
    <s v="тл"/>
    <x v="0"/>
  </r>
  <r>
    <x v="37"/>
    <n v="51"/>
    <n v="1"/>
    <n v="1"/>
    <n v="0.4"/>
    <n v="13"/>
    <n v="34"/>
    <n v="5"/>
    <n v="2"/>
    <s v=""/>
    <s v=""/>
    <s v=""/>
    <s v=""/>
    <s v="тл"/>
    <x v="0"/>
  </r>
  <r>
    <x v="37"/>
    <n v="49"/>
    <n v="5"/>
    <n v="1"/>
    <n v="0.1"/>
    <m/>
    <n v="4"/>
    <m/>
    <m/>
    <s v=""/>
    <s v=""/>
    <s v=""/>
    <s v=""/>
    <s v="тл"/>
    <x v="0"/>
  </r>
  <r>
    <x v="37"/>
    <n v="49"/>
    <n v="4"/>
    <n v="1"/>
    <n v="0.3"/>
    <n v="4"/>
    <n v="10"/>
    <n v="1"/>
    <n v="1"/>
    <s v=""/>
    <s v=""/>
    <s v=""/>
    <s v=""/>
    <s v="тл"/>
    <x v="0"/>
  </r>
  <r>
    <x v="37"/>
    <n v="49"/>
    <n v="1"/>
    <n v="1"/>
    <n v="0.1"/>
    <m/>
    <n v="21"/>
    <n v="2"/>
    <n v="1"/>
    <s v=""/>
    <s v=""/>
    <s v=""/>
    <s v=""/>
    <s v="тл"/>
    <x v="0"/>
  </r>
  <r>
    <x v="37"/>
    <n v="48"/>
    <n v="5"/>
    <n v="1"/>
    <n v="0.2"/>
    <n v="1"/>
    <n v="9"/>
    <n v="1"/>
    <m/>
    <s v=""/>
    <s v=""/>
    <s v=""/>
    <s v=""/>
    <s v="тл"/>
    <x v="0"/>
  </r>
  <r>
    <x v="37"/>
    <n v="48"/>
    <n v="3"/>
    <n v="1"/>
    <n v="0.7"/>
    <n v="11"/>
    <n v="39"/>
    <n v="5"/>
    <n v="4"/>
    <s v=""/>
    <s v=""/>
    <s v=""/>
    <s v=""/>
    <s v="тл"/>
    <x v="0"/>
  </r>
  <r>
    <x v="37"/>
    <n v="45"/>
    <n v="1"/>
    <n v="1"/>
    <n v="0.5"/>
    <m/>
    <n v="13"/>
    <m/>
    <n v="3"/>
    <s v=""/>
    <s v=""/>
    <s v=""/>
    <s v=""/>
    <s v="тл"/>
    <x v="0"/>
  </r>
  <r>
    <x v="37"/>
    <n v="44"/>
    <n v="12"/>
    <n v="1"/>
    <n v="0.1"/>
    <n v="1"/>
    <n v="6"/>
    <n v="1"/>
    <m/>
    <s v=""/>
    <s v=""/>
    <s v=""/>
    <s v=""/>
    <s v="тл"/>
    <x v="0"/>
  </r>
  <r>
    <x v="37"/>
    <n v="44"/>
    <n v="11"/>
    <n v="1"/>
    <n v="7.0000000000000007E-2"/>
    <n v="1"/>
    <n v="6"/>
    <n v="1"/>
    <n v="1"/>
    <s v=""/>
    <s v=""/>
    <s v=""/>
    <s v=""/>
    <s v="тл"/>
    <x v="0"/>
  </r>
  <r>
    <x v="37"/>
    <n v="44"/>
    <n v="7"/>
    <n v="1"/>
    <n v="0.5"/>
    <n v="5"/>
    <n v="12"/>
    <n v="2"/>
    <n v="1"/>
    <s v=""/>
    <s v=""/>
    <s v=""/>
    <s v=""/>
    <s v="тл"/>
    <x v="0"/>
  </r>
  <r>
    <x v="37"/>
    <n v="44"/>
    <n v="3"/>
    <n v="1"/>
    <n v="0.1"/>
    <m/>
    <n v="1"/>
    <m/>
    <m/>
    <s v=""/>
    <s v=""/>
    <s v=""/>
    <s v=""/>
    <s v="тл"/>
    <x v="0"/>
  </r>
  <r>
    <x v="37"/>
    <n v="22"/>
    <n v="8"/>
    <n v="1"/>
    <n v="0.2"/>
    <m/>
    <n v="11"/>
    <m/>
    <n v="2"/>
    <s v=""/>
    <s v=""/>
    <s v=""/>
    <s v=""/>
    <s v="тл"/>
    <x v="0"/>
  </r>
  <r>
    <x v="37"/>
    <n v="22"/>
    <n v="7"/>
    <n v="1"/>
    <n v="0.7"/>
    <n v="13"/>
    <n v="36"/>
    <n v="4"/>
    <n v="5"/>
    <s v=""/>
    <s v=""/>
    <s v=""/>
    <s v=""/>
    <s v="тл"/>
    <x v="0"/>
  </r>
  <r>
    <x v="38"/>
    <n v="120"/>
    <n v="8"/>
    <n v="0"/>
    <n v="3.3"/>
    <n v="1"/>
    <n v="48"/>
    <n v="3"/>
    <n v="4"/>
    <s v=""/>
    <s v=""/>
    <s v=""/>
    <s v=""/>
    <s v="тл"/>
    <x v="1"/>
  </r>
  <r>
    <x v="38"/>
    <n v="37"/>
    <n v="8"/>
    <n v="0"/>
    <n v="2.1"/>
    <n v="1"/>
    <n v="54"/>
    <n v="3"/>
    <n v="7"/>
    <s v=""/>
    <s v=""/>
    <s v=""/>
    <s v=""/>
    <s v="тл"/>
    <x v="1"/>
  </r>
  <r>
    <x v="38"/>
    <n v="19"/>
    <n v="2"/>
    <n v="0"/>
    <n v="6.3"/>
    <n v="7"/>
    <n v="69"/>
    <n v="5"/>
    <n v="7"/>
    <s v=""/>
    <s v=""/>
    <s v=""/>
    <s v=""/>
    <s v="тл"/>
    <x v="1"/>
  </r>
  <r>
    <x v="38"/>
    <n v="115"/>
    <n v="5"/>
    <n v="0"/>
    <n v="6"/>
    <n v="9"/>
    <n v="99"/>
    <n v="7"/>
    <n v="10"/>
    <s v=""/>
    <s v=""/>
    <s v=""/>
    <s v=""/>
    <s v="тл"/>
    <x v="1"/>
  </r>
  <r>
    <x v="39"/>
    <n v="27"/>
    <n v="10"/>
    <n v="0"/>
    <n v="2.6"/>
    <n v="6"/>
    <n v="32"/>
    <n v="3"/>
    <n v="3"/>
    <s v=""/>
    <s v=""/>
    <s v=""/>
    <s v=""/>
    <s v="тл"/>
    <x v="2"/>
  </r>
  <r>
    <x v="39"/>
    <n v="30"/>
    <n v="3"/>
    <n v="0"/>
    <n v="3.9"/>
    <n v="8"/>
    <n v="57"/>
    <n v="5"/>
    <n v="5"/>
    <s v=""/>
    <s v=""/>
    <s v=""/>
    <s v=""/>
    <s v="тл"/>
    <x v="2"/>
  </r>
  <r>
    <x v="39"/>
    <n v="49"/>
    <n v="7"/>
    <n v="0"/>
    <n v="1.2"/>
    <n v="5"/>
    <n v="27"/>
    <n v="2"/>
    <n v="3"/>
    <s v=""/>
    <s v=""/>
    <s v=""/>
    <s v=""/>
    <s v="тл"/>
    <x v="2"/>
  </r>
  <r>
    <x v="39"/>
    <n v="50"/>
    <n v="3"/>
    <n v="0"/>
    <n v="1.9"/>
    <n v="8"/>
    <n v="32"/>
    <n v="3"/>
    <n v="3"/>
    <s v=""/>
    <s v=""/>
    <s v=""/>
    <s v=""/>
    <s v="тл"/>
    <x v="2"/>
  </r>
  <r>
    <x v="39"/>
    <n v="52"/>
    <n v="1"/>
    <n v="0"/>
    <n v="2.5"/>
    <n v="9"/>
    <n v="45"/>
    <n v="4"/>
    <n v="5"/>
    <s v=""/>
    <s v=""/>
    <s v=""/>
    <s v=""/>
    <s v="тл"/>
    <x v="2"/>
  </r>
  <r>
    <x v="40"/>
    <n v="53"/>
    <n v="1"/>
    <n v="0"/>
    <n v="2.4"/>
    <n v="4"/>
    <n v="46"/>
    <n v="3"/>
    <n v="7"/>
    <s v=""/>
    <s v=""/>
    <s v=""/>
    <s v=""/>
    <s v="тл"/>
    <x v="3"/>
  </r>
  <r>
    <x v="40"/>
    <n v="45"/>
    <n v="5"/>
    <n v="0"/>
    <n v="3.1"/>
    <n v="13"/>
    <n v="85"/>
    <n v="7"/>
    <n v="9"/>
    <s v=""/>
    <s v=""/>
    <s v=""/>
    <s v=""/>
    <s v="тл"/>
    <x v="3"/>
  </r>
  <r>
    <x v="41"/>
    <n v="14"/>
    <n v="6"/>
    <n v="0"/>
    <n v="0.9"/>
    <n v="1"/>
    <n v="14"/>
    <n v="1"/>
    <n v="1"/>
    <s v=""/>
    <s v=""/>
    <s v=""/>
    <s v=""/>
    <s v="тл"/>
    <x v="0"/>
  </r>
  <r>
    <x v="41"/>
    <n v="49"/>
    <n v="8"/>
    <n v="0"/>
    <n v="1.7"/>
    <m/>
    <n v="44"/>
    <n v="1"/>
    <n v="6"/>
    <s v=""/>
    <s v=""/>
    <s v=""/>
    <s v=""/>
    <s v="хв"/>
    <x v="0"/>
  </r>
  <r>
    <x v="41"/>
    <n v="14"/>
    <n v="5"/>
    <n v="0"/>
    <n v="5"/>
    <n v="7"/>
    <n v="74"/>
    <n v="7"/>
    <n v="6"/>
    <s v=""/>
    <s v=""/>
    <s v=""/>
    <s v=""/>
    <s v="тл"/>
    <x v="0"/>
  </r>
  <r>
    <x v="41"/>
    <n v="65"/>
    <n v="3"/>
    <n v="0"/>
    <n v="1"/>
    <m/>
    <n v="19"/>
    <m/>
    <n v="3"/>
    <s v=""/>
    <s v=""/>
    <s v=""/>
    <s v=""/>
    <s v="хв"/>
    <x v="0"/>
  </r>
  <r>
    <x v="41"/>
    <n v="50"/>
    <n v="8"/>
    <n v="0"/>
    <n v="0.5"/>
    <m/>
    <n v="20"/>
    <n v="1"/>
    <n v="2"/>
    <s v=""/>
    <s v=""/>
    <s v=""/>
    <s v=""/>
    <s v="хв"/>
    <x v="0"/>
  </r>
  <r>
    <x v="41"/>
    <n v="91"/>
    <n v="10"/>
    <n v="2"/>
    <n v="7.5"/>
    <m/>
    <n v="113"/>
    <n v="1"/>
    <n v="18"/>
    <s v=""/>
    <s v=""/>
    <s v=""/>
    <s v=""/>
    <s v="хв"/>
    <x v="0"/>
  </r>
  <r>
    <x v="41"/>
    <n v="90"/>
    <n v="4"/>
    <n v="0"/>
    <n v="7"/>
    <m/>
    <n v="63"/>
    <m/>
    <n v="11"/>
    <s v=""/>
    <s v=""/>
    <s v=""/>
    <s v=""/>
    <s v="хв"/>
    <x v="0"/>
  </r>
  <r>
    <x v="42"/>
    <n v="3"/>
    <n v="5"/>
    <n v="1"/>
    <n v="0"/>
    <m/>
    <n v="1"/>
    <m/>
    <m/>
    <s v=""/>
    <s v=""/>
    <s v=""/>
    <s v=""/>
    <s v="тл"/>
    <x v="5"/>
  </r>
  <r>
    <x v="42"/>
    <n v="3"/>
    <n v="7"/>
    <n v="0"/>
    <n v="5.5"/>
    <n v="1"/>
    <n v="53"/>
    <n v="3"/>
    <n v="6"/>
    <s v=""/>
    <s v=""/>
    <s v=""/>
    <s v=""/>
    <s v="тл"/>
    <x v="5"/>
  </r>
  <r>
    <x v="42"/>
    <n v="4"/>
    <n v="2"/>
    <n v="0"/>
    <n v="3.3"/>
    <n v="1"/>
    <n v="16"/>
    <n v="1"/>
    <n v="2"/>
    <s v=""/>
    <s v=""/>
    <s v=""/>
    <s v=""/>
    <s v="тл"/>
    <x v="5"/>
  </r>
  <r>
    <x v="42"/>
    <n v="6"/>
    <n v="10"/>
    <n v="0"/>
    <n v="2.2000000000000002"/>
    <n v="3"/>
    <n v="29"/>
    <n v="2"/>
    <n v="4"/>
    <s v=""/>
    <s v=""/>
    <s v=""/>
    <s v=""/>
    <s v="тл"/>
    <x v="5"/>
  </r>
  <r>
    <x v="42"/>
    <n v="106"/>
    <n v="3"/>
    <n v="0"/>
    <n v="12.2"/>
    <n v="9"/>
    <n v="161"/>
    <n v="10"/>
    <n v="19"/>
    <s v=""/>
    <s v=""/>
    <s v=""/>
    <s v=""/>
    <s v="тл"/>
    <x v="5"/>
  </r>
  <r>
    <x v="42"/>
    <n v="131"/>
    <n v="1"/>
    <n v="2"/>
    <n v="0"/>
    <m/>
    <n v="3"/>
    <m/>
    <m/>
    <s v=""/>
    <s v=""/>
    <s v=""/>
    <s v=""/>
    <s v="тл"/>
    <x v="5"/>
  </r>
  <r>
    <x v="42"/>
    <n v="131"/>
    <n v="1"/>
    <n v="1"/>
    <n v="11"/>
    <n v="5"/>
    <n v="138"/>
    <n v="10"/>
    <n v="13"/>
    <s v=""/>
    <s v=""/>
    <s v=""/>
    <s v=""/>
    <s v="тл"/>
    <x v="5"/>
  </r>
  <r>
    <x v="42"/>
    <n v="140"/>
    <n v="4"/>
    <n v="0"/>
    <n v="5.6"/>
    <m/>
    <n v="56"/>
    <n v="2"/>
    <n v="6"/>
    <s v=""/>
    <s v=""/>
    <s v=""/>
    <s v=""/>
    <s v="тл"/>
    <x v="5"/>
  </r>
  <r>
    <x v="42"/>
    <n v="157"/>
    <n v="28"/>
    <n v="1"/>
    <n v="0"/>
    <m/>
    <n v="5"/>
    <m/>
    <m/>
    <s v=""/>
    <s v=""/>
    <s v=""/>
    <s v=""/>
    <s v="тл"/>
    <x v="5"/>
  </r>
  <r>
    <x v="43"/>
    <n v="69"/>
    <n v="15"/>
    <n v="0"/>
    <n v="1.9"/>
    <n v="4"/>
    <n v="25"/>
    <n v="2"/>
    <n v="3"/>
    <s v=""/>
    <s v=""/>
    <s v=""/>
    <s v=""/>
    <s v="тл"/>
    <x v="1"/>
  </r>
  <r>
    <x v="43"/>
    <n v="80"/>
    <n v="2"/>
    <n v="0"/>
    <n v="5.0999999999999996"/>
    <n v="17"/>
    <n v="76"/>
    <n v="2"/>
    <n v="12"/>
    <s v=""/>
    <s v=""/>
    <s v=""/>
    <s v=""/>
    <s v="хв"/>
    <x v="1"/>
  </r>
  <r>
    <x v="43"/>
    <n v="82"/>
    <n v="10"/>
    <n v="0"/>
    <n v="5"/>
    <n v="17"/>
    <n v="143"/>
    <n v="15"/>
    <n v="11"/>
    <s v=""/>
    <s v=""/>
    <s v=""/>
    <s v=""/>
    <s v="тл"/>
    <x v="1"/>
  </r>
  <r>
    <x v="43"/>
    <n v="132"/>
    <n v="8"/>
    <n v="0"/>
    <n v="3.2"/>
    <n v="7"/>
    <n v="58"/>
    <n v="6"/>
    <n v="5"/>
    <s v=""/>
    <s v=""/>
    <s v=""/>
    <s v=""/>
    <s v="тл"/>
    <x v="1"/>
  </r>
  <r>
    <x v="43"/>
    <n v="54"/>
    <n v="17"/>
    <n v="0"/>
    <n v="1.1000000000000001"/>
    <n v="3"/>
    <n v="22"/>
    <n v="1"/>
    <n v="2"/>
    <s v=""/>
    <s v=""/>
    <s v=""/>
    <s v=""/>
    <s v="хв"/>
    <x v="1"/>
  </r>
  <r>
    <x v="44"/>
    <n v="85"/>
    <n v="29"/>
    <n v="0"/>
    <n v="3.1"/>
    <m/>
    <m/>
    <m/>
    <n v="37"/>
    <s v=""/>
    <s v=""/>
    <s v=""/>
    <s v=""/>
    <s v="хв"/>
    <x v="1"/>
  </r>
  <r>
    <x v="44"/>
    <n v="85"/>
    <n v="27"/>
    <n v="0"/>
    <n v="5.5"/>
    <m/>
    <m/>
    <m/>
    <n v="60"/>
    <s v=""/>
    <s v=""/>
    <s v=""/>
    <s v=""/>
    <s v="хв"/>
    <x v="1"/>
  </r>
  <r>
    <x v="44"/>
    <n v="20"/>
    <n v="8"/>
    <n v="0"/>
    <n v="2.7"/>
    <m/>
    <m/>
    <m/>
    <n v="40"/>
    <s v=""/>
    <s v=""/>
    <s v=""/>
    <s v=""/>
    <s v="тл"/>
    <x v="1"/>
  </r>
  <r>
    <x v="44"/>
    <n v="105"/>
    <n v="9"/>
    <n v="0"/>
    <n v="2"/>
    <m/>
    <m/>
    <m/>
    <n v="16"/>
    <s v=""/>
    <s v=""/>
    <s v=""/>
    <s v=""/>
    <s v="тл"/>
    <x v="1"/>
  </r>
  <r>
    <x v="44"/>
    <n v="86"/>
    <n v="7"/>
    <n v="0"/>
    <n v="3"/>
    <m/>
    <m/>
    <m/>
    <n v="15"/>
    <s v=""/>
    <s v=""/>
    <s v=""/>
    <s v=""/>
    <s v="тл"/>
    <x v="1"/>
  </r>
  <r>
    <x v="45"/>
    <n v="32"/>
    <n v="1"/>
    <n v="0"/>
    <n v="10"/>
    <m/>
    <m/>
    <m/>
    <n v="105"/>
    <s v=""/>
    <s v=""/>
    <s v=""/>
    <s v=""/>
    <s v="хв"/>
    <x v="4"/>
  </r>
  <r>
    <x v="45"/>
    <n v="32"/>
    <n v="6"/>
    <n v="0"/>
    <n v="5.6"/>
    <m/>
    <m/>
    <m/>
    <n v="57"/>
    <s v=""/>
    <s v=""/>
    <s v=""/>
    <s v=""/>
    <s v="хв"/>
    <x v="4"/>
  </r>
  <r>
    <x v="45"/>
    <n v="41"/>
    <n v="3"/>
    <n v="0"/>
    <n v="5.8"/>
    <m/>
    <m/>
    <m/>
    <n v="80"/>
    <s v=""/>
    <s v=""/>
    <s v=""/>
    <s v=""/>
    <s v="хв"/>
    <x v="4"/>
  </r>
  <r>
    <x v="45"/>
    <n v="77"/>
    <n v="2"/>
    <n v="0"/>
    <n v="2"/>
    <m/>
    <m/>
    <m/>
    <n v="25"/>
    <s v=""/>
    <s v=""/>
    <s v=""/>
    <s v=""/>
    <s v="тл"/>
    <x v="4"/>
  </r>
  <r>
    <x v="45"/>
    <n v="32"/>
    <n v="5"/>
    <n v="0"/>
    <n v="4.9000000000000004"/>
    <m/>
    <m/>
    <m/>
    <n v="36"/>
    <s v=""/>
    <s v=""/>
    <s v=""/>
    <s v=""/>
    <s v="хв"/>
    <x v="4"/>
  </r>
  <r>
    <x v="46"/>
    <n v="41"/>
    <n v="7"/>
    <n v="0"/>
    <n v="0.3"/>
    <m/>
    <m/>
    <m/>
    <n v="7"/>
    <s v=""/>
    <s v=""/>
    <s v=""/>
    <s v=""/>
    <s v="тл"/>
    <x v="0"/>
  </r>
  <r>
    <x v="46"/>
    <n v="41"/>
    <n v="8"/>
    <n v="0"/>
    <n v="0.4"/>
    <m/>
    <m/>
    <m/>
    <n v="10"/>
    <s v=""/>
    <s v=""/>
    <s v=""/>
    <s v=""/>
    <s v="тл"/>
    <x v="0"/>
  </r>
  <r>
    <x v="46"/>
    <n v="29"/>
    <n v="8"/>
    <n v="0"/>
    <n v="0.4"/>
    <m/>
    <m/>
    <m/>
    <n v="2"/>
    <s v=""/>
    <s v=""/>
    <s v=""/>
    <s v=""/>
    <s v="тл"/>
    <x v="0"/>
  </r>
  <r>
    <x v="46"/>
    <n v="37"/>
    <n v="11"/>
    <n v="0"/>
    <n v="0.5"/>
    <m/>
    <m/>
    <m/>
    <n v="9"/>
    <s v=""/>
    <s v=""/>
    <s v=""/>
    <s v=""/>
    <s v="тл"/>
    <x v="0"/>
  </r>
  <r>
    <x v="46"/>
    <n v="36"/>
    <n v="6"/>
    <n v="0"/>
    <n v="0.9"/>
    <m/>
    <m/>
    <m/>
    <n v="15"/>
    <s v=""/>
    <s v=""/>
    <s v=""/>
    <s v=""/>
    <s v="тл"/>
    <x v="0"/>
  </r>
  <r>
    <x v="46"/>
    <n v="4"/>
    <n v="5"/>
    <n v="0"/>
    <n v="1.5"/>
    <m/>
    <m/>
    <m/>
    <n v="6"/>
    <s v=""/>
    <s v=""/>
    <s v=""/>
    <s v=""/>
    <s v="тл"/>
    <x v="0"/>
  </r>
  <r>
    <x v="46"/>
    <n v="3"/>
    <n v="2"/>
    <n v="0"/>
    <n v="2.9"/>
    <m/>
    <m/>
    <m/>
    <n v="18"/>
    <s v=""/>
    <s v=""/>
    <s v=""/>
    <s v=""/>
    <s v="тл"/>
    <x v="0"/>
  </r>
  <r>
    <x v="46"/>
    <n v="109"/>
    <n v="9"/>
    <n v="0"/>
    <n v="1.8"/>
    <m/>
    <m/>
    <m/>
    <n v="26"/>
    <s v=""/>
    <s v=""/>
    <s v=""/>
    <s v=""/>
    <s v="тл"/>
    <x v="0"/>
  </r>
  <r>
    <x v="47"/>
    <n v="100"/>
    <n v="11"/>
    <n v="0"/>
    <n v="2.2999999999999998"/>
    <m/>
    <m/>
    <m/>
    <n v="9"/>
    <s v=""/>
    <s v=""/>
    <s v=""/>
    <s v=""/>
    <s v="тл"/>
    <x v="3"/>
  </r>
  <r>
    <x v="47"/>
    <n v="1"/>
    <n v="7"/>
    <n v="0"/>
    <n v="2.7"/>
    <m/>
    <m/>
    <m/>
    <n v="21"/>
    <s v=""/>
    <s v=""/>
    <s v=""/>
    <s v=""/>
    <s v="тл"/>
    <x v="3"/>
  </r>
  <r>
    <x v="47"/>
    <n v="106"/>
    <n v="2"/>
    <n v="0"/>
    <n v="5.6"/>
    <m/>
    <m/>
    <m/>
    <n v="62"/>
    <s v=""/>
    <s v=""/>
    <s v=""/>
    <s v=""/>
    <s v="тл"/>
    <x v="3"/>
  </r>
  <r>
    <x v="48"/>
    <n v="24"/>
    <n v="2"/>
    <n v="0"/>
    <n v="3.4"/>
    <m/>
    <m/>
    <m/>
    <n v="31"/>
    <s v=""/>
    <s v=""/>
    <s v=""/>
    <s v=""/>
    <s v="тл"/>
    <x v="2"/>
  </r>
  <r>
    <x v="48"/>
    <n v="29"/>
    <n v="1"/>
    <n v="0"/>
    <n v="1.3"/>
    <m/>
    <m/>
    <m/>
    <n v="13"/>
    <s v=""/>
    <s v=""/>
    <s v=""/>
    <s v=""/>
    <s v="тл"/>
    <x v="2"/>
  </r>
  <r>
    <x v="48"/>
    <n v="33"/>
    <n v="3"/>
    <n v="0"/>
    <n v="4.4000000000000004"/>
    <m/>
    <m/>
    <m/>
    <n v="36"/>
    <s v=""/>
    <s v=""/>
    <s v=""/>
    <s v=""/>
    <s v="тл"/>
    <x v="2"/>
  </r>
  <r>
    <x v="48"/>
    <n v="73"/>
    <n v="6"/>
    <n v="0"/>
    <n v="4"/>
    <m/>
    <m/>
    <m/>
    <n v="40"/>
    <s v=""/>
    <s v=""/>
    <s v=""/>
    <s v=""/>
    <s v="тл"/>
    <x v="2"/>
  </r>
  <r>
    <x v="48"/>
    <n v="61"/>
    <n v="12"/>
    <n v="0"/>
    <n v="2.8"/>
    <m/>
    <m/>
    <m/>
    <n v="12"/>
    <s v=""/>
    <s v=""/>
    <s v=""/>
    <s v=""/>
    <s v="тл"/>
    <x v="2"/>
  </r>
  <r>
    <x v="49"/>
    <n v="142"/>
    <n v="2"/>
    <n v="0"/>
    <n v="1.5"/>
    <m/>
    <m/>
    <m/>
    <n v="15"/>
    <s v=""/>
    <s v=""/>
    <s v=""/>
    <s v=""/>
    <s v="тл"/>
    <x v="5"/>
  </r>
  <r>
    <x v="49"/>
    <n v="142"/>
    <n v="12"/>
    <n v="0"/>
    <n v="6.3"/>
    <m/>
    <m/>
    <m/>
    <n v="76"/>
    <s v=""/>
    <s v=""/>
    <s v=""/>
    <s v=""/>
    <s v="тл"/>
    <x v="5"/>
  </r>
  <r>
    <x v="49"/>
    <n v="142"/>
    <n v="8"/>
    <n v="0"/>
    <n v="2"/>
    <m/>
    <m/>
    <m/>
    <n v="14"/>
    <s v=""/>
    <s v=""/>
    <s v=""/>
    <s v=""/>
    <s v="тл"/>
    <x v="5"/>
  </r>
  <r>
    <x v="49"/>
    <n v="24"/>
    <n v="8"/>
    <n v="0"/>
    <n v="1.5"/>
    <m/>
    <m/>
    <m/>
    <n v="11"/>
    <s v=""/>
    <s v=""/>
    <s v=""/>
    <s v=""/>
    <s v="тл"/>
    <x v="5"/>
  </r>
  <r>
    <x v="49"/>
    <n v="75"/>
    <n v="1"/>
    <n v="0"/>
    <n v="2.7"/>
    <m/>
    <m/>
    <m/>
    <n v="22"/>
    <s v=""/>
    <s v=""/>
    <s v=""/>
    <s v=""/>
    <s v="тл"/>
    <x v="5"/>
  </r>
  <r>
    <x v="49"/>
    <n v="90"/>
    <n v="5"/>
    <n v="0"/>
    <n v="1.2"/>
    <m/>
    <m/>
    <m/>
    <n v="14"/>
    <s v=""/>
    <s v=""/>
    <s v=""/>
    <s v=""/>
    <s v="тл"/>
    <x v="5"/>
  </r>
  <r>
    <x v="49"/>
    <n v="102"/>
    <n v="3"/>
    <n v="0"/>
    <n v="4.9000000000000004"/>
    <m/>
    <m/>
    <m/>
    <n v="26"/>
    <s v=""/>
    <s v=""/>
    <s v=""/>
    <s v=""/>
    <s v="тл"/>
    <x v="5"/>
  </r>
  <r>
    <x v="49"/>
    <n v="170"/>
    <n v="5"/>
    <n v="0"/>
    <n v="1.7"/>
    <m/>
    <m/>
    <m/>
    <n v="6"/>
    <s v=""/>
    <s v=""/>
    <s v=""/>
    <s v=""/>
    <s v="тл"/>
    <x v="5"/>
  </r>
  <r>
    <x v="49"/>
    <n v="170"/>
    <n v="13"/>
    <n v="0"/>
    <n v="2.4"/>
    <m/>
    <m/>
    <m/>
    <n v="6"/>
    <s v=""/>
    <s v=""/>
    <s v=""/>
    <s v=""/>
    <s v="тл"/>
    <x v="5"/>
  </r>
  <r>
    <x v="50"/>
    <n v="144"/>
    <n v="1"/>
    <n v="0"/>
    <n v="6.8"/>
    <n v="40"/>
    <n v="303"/>
    <n v="21"/>
    <n v="31"/>
    <s v=""/>
    <s v=""/>
    <s v=""/>
    <s v=""/>
    <s v="тл"/>
    <x v="5"/>
  </r>
  <r>
    <x v="51"/>
    <n v="34"/>
    <n v="3"/>
    <n v="0"/>
    <n v="5"/>
    <n v="23"/>
    <n v="80"/>
    <n v="7"/>
    <n v="10"/>
    <s v=""/>
    <s v=""/>
    <s v=""/>
    <s v=""/>
    <s v="тл"/>
    <x v="2"/>
  </r>
  <r>
    <x v="52"/>
    <n v="116"/>
    <n v="14"/>
    <n v="0"/>
    <n v="2.2999999999999998"/>
    <m/>
    <m/>
    <m/>
    <n v="4"/>
    <s v=""/>
    <s v=""/>
    <s v=""/>
    <s v=""/>
    <s v="тл"/>
    <x v="3"/>
  </r>
  <r>
    <x v="52"/>
    <n v="124"/>
    <n v="9"/>
    <n v="0"/>
    <n v="1.3"/>
    <m/>
    <m/>
    <m/>
    <n v="4"/>
    <s v=""/>
    <s v=""/>
    <s v=""/>
    <s v=""/>
    <s v="тл"/>
    <x v="3"/>
  </r>
  <r>
    <x v="53"/>
    <n v="30"/>
    <n v="2"/>
    <n v="0"/>
    <n v="0.1"/>
    <m/>
    <n v="3"/>
    <m/>
    <n v="1"/>
    <s v=""/>
    <s v=""/>
    <s v=""/>
    <s v=""/>
    <s v="тл"/>
    <x v="5"/>
  </r>
  <r>
    <x v="53"/>
    <n v="30"/>
    <n v="3"/>
    <n v="0"/>
    <n v="0.1"/>
    <m/>
    <n v="7"/>
    <m/>
    <n v="1"/>
    <s v=""/>
    <s v=""/>
    <s v=""/>
    <s v=""/>
    <s v="тл"/>
    <x v="5"/>
  </r>
  <r>
    <x v="54"/>
    <n v="13"/>
    <n v="2"/>
    <n v="0"/>
    <n v="1.1000000000000001"/>
    <n v="2"/>
    <n v="53"/>
    <n v="1"/>
    <n v="7"/>
    <s v=""/>
    <s v=""/>
    <s v=""/>
    <s v=""/>
    <s v="хв"/>
    <x v="4"/>
  </r>
  <r>
    <x v="54"/>
    <n v="17"/>
    <n v="2"/>
    <n v="0"/>
    <n v="3.2"/>
    <n v="31"/>
    <n v="24"/>
    <n v="1"/>
    <n v="5"/>
    <s v=""/>
    <s v=""/>
    <s v=""/>
    <s v=""/>
    <s v="хв"/>
    <x v="4"/>
  </r>
  <r>
    <x v="54"/>
    <n v="20"/>
    <n v="4"/>
    <n v="0"/>
    <n v="11"/>
    <n v="27"/>
    <n v="492"/>
    <n v="17"/>
    <n v="53"/>
    <s v=""/>
    <s v=""/>
    <s v=""/>
    <s v=""/>
    <s v="хв"/>
    <x v="4"/>
  </r>
  <r>
    <x v="54"/>
    <n v="23"/>
    <n v="2"/>
    <n v="0"/>
    <n v="2.2000000000000002"/>
    <n v="99"/>
    <n v="218"/>
    <n v="9"/>
    <n v="35"/>
    <s v=""/>
    <s v=""/>
    <s v=""/>
    <s v=""/>
    <s v="хв"/>
    <x v="4"/>
  </r>
  <r>
    <x v="54"/>
    <n v="23"/>
    <n v="9"/>
    <n v="0"/>
    <n v="2.9"/>
    <n v="52"/>
    <n v="340"/>
    <n v="13"/>
    <n v="40"/>
    <s v=""/>
    <s v=""/>
    <s v=""/>
    <s v=""/>
    <s v="хв"/>
    <x v="4"/>
  </r>
  <r>
    <x v="55"/>
    <n v="90"/>
    <n v="5"/>
    <n v="0"/>
    <n v="3.1"/>
    <n v="7"/>
    <n v="64"/>
    <n v="2"/>
    <n v="9"/>
    <s v=""/>
    <s v=""/>
    <s v=""/>
    <s v=""/>
    <s v="хв"/>
    <x v="1"/>
  </r>
  <r>
    <x v="56"/>
    <n v="1"/>
    <n v="10"/>
    <n v="0"/>
    <n v="1.1000000000000001"/>
    <m/>
    <n v="48"/>
    <n v="2"/>
    <n v="8"/>
    <s v=""/>
    <s v=""/>
    <s v=""/>
    <s v=""/>
    <s v="тл"/>
    <x v="2"/>
  </r>
  <r>
    <x v="56"/>
    <n v="32"/>
    <n v="12"/>
    <n v="0"/>
    <n v="2"/>
    <n v="3"/>
    <n v="27"/>
    <n v="2"/>
    <n v="3"/>
    <s v=""/>
    <s v=""/>
    <s v=""/>
    <s v=""/>
    <s v="тл"/>
    <x v="2"/>
  </r>
  <r>
    <x v="56"/>
    <n v="60"/>
    <n v="10"/>
    <n v="0"/>
    <n v="3.8"/>
    <n v="11"/>
    <n v="50"/>
    <n v="5"/>
    <n v="5"/>
    <s v=""/>
    <s v=""/>
    <s v=""/>
    <s v=""/>
    <s v="тл"/>
    <x v="2"/>
  </r>
  <r>
    <x v="56"/>
    <n v="60"/>
    <n v="11"/>
    <n v="0"/>
    <n v="1.3"/>
    <n v="8"/>
    <n v="28"/>
    <n v="2"/>
    <n v="4"/>
    <s v=""/>
    <s v=""/>
    <s v=""/>
    <s v=""/>
    <s v="тл"/>
    <x v="2"/>
  </r>
  <r>
    <x v="56"/>
    <n v="61"/>
    <n v="4"/>
    <n v="0"/>
    <n v="0.5"/>
    <n v="8"/>
    <n v="40"/>
    <n v="4"/>
    <n v="3"/>
    <s v=""/>
    <s v=""/>
    <s v=""/>
    <s v=""/>
    <s v="тл"/>
    <x v="2"/>
  </r>
  <r>
    <x v="56"/>
    <n v="68"/>
    <n v="1"/>
    <n v="0"/>
    <n v="33"/>
    <n v="24"/>
    <n v="182"/>
    <n v="11"/>
    <n v="24"/>
    <s v=""/>
    <s v=""/>
    <s v=""/>
    <s v=""/>
    <s v="тл"/>
    <x v="2"/>
  </r>
  <r>
    <x v="56"/>
    <n v="71"/>
    <n v="8"/>
    <n v="0"/>
    <n v="0.7"/>
    <n v="5"/>
    <n v="34"/>
    <n v="3"/>
    <n v="3"/>
    <s v=""/>
    <s v=""/>
    <s v=""/>
    <s v=""/>
    <s v="тл"/>
    <x v="2"/>
  </r>
  <r>
    <x v="56"/>
    <n v="71"/>
    <n v="9"/>
    <n v="0"/>
    <n v="0.5"/>
    <n v="4"/>
    <n v="20"/>
    <n v="2"/>
    <n v="2"/>
    <s v=""/>
    <s v=""/>
    <s v=""/>
    <s v=""/>
    <s v="тл"/>
    <x v="2"/>
  </r>
  <r>
    <x v="56"/>
    <n v="79"/>
    <n v="12"/>
    <n v="0"/>
    <n v="7.5"/>
    <n v="7"/>
    <n v="45"/>
    <n v="2"/>
    <n v="6"/>
    <s v=""/>
    <s v=""/>
    <s v=""/>
    <s v=""/>
    <s v="тл"/>
    <x v="2"/>
  </r>
  <r>
    <x v="56"/>
    <n v="81"/>
    <n v="24"/>
    <n v="0"/>
    <n v="0.6"/>
    <n v="5"/>
    <n v="27"/>
    <n v="2"/>
    <n v="4"/>
    <s v=""/>
    <s v=""/>
    <s v=""/>
    <s v=""/>
    <s v="тл"/>
    <x v="2"/>
  </r>
  <r>
    <x v="57"/>
    <n v="133"/>
    <n v="7"/>
    <n v="0"/>
    <n v="1.8"/>
    <n v="5"/>
    <n v="44"/>
    <n v="4"/>
    <n v="4"/>
    <s v=""/>
    <s v=""/>
    <s v=""/>
    <s v=""/>
    <s v="тл"/>
    <x v="3"/>
  </r>
  <r>
    <x v="57"/>
    <n v="120"/>
    <n v="2"/>
    <n v="0"/>
    <n v="4.7"/>
    <n v="6"/>
    <n v="112"/>
    <n v="8"/>
    <n v="17"/>
    <s v=""/>
    <s v=""/>
    <s v=""/>
    <s v=""/>
    <s v="тл"/>
    <x v="3"/>
  </r>
  <r>
    <x v="57"/>
    <n v="109"/>
    <n v="2"/>
    <n v="0"/>
    <n v="25.5"/>
    <n v="12"/>
    <n v="260"/>
    <n v="16"/>
    <n v="44"/>
    <s v=""/>
    <s v=""/>
    <s v=""/>
    <s v=""/>
    <s v="тл"/>
    <x v="3"/>
  </r>
  <r>
    <x v="57"/>
    <n v="90"/>
    <n v="6"/>
    <n v="2"/>
    <n v="8.5"/>
    <n v="4"/>
    <n v="54"/>
    <n v="4"/>
    <n v="8"/>
    <s v=""/>
    <s v=""/>
    <s v=""/>
    <s v=""/>
    <s v="тл"/>
    <x v="3"/>
  </r>
  <r>
    <x v="58"/>
    <n v="137"/>
    <n v="24"/>
    <n v="0"/>
    <n v="1.6"/>
    <m/>
    <n v="63"/>
    <n v="4"/>
    <n v="8"/>
    <s v=""/>
    <s v=""/>
    <s v=""/>
    <s v=""/>
    <s v="тл"/>
    <x v="1"/>
  </r>
  <r>
    <x v="58"/>
    <n v="124"/>
    <n v="1"/>
    <n v="0"/>
    <n v="6.1"/>
    <m/>
    <n v="73"/>
    <n v="4"/>
    <n v="11"/>
    <s v=""/>
    <s v=""/>
    <s v=""/>
    <s v=""/>
    <s v="тл"/>
    <x v="1"/>
  </r>
  <r>
    <x v="58"/>
    <n v="71"/>
    <n v="2"/>
    <n v="0"/>
    <n v="13.5"/>
    <n v="13"/>
    <n v="65"/>
    <n v="3"/>
    <n v="8"/>
    <s v=""/>
    <s v=""/>
    <s v=""/>
    <s v=""/>
    <s v="хв"/>
    <x v="1"/>
  </r>
  <r>
    <x v="58"/>
    <n v="73"/>
    <n v="5"/>
    <n v="0"/>
    <n v="2.8"/>
    <n v="5"/>
    <n v="34"/>
    <n v="3"/>
    <n v="4"/>
    <s v=""/>
    <s v=""/>
    <s v=""/>
    <s v=""/>
    <s v="тл"/>
    <x v="1"/>
  </r>
  <r>
    <x v="58"/>
    <n v="104"/>
    <n v="4"/>
    <n v="0"/>
    <n v="9.6999999999999993"/>
    <n v="9"/>
    <n v="111"/>
    <n v="8"/>
    <n v="11"/>
    <s v=""/>
    <s v=""/>
    <s v=""/>
    <s v=""/>
    <s v="тл"/>
    <x v="1"/>
  </r>
  <r>
    <x v="58"/>
    <n v="137"/>
    <n v="25"/>
    <n v="0"/>
    <n v="1.1000000000000001"/>
    <m/>
    <n v="93"/>
    <n v="6"/>
    <n v="13"/>
    <s v=""/>
    <s v=""/>
    <s v=""/>
    <s v=""/>
    <s v="тл"/>
    <x v="1"/>
  </r>
  <r>
    <x v="58"/>
    <n v="17"/>
    <n v="2"/>
    <n v="0"/>
    <n v="4.2"/>
    <n v="2"/>
    <n v="46"/>
    <n v="3"/>
    <n v="6"/>
    <s v=""/>
    <s v=""/>
    <s v=""/>
    <s v=""/>
    <s v="тл"/>
    <x v="1"/>
  </r>
  <r>
    <x v="58"/>
    <n v="127"/>
    <n v="36"/>
    <n v="0"/>
    <n v="7"/>
    <m/>
    <n v="140"/>
    <n v="7"/>
    <n v="22"/>
    <s v=""/>
    <s v=""/>
    <s v=""/>
    <s v=""/>
    <s v="тл"/>
    <x v="1"/>
  </r>
  <r>
    <x v="58"/>
    <n v="38"/>
    <n v="2"/>
    <n v="0"/>
    <n v="5.2"/>
    <n v="6"/>
    <n v="109"/>
    <n v="8"/>
    <n v="12"/>
    <s v=""/>
    <s v=""/>
    <s v=""/>
    <s v=""/>
    <s v="тл"/>
    <x v="1"/>
  </r>
  <r>
    <x v="58"/>
    <n v="89"/>
    <n v="3"/>
    <n v="0"/>
    <n v="15.6"/>
    <n v="26"/>
    <n v="225"/>
    <n v="8"/>
    <n v="30"/>
    <s v=""/>
    <s v=""/>
    <s v=""/>
    <s v=""/>
    <s v="хв"/>
    <x v="1"/>
  </r>
  <r>
    <x v="58"/>
    <n v="57"/>
    <n v="12"/>
    <n v="0"/>
    <n v="0.6"/>
    <n v="3"/>
    <n v="15"/>
    <n v="1"/>
    <n v="2"/>
    <s v=""/>
    <s v=""/>
    <s v=""/>
    <s v=""/>
    <s v="хв"/>
    <x v="1"/>
  </r>
  <r>
    <x v="58"/>
    <n v="85"/>
    <n v="7"/>
    <n v="0"/>
    <n v="0.8"/>
    <n v="4"/>
    <n v="34"/>
    <n v="1"/>
    <n v="5"/>
    <s v=""/>
    <s v=""/>
    <s v=""/>
    <s v=""/>
    <s v="хв"/>
    <x v="1"/>
  </r>
  <r>
    <x v="58"/>
    <n v="98"/>
    <n v="8"/>
    <n v="0"/>
    <n v="1.5"/>
    <n v="6"/>
    <n v="56"/>
    <n v="5"/>
    <n v="5"/>
    <s v=""/>
    <s v=""/>
    <s v=""/>
    <s v=""/>
    <s v="тл"/>
    <x v="1"/>
  </r>
  <r>
    <x v="58"/>
    <n v="60"/>
    <n v="2"/>
    <n v="0"/>
    <n v="1.1000000000000001"/>
    <n v="4"/>
    <n v="39"/>
    <n v="4"/>
    <n v="4"/>
    <s v=""/>
    <s v=""/>
    <s v=""/>
    <s v=""/>
    <s v="тл"/>
    <x v="1"/>
  </r>
  <r>
    <x v="59"/>
    <n v="41"/>
    <n v="1"/>
    <n v="0"/>
    <n v="7.1"/>
    <n v="6"/>
    <n v="114"/>
    <n v="9"/>
    <n v="10"/>
    <s v=""/>
    <s v=""/>
    <s v=""/>
    <s v=""/>
    <s v="тл"/>
    <x v="5"/>
  </r>
  <r>
    <x v="59"/>
    <n v="165"/>
    <n v="29"/>
    <n v="0"/>
    <n v="2.5"/>
    <m/>
    <n v="93"/>
    <n v="7"/>
    <n v="13"/>
    <s v=""/>
    <s v=""/>
    <s v=""/>
    <s v=""/>
    <s v="тл"/>
    <x v="5"/>
  </r>
  <r>
    <x v="59"/>
    <n v="117"/>
    <n v="1"/>
    <n v="2"/>
    <n v="14"/>
    <n v="16"/>
    <n v="268"/>
    <n v="21"/>
    <n v="23"/>
    <s v=""/>
    <s v=""/>
    <s v=""/>
    <s v=""/>
    <s v="тл"/>
    <x v="5"/>
  </r>
  <r>
    <x v="59"/>
    <n v="164"/>
    <n v="3"/>
    <n v="0"/>
    <n v="1.8"/>
    <m/>
    <n v="31"/>
    <n v="2"/>
    <n v="5"/>
    <s v=""/>
    <s v=""/>
    <s v=""/>
    <s v=""/>
    <s v="тл"/>
    <x v="5"/>
  </r>
  <r>
    <x v="59"/>
    <n v="139"/>
    <n v="15"/>
    <n v="0"/>
    <n v="4.7"/>
    <m/>
    <n v="242"/>
    <n v="18"/>
    <n v="29"/>
    <s v=""/>
    <s v=""/>
    <s v=""/>
    <s v=""/>
    <s v="тл"/>
    <x v="5"/>
  </r>
  <r>
    <x v="59"/>
    <n v="70"/>
    <n v="4"/>
    <n v="0"/>
    <n v="2.5"/>
    <n v="5"/>
    <n v="54"/>
    <n v="5"/>
    <n v="4"/>
    <s v=""/>
    <s v=""/>
    <s v=""/>
    <s v=""/>
    <s v="тл"/>
    <x v="5"/>
  </r>
  <r>
    <x v="59"/>
    <n v="151"/>
    <n v="10"/>
    <n v="0"/>
    <n v="2.4"/>
    <m/>
    <n v="27"/>
    <n v="1"/>
    <n v="4"/>
    <s v=""/>
    <s v=""/>
    <s v=""/>
    <s v=""/>
    <s v="тл"/>
    <x v="5"/>
  </r>
  <r>
    <x v="59"/>
    <n v="151"/>
    <n v="3"/>
    <n v="0"/>
    <n v="1.3"/>
    <n v="1"/>
    <n v="22"/>
    <n v="2"/>
    <n v="2"/>
    <s v=""/>
    <s v=""/>
    <s v=""/>
    <s v=""/>
    <s v="тл"/>
    <x v="5"/>
  </r>
  <r>
    <x v="59"/>
    <n v="151"/>
    <n v="8"/>
    <n v="0"/>
    <n v="3.7"/>
    <n v="2"/>
    <n v="50"/>
    <n v="3"/>
    <n v="5"/>
    <s v=""/>
    <s v=""/>
    <s v=""/>
    <s v=""/>
    <s v="тл"/>
    <x v="5"/>
  </r>
  <r>
    <x v="59"/>
    <n v="70"/>
    <n v="3"/>
    <n v="0"/>
    <n v="5"/>
    <n v="1"/>
    <n v="88"/>
    <n v="9"/>
    <n v="7"/>
    <s v=""/>
    <s v=""/>
    <s v=""/>
    <s v=""/>
    <s v="тл"/>
    <x v="5"/>
  </r>
  <r>
    <x v="59"/>
    <n v="70"/>
    <n v="2"/>
    <n v="0"/>
    <n v="5.2"/>
    <n v="23"/>
    <n v="124"/>
    <n v="13"/>
    <n v="9"/>
    <s v=""/>
    <s v=""/>
    <s v=""/>
    <s v=""/>
    <s v="тл"/>
    <x v="5"/>
  </r>
  <r>
    <x v="59"/>
    <n v="151"/>
    <n v="1"/>
    <n v="0"/>
    <n v="10.199999999999999"/>
    <n v="2"/>
    <n v="122"/>
    <n v="5"/>
    <n v="16"/>
    <s v=""/>
    <s v=""/>
    <s v=""/>
    <s v=""/>
    <s v="тл"/>
    <x v="5"/>
  </r>
  <r>
    <x v="59"/>
    <n v="157"/>
    <n v="12"/>
    <n v="0"/>
    <n v="1.8"/>
    <n v="1"/>
    <n v="51"/>
    <n v="2"/>
    <n v="9"/>
    <s v=""/>
    <s v=""/>
    <s v=""/>
    <s v=""/>
    <s v="тл"/>
    <x v="5"/>
  </r>
  <r>
    <x v="59"/>
    <n v="157"/>
    <n v="13"/>
    <n v="0"/>
    <n v="5.5"/>
    <n v="4"/>
    <n v="170"/>
    <n v="8"/>
    <n v="28"/>
    <s v=""/>
    <s v=""/>
    <s v=""/>
    <s v=""/>
    <s v="тл"/>
    <x v="5"/>
  </r>
  <r>
    <x v="59"/>
    <n v="157"/>
    <n v="11"/>
    <n v="0"/>
    <n v="1.3"/>
    <m/>
    <n v="20"/>
    <n v="1"/>
    <n v="3"/>
    <s v=""/>
    <s v=""/>
    <s v=""/>
    <s v=""/>
    <s v="тл"/>
    <x v="5"/>
  </r>
  <r>
    <x v="59"/>
    <n v="151"/>
    <n v="9"/>
    <n v="0"/>
    <n v="8"/>
    <n v="2"/>
    <n v="97"/>
    <n v="6"/>
    <n v="10"/>
    <s v=""/>
    <s v=""/>
    <s v=""/>
    <s v=""/>
    <s v="тл"/>
    <x v="5"/>
  </r>
  <r>
    <x v="59"/>
    <n v="127"/>
    <n v="1"/>
    <n v="0"/>
    <n v="12.8"/>
    <n v="35"/>
    <n v="323"/>
    <n v="25"/>
    <n v="29"/>
    <s v=""/>
    <s v=""/>
    <s v=""/>
    <s v=""/>
    <s v="тл"/>
    <x v="5"/>
  </r>
  <r>
    <x v="59"/>
    <n v="34"/>
    <n v="7"/>
    <n v="1"/>
    <n v="0"/>
    <m/>
    <n v="8"/>
    <n v="1"/>
    <n v="1"/>
    <s v=""/>
    <s v=""/>
    <s v=""/>
    <s v=""/>
    <s v="тл"/>
    <x v="5"/>
  </r>
  <r>
    <x v="59"/>
    <n v="35"/>
    <n v="4"/>
    <n v="1"/>
    <n v="0"/>
    <m/>
    <n v="3"/>
    <m/>
    <m/>
    <s v=""/>
    <s v=""/>
    <s v=""/>
    <s v=""/>
    <s v="тл"/>
    <x v="5"/>
  </r>
  <r>
    <x v="60"/>
    <n v="18"/>
    <n v="11"/>
    <n v="0"/>
    <n v="1.8"/>
    <n v="2"/>
    <n v="41"/>
    <n v="3"/>
    <n v="4"/>
    <s v=""/>
    <s v=""/>
    <s v=""/>
    <s v=""/>
    <s v="тл"/>
    <x v="0"/>
  </r>
  <r>
    <x v="60"/>
    <n v="72"/>
    <n v="2"/>
    <n v="0"/>
    <n v="5.5"/>
    <n v="1"/>
    <n v="63"/>
    <n v="3"/>
    <n v="7"/>
    <s v=""/>
    <s v=""/>
    <s v=""/>
    <s v=""/>
    <s v="тл"/>
    <x v="0"/>
  </r>
  <r>
    <x v="60"/>
    <n v="58"/>
    <n v="14"/>
    <n v="0"/>
    <n v="4.3"/>
    <n v="3"/>
    <n v="41"/>
    <n v="3"/>
    <n v="4"/>
    <s v=""/>
    <s v=""/>
    <s v=""/>
    <s v=""/>
    <s v="тл"/>
    <x v="0"/>
  </r>
  <r>
    <x v="60"/>
    <n v="33"/>
    <n v="1"/>
    <n v="0"/>
    <n v="2.5"/>
    <m/>
    <n v="85"/>
    <n v="5"/>
    <n v="12"/>
    <s v=""/>
    <s v=""/>
    <s v=""/>
    <s v=""/>
    <s v="тл"/>
    <x v="0"/>
  </r>
  <r>
    <x v="60"/>
    <n v="22"/>
    <n v="10"/>
    <n v="0"/>
    <n v="2.1"/>
    <n v="3"/>
    <n v="23"/>
    <n v="2"/>
    <n v="2"/>
    <s v=""/>
    <s v=""/>
    <s v=""/>
    <s v=""/>
    <s v="тл"/>
    <x v="0"/>
  </r>
  <r>
    <x v="60"/>
    <n v="18"/>
    <n v="12"/>
    <n v="0"/>
    <n v="0.5"/>
    <n v="1"/>
    <n v="12"/>
    <n v="1"/>
    <n v="1"/>
    <s v=""/>
    <s v=""/>
    <s v=""/>
    <s v=""/>
    <s v="тл"/>
    <x v="0"/>
  </r>
  <r>
    <x v="61"/>
    <n v="17"/>
    <n v="3"/>
    <n v="0"/>
    <n v="0.8"/>
    <m/>
    <n v="22"/>
    <n v="2"/>
    <n v="2"/>
    <s v=""/>
    <s v=""/>
    <s v=""/>
    <s v=""/>
    <s v="тл"/>
    <x v="0"/>
  </r>
  <r>
    <x v="61"/>
    <n v="17"/>
    <n v="2"/>
    <n v="0"/>
    <n v="0.3"/>
    <n v="3"/>
    <n v="8"/>
    <n v="1"/>
    <n v="1"/>
    <s v=""/>
    <s v=""/>
    <s v=""/>
    <s v=""/>
    <s v="тл"/>
    <x v="0"/>
  </r>
  <r>
    <x v="61"/>
    <n v="14"/>
    <n v="7"/>
    <n v="0"/>
    <n v="0.4"/>
    <m/>
    <n v="10"/>
    <n v="1"/>
    <n v="1"/>
    <s v=""/>
    <s v=""/>
    <s v=""/>
    <s v=""/>
    <s v="тл"/>
    <x v="0"/>
  </r>
  <r>
    <x v="61"/>
    <n v="14"/>
    <n v="6"/>
    <n v="0"/>
    <n v="0.2"/>
    <n v="1"/>
    <n v="5"/>
    <m/>
    <n v="1"/>
    <s v=""/>
    <s v=""/>
    <s v=""/>
    <s v=""/>
    <s v="тл"/>
    <x v="0"/>
  </r>
  <r>
    <x v="61"/>
    <n v="14"/>
    <n v="5"/>
    <n v="0"/>
    <n v="0.5"/>
    <n v="8"/>
    <n v="16"/>
    <n v="2"/>
    <n v="2"/>
    <s v=""/>
    <s v=""/>
    <s v=""/>
    <s v=""/>
    <s v="тл"/>
    <x v="0"/>
  </r>
  <r>
    <x v="62"/>
    <n v="88"/>
    <n v="1"/>
    <n v="3"/>
    <n v="4"/>
    <m/>
    <n v="76"/>
    <n v="4"/>
    <n v="12"/>
    <s v=""/>
    <s v=""/>
    <s v=""/>
    <s v=""/>
    <s v="тл"/>
    <x v="0"/>
  </r>
  <r>
    <x v="63"/>
    <n v="23"/>
    <n v="6"/>
    <n v="0"/>
    <n v="16.600000000000001"/>
    <n v="13"/>
    <n v="744"/>
    <n v="29"/>
    <n v="78"/>
    <s v=""/>
    <s v=""/>
    <s v=""/>
    <s v=""/>
    <s v="хв"/>
    <x v="4"/>
  </r>
  <r>
    <x v="64"/>
    <n v="21"/>
    <n v="5"/>
    <n v="0"/>
    <n v="0.6"/>
    <n v="1"/>
    <n v="23"/>
    <n v="2"/>
    <n v="1"/>
    <s v=""/>
    <s v=""/>
    <s v=""/>
    <s v=""/>
    <s v="тл"/>
    <x v="1"/>
  </r>
  <r>
    <x v="64"/>
    <n v="74"/>
    <n v="7"/>
    <n v="0"/>
    <n v="2"/>
    <n v="7"/>
    <n v="85"/>
    <n v="5"/>
    <n v="12"/>
    <s v=""/>
    <s v=""/>
    <s v=""/>
    <s v=""/>
    <s v="тл"/>
    <x v="1"/>
  </r>
  <r>
    <x v="64"/>
    <n v="90"/>
    <n v="7"/>
    <n v="1"/>
    <n v="10.199999999999999"/>
    <n v="25"/>
    <n v="183"/>
    <n v="15"/>
    <n v="18"/>
    <s v=""/>
    <s v=""/>
    <s v=""/>
    <s v=""/>
    <s v="тл"/>
    <x v="1"/>
  </r>
  <r>
    <x v="64"/>
    <n v="107"/>
    <n v="2"/>
    <n v="0"/>
    <n v="2.8"/>
    <n v="6"/>
    <n v="59"/>
    <n v="5"/>
    <n v="6"/>
    <s v=""/>
    <s v=""/>
    <s v=""/>
    <s v=""/>
    <s v="тл"/>
    <x v="1"/>
  </r>
  <r>
    <x v="65"/>
    <n v="25"/>
    <n v="1"/>
    <n v="0"/>
    <n v="2.1"/>
    <n v="11"/>
    <n v="26"/>
    <n v="3"/>
    <n v="4"/>
    <s v=""/>
    <s v=""/>
    <s v=""/>
    <s v=""/>
    <s v="тл"/>
    <x v="2"/>
  </r>
  <r>
    <x v="65"/>
    <n v="77"/>
    <n v="1"/>
    <n v="0"/>
    <n v="6.5"/>
    <n v="7"/>
    <n v="42"/>
    <n v="3"/>
    <n v="5"/>
    <s v=""/>
    <s v=""/>
    <s v=""/>
    <s v=""/>
    <s v="тл"/>
    <x v="2"/>
  </r>
  <r>
    <x v="65"/>
    <n v="32"/>
    <n v="10"/>
    <n v="0"/>
    <n v="6.3"/>
    <n v="5"/>
    <n v="62"/>
    <n v="3"/>
    <n v="7"/>
    <s v=""/>
    <s v=""/>
    <s v=""/>
    <s v=""/>
    <s v="тл"/>
    <x v="2"/>
  </r>
  <r>
    <x v="65"/>
    <n v="1"/>
    <n v="4"/>
    <n v="0"/>
    <n v="6.1"/>
    <n v="4"/>
    <n v="93"/>
    <n v="6"/>
    <n v="8"/>
    <s v=""/>
    <s v=""/>
    <s v=""/>
    <s v=""/>
    <s v="тл"/>
    <x v="2"/>
  </r>
  <r>
    <x v="65"/>
    <n v="55"/>
    <n v="4"/>
    <n v="0"/>
    <n v="2"/>
    <n v="3"/>
    <n v="37"/>
    <n v="2"/>
    <n v="4"/>
    <s v=""/>
    <s v=""/>
    <s v=""/>
    <s v=""/>
    <s v="тл"/>
    <x v="2"/>
  </r>
  <r>
    <x v="65"/>
    <n v="78"/>
    <n v="14"/>
    <n v="0"/>
    <n v="0.8"/>
    <n v="4"/>
    <n v="29"/>
    <n v="2"/>
    <n v="3"/>
    <s v=""/>
    <s v=""/>
    <s v=""/>
    <s v=""/>
    <s v="тл"/>
    <x v="2"/>
  </r>
  <r>
    <x v="65"/>
    <n v="40"/>
    <n v="5"/>
    <n v="0"/>
    <n v="3.9"/>
    <n v="15"/>
    <n v="49"/>
    <n v="5"/>
    <n v="5"/>
    <s v=""/>
    <s v=""/>
    <s v=""/>
    <s v=""/>
    <s v="тл"/>
    <x v="2"/>
  </r>
  <r>
    <x v="65"/>
    <n v="38"/>
    <n v="1"/>
    <n v="0"/>
    <n v="0.5"/>
    <n v="3"/>
    <n v="13"/>
    <n v="1"/>
    <n v="1"/>
    <s v=""/>
    <s v=""/>
    <s v=""/>
    <s v=""/>
    <s v="тл"/>
    <x v="2"/>
  </r>
  <r>
    <x v="65"/>
    <n v="27"/>
    <n v="9"/>
    <n v="0"/>
    <n v="0.3"/>
    <n v="2"/>
    <n v="8"/>
    <n v="1"/>
    <m/>
    <s v=""/>
    <s v=""/>
    <s v=""/>
    <s v=""/>
    <s v="тл"/>
    <x v="2"/>
  </r>
  <r>
    <x v="65"/>
    <n v="60"/>
    <n v="3"/>
    <n v="0"/>
    <n v="0.3"/>
    <m/>
    <n v="5"/>
    <m/>
    <n v="1"/>
    <s v=""/>
    <s v=""/>
    <s v=""/>
    <s v=""/>
    <s v="тл"/>
    <x v="2"/>
  </r>
  <r>
    <x v="65"/>
    <n v="60"/>
    <n v="2"/>
    <n v="0"/>
    <n v="0.9"/>
    <m/>
    <n v="22"/>
    <n v="1"/>
    <n v="2"/>
    <s v=""/>
    <s v=""/>
    <s v=""/>
    <s v=""/>
    <s v="тл"/>
    <x v="2"/>
  </r>
  <r>
    <x v="66"/>
    <n v="14"/>
    <n v="5"/>
    <n v="2"/>
    <n v="5"/>
    <n v="3"/>
    <n v="35"/>
    <n v="3"/>
    <n v="3"/>
    <s v=""/>
    <s v=""/>
    <s v=""/>
    <s v=""/>
    <s v="тл"/>
    <x v="0"/>
  </r>
  <r>
    <x v="66"/>
    <n v="37"/>
    <n v="1"/>
    <n v="0"/>
    <n v="4.2"/>
    <n v="4"/>
    <n v="92"/>
    <n v="7"/>
    <n v="8"/>
    <s v=""/>
    <s v=""/>
    <s v=""/>
    <s v=""/>
    <s v="тл"/>
    <x v="0"/>
  </r>
  <r>
    <x v="66"/>
    <n v="81"/>
    <n v="4"/>
    <n v="2"/>
    <n v="3.6"/>
    <n v="3"/>
    <n v="50"/>
    <n v="4"/>
    <n v="4"/>
    <s v=""/>
    <s v=""/>
    <s v=""/>
    <s v=""/>
    <s v="тл"/>
    <x v="0"/>
  </r>
  <r>
    <x v="67"/>
    <n v="51"/>
    <n v="6"/>
    <n v="0"/>
    <n v="1.5"/>
    <n v="2"/>
    <n v="18"/>
    <m/>
    <n v="4"/>
    <s v=""/>
    <s v=""/>
    <s v=""/>
    <s v=""/>
    <s v="хв"/>
    <x v="1"/>
  </r>
  <r>
    <x v="67"/>
    <n v="51"/>
    <n v="5"/>
    <n v="0"/>
    <n v="3.5"/>
    <n v="14"/>
    <n v="62"/>
    <n v="2"/>
    <n v="10"/>
    <s v=""/>
    <s v=""/>
    <s v=""/>
    <s v=""/>
    <s v="хв"/>
    <x v="1"/>
  </r>
  <r>
    <x v="67"/>
    <n v="77"/>
    <n v="13"/>
    <n v="0"/>
    <n v="0.7"/>
    <m/>
    <n v="27"/>
    <m/>
    <n v="4"/>
    <s v=""/>
    <s v=""/>
    <s v=""/>
    <s v=""/>
    <s v="хв"/>
    <x v="1"/>
  </r>
  <r>
    <x v="68"/>
    <n v="73"/>
    <n v="1"/>
    <n v="0"/>
    <n v="22.7"/>
    <n v="33"/>
    <n v="447"/>
    <n v="34"/>
    <n v="42"/>
    <s v=""/>
    <s v=""/>
    <s v=""/>
    <s v=""/>
    <s v="тл"/>
    <x v="5"/>
  </r>
  <r>
    <x v="68"/>
    <n v="41"/>
    <n v="6"/>
    <n v="0"/>
    <n v="0.4"/>
    <m/>
    <n v="15"/>
    <n v="1"/>
    <n v="2"/>
    <s v=""/>
    <s v=""/>
    <s v=""/>
    <s v=""/>
    <s v="тл"/>
    <x v="5"/>
  </r>
  <r>
    <x v="68"/>
    <n v="41"/>
    <n v="1"/>
    <n v="2"/>
    <n v="12.7"/>
    <n v="5"/>
    <n v="161"/>
    <n v="11"/>
    <n v="15"/>
    <s v=""/>
    <s v=""/>
    <s v=""/>
    <s v=""/>
    <s v="тл"/>
    <x v="5"/>
  </r>
  <r>
    <x v="69"/>
    <n v="2"/>
    <n v="7"/>
    <n v="0"/>
    <n v="1.7"/>
    <n v="3"/>
    <n v="30"/>
    <n v="2"/>
    <n v="3"/>
    <s v=""/>
    <s v=""/>
    <s v=""/>
    <s v=""/>
    <s v="тл"/>
    <x v="1"/>
  </r>
  <r>
    <x v="69"/>
    <n v="127"/>
    <n v="31"/>
    <n v="0"/>
    <n v="9"/>
    <m/>
    <n v="229"/>
    <n v="10"/>
    <n v="38"/>
    <s v=""/>
    <s v=""/>
    <s v=""/>
    <s v=""/>
    <s v="тл"/>
    <x v="1"/>
  </r>
  <r>
    <x v="69"/>
    <n v="125"/>
    <n v="41"/>
    <n v="0"/>
    <n v="7.6"/>
    <m/>
    <n v="82"/>
    <n v="3"/>
    <n v="14"/>
    <s v=""/>
    <s v=""/>
    <s v=""/>
    <s v=""/>
    <s v="тл"/>
    <x v="1"/>
  </r>
  <r>
    <x v="69"/>
    <n v="119"/>
    <n v="2"/>
    <n v="0"/>
    <n v="3.1"/>
    <n v="1"/>
    <n v="39"/>
    <n v="3"/>
    <n v="3"/>
    <s v=""/>
    <s v=""/>
    <s v=""/>
    <s v=""/>
    <s v="тл"/>
    <x v="1"/>
  </r>
  <r>
    <x v="69"/>
    <n v="105"/>
    <n v="3"/>
    <n v="0"/>
    <n v="7.3"/>
    <n v="26"/>
    <n v="223"/>
    <n v="20"/>
    <n v="19"/>
    <s v=""/>
    <s v=""/>
    <s v=""/>
    <s v=""/>
    <s v="тл"/>
    <x v="1"/>
  </r>
  <r>
    <x v="69"/>
    <n v="94"/>
    <n v="8"/>
    <n v="0"/>
    <n v="10.6"/>
    <n v="26"/>
    <n v="227"/>
    <n v="18"/>
    <n v="24"/>
    <s v=""/>
    <s v=""/>
    <s v=""/>
    <s v=""/>
    <s v="тл"/>
    <x v="1"/>
  </r>
  <r>
    <x v="69"/>
    <n v="90"/>
    <n v="4"/>
    <n v="1"/>
    <n v="5.2"/>
    <n v="7"/>
    <n v="61"/>
    <n v="2"/>
    <n v="8"/>
    <s v=""/>
    <s v=""/>
    <s v=""/>
    <s v=""/>
    <s v="хв"/>
    <x v="1"/>
  </r>
  <r>
    <x v="69"/>
    <n v="70"/>
    <n v="8"/>
    <n v="0"/>
    <n v="12"/>
    <n v="23"/>
    <n v="220"/>
    <n v="19"/>
    <n v="22"/>
    <s v=""/>
    <s v=""/>
    <s v=""/>
    <s v=""/>
    <s v="тл"/>
    <x v="1"/>
  </r>
  <r>
    <x v="69"/>
    <n v="31"/>
    <n v="4"/>
    <n v="0"/>
    <n v="1.4"/>
    <n v="2"/>
    <n v="52"/>
    <n v="4"/>
    <n v="5"/>
    <s v=""/>
    <s v=""/>
    <s v=""/>
    <s v=""/>
    <s v="тл"/>
    <x v="1"/>
  </r>
  <r>
    <x v="69"/>
    <n v="6"/>
    <n v="6"/>
    <n v="0"/>
    <n v="4.4000000000000004"/>
    <n v="5"/>
    <n v="72"/>
    <n v="6"/>
    <n v="7"/>
    <s v=""/>
    <s v=""/>
    <s v=""/>
    <s v=""/>
    <s v="тл"/>
    <x v="1"/>
  </r>
  <r>
    <x v="70"/>
    <n v="137"/>
    <n v="14"/>
    <n v="1"/>
    <n v="33"/>
    <m/>
    <n v="71"/>
    <n v="4"/>
    <n v="10"/>
    <s v=""/>
    <s v=""/>
    <s v=""/>
    <s v=""/>
    <s v="тл"/>
    <x v="3"/>
  </r>
  <r>
    <x v="70"/>
    <n v="134"/>
    <n v="8"/>
    <n v="0"/>
    <n v="10.5"/>
    <n v="1"/>
    <n v="88"/>
    <n v="8"/>
    <n v="15"/>
    <s v=""/>
    <s v=""/>
    <s v=""/>
    <s v=""/>
    <s v="тл"/>
    <x v="3"/>
  </r>
  <r>
    <x v="70"/>
    <n v="131"/>
    <n v="2"/>
    <n v="0"/>
    <n v="0.9"/>
    <m/>
    <n v="61"/>
    <n v="4"/>
    <n v="9"/>
    <s v=""/>
    <s v=""/>
    <s v=""/>
    <s v=""/>
    <s v="тл"/>
    <x v="3"/>
  </r>
  <r>
    <x v="70"/>
    <n v="131"/>
    <n v="1"/>
    <n v="0"/>
    <n v="8.5"/>
    <n v="7"/>
    <n v="90"/>
    <n v="8"/>
    <n v="7"/>
    <s v=""/>
    <s v=""/>
    <s v=""/>
    <s v=""/>
    <s v="тл"/>
    <x v="3"/>
  </r>
  <r>
    <x v="70"/>
    <n v="127"/>
    <n v="29"/>
    <n v="0"/>
    <n v="3.1"/>
    <m/>
    <n v="76"/>
    <n v="5"/>
    <n v="8"/>
    <s v=""/>
    <s v=""/>
    <s v=""/>
    <s v=""/>
    <s v="тл"/>
    <x v="3"/>
  </r>
  <r>
    <x v="70"/>
    <n v="127"/>
    <n v="12"/>
    <n v="0"/>
    <n v="0.6"/>
    <m/>
    <n v="44"/>
    <n v="2"/>
    <n v="7"/>
    <s v=""/>
    <s v=""/>
    <s v=""/>
    <s v=""/>
    <s v="тл"/>
    <x v="3"/>
  </r>
  <r>
    <x v="70"/>
    <n v="39"/>
    <n v="2"/>
    <n v="0"/>
    <n v="9.1999999999999993"/>
    <n v="12"/>
    <n v="135"/>
    <n v="13"/>
    <n v="10"/>
    <s v=""/>
    <s v=""/>
    <s v=""/>
    <s v=""/>
    <s v="тл"/>
    <x v="3"/>
  </r>
  <r>
    <x v="70"/>
    <n v="16"/>
    <n v="8"/>
    <n v="0"/>
    <n v="2.9"/>
    <n v="5"/>
    <n v="121"/>
    <n v="9"/>
    <n v="12"/>
    <s v=""/>
    <s v=""/>
    <s v=""/>
    <s v=""/>
    <s v="тл"/>
    <x v="3"/>
  </r>
  <r>
    <x v="70"/>
    <n v="16"/>
    <n v="7"/>
    <n v="0"/>
    <n v="2"/>
    <n v="1"/>
    <n v="21"/>
    <n v="1"/>
    <n v="3"/>
    <s v=""/>
    <s v=""/>
    <s v=""/>
    <s v=""/>
    <s v="тл"/>
    <x v="3"/>
  </r>
  <r>
    <x v="71"/>
    <n v="164"/>
    <n v="6"/>
    <n v="0"/>
    <n v="3.3"/>
    <m/>
    <n v="59"/>
    <m/>
    <n v="13"/>
    <s v=""/>
    <s v=""/>
    <s v=""/>
    <s v=""/>
    <s v="тл"/>
    <x v="5"/>
  </r>
  <r>
    <x v="71"/>
    <n v="127"/>
    <n v="2"/>
    <n v="0"/>
    <n v="19.2"/>
    <n v="18"/>
    <n v="368"/>
    <n v="30"/>
    <n v="29"/>
    <s v=""/>
    <s v=""/>
    <s v=""/>
    <s v=""/>
    <s v="тл"/>
    <x v="5"/>
  </r>
  <r>
    <x v="71"/>
    <n v="122"/>
    <n v="1"/>
    <n v="2"/>
    <n v="15.3"/>
    <n v="46"/>
    <n v="357"/>
    <n v="30"/>
    <n v="33"/>
    <s v=""/>
    <s v=""/>
    <s v=""/>
    <s v=""/>
    <s v="тл"/>
    <x v="5"/>
  </r>
  <r>
    <x v="71"/>
    <n v="95"/>
    <n v="2"/>
    <n v="0"/>
    <n v="29.2"/>
    <n v="13"/>
    <n v="236"/>
    <n v="14"/>
    <n v="29"/>
    <s v=""/>
    <s v=""/>
    <s v=""/>
    <s v=""/>
    <s v="тл"/>
    <x v="5"/>
  </r>
  <r>
    <x v="71"/>
    <n v="49"/>
    <n v="1"/>
    <n v="0"/>
    <n v="3.3"/>
    <m/>
    <n v="271"/>
    <n v="23"/>
    <n v="25"/>
    <s v=""/>
    <s v=""/>
    <s v=""/>
    <s v=""/>
    <s v="тл"/>
    <x v="5"/>
  </r>
  <r>
    <x v="72"/>
    <n v="58"/>
    <n v="1"/>
    <n v="1"/>
    <n v="2.6"/>
    <n v="7"/>
    <n v="50"/>
    <n v="2"/>
    <n v="7"/>
    <s v=""/>
    <s v=""/>
    <s v=""/>
    <s v=""/>
    <s v="хв"/>
    <x v="1"/>
  </r>
  <r>
    <x v="73"/>
    <n v="149"/>
    <n v="8"/>
    <n v="0"/>
    <n v="0.3"/>
    <m/>
    <n v="24"/>
    <n v="2"/>
    <n v="2"/>
    <s v=""/>
    <s v=""/>
    <s v=""/>
    <s v=""/>
    <s v="тл"/>
    <x v="5"/>
  </r>
  <r>
    <x v="73"/>
    <n v="149"/>
    <n v="6"/>
    <n v="0"/>
    <n v="0.2"/>
    <m/>
    <n v="4"/>
    <m/>
    <m/>
    <s v=""/>
    <s v=""/>
    <s v=""/>
    <s v=""/>
    <s v="хв"/>
    <x v="5"/>
  </r>
  <r>
    <x v="73"/>
    <n v="149"/>
    <n v="5"/>
    <n v="0"/>
    <n v="0.1"/>
    <m/>
    <n v="36"/>
    <n v="1"/>
    <m/>
    <s v=""/>
    <s v=""/>
    <s v=""/>
    <s v=""/>
    <s v="хв"/>
    <x v="5"/>
  </r>
  <r>
    <x v="73"/>
    <n v="149"/>
    <n v="1"/>
    <n v="0"/>
    <n v="0.1"/>
    <m/>
    <n v="3"/>
    <m/>
    <m/>
    <s v=""/>
    <s v=""/>
    <s v=""/>
    <s v=""/>
    <s v="тл"/>
    <x v="5"/>
  </r>
  <r>
    <x v="74"/>
    <n v="106"/>
    <n v="8"/>
    <n v="0"/>
    <n v="7.5"/>
    <n v="7"/>
    <n v="199"/>
    <n v="5"/>
    <n v="26"/>
    <s v=""/>
    <s v=""/>
    <s v=""/>
    <s v=""/>
    <s v="хв"/>
    <x v="4"/>
  </r>
  <r>
    <x v="74"/>
    <n v="69"/>
    <n v="6"/>
    <n v="0"/>
    <n v="0.6"/>
    <m/>
    <n v="36"/>
    <m/>
    <n v="9"/>
    <s v=""/>
    <s v=""/>
    <s v=""/>
    <s v=""/>
    <s v="хв"/>
    <x v="4"/>
  </r>
  <r>
    <x v="75"/>
    <n v="58"/>
    <n v="9"/>
    <n v="0"/>
    <n v="3.8"/>
    <n v="9"/>
    <n v="147"/>
    <n v="14"/>
    <n v="12"/>
    <s v=""/>
    <s v=""/>
    <s v=""/>
    <s v=""/>
    <s v="тл"/>
    <x v="0"/>
  </r>
  <r>
    <x v="75"/>
    <n v="29"/>
    <n v="6"/>
    <n v="2"/>
    <n v="6.6"/>
    <n v="9"/>
    <n v="143"/>
    <n v="12"/>
    <n v="15"/>
    <s v=""/>
    <s v=""/>
    <s v=""/>
    <s v=""/>
    <s v="тл"/>
    <x v="0"/>
  </r>
  <r>
    <x v="75"/>
    <n v="91"/>
    <n v="7"/>
    <n v="1"/>
    <n v="4"/>
    <m/>
    <n v="67"/>
    <n v="3"/>
    <n v="11"/>
    <s v=""/>
    <s v=""/>
    <s v=""/>
    <s v=""/>
    <s v="тл"/>
    <x v="0"/>
  </r>
  <r>
    <x v="76"/>
    <n v="72"/>
    <n v="3"/>
    <n v="0"/>
    <n v="1.6"/>
    <m/>
    <m/>
    <m/>
    <n v="46"/>
    <s v=""/>
    <s v=""/>
    <s v=""/>
    <s v=""/>
    <s v="тл"/>
    <x v="0"/>
  </r>
  <r>
    <x v="77"/>
    <n v="20"/>
    <n v="4"/>
    <n v="0"/>
    <n v="25"/>
    <n v="1"/>
    <n v="252"/>
    <n v="9"/>
    <n v="40"/>
    <s v=""/>
    <s v=""/>
    <s v=""/>
    <s v=""/>
    <s v="тл"/>
    <x v="5"/>
  </r>
  <r>
    <x v="78"/>
    <n v="77"/>
    <n v="2"/>
    <n v="0"/>
    <n v="15"/>
    <n v="13"/>
    <n v="108"/>
    <n v="8"/>
    <n v="12"/>
    <s v=""/>
    <s v=""/>
    <s v=""/>
    <s v=""/>
    <s v="тл"/>
    <x v="2"/>
  </r>
  <r>
    <x v="79"/>
    <n v="58"/>
    <n v="15"/>
    <n v="0"/>
    <n v="1.2"/>
    <n v="2"/>
    <n v="25"/>
    <n v="1"/>
    <n v="3"/>
    <s v=""/>
    <s v=""/>
    <s v=""/>
    <s v=""/>
    <s v="хв"/>
    <x v="1"/>
  </r>
  <r>
    <x v="79"/>
    <n v="78"/>
    <n v="7"/>
    <n v="0"/>
    <n v="2.1"/>
    <n v="2"/>
    <n v="28"/>
    <n v="1"/>
    <n v="4"/>
    <s v=""/>
    <s v=""/>
    <s v=""/>
    <s v=""/>
    <s v="хв"/>
    <x v="1"/>
  </r>
  <r>
    <x v="80"/>
    <n v="27"/>
    <n v="7"/>
    <n v="0"/>
    <n v="4.7"/>
    <n v="143"/>
    <n v="361"/>
    <n v="20"/>
    <n v="47"/>
    <s v=""/>
    <s v=""/>
    <s v=""/>
    <s v=""/>
    <s v="хв"/>
    <x v="4"/>
  </r>
  <r>
    <x v="80"/>
    <n v="106"/>
    <n v="5"/>
    <n v="0"/>
    <n v="11.6"/>
    <n v="35"/>
    <n v="1013"/>
    <n v="21"/>
    <n v="144"/>
    <s v=""/>
    <s v=""/>
    <s v=""/>
    <s v=""/>
    <s v="хв"/>
    <x v="4"/>
  </r>
  <r>
    <x v="81"/>
    <n v="84"/>
    <n v="8"/>
    <n v="0"/>
    <n v="0.8"/>
    <m/>
    <n v="6"/>
    <m/>
    <n v="6"/>
    <s v=""/>
    <s v=""/>
    <s v=""/>
    <s v=""/>
    <s v="тл"/>
    <x v="0"/>
  </r>
  <r>
    <x v="81"/>
    <n v="83"/>
    <n v="13"/>
    <n v="0"/>
    <n v="0.1"/>
    <m/>
    <m/>
    <m/>
    <n v="6"/>
    <s v=""/>
    <s v=""/>
    <s v=""/>
    <s v=""/>
    <s v="тл"/>
    <x v="0"/>
  </r>
  <r>
    <x v="82"/>
    <n v="106"/>
    <n v="16"/>
    <n v="0"/>
    <n v="0.1"/>
    <m/>
    <n v="21"/>
    <n v="2"/>
    <n v="2"/>
    <s v=""/>
    <s v=""/>
    <s v=""/>
    <s v=""/>
    <s v="мл"/>
    <x v="0"/>
  </r>
  <r>
    <x v="83"/>
    <n v="54"/>
    <n v="2"/>
    <n v="0"/>
    <n v="0.1"/>
    <m/>
    <n v="2"/>
    <m/>
    <m/>
    <s v=""/>
    <s v=""/>
    <s v=""/>
    <s v=""/>
    <s v="хв"/>
    <x v="1"/>
  </r>
  <r>
    <x v="84"/>
    <n v="54"/>
    <n v="14"/>
    <n v="0"/>
    <n v="0.6"/>
    <n v="3"/>
    <n v="21"/>
    <n v="1"/>
    <n v="2"/>
    <s v=""/>
    <s v=""/>
    <s v=""/>
    <s v=""/>
    <s v="хв"/>
    <x v="1"/>
  </r>
  <r>
    <x v="84"/>
    <n v="86"/>
    <n v="4"/>
    <n v="0"/>
    <n v="4.2"/>
    <n v="5"/>
    <n v="37"/>
    <n v="1"/>
    <n v="5"/>
    <s v=""/>
    <s v=""/>
    <s v=""/>
    <s v=""/>
    <s v="хв"/>
    <x v="1"/>
  </r>
  <r>
    <x v="84"/>
    <n v="89"/>
    <n v="1"/>
    <n v="0"/>
    <n v="2.9"/>
    <m/>
    <n v="49"/>
    <n v="2"/>
    <n v="5"/>
    <s v=""/>
    <s v=""/>
    <s v=""/>
    <s v=""/>
    <s v="хв"/>
    <x v="1"/>
  </r>
  <r>
    <x v="84"/>
    <n v="114"/>
    <n v="2"/>
    <n v="0"/>
    <n v="5.9"/>
    <n v="22"/>
    <n v="190"/>
    <n v="19"/>
    <n v="15"/>
    <s v=""/>
    <s v=""/>
    <s v=""/>
    <s v=""/>
    <s v="тл"/>
    <x v="1"/>
  </r>
  <r>
    <x v="84"/>
    <n v="139"/>
    <n v="33"/>
    <n v="0"/>
    <n v="3"/>
    <n v="5"/>
    <n v="69"/>
    <n v="5"/>
    <n v="7"/>
    <s v=""/>
    <s v=""/>
    <s v=""/>
    <s v=""/>
    <s v="тл"/>
    <x v="1"/>
  </r>
  <r>
    <x v="84"/>
    <n v="38"/>
    <n v="1"/>
    <n v="0"/>
    <n v="5.5"/>
    <n v="4"/>
    <n v="113"/>
    <n v="7"/>
    <n v="13"/>
    <s v=""/>
    <s v=""/>
    <s v=""/>
    <s v=""/>
    <s v="тл"/>
    <x v="1"/>
  </r>
  <r>
    <x v="84"/>
    <n v="21"/>
    <n v="2"/>
    <n v="0"/>
    <n v="6.7"/>
    <n v="1"/>
    <n v="106"/>
    <n v="7"/>
    <n v="11"/>
    <s v=""/>
    <s v=""/>
    <s v=""/>
    <s v=""/>
    <s v="тл"/>
    <x v="1"/>
  </r>
  <r>
    <x v="84"/>
    <n v="14"/>
    <n v="3"/>
    <n v="0"/>
    <n v="1.3"/>
    <n v="1"/>
    <n v="26"/>
    <n v="2"/>
    <n v="3"/>
    <s v=""/>
    <s v=""/>
    <s v=""/>
    <s v=""/>
    <s v="тл"/>
    <x v="1"/>
  </r>
  <r>
    <x v="85"/>
    <n v="91"/>
    <n v="7"/>
    <n v="2"/>
    <n v="4"/>
    <m/>
    <n v="68"/>
    <n v="3"/>
    <n v="11"/>
    <s v=""/>
    <s v=""/>
    <s v=""/>
    <s v=""/>
    <s v="тл"/>
    <x v="0"/>
  </r>
  <r>
    <x v="85"/>
    <n v="37"/>
    <n v="13"/>
    <n v="0"/>
    <n v="6.7"/>
    <n v="22"/>
    <n v="138"/>
    <n v="11"/>
    <n v="14"/>
    <s v=""/>
    <s v=""/>
    <s v=""/>
    <s v=""/>
    <s v="тл"/>
    <x v="0"/>
  </r>
  <r>
    <x v="85"/>
    <n v="37"/>
    <n v="5"/>
    <n v="0"/>
    <n v="0.7"/>
    <n v="2"/>
    <n v="20"/>
    <n v="2"/>
    <n v="2"/>
    <s v=""/>
    <s v=""/>
    <s v=""/>
    <s v=""/>
    <s v="тл"/>
    <x v="0"/>
  </r>
  <r>
    <x v="85"/>
    <n v="10"/>
    <n v="3"/>
    <n v="0"/>
    <n v="12.9"/>
    <n v="2"/>
    <n v="135"/>
    <n v="10"/>
    <n v="12"/>
    <s v=""/>
    <s v=""/>
    <s v=""/>
    <s v=""/>
    <s v="тл"/>
    <x v="0"/>
  </r>
  <r>
    <x v="86"/>
    <n v="18"/>
    <n v="5"/>
    <n v="0"/>
    <n v="1.4"/>
    <m/>
    <n v="45"/>
    <n v="1"/>
    <n v="7"/>
    <s v=""/>
    <s v=""/>
    <s v=""/>
    <s v=""/>
    <s v="тл"/>
    <x v="3"/>
  </r>
  <r>
    <x v="86"/>
    <n v="18"/>
    <n v="6"/>
    <n v="0"/>
    <n v="0.8"/>
    <m/>
    <n v="48"/>
    <n v="2"/>
    <n v="7"/>
    <s v=""/>
    <s v=""/>
    <s v=""/>
    <s v=""/>
    <s v="тл"/>
    <x v="3"/>
  </r>
  <r>
    <x v="86"/>
    <n v="39"/>
    <n v="3"/>
    <n v="0"/>
    <n v="1.2"/>
    <n v="5"/>
    <n v="55"/>
    <n v="4"/>
    <n v="15"/>
    <s v=""/>
    <s v=""/>
    <s v=""/>
    <s v=""/>
    <s v="тл"/>
    <x v="3"/>
  </r>
  <r>
    <x v="86"/>
    <n v="57"/>
    <n v="1"/>
    <n v="0"/>
    <n v="2.6"/>
    <n v="1"/>
    <n v="57"/>
    <n v="4"/>
    <n v="6"/>
    <s v=""/>
    <s v=""/>
    <s v=""/>
    <s v=""/>
    <s v="тл"/>
    <x v="3"/>
  </r>
  <r>
    <x v="86"/>
    <n v="57"/>
    <n v="3"/>
    <n v="0"/>
    <n v="3"/>
    <n v="1"/>
    <n v="89"/>
    <n v="7"/>
    <n v="11"/>
    <s v=""/>
    <s v=""/>
    <s v=""/>
    <s v=""/>
    <s v="тл"/>
    <x v="3"/>
  </r>
  <r>
    <x v="86"/>
    <n v="74"/>
    <n v="1"/>
    <n v="0"/>
    <n v="0.6"/>
    <n v="1"/>
    <n v="28"/>
    <n v="2"/>
    <n v="3"/>
    <s v=""/>
    <s v=""/>
    <s v=""/>
    <s v=""/>
    <s v="тл"/>
    <x v="3"/>
  </r>
  <r>
    <x v="86"/>
    <n v="77"/>
    <n v="4"/>
    <n v="0"/>
    <n v="3.5"/>
    <n v="5"/>
    <n v="67"/>
    <n v="6"/>
    <n v="12"/>
    <s v=""/>
    <s v=""/>
    <s v=""/>
    <s v=""/>
    <s v="тл"/>
    <x v="3"/>
  </r>
  <r>
    <x v="86"/>
    <n v="91"/>
    <n v="5"/>
    <n v="0"/>
    <n v="3.2"/>
    <m/>
    <n v="58"/>
    <n v="1"/>
    <n v="12"/>
    <s v=""/>
    <s v=""/>
    <s v=""/>
    <s v=""/>
    <s v="тл"/>
    <x v="3"/>
  </r>
  <r>
    <x v="86"/>
    <n v="94"/>
    <n v="4"/>
    <n v="0"/>
    <n v="11.4"/>
    <m/>
    <n v="162"/>
    <n v="8"/>
    <n v="17"/>
    <s v=""/>
    <s v=""/>
    <s v=""/>
    <s v=""/>
    <s v="тл"/>
    <x v="3"/>
  </r>
  <r>
    <x v="86"/>
    <n v="125"/>
    <n v="19"/>
    <n v="0"/>
    <n v="2"/>
    <m/>
    <n v="43"/>
    <n v="3"/>
    <n v="18"/>
    <s v=""/>
    <s v=""/>
    <s v=""/>
    <s v=""/>
    <s v="тл"/>
    <x v="3"/>
  </r>
  <r>
    <x v="86"/>
    <n v="127"/>
    <n v="33"/>
    <n v="0"/>
    <n v="6.3"/>
    <m/>
    <n v="151"/>
    <n v="6"/>
    <n v="32"/>
    <s v=""/>
    <s v=""/>
    <s v=""/>
    <s v=""/>
    <s v="тл"/>
    <x v="3"/>
  </r>
  <r>
    <x v="87"/>
    <n v="41"/>
    <n v="1"/>
    <n v="0"/>
    <n v="1.1000000000000001"/>
    <n v="3"/>
    <n v="30"/>
    <n v="2"/>
    <n v="3"/>
    <s v=""/>
    <s v=""/>
    <s v=""/>
    <s v=""/>
    <s v="тл"/>
    <x v="2"/>
  </r>
  <r>
    <x v="87"/>
    <n v="42"/>
    <n v="2"/>
    <n v="0"/>
    <n v="3"/>
    <n v="4"/>
    <n v="15"/>
    <n v="1"/>
    <n v="2"/>
    <s v=""/>
    <s v=""/>
    <s v=""/>
    <s v=""/>
    <s v="тл"/>
    <x v="2"/>
  </r>
  <r>
    <x v="87"/>
    <n v="42"/>
    <n v="3"/>
    <n v="0"/>
    <n v="2.2000000000000002"/>
    <n v="2"/>
    <n v="15"/>
    <n v="1"/>
    <n v="2"/>
    <s v=""/>
    <s v=""/>
    <s v=""/>
    <s v=""/>
    <s v="тл"/>
    <x v="2"/>
  </r>
  <r>
    <x v="87"/>
    <n v="56"/>
    <n v="8"/>
    <n v="0"/>
    <n v="1.4"/>
    <n v="7"/>
    <n v="25"/>
    <n v="2"/>
    <n v="3"/>
    <s v=""/>
    <s v=""/>
    <s v=""/>
    <s v=""/>
    <s v="тл"/>
    <x v="2"/>
  </r>
  <r>
    <x v="87"/>
    <n v="58"/>
    <n v="7"/>
    <n v="0"/>
    <n v="4.2"/>
    <n v="1"/>
    <n v="57"/>
    <n v="2"/>
    <n v="7"/>
    <s v=""/>
    <s v=""/>
    <s v=""/>
    <s v=""/>
    <s v="тл"/>
    <x v="2"/>
  </r>
  <r>
    <x v="87"/>
    <n v="71"/>
    <n v="3"/>
    <n v="0"/>
    <n v="10.199999999999999"/>
    <n v="35"/>
    <n v="217"/>
    <n v="17"/>
    <n v="23"/>
    <s v=""/>
    <s v=""/>
    <s v=""/>
    <s v=""/>
    <s v="тл"/>
    <x v="2"/>
  </r>
  <r>
    <x v="88"/>
    <n v="72"/>
    <n v="8"/>
    <n v="1"/>
    <n v="2.2000000000000002"/>
    <n v="4"/>
    <n v="42"/>
    <n v="2"/>
    <n v="6"/>
    <s v=""/>
    <s v=""/>
    <s v=""/>
    <s v=""/>
    <s v="тл"/>
    <x v="2"/>
  </r>
  <r>
    <x v="89"/>
    <n v="122"/>
    <n v="2"/>
    <n v="0"/>
    <n v="4"/>
    <n v="23"/>
    <n v="125"/>
    <n v="10"/>
    <n v="13"/>
    <s v=""/>
    <s v=""/>
    <s v=""/>
    <s v=""/>
    <s v="тл"/>
    <x v="5"/>
  </r>
  <r>
    <x v="89"/>
    <n v="120"/>
    <n v="1"/>
    <n v="0"/>
    <n v="16"/>
    <n v="24"/>
    <n v="384"/>
    <n v="32"/>
    <n v="31"/>
    <s v=""/>
    <s v=""/>
    <s v=""/>
    <s v=""/>
    <s v="тл"/>
    <x v="5"/>
  </r>
  <r>
    <x v="89"/>
    <n v="93"/>
    <n v="3"/>
    <n v="0"/>
    <n v="26.1"/>
    <n v="25"/>
    <n v="190"/>
    <n v="13"/>
    <n v="24"/>
    <s v=""/>
    <s v=""/>
    <s v=""/>
    <s v=""/>
    <s v="тл"/>
    <x v="5"/>
  </r>
  <r>
    <x v="89"/>
    <n v="83"/>
    <n v="1"/>
    <n v="0"/>
    <n v="10.3"/>
    <n v="35"/>
    <n v="159"/>
    <n v="16"/>
    <n v="16"/>
    <s v=""/>
    <s v=""/>
    <s v=""/>
    <s v=""/>
    <s v="тл"/>
    <x v="5"/>
  </r>
  <r>
    <x v="89"/>
    <n v="73"/>
    <n v="5"/>
    <n v="0"/>
    <n v="0.4"/>
    <m/>
    <n v="33"/>
    <n v="1"/>
    <n v="15"/>
    <s v=""/>
    <s v=""/>
    <s v=""/>
    <s v=""/>
    <s v="хв"/>
    <x v="5"/>
  </r>
  <r>
    <x v="89"/>
    <n v="73"/>
    <n v="3"/>
    <n v="0"/>
    <n v="2.2000000000000002"/>
    <n v="2"/>
    <n v="65"/>
    <n v="5"/>
    <n v="5"/>
    <s v=""/>
    <s v=""/>
    <s v=""/>
    <s v=""/>
    <s v="тл"/>
    <x v="5"/>
  </r>
  <r>
    <x v="89"/>
    <n v="46"/>
    <n v="10"/>
    <n v="0"/>
    <n v="11.1"/>
    <n v="2"/>
    <n v="94"/>
    <n v="7"/>
    <n v="8"/>
    <s v=""/>
    <s v=""/>
    <s v=""/>
    <s v=""/>
    <s v="тл"/>
    <x v="5"/>
  </r>
  <r>
    <x v="89"/>
    <n v="35"/>
    <n v="5"/>
    <n v="0"/>
    <n v="2.8"/>
    <n v="13"/>
    <n v="69"/>
    <n v="7"/>
    <n v="6"/>
    <s v=""/>
    <s v=""/>
    <s v=""/>
    <s v=""/>
    <s v="тл"/>
    <x v="5"/>
  </r>
  <r>
    <x v="89"/>
    <n v="28"/>
    <n v="10"/>
    <n v="0"/>
    <n v="0.9"/>
    <m/>
    <n v="29"/>
    <n v="2"/>
    <n v="3"/>
    <s v=""/>
    <s v=""/>
    <s v=""/>
    <s v=""/>
    <s v="тл"/>
    <x v="5"/>
  </r>
  <r>
    <x v="89"/>
    <n v="18"/>
    <n v="3"/>
    <n v="0"/>
    <n v="12"/>
    <n v="17"/>
    <n v="110"/>
    <n v="6"/>
    <n v="17"/>
    <s v=""/>
    <s v=""/>
    <s v=""/>
    <s v=""/>
    <s v="тл"/>
    <x v="5"/>
  </r>
  <r>
    <x v="90"/>
    <n v="42"/>
    <n v="1"/>
    <n v="0"/>
    <n v="0.3"/>
    <m/>
    <m/>
    <m/>
    <n v="6"/>
    <s v=""/>
    <s v=""/>
    <s v=""/>
    <s v=""/>
    <s v="тл"/>
    <x v="2"/>
  </r>
  <r>
    <x v="90"/>
    <n v="42"/>
    <n v="3"/>
    <n v="0"/>
    <n v="0.2"/>
    <m/>
    <m/>
    <m/>
    <n v="4"/>
    <s v=""/>
    <s v=""/>
    <s v=""/>
    <s v=""/>
    <s v="тл"/>
    <x v="2"/>
  </r>
  <r>
    <x v="90"/>
    <n v="41"/>
    <n v="14"/>
    <n v="0"/>
    <n v="0.1"/>
    <m/>
    <m/>
    <m/>
    <n v="3"/>
    <s v=""/>
    <s v=""/>
    <s v=""/>
    <s v=""/>
    <s v="тл"/>
    <x v="2"/>
  </r>
  <r>
    <x v="91"/>
    <n v="81"/>
    <n v="4"/>
    <n v="3"/>
    <n v="0.1"/>
    <m/>
    <n v="1"/>
    <m/>
    <m/>
    <s v=""/>
    <s v=""/>
    <s v=""/>
    <s v=""/>
    <s v="тл"/>
    <x v="0"/>
  </r>
  <r>
    <x v="91"/>
    <n v="18"/>
    <n v="6"/>
    <n v="1"/>
    <n v="0.5"/>
    <m/>
    <n v="10"/>
    <m/>
    <n v="2"/>
    <s v=""/>
    <s v=""/>
    <s v=""/>
    <s v=""/>
    <s v="тл"/>
    <x v="0"/>
  </r>
  <r>
    <x v="91"/>
    <n v="80"/>
    <n v="14"/>
    <n v="1"/>
    <n v="0.1"/>
    <m/>
    <n v="1"/>
    <m/>
    <m/>
    <s v=""/>
    <s v=""/>
    <s v=""/>
    <s v=""/>
    <s v="тл"/>
    <x v="0"/>
  </r>
  <r>
    <x v="91"/>
    <n v="81"/>
    <n v="3"/>
    <n v="1"/>
    <n v="0.1"/>
    <m/>
    <n v="1"/>
    <m/>
    <m/>
    <s v=""/>
    <s v=""/>
    <s v=""/>
    <s v=""/>
    <s v="тл"/>
    <x v="0"/>
  </r>
  <r>
    <x v="92"/>
    <n v="11"/>
    <n v="9"/>
    <n v="0"/>
    <n v="1.5"/>
    <n v="1"/>
    <n v="66"/>
    <n v="2"/>
    <n v="17"/>
    <s v=""/>
    <s v=""/>
    <s v=""/>
    <s v=""/>
    <s v="тл"/>
    <x v="3"/>
  </r>
  <r>
    <x v="92"/>
    <n v="72"/>
    <n v="4"/>
    <n v="0"/>
    <n v="9.9"/>
    <n v="3"/>
    <n v="101"/>
    <n v="6"/>
    <n v="33"/>
    <s v=""/>
    <s v=""/>
    <s v=""/>
    <s v=""/>
    <s v="тл"/>
    <x v="3"/>
  </r>
  <r>
    <x v="92"/>
    <n v="92"/>
    <n v="2"/>
    <n v="0"/>
    <n v="3.4"/>
    <m/>
    <n v="77"/>
    <n v="1"/>
    <n v="19"/>
    <s v=""/>
    <s v=""/>
    <s v=""/>
    <s v=""/>
    <s v="тл"/>
    <x v="3"/>
  </r>
  <r>
    <x v="92"/>
    <n v="109"/>
    <n v="7"/>
    <n v="0"/>
    <n v="1"/>
    <n v="1"/>
    <n v="18"/>
    <n v="1"/>
    <n v="8"/>
    <s v=""/>
    <s v=""/>
    <s v=""/>
    <s v=""/>
    <s v="тл"/>
    <x v="3"/>
  </r>
  <r>
    <x v="93"/>
    <n v="100"/>
    <n v="11"/>
    <n v="0"/>
    <n v="5.2"/>
    <n v="19"/>
    <n v="107"/>
    <n v="10"/>
    <n v="10"/>
    <s v=""/>
    <s v=""/>
    <s v=""/>
    <s v=""/>
    <s v="тл"/>
    <x v="1"/>
  </r>
  <r>
    <x v="93"/>
    <n v="81"/>
    <n v="2"/>
    <n v="0"/>
    <n v="1.3"/>
    <n v="5"/>
    <n v="41"/>
    <n v="1"/>
    <n v="5"/>
    <s v=""/>
    <s v=""/>
    <s v=""/>
    <s v=""/>
    <s v="хв"/>
    <x v="1"/>
  </r>
  <r>
    <x v="93"/>
    <n v="51"/>
    <n v="10"/>
    <n v="0"/>
    <n v="0.5"/>
    <m/>
    <n v="20"/>
    <m/>
    <n v="3"/>
    <s v=""/>
    <s v=""/>
    <s v=""/>
    <s v=""/>
    <s v="хв"/>
    <x v="1"/>
  </r>
  <r>
    <x v="93"/>
    <n v="22"/>
    <n v="7"/>
    <n v="0"/>
    <n v="0.8"/>
    <n v="1"/>
    <n v="25"/>
    <n v="2"/>
    <n v="2"/>
    <s v=""/>
    <s v=""/>
    <s v=""/>
    <s v=""/>
    <s v="тл"/>
    <x v="1"/>
  </r>
  <r>
    <x v="93"/>
    <n v="9"/>
    <n v="8"/>
    <n v="0"/>
    <n v="2.8"/>
    <n v="3"/>
    <n v="58"/>
    <n v="6"/>
    <n v="4"/>
    <s v=""/>
    <s v=""/>
    <s v=""/>
    <s v=""/>
    <s v="тл"/>
    <x v="1"/>
  </r>
  <r>
    <x v="94"/>
    <n v="55"/>
    <n v="1"/>
    <n v="2"/>
    <n v="0.5"/>
    <n v="15"/>
    <n v="54"/>
    <n v="1"/>
    <n v="10"/>
    <s v=""/>
    <s v=""/>
    <s v=""/>
    <s v=""/>
    <s v="хв"/>
    <x v="1"/>
  </r>
  <r>
    <x v="95"/>
    <n v="80"/>
    <n v="11"/>
    <n v="0"/>
    <n v="2.6"/>
    <m/>
    <m/>
    <m/>
    <n v="26"/>
    <s v=""/>
    <s v=""/>
    <s v=""/>
    <s v=""/>
    <s v="хв"/>
    <x v="1"/>
  </r>
  <r>
    <x v="95"/>
    <n v="81"/>
    <n v="13"/>
    <n v="0"/>
    <n v="1.5"/>
    <m/>
    <m/>
    <m/>
    <n v="15"/>
    <s v=""/>
    <s v=""/>
    <s v=""/>
    <s v=""/>
    <s v="хв"/>
    <x v="1"/>
  </r>
  <r>
    <x v="95"/>
    <n v="86"/>
    <n v="7"/>
    <n v="0"/>
    <n v="3"/>
    <m/>
    <m/>
    <m/>
    <n v="30"/>
    <s v=""/>
    <s v=""/>
    <s v=""/>
    <s v=""/>
    <s v="хв"/>
    <x v="1"/>
  </r>
  <r>
    <x v="96"/>
    <n v="27"/>
    <n v="11"/>
    <n v="0"/>
    <n v="1.9"/>
    <n v="261"/>
    <n v="314"/>
    <n v="45"/>
    <n v="42"/>
    <s v="122835"/>
    <s v="2970"/>
    <s v="174"/>
    <s v="78"/>
    <s v="тл"/>
    <x v="0"/>
  </r>
  <r>
    <x v="96"/>
    <n v="78"/>
    <n v="2"/>
    <n v="0"/>
    <n v="2"/>
    <n v="241"/>
    <n v="407"/>
    <n v="49"/>
    <n v="50"/>
    <s v="101935"/>
    <s v="3060"/>
    <s v="153"/>
    <s v="72"/>
    <s v="тл"/>
    <x v="0"/>
  </r>
  <r>
    <x v="96"/>
    <n v="3"/>
    <n v="3"/>
    <n v="1"/>
    <n v="4"/>
    <n v="561"/>
    <n v="738"/>
    <n v="99"/>
    <n v="99"/>
    <s v="217351"/>
    <s v="6997"/>
    <s v="383"/>
    <s v="185"/>
    <s v="тл"/>
    <x v="0"/>
  </r>
  <r>
    <x v="96"/>
    <n v="2"/>
    <n v="7"/>
    <n v="0"/>
    <n v="1.6"/>
    <n v="344"/>
    <n v="369"/>
    <n v="50"/>
    <n v="57"/>
    <s v="140765"/>
    <s v="3513"/>
    <s v="192"/>
    <s v="109"/>
    <s v="тл"/>
    <x v="0"/>
  </r>
  <r>
    <x v="96"/>
    <n v="76"/>
    <n v="5"/>
    <n v="1"/>
    <n v="1"/>
    <n v="103"/>
    <n v="220"/>
    <n v="25"/>
    <n v="25"/>
    <s v="40314"/>
    <s v="2104"/>
    <s v="95"/>
    <s v="44"/>
    <s v="тл"/>
    <x v="0"/>
  </r>
  <r>
    <x v="96"/>
    <n v="24"/>
    <n v="3"/>
    <n v="0"/>
    <n v="2.9"/>
    <n v="436"/>
    <n v="451"/>
    <n v="72"/>
    <n v="65"/>
    <s v="167273"/>
    <s v="4290"/>
    <s v="273"/>
    <s v="123"/>
    <s v="тл"/>
    <x v="0"/>
  </r>
  <r>
    <x v="96"/>
    <n v="40"/>
    <n v="7"/>
    <n v="0"/>
    <n v="1.3"/>
    <n v="203"/>
    <n v="246"/>
    <n v="34"/>
    <n v="33"/>
    <s v="67424"/>
    <s v="2314"/>
    <s v="134"/>
    <s v="61"/>
    <s v="тл"/>
    <x v="0"/>
  </r>
  <r>
    <x v="96"/>
    <n v="45"/>
    <n v="2"/>
    <n v="0"/>
    <n v="2.9"/>
    <n v="453"/>
    <n v="557"/>
    <n v="79"/>
    <n v="75"/>
    <s v="197496"/>
    <s v="5231"/>
    <s v="300"/>
    <s v="139"/>
    <s v="тл"/>
    <x v="0"/>
  </r>
  <r>
    <x v="96"/>
    <n v="23"/>
    <n v="13"/>
    <n v="0"/>
    <n v="1.1000000000000001"/>
    <n v="237"/>
    <n v="137"/>
    <n v="30"/>
    <n v="30"/>
    <s v="127500"/>
    <s v="1253"/>
    <s v="118"/>
    <s v="54"/>
    <s v="тл"/>
    <x v="0"/>
  </r>
  <r>
    <x v="96"/>
    <n v="51"/>
    <n v="2"/>
    <n v="0"/>
    <n v="3.7"/>
    <n v="492"/>
    <n v="489"/>
    <n v="76"/>
    <n v="73"/>
    <s v="259968"/>
    <s v="4361"/>
    <s v="287"/>
    <s v="134"/>
    <s v="тл"/>
    <x v="0"/>
  </r>
  <r>
    <x v="96"/>
    <n v="54"/>
    <n v="9"/>
    <n v="0"/>
    <n v="4.3"/>
    <n v="733"/>
    <n v="813"/>
    <n v="128"/>
    <n v="104"/>
    <s v="260023"/>
    <s v="7736"/>
    <s v="494"/>
    <s v="196"/>
    <s v="тл"/>
    <x v="0"/>
  </r>
  <r>
    <x v="96"/>
    <n v="16"/>
    <n v="5"/>
    <n v="0"/>
    <n v="0.4"/>
    <n v="46"/>
    <n v="85"/>
    <n v="9"/>
    <n v="8"/>
    <s v="10241"/>
    <s v="786"/>
    <s v="35"/>
    <s v="14"/>
    <s v="тл"/>
    <x v="0"/>
  </r>
  <r>
    <x v="97"/>
    <n v="20"/>
    <n v="4"/>
    <n v="1"/>
    <n v="1.6"/>
    <n v="206"/>
    <n v="208"/>
    <n v="31"/>
    <n v="33"/>
    <s v="46375"/>
    <s v="1504"/>
    <s v="93"/>
    <s v="47"/>
    <s v="тл"/>
    <x v="1"/>
  </r>
  <r>
    <x v="97"/>
    <n v="85"/>
    <n v="24"/>
    <n v="0"/>
    <n v="3"/>
    <n v="310"/>
    <n v="352"/>
    <n v="31"/>
    <n v="67"/>
    <s v="63101"/>
    <s v="2853"/>
    <s v="99"/>
    <s v="92"/>
    <s v="хв"/>
    <x v="1"/>
  </r>
  <r>
    <x v="97"/>
    <n v="51"/>
    <n v="4"/>
    <n v="0"/>
    <n v="2.4"/>
    <n v="132"/>
    <n v="506"/>
    <n v="45"/>
    <n v="56"/>
    <s v="41332"/>
    <s v="3540"/>
    <s v="131"/>
    <s v="74"/>
    <s v="тл"/>
    <x v="1"/>
  </r>
  <r>
    <x v="97"/>
    <n v="11"/>
    <n v="1"/>
    <n v="0"/>
    <n v="2.8"/>
    <n v="270"/>
    <n v="22"/>
    <n v="42"/>
    <n v="46"/>
    <s v="63936"/>
    <s v="2033"/>
    <s v="124"/>
    <s v="67"/>
    <s v="тл"/>
    <x v="1"/>
  </r>
  <r>
    <x v="97"/>
    <n v="113"/>
    <n v="4"/>
    <n v="1"/>
    <n v="1.5"/>
    <n v="346"/>
    <n v="174"/>
    <n v="45"/>
    <n v="35"/>
    <s v="184371"/>
    <s v="1621"/>
    <s v="175"/>
    <s v="65"/>
    <s v="тл"/>
    <x v="1"/>
  </r>
  <r>
    <x v="97"/>
    <n v="41"/>
    <n v="5"/>
    <n v="1"/>
    <n v="0.7"/>
    <n v="102"/>
    <n v="130"/>
    <n v="20"/>
    <n v="19"/>
    <s v="36991"/>
    <s v="1018"/>
    <s v="61"/>
    <s v="29"/>
    <s v="тл"/>
    <x v="1"/>
  </r>
  <r>
    <x v="97"/>
    <n v="16"/>
    <n v="3"/>
    <n v="1"/>
    <n v="1.8"/>
    <n v="236"/>
    <n v="308"/>
    <n v="42"/>
    <n v="44"/>
    <s v="35145"/>
    <s v="2185"/>
    <s v="124"/>
    <s v="60"/>
    <s v="тл"/>
    <x v="1"/>
  </r>
  <r>
    <x v="97"/>
    <n v="110"/>
    <n v="6"/>
    <n v="0"/>
    <n v="0.9"/>
    <n v="117"/>
    <n v="103"/>
    <n v="18"/>
    <n v="16"/>
    <s v="35444"/>
    <s v="954"/>
    <s v="69"/>
    <s v="28"/>
    <s v="тл"/>
    <x v="1"/>
  </r>
  <r>
    <x v="97"/>
    <n v="94"/>
    <n v="3"/>
    <n v="1"/>
    <n v="2.2000000000000002"/>
    <n v="331"/>
    <n v="336"/>
    <n v="52"/>
    <n v="51"/>
    <s v="56730"/>
    <s v="2470"/>
    <s v="162"/>
    <s v="75"/>
    <s v="тл"/>
    <x v="1"/>
  </r>
  <r>
    <x v="97"/>
    <n v="136"/>
    <n v="61"/>
    <n v="1"/>
    <n v="2.5"/>
    <n v="2"/>
    <n v="411"/>
    <n v="24"/>
    <n v="57"/>
    <s v="932"/>
    <s v="3117"/>
    <s v="75"/>
    <s v="85"/>
    <s v="тл"/>
    <x v="1"/>
  </r>
  <r>
    <x v="97"/>
    <n v="130"/>
    <n v="5"/>
    <n v="2"/>
    <n v="1.5"/>
    <n v="1"/>
    <n v="212"/>
    <n v="14"/>
    <n v="26"/>
    <s v="175"/>
    <s v="1612"/>
    <s v="42"/>
    <s v="40"/>
    <s v="тл"/>
    <x v="1"/>
  </r>
  <r>
    <x v="97"/>
    <n v="86"/>
    <n v="4"/>
    <n v="1"/>
    <n v="1"/>
    <n v="154"/>
    <n v="97"/>
    <n v="10"/>
    <n v="25"/>
    <s v="42666"/>
    <s v="777"/>
    <s v="33"/>
    <s v="35"/>
    <s v="хв"/>
    <x v="1"/>
  </r>
  <r>
    <x v="97"/>
    <n v="59"/>
    <n v="8"/>
    <n v="2"/>
    <n v="2.7"/>
    <n v="348"/>
    <n v="467"/>
    <n v="71"/>
    <n v="65"/>
    <s v="179092"/>
    <s v="4226"/>
    <s v="271"/>
    <s v="117"/>
    <s v="тл"/>
    <x v="1"/>
  </r>
  <r>
    <x v="98"/>
    <n v="65"/>
    <n v="6"/>
    <n v="1"/>
    <n v="3.5"/>
    <n v="342"/>
    <n v="351"/>
    <n v="56"/>
    <n v="63"/>
    <s v="9906"/>
    <s v="1773"/>
    <s v="123"/>
    <s v="64"/>
    <s v="тл"/>
    <x v="2"/>
  </r>
  <r>
    <x v="98"/>
    <n v="75"/>
    <n v="5"/>
    <n v="0"/>
    <n v="0.7"/>
    <n v="103"/>
    <n v="153"/>
    <n v="24"/>
    <n v="16"/>
    <s v="29783"/>
    <s v="808"/>
    <s v="51"/>
    <s v="16"/>
    <s v="тл"/>
    <x v="2"/>
  </r>
  <r>
    <x v="98"/>
    <n v="76"/>
    <n v="2"/>
    <n v="0"/>
    <n v="3.3"/>
    <n v="275"/>
    <n v="362"/>
    <n v="53"/>
    <n v="54"/>
    <s v="76659"/>
    <s v="1725"/>
    <s v="110"/>
    <s v="51"/>
    <s v="тл"/>
    <x v="2"/>
  </r>
  <r>
    <x v="98"/>
    <n v="52"/>
    <n v="3"/>
    <n v="0"/>
    <n v="4"/>
    <n v="507"/>
    <n v="565"/>
    <n v="92"/>
    <n v="72"/>
    <s v="165376"/>
    <s v="2895"/>
    <s v="197"/>
    <s v="74"/>
    <s v="тл"/>
    <x v="2"/>
  </r>
  <r>
    <x v="99"/>
    <n v="20"/>
    <n v="3"/>
    <n v="0"/>
    <n v="2.8"/>
    <n v="203"/>
    <n v="526"/>
    <n v="54"/>
    <n v="57"/>
    <s v="39504"/>
    <s v="3895"/>
    <s v="165"/>
    <s v="82"/>
    <s v="тл"/>
    <x v="3"/>
  </r>
  <r>
    <x v="99"/>
    <n v="52"/>
    <n v="7"/>
    <n v="0"/>
    <n v="0.3"/>
    <n v="36"/>
    <n v="41"/>
    <n v="6"/>
    <n v="6"/>
    <s v="12721"/>
    <s v="285"/>
    <s v="16"/>
    <s v="8"/>
    <s v="тл"/>
    <x v="3"/>
  </r>
  <r>
    <x v="99"/>
    <n v="55"/>
    <n v="7"/>
    <n v="0"/>
    <n v="0.3"/>
    <n v="24"/>
    <n v="46"/>
    <n v="5"/>
    <n v="6"/>
    <s v="3583"/>
    <s v="294"/>
    <s v="13"/>
    <s v="8"/>
    <s v="тл"/>
    <x v="3"/>
  </r>
  <r>
    <x v="99"/>
    <n v="56"/>
    <n v="13"/>
    <n v="0"/>
    <n v="0.8"/>
    <n v="122"/>
    <n v="149"/>
    <n v="20"/>
    <n v="22"/>
    <s v="43992"/>
    <s v="1021"/>
    <s v="57"/>
    <s v="28"/>
    <s v="тл"/>
    <x v="3"/>
  </r>
  <r>
    <x v="99"/>
    <n v="59"/>
    <n v="5"/>
    <n v="1"/>
    <n v="1.8"/>
    <n v="161"/>
    <n v="353"/>
    <n v="37"/>
    <n v="41"/>
    <s v="59997"/>
    <s v="2619"/>
    <s v="114"/>
    <s v="60"/>
    <s v="тл"/>
    <x v="3"/>
  </r>
  <r>
    <x v="99"/>
    <n v="69"/>
    <n v="2"/>
    <n v="2"/>
    <n v="2.2999999999999998"/>
    <n v="444"/>
    <n v="297"/>
    <n v="63"/>
    <n v="54"/>
    <s v="198458"/>
    <s v="2172"/>
    <s v="197"/>
    <s v="78"/>
    <s v="тл"/>
    <x v="3"/>
  </r>
  <r>
    <x v="99"/>
    <n v="90"/>
    <n v="6"/>
    <n v="1"/>
    <n v="2.5"/>
    <n v="156"/>
    <n v="464"/>
    <n v="51"/>
    <n v="38"/>
    <s v="40128"/>
    <s v="4403"/>
    <s v="196"/>
    <s v="71"/>
    <s v="тл"/>
    <x v="3"/>
  </r>
  <r>
    <x v="99"/>
    <n v="100"/>
    <n v="2"/>
    <n v="1"/>
    <n v="3"/>
    <n v="300"/>
    <n v="422"/>
    <n v="58"/>
    <n v="56"/>
    <s v="159363"/>
    <s v="3863"/>
    <s v="220"/>
    <s v="99"/>
    <s v="тл"/>
    <x v="3"/>
  </r>
  <r>
    <x v="99"/>
    <n v="43"/>
    <n v="6"/>
    <n v="0"/>
    <n v="1.3"/>
    <n v="50"/>
    <n v="255"/>
    <n v="19"/>
    <n v="28"/>
    <s v="9847"/>
    <s v="1851"/>
    <s v="57"/>
    <s v="39"/>
    <s v="тл"/>
    <x v="3"/>
  </r>
  <r>
    <x v="99"/>
    <n v="21"/>
    <n v="2"/>
    <n v="0"/>
    <n v="1"/>
    <n v="170"/>
    <n v="209"/>
    <n v="38"/>
    <n v="22"/>
    <s v="78250"/>
    <s v="1594"/>
    <s v="118"/>
    <s v="33"/>
    <s v="тл"/>
    <x v="3"/>
  </r>
  <r>
    <x v="99"/>
    <n v="39"/>
    <n v="5"/>
    <n v="0"/>
    <n v="2.4"/>
    <n v="119"/>
    <n v="494"/>
    <n v="42"/>
    <n v="51"/>
    <s v="21561"/>
    <s v="3527"/>
    <s v="125"/>
    <s v="70"/>
    <s v="тл"/>
    <x v="3"/>
  </r>
  <r>
    <x v="99"/>
    <n v="50"/>
    <n v="2"/>
    <n v="0"/>
    <n v="1.8"/>
    <n v="112"/>
    <n v="314"/>
    <n v="35"/>
    <n v="31"/>
    <s v="43396"/>
    <s v="2330"/>
    <s v="107"/>
    <s v="46"/>
    <s v="тл"/>
    <x v="3"/>
  </r>
  <r>
    <x v="99"/>
    <n v="113"/>
    <n v="11"/>
    <n v="0"/>
    <n v="0.9"/>
    <n v="80"/>
    <n v="154"/>
    <n v="17"/>
    <n v="19"/>
    <s v="16413"/>
    <s v="1425"/>
    <s v="61"/>
    <s v="36"/>
    <s v="тл"/>
    <x v="3"/>
  </r>
  <r>
    <x v="99"/>
    <n v="137"/>
    <n v="14"/>
    <n v="1"/>
    <n v="2.8"/>
    <n v="0"/>
    <n v="309"/>
    <n v="13"/>
    <n v="48"/>
    <s v="0"/>
    <s v="2936"/>
    <s v="50"/>
    <s v="91"/>
    <s v="тл"/>
    <x v="3"/>
  </r>
  <r>
    <x v="99"/>
    <n v="121"/>
    <n v="4"/>
    <n v="0"/>
    <n v="0.8"/>
    <n v="1"/>
    <n v="151"/>
    <n v="8"/>
    <n v="23"/>
    <s v="314"/>
    <s v="1466"/>
    <s v="27"/>
    <s v="43"/>
    <s v="тл"/>
    <x v="3"/>
  </r>
  <r>
    <x v="99"/>
    <n v="115"/>
    <n v="6"/>
    <n v="0"/>
    <n v="0.3"/>
    <n v="19"/>
    <n v="63"/>
    <n v="6"/>
    <n v="8"/>
    <s v="3868"/>
    <s v="566"/>
    <s v="22"/>
    <s v="11"/>
    <s v="тл"/>
    <x v="3"/>
  </r>
  <r>
    <x v="100"/>
    <n v="41"/>
    <n v="10"/>
    <n v="0"/>
    <n v="1.7"/>
    <n v="260"/>
    <n v="410"/>
    <n v="24"/>
    <n v="66"/>
    <s v="58090"/>
    <s v="2757"/>
    <s v="69"/>
    <s v="85"/>
    <s v="хв"/>
    <x v="4"/>
  </r>
  <r>
    <x v="100"/>
    <n v="20"/>
    <n v="4"/>
    <n v="1"/>
    <n v="2.2000000000000002"/>
    <n v="292"/>
    <n v="211"/>
    <n v="21"/>
    <n v="52"/>
    <s v="64569"/>
    <s v="1617"/>
    <s v="62"/>
    <s v="71"/>
    <s v="хв"/>
    <x v="4"/>
  </r>
  <r>
    <x v="100"/>
    <n v="40"/>
    <n v="2"/>
    <n v="0"/>
    <n v="1"/>
    <n v="110"/>
    <n v="230"/>
    <n v="15"/>
    <n v="33"/>
    <s v="24627"/>
    <s v="11650"/>
    <s v="44"/>
    <s v="46"/>
    <s v="хв"/>
    <x v="4"/>
  </r>
  <r>
    <x v="100"/>
    <n v="84"/>
    <n v="11"/>
    <n v="0"/>
    <n v="2.1"/>
    <n v="338"/>
    <n v="601"/>
    <n v="71"/>
    <n v="67"/>
    <s v="168721"/>
    <s v="5592"/>
    <s v="269"/>
    <s v="125"/>
    <s v="тл"/>
    <x v="4"/>
  </r>
  <r>
    <x v="100"/>
    <n v="49"/>
    <n v="1"/>
    <n v="2"/>
    <n v="4.5999999999999996"/>
    <n v="728"/>
    <n v="905"/>
    <n v="151"/>
    <n v="114"/>
    <s v="309024"/>
    <s v="689"/>
    <s v="470"/>
    <s v="171"/>
    <s v="тл"/>
    <x v="4"/>
  </r>
  <r>
    <x v="100"/>
    <n v="85"/>
    <n v="7"/>
    <n v="0"/>
    <n v="1.4"/>
    <n v="65"/>
    <n v="386"/>
    <n v="26"/>
    <n v="40"/>
    <s v="14803"/>
    <s v="3732"/>
    <s v="100"/>
    <s v="77"/>
    <s v="тл"/>
    <x v="4"/>
  </r>
  <r>
    <x v="100"/>
    <n v="114"/>
    <n v="1"/>
    <n v="2"/>
    <n v="0.6"/>
    <n v="23"/>
    <n v="142"/>
    <n v="10"/>
    <n v="21"/>
    <s v="5370"/>
    <s v="96"/>
    <s v="27"/>
    <s v="26"/>
    <s v="тл"/>
    <x v="4"/>
  </r>
  <r>
    <x v="101"/>
    <n v="133"/>
    <n v="13"/>
    <n v="0"/>
    <n v="0.6"/>
    <n v="46"/>
    <n v="109"/>
    <n v="10"/>
    <n v="13"/>
    <s v="7704"/>
    <s v="819"/>
    <s v="30"/>
    <s v="19"/>
    <s v="тл"/>
    <x v="5"/>
  </r>
  <r>
    <x v="101"/>
    <n v="50"/>
    <n v="5"/>
    <n v="1"/>
    <n v="5"/>
    <n v="526"/>
    <n v="1025"/>
    <n v="134"/>
    <n v="100"/>
    <s v="191419"/>
    <s v="7289"/>
    <s v="401"/>
    <s v="140"/>
    <s v="тл"/>
    <x v="5"/>
  </r>
  <r>
    <x v="101"/>
    <n v="68"/>
    <n v="5"/>
    <n v="0"/>
    <n v="2.1"/>
    <n v="228"/>
    <n v="449"/>
    <n v="53"/>
    <n v="49"/>
    <s v="48911"/>
    <s v="2184"/>
    <s v="107"/>
    <s v="46"/>
    <s v="тл"/>
    <x v="5"/>
  </r>
  <r>
    <x v="101"/>
    <n v="29"/>
    <n v="7"/>
    <n v="4"/>
    <n v="2.7"/>
    <n v="322"/>
    <n v="410"/>
    <n v="65"/>
    <n v="49"/>
    <s v="142122"/>
    <s v="2878"/>
    <s v="195"/>
    <s v="69"/>
    <s v="тл"/>
    <x v="5"/>
  </r>
  <r>
    <x v="101"/>
    <n v="106"/>
    <n v="3"/>
    <n v="2"/>
    <n v="4"/>
    <n v="384"/>
    <n v="792"/>
    <n v="96"/>
    <n v="95"/>
    <s v="130817"/>
    <s v="5504"/>
    <s v="285"/>
    <s v="131"/>
    <s v="тл"/>
    <x v="5"/>
  </r>
  <r>
    <x v="101"/>
    <n v="34"/>
    <n v="7"/>
    <n v="1"/>
    <n v="4"/>
    <n v="495"/>
    <n v="714"/>
    <n v="98"/>
    <n v="97"/>
    <s v="184391"/>
    <s v="4855"/>
    <s v="288"/>
    <s v="133"/>
    <s v="тл"/>
    <x v="5"/>
  </r>
  <r>
    <x v="101"/>
    <n v="7"/>
    <n v="12"/>
    <n v="0"/>
    <n v="1.4"/>
    <n v="198"/>
    <n v="196"/>
    <n v="30"/>
    <n v="38"/>
    <s v="80820"/>
    <s v="1773"/>
    <s v="114"/>
    <s v="70"/>
    <s v="тл"/>
    <x v="5"/>
  </r>
  <r>
    <x v="101"/>
    <n v="101"/>
    <n v="12"/>
    <n v="0"/>
    <n v="2.8"/>
    <n v="286"/>
    <n v="469"/>
    <n v="67"/>
    <n v="56"/>
    <s v="122901"/>
    <s v="3301"/>
    <s v="201"/>
    <s v="78"/>
    <s v="тл"/>
    <x v="5"/>
  </r>
  <r>
    <x v="101"/>
    <n v="10"/>
    <n v="2"/>
    <n v="0"/>
    <n v="1.4"/>
    <n v="190"/>
    <n v="214"/>
    <n v="31"/>
    <n v="34"/>
    <s v="105693"/>
    <s v="1906"/>
    <s v="120"/>
    <s v="60"/>
    <s v="тл"/>
    <x v="5"/>
  </r>
  <r>
    <x v="101"/>
    <n v="30"/>
    <n v="2"/>
    <n v="5"/>
    <n v="3"/>
    <n v="313"/>
    <n v="614"/>
    <n v="87"/>
    <n v="61"/>
    <s v="141703"/>
    <s v="4552"/>
    <s v="266"/>
    <s v="88"/>
    <s v="тл"/>
    <x v="5"/>
  </r>
  <r>
    <x v="101"/>
    <n v="121"/>
    <n v="1"/>
    <n v="2"/>
    <n v="2.6"/>
    <n v="416"/>
    <n v="4554"/>
    <n v="70"/>
    <n v="69"/>
    <s v="73858"/>
    <s v="2255"/>
    <s v="145"/>
    <s v="68"/>
    <s v="тл"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3" cacheId="0" applyNumberFormats="0" applyBorderFormats="0" applyFontFormats="0" applyPatternFormats="0" applyAlignmentFormats="0" applyWidthHeightFormats="1" dataCaption="Значения" updatedVersion="6" minRefreshableVersion="3" useAutoFormatting="1" rowGrandTotals="0" colGrandTotals="0" itemPrintTitles="1" createdVersion="6" indent="0" outline="1" outlineData="1" multipleFieldFilters="0">
  <location ref="L4:L19" firstHeaderRow="1" firstDataRow="1" firstDataCol="1" rowPageCount="1" colPageCount="1"/>
  <pivotFields count="15">
    <pivotField axis="axisRow" showAll="0">
      <items count="103">
        <item x="0"/>
        <item x="1"/>
        <item x="2"/>
        <item x="3"/>
        <item x="4"/>
        <item x="5"/>
        <item x="23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6"/>
        <item x="97"/>
        <item x="98"/>
        <item x="99"/>
        <item x="100"/>
        <item x="101"/>
        <item x="9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7">
        <item x="3"/>
        <item h="1" x="4"/>
        <item h="1" x="0"/>
        <item h="1" x="2"/>
        <item h="1" x="1"/>
        <item h="1" x="5"/>
        <item t="default"/>
      </items>
    </pivotField>
  </pivotFields>
  <rowFields count="1">
    <field x="0"/>
  </rowFields>
  <rowItems count="15">
    <i>
      <x v="3"/>
    </i>
    <i>
      <x v="21"/>
    </i>
    <i>
      <x v="22"/>
    </i>
    <i>
      <x v="23"/>
    </i>
    <i>
      <x v="24"/>
    </i>
    <i>
      <x v="29"/>
    </i>
    <i>
      <x v="36"/>
    </i>
    <i>
      <x v="40"/>
    </i>
    <i>
      <x v="47"/>
    </i>
    <i>
      <x v="52"/>
    </i>
    <i>
      <x v="57"/>
    </i>
    <i>
      <x v="70"/>
    </i>
    <i>
      <x v="86"/>
    </i>
    <i>
      <x v="92"/>
    </i>
    <i>
      <x v="98"/>
    </i>
  </rowItems>
  <colItems count="1">
    <i/>
  </colItems>
  <pageFields count="1">
    <pageField fld="14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ExternalData_1" connectionId="20" autoFormatId="0" applyNumberFormats="0" applyBorderFormats="0" applyFontFormats="1" applyPatternFormats="1" applyAlignmentFormats="0" applyWidthHeightFormats="0">
  <queryTableRefresh preserveSortFilterLayout="0" nextId="21" unboundColumnsRight="2">
    <queryTableFields count="20">
      <queryTableField id="1" name="Лісництво" tableColumnId="19"/>
      <queryTableField id="2" name="Вид рубки" tableColumnId="20"/>
      <queryTableField id="3" name="Ділянка" tableColumnId="21"/>
      <queryTableField id="4" name="Номер" tableColumnId="22"/>
      <queryTableField id="5" name="Дата початку" tableColumnId="23"/>
      <queryTableField id="6" name="Дата закінчення" tableColumnId="24"/>
      <queryTableField id="7" name="Площа" tableColumnId="25"/>
      <queryTableField id="8" name="Ділова" tableColumnId="26"/>
      <queryTableField id="9" name="Дров'яна" tableColumnId="27"/>
      <queryTableField id="10" name="Всього куб. м." tableColumnId="28"/>
      <queryTableField id="11" name="Сведено" tableColumnId="29"/>
      <queryTableField id="12" name="Виконавець" tableColumnId="30"/>
      <queryTableField id="13" name="Номер договору" tableColumnId="31"/>
      <queryTableField id="14" name="Месяц договору" tableColumnId="32"/>
      <queryTableField id="15" name="СКР" tableColumnId="33"/>
      <queryTableField id="16" name="Порядковий договору" tableColumnId="34"/>
      <queryTableField id="17" name="Месяц ЛК" tableColumnId="35"/>
      <queryTableField id="18" name="Вик" tableColumnId="36"/>
      <queryTableField id="19" dataBound="0" tableColumnId="1"/>
      <queryTableField id="20" dataBound="0" tableColumnId="2"/>
    </queryTableFields>
  </queryTableRefresh>
</queryTable>
</file>

<file path=xl/queryTables/queryTable2.xml><?xml version="1.0" encoding="utf-8"?>
<queryTable xmlns="http://schemas.openxmlformats.org/spreadsheetml/2006/main" name="ExternalData_1" removeDataOnSave="1" connectionId="10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Вызванная функция" tableColumnId="1"/>
    </queryTableFields>
  </queryTableRefresh>
</queryTable>
</file>

<file path=xl/queryTables/queryTable3.xml><?xml version="1.0" encoding="utf-8"?>
<queryTable xmlns="http://schemas.openxmlformats.org/spreadsheetml/2006/main" name="ExternalData_1" removeDataOnSave="1" connectionId="11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9"/>
      <queryTableField id="2" name="Column2" tableColumnId="10"/>
    </queryTableFields>
  </queryTableRefresh>
</queryTable>
</file>

<file path=xl/queryTables/queryTable4.xml><?xml version="1.0" encoding="utf-8"?>
<queryTable xmlns="http://schemas.openxmlformats.org/spreadsheetml/2006/main" name="ExternalData_1" removeDataOnSave="1" connectionId="12" autoFormatId="0" applyNumberFormats="0" applyBorderFormats="0" applyFontFormats="1" applyPatternFormats="1" applyAlignmentFormats="0" applyWidthHeightFormats="0">
  <queryTableRefresh preserveSortFilterLayout="0" nextId="4">
    <queryTableFields count="2">
      <queryTableField id="1" name="Column1" tableColumnId="10"/>
      <queryTableField id="2" name="Column2" tableColumnId="11"/>
    </queryTableFields>
  </queryTableRefresh>
</queryTable>
</file>

<file path=xl/queryTables/queryTable5.xml><?xml version="1.0" encoding="utf-8"?>
<queryTable xmlns="http://schemas.openxmlformats.org/spreadsheetml/2006/main" name="ExternalData_1" connectionId="6" autoFormatId="0" applyNumberFormats="0" applyBorderFormats="0" applyFontFormats="1" applyPatternFormats="1" applyAlignmentFormats="0" applyWidthHeightFormats="0">
  <queryTableRefresh preserveSortFilterLayout="0" nextId="4">
    <queryTableFields count="3">
      <queryTableField id="1" name="Сведено.1" tableColumnId="8"/>
      <queryTableField id="2" name="Сведено.2" tableColumnId="9"/>
      <queryTableField id="3" name="Сведено.3" tableColumnId="10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СКР" tableColumnId="1"/>
      <queryTableField id="2" name="Сведено.1" tableColumnId="2"/>
      <queryTableField id="3" name="Сведено.2" tableColumnId="3"/>
      <queryTableField id="4" name="Сведено.3" tableColumnId="4"/>
      <queryTableField id="5" name="Сведено.4" tableColumnId="5"/>
      <queryTableField id="6" name="Атрибут" tableColumnId="6"/>
      <queryTableField id="7" name="Значение" tableColumnId="7"/>
    </queryTableFields>
  </queryTableRefresh>
</queryTable>
</file>

<file path=xl/queryTables/queryTable7.xml><?xml version="1.0" encoding="utf-8"?>
<queryTable xmlns="http://schemas.openxmlformats.org/spreadsheetml/2006/main" name="ExternalData_1" connectionId="13" autoFormatId="0" applyNumberFormats="0" applyBorderFormats="0" applyFontFormats="1" applyPatternFormats="1" applyAlignmentFormats="0" applyWidthHeightFormats="0">
  <queryTableRefresh preserveSortFilterLayout="0" nextId="13">
    <queryTableFields count="12">
      <queryTableField id="1" name="Ділянка" tableColumnId="1"/>
      <queryTableField id="2" name="Дата початку" tableColumnId="2"/>
      <queryTableField id="3" name="Дата закінчення" tableColumnId="3"/>
      <queryTableField id="4" name="Площа" tableColumnId="4"/>
      <queryTableField id="5" name="Сведено" tableColumnId="5"/>
      <queryTableField id="6" name="Виконавець" tableColumnId="6"/>
      <queryTableField id="7" name="Номер договору" tableColumnId="7"/>
      <queryTableField id="8" name="Месяц договору" tableColumnId="8"/>
      <queryTableField id="9" name="СКР" tableColumnId="9"/>
      <queryTableField id="10" name="Порядковий договору" tableColumnId="10"/>
      <queryTableField id="11" name="Месяц ЛК" tableColumnId="11"/>
      <queryTableField id="12" name="Вик" tableColumnId="12"/>
    </queryTableFields>
  </queryTableRefresh>
</queryTable>
</file>

<file path=xl/queryTables/queryTable8.xml><?xml version="1.0" encoding="utf-8"?>
<queryTable xmlns="http://schemas.openxmlformats.org/spreadsheetml/2006/main" name="ExternalData_1" connectionId="2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Лісництво" tableColumnId="12"/>
      <queryTableField id="2" name="Вид рубки" tableColumnId="13"/>
      <queryTableField id="3" name="Ділянка" tableColumnId="14"/>
      <queryTableField id="4" name="Номер" tableColumnId="15"/>
      <queryTableField id="5" name="Дата початку" tableColumnId="16"/>
      <queryTableField id="6" name="Дата закінчення" tableColumnId="17"/>
      <queryTableField id="7" name="Площа" tableColumnId="18"/>
      <queryTableField id="8" name="Ділова" tableColumnId="19"/>
      <queryTableField id="9" name="Дров'яна" tableColumnId="20"/>
      <queryTableField id="10" name="Всього куб. м." tableColumnId="21"/>
      <queryTableField id="11" name="Сведено" tableColumnId="22"/>
    </queryTableFields>
  </queryTableRefresh>
</queryTable>
</file>

<file path=xl/queryTables/queryTable9.xml><?xml version="1.0" encoding="utf-8"?>
<queryTable xmlns="http://schemas.openxmlformats.org/spreadsheetml/2006/main" name="ExternalData_1" connectionId="14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Лісгосп" tableColumnId="15"/>
      <queryTableField id="2" name="Лісництво" tableColumnId="16"/>
      <queryTableField id="3" name="Виконавець" tableColumnId="17"/>
      <queryTableField id="4" name="Ділянка" tableColumnId="18"/>
      <queryTableField id="5" name="Номер договору" tableColumnId="19"/>
      <queryTableField id="6" name="Номер" tableColumnId="20"/>
      <queryTableField id="7" name="Сведено" tableColumnId="21"/>
    </queryTableFields>
  </queryTableRefresh>
</queryTable>
</file>

<file path=xl/queryTables/queryTable10.xml><?xml version="1.0" encoding="utf-8"?>
<queryTable xmlns="http://schemas.openxmlformats.org/spreadsheetml/2006/main" name="ExternalData_1" connectionId="8" autoFormatId="0" applyNumberFormats="0" applyBorderFormats="0" applyFontFormats="1" applyPatternFormats="1" applyAlignmentFormats="0" applyWidthHeightFormats="0">
  <queryTableRefresh preserveSortFilterLayout="0" nextId="3">
    <queryTableFields count="1">
      <queryTableField id="1" name="Name" tableColumnId="9"/>
    </queryTableFields>
  </queryTableRefresh>
</queryTable>
</file>

<file path=xl/queryTables/queryTable11.xml><?xml version="1.0" encoding="utf-8"?>
<queryTable xmlns="http://schemas.openxmlformats.org/spreadsheetml/2006/main" name="ExternalData_1" connectionId="18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Майстри" tableColumnId="3"/>
    </queryTableFields>
  </queryTableRefresh>
</queryTable>
</file>

<file path=xl/queryTables/queryTable12.xml><?xml version="1.0" encoding="utf-8"?>
<queryTable xmlns="http://schemas.openxmlformats.org/spreadsheetml/2006/main" name="ExternalData_1" connectionId="16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ИнформацияДляСтрочки.1" tableColumnId="5"/>
      <queryTableField id="2" name="ИнформацияДляСтрочки.15" tableColumnId="6"/>
    </queryTableFields>
  </queryTableRefresh>
</queryTable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5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6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6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6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6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7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table1.xml><?xml version="1.0" encoding="utf-8"?>
<table xmlns="http://schemas.openxmlformats.org/spreadsheetml/2006/main" id="52" name="ЗД_ТП" displayName="ЗД_ТП" ref="A2:F28" totalsRowShown="0" headerRowDxfId="413" dataDxfId="411" headerRowBorderDxfId="412" tableBorderDxfId="410">
  <autoFilter ref="A2:F28"/>
  <tableColumns count="6">
    <tableColumn id="1" name="Вибираема маса" dataDxfId="409"/>
    <tableColumn id="2" name="8" dataDxfId="408"/>
    <tableColumn id="3" name="10" dataDxfId="407"/>
    <tableColumn id="4" name="14" dataDxfId="406"/>
    <tableColumn id="5" name="24" dataDxfId="405"/>
    <tableColumn id="6" name="1000" dataDxfId="40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53" name="ЗД_ХМ" displayName="ЗД_ХМ" ref="M2:R28" totalsRowShown="0" headerRowDxfId="403" dataDxfId="401" headerRowBorderDxfId="402" tableBorderDxfId="400">
  <autoFilter ref="M2:R28"/>
  <tableColumns count="6">
    <tableColumn id="1" name="Вибираема маса" dataDxfId="399"/>
    <tableColumn id="2" name="8" dataDxfId="398"/>
    <tableColumn id="3" name="10" dataDxfId="397"/>
    <tableColumn id="4" name="14" dataDxfId="396"/>
    <tableColumn id="5" name="24" dataDxfId="395"/>
    <tableColumn id="6" name="1000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50" name="ЗГ_ТП" displayName="ЗГ_ТП" ref="A2:F28" totalsRowShown="0" headerRowDxfId="394" dataDxfId="392" headerRowBorderDxfId="393" tableBorderDxfId="391" totalsRowBorderDxfId="390">
  <autoFilter ref="A2:F28"/>
  <tableColumns count="6">
    <tableColumn id="1" name="Вибираема маса" dataDxfId="389"/>
    <tableColumn id="2" name="8" dataDxfId="388"/>
    <tableColumn id="3" name="10" dataDxfId="387"/>
    <tableColumn id="4" name="14" dataDxfId="386"/>
    <tableColumn id="5" name="24" dataDxfId="385"/>
    <tableColumn id="6" name="1000" dataDxfId="38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51" name="ЗГ_ХМ" displayName="ЗГ_ХМ" ref="O2:T28" totalsRowShown="0" headerRowDxfId="383" headerRowBorderDxfId="382" tableBorderDxfId="381" totalsRowBorderDxfId="380">
  <autoFilter ref="O2:T28"/>
  <tableColumns count="6">
    <tableColumn id="1" name="Вибираема маса" dataDxfId="379"/>
    <tableColumn id="2" name="8" dataDxfId="378"/>
    <tableColumn id="3" name="10" dataDxfId="377"/>
    <tableColumn id="4" name="14" dataDxfId="376"/>
    <tableColumn id="5" name="24" dataDxfId="375"/>
    <tableColumn id="6" name="1000" dataDxfId="374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48" name="ЗС_ТП" displayName="ЗС_ТП" ref="A2:F28" totalsRowShown="0" headerRowDxfId="373" dataDxfId="371" headerRowBorderDxfId="372" tableBorderDxfId="370" totalsRowBorderDxfId="369">
  <autoFilter ref="A2:F28"/>
  <tableColumns count="6">
    <tableColumn id="1" name="Вибираема маса" dataDxfId="368"/>
    <tableColumn id="2" name="8" dataDxfId="367"/>
    <tableColumn id="3" name="10" dataDxfId="366"/>
    <tableColumn id="4" name="14" dataDxfId="365"/>
    <tableColumn id="5" name="24" dataDxfId="364"/>
    <tableColumn id="6" name="1000" dataDxfId="363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49" name="ЗС_ХМ" displayName="ЗС_ХМ" ref="Q2:V28" totalsRowShown="0" headerRowDxfId="362" dataDxfId="360" headerRowBorderDxfId="361" tableBorderDxfId="359" totalsRowBorderDxfId="358">
  <autoFilter ref="Q2:V28"/>
  <tableColumns count="6">
    <tableColumn id="1" name="Вибираема маса" dataDxfId="357"/>
    <tableColumn id="2" name="8" dataDxfId="356"/>
    <tableColumn id="3" name="10" dataDxfId="355"/>
    <tableColumn id="4" name="14" dataDxfId="354"/>
    <tableColumn id="5" name="24" dataDxfId="353"/>
    <tableColumn id="6" name="1000" dataDxfId="352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6" name="РХ_ТП_1" displayName="РХ_ТП_1" ref="A2:F28" totalsRowShown="0" headerRowDxfId="351" dataDxfId="349" headerRowBorderDxfId="350" tableBorderDxfId="348" totalsRowBorderDxfId="347">
  <autoFilter ref="A2:F28"/>
  <tableColumns count="6">
    <tableColumn id="1" name="Вибираема маса" dataDxfId="346"/>
    <tableColumn id="2" name="8" dataDxfId="345"/>
    <tableColumn id="3" name="10" dataDxfId="344"/>
    <tableColumn id="4" name="14" dataDxfId="343"/>
    <tableColumn id="5" name="24" dataDxfId="342"/>
    <tableColumn id="6" name="1000" dataDxfId="341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47" name="РХ_ХМ_1" displayName="РХ_ХМ_1" ref="Q2:V28" totalsRowShown="0" headerRowDxfId="340" dataDxfId="338" headerRowBorderDxfId="339" tableBorderDxfId="337" totalsRowBorderDxfId="336">
  <autoFilter ref="Q2:V28"/>
  <tableColumns count="6">
    <tableColumn id="1" name="Вибираема маса" dataDxfId="335"/>
    <tableColumn id="2" name="8" dataDxfId="334"/>
    <tableColumn id="3" name="10" dataDxfId="333"/>
    <tableColumn id="4" name="14" dataDxfId="332"/>
    <tableColumn id="5" name="24" dataDxfId="331"/>
    <tableColumn id="6" name="1000" dataDxfId="330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44" name="РХ_ТП_3" displayName="РХ_ТП_3" ref="A2:F27" totalsRowShown="0" headerRowDxfId="329" dataDxfId="328" tableBorderDxfId="327">
  <autoFilter ref="A2:F27"/>
  <tableColumns count="6">
    <tableColumn id="1" name="Вибираема маса" dataDxfId="326"/>
    <tableColumn id="2" name="8" dataDxfId="325"/>
    <tableColumn id="3" name="10" dataDxfId="324"/>
    <tableColumn id="4" name="14" dataDxfId="323"/>
    <tableColumn id="5" name="24" dataDxfId="322"/>
    <tableColumn id="6" name="1000" dataDxfId="321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45" name="РХ_ХМ_3" displayName="РХ_ХМ_3" ref="Q2:V28" totalsRowShown="0" headerRowDxfId="320" dataDxfId="318" headerRowBorderDxfId="319" tableBorderDxfId="317" totalsRowBorderDxfId="316">
  <autoFilter ref="Q2:V28"/>
  <tableColumns count="6">
    <tableColumn id="1" name="Вибираема маса" dataDxfId="315"/>
    <tableColumn id="2" name="8" dataDxfId="314"/>
    <tableColumn id="3" name="10" dataDxfId="313"/>
    <tableColumn id="4" name="14" dataDxfId="312"/>
    <tableColumn id="5" name="24" dataDxfId="311"/>
    <tableColumn id="6" name="1000" dataDxfId="310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36" name="ЗР_ТП" displayName="ЗР_ТП" ref="A5:F28" totalsRowShown="0" headerRowDxfId="309" dataDxfId="307" headerRowBorderDxfId="308" tableBorderDxfId="306" totalsRowBorderDxfId="305">
  <autoFilter ref="A5:F28"/>
  <tableColumns count="6">
    <tableColumn id="1" name="Вибираема маса" dataDxfId="304"/>
    <tableColumn id="2" name="8" dataDxfId="303"/>
    <tableColumn id="3" name="10" dataDxfId="302"/>
    <tableColumn id="4" name="14" dataDxfId="301"/>
    <tableColumn id="5" name="24" dataDxfId="300"/>
    <tableColumn id="6" name="1000" dataDxfId="299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id="37" name="ЗР_ХМ21" displayName="ЗР_ХМ21" ref="A31:F54" totalsRowShown="0" headerRowDxfId="298" dataDxfId="296" headerRowBorderDxfId="297" tableBorderDxfId="295" totalsRowBorderDxfId="294">
  <autoFilter ref="A31:F54"/>
  <tableColumns count="6">
    <tableColumn id="1" name="Середній об'єм" dataDxfId="293"/>
    <tableColumn id="2" name="8" dataDxfId="292"/>
    <tableColumn id="3" name="10" dataDxfId="291"/>
    <tableColumn id="4" name="14" dataDxfId="290"/>
    <tableColumn id="5" name="24" dataDxfId="289"/>
    <tableColumn id="6" name="1000" dataDxfId="288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id="43" name="ЗР_ХМ" displayName="ЗР_ХМ" ref="M5:R28" totalsRowShown="0" headerRowDxfId="287" dataDxfId="285" headerRowBorderDxfId="286" tableBorderDxfId="284" totalsRowBorderDxfId="283">
  <autoFilter ref="M5:R28"/>
  <tableColumns count="6">
    <tableColumn id="1" name="Вибираема маса" dataDxfId="282"/>
    <tableColumn id="2" name="8" dataDxfId="281"/>
    <tableColumn id="3" name="10" dataDxfId="280"/>
    <tableColumn id="4" name="14" dataDxfId="279"/>
    <tableColumn id="5" name="24" dataDxfId="278"/>
    <tableColumn id="6" name="1000" dataDxfId="277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id="18" name="ПородиИГруппи" displayName="ПородиИГруппи" ref="A1:F34" totalsRowShown="0" headerRowDxfId="276" headerRowCellStyle="Обычный 2 2">
  <autoFilter ref="A1:F34"/>
  <tableColumns count="6">
    <tableColumn id="1" name="№ пп" dataDxfId="275" dataCellStyle="Обычный 2 2"/>
    <tableColumn id="2" name="список _x000a_включаючи_x000a_групи порід" dataDxfId="274" dataCellStyle="Обычный 2 2"/>
    <tableColumn id="3" name="список без груп порід" dataDxfId="273" dataCellStyle="Обычный 2 2"/>
    <tableColumn id="4" name="список_x000a_головних_x000a_порід_x000a_для _x000a_ТЛУ_x000a_(заповню_x000a_ється VBA)" dataDxfId="272" dataCellStyle="Обычный 2 2"/>
    <tableColumn id="5" name="Группа порід" dataDxfId="271" dataCellStyle="Обычный 2 2"/>
    <tableColumn id="6" name="повна назва" dataDxfId="270" dataCellStyle="Обычный 2 2">
      <calculatedColumnFormula>VLOOKUP(ПородиИГруппи[[#This Row],[список без груп порід]],Таблица20[],2,FALSE)</calculatedColumnFormula>
    </tableColumn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id="20" name="Таблица20" displayName="Таблица20" ref="H1:J383" totalsRowShown="0">
  <autoFilter ref="H1:J383"/>
  <sortState ref="H5:J386">
    <sortCondition ref="H4:H386"/>
  </sortState>
  <tableColumns count="3">
    <tableColumn id="2" name="скорочення" dataDxfId="269" dataCellStyle="Обычный 2 2"/>
    <tableColumn id="3" name="повна назва" dataDxfId="268" dataCellStyle="Обычный 2 2"/>
    <tableColumn id="1" name="КОД" dataDxfId="267" dataCellStyle="Обычный 2 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id="17" name="Вид_Породи" displayName="Вид_Породи" ref="L1:L3" totalsRowShown="0" headerRowCellStyle="Обычный 2 2" dataCellStyle="Обычный 2 2">
  <autoFilter ref="L1:L3"/>
  <tableColumns count="1">
    <tableColumn id="1" name="Вид_Породи" dataCellStyle="Обычный 2 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id="6" name="РозрядВысот" displayName="РозрядВысот" ref="P1:P6" totalsRowShown="0" headerRowCellStyle="Обычный 3" dataCellStyle="Обычный 3">
  <autoFilter ref="P1:P6"/>
  <tableColumns count="1">
    <tableColumn id="1" name="РозрядВысот" dataCellStyle="Обычный 3"/>
  </tableColumns>
  <tableStyleInfo name="TableStyleLight1" showFirstColumn="0" showLastColumn="0" showRowStripes="1" showColumnStripes="0"/>
</table>
</file>

<file path=xl/tables/table18.xml><?xml version="1.0" encoding="utf-8"?>
<table xmlns="http://schemas.openxmlformats.org/spreadsheetml/2006/main" id="7" name="тЧернобыльскийКоэф" displayName="тЧернобыльскийКоэф" ref="F1:G6" totalsRowShown="0" headerRowCellStyle="Обычный 3" dataCellStyle="Обычный 3">
  <autoFilter ref="F1:G6"/>
  <tableColumns count="2">
    <tableColumn id="1" name="ЧернобыльскаЗона" dataCellStyle="Обычный 3"/>
    <tableColumn id="2" name="ЧернобыльскийКоэф" dataCellStyle="Обычный 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id="8" name="тРозрядВысот" displayName="тРозрядВысот" ref="A1:C16" totalsRowShown="0" dataCellStyle="Обычный 3">
  <autoFilter ref="A1:C16"/>
  <tableColumns count="3">
    <tableColumn id="1" name="РозрядВысот" dataCellStyle="Обычный 3"/>
    <tableColumn id="2" name="Рубка" dataCellStyle="Обычный 3"/>
    <tableColumn id="3" name="Коэфициент" dataCellStyle="Обычный 3"/>
  </tableColumns>
  <tableStyleInfo name="TableStyleLight1" showFirstColumn="0" showLastColumn="0" showRowStripes="1" showColumnStripes="0"/>
</table>
</file>

<file path=xl/tables/table20.xml><?xml version="1.0" encoding="utf-8"?>
<table xmlns="http://schemas.openxmlformats.org/spreadsheetml/2006/main" id="9" name="тКолКопий" displayName="тКолКопий" ref="K1:K3" totalsRowShown="0" headerRowCellStyle="Обычный 3" dataCellStyle="Обычный 3">
  <autoFilter ref="K1:K3"/>
  <tableColumns count="1">
    <tableColumn id="1" name="КолКопий" dataCellStyle="Обычный 3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id="11" name="тКоэфициентСхилу" displayName="тКоэфициентСхилу" ref="M1:M3" totalsRowShown="0" headerRowCellStyle="Обычный 3" dataCellStyle="Обычный 3">
  <autoFilter ref="M1:M3"/>
  <tableColumns count="1">
    <tableColumn id="1" name="КоэфициентСхилу" dataCellStyle="Обычный 3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id="5" name="Шаблон" displayName="Шаблон" ref="R1:X4" totalsRowShown="0">
  <autoFilter ref="R1:X4"/>
  <tableColumns count="7">
    <tableColumn id="1" name="Наименование"/>
    <tableColumn id="2" name="Столбец"/>
    <tableColumn id="3" name="Строка"/>
    <tableColumn id="4" name="Подпись"/>
    <tableColumn id="5" name="Имя"/>
    <tableColumn id="6" name="в сортиментах"/>
    <tableColumn id="7" name="в хлистах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id="34" name="Месяца" displayName="Месяца" ref="Z1:Z13" totalsRowShown="0" headerRowCellStyle="Обычный 3" dataCellStyle="Обычный 3">
  <autoFilter ref="Z1:Z13"/>
  <tableColumns count="1">
    <tableColumn id="1" name="Месяц" dataCellStyle="Обычный 3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id="2" name="Складання" displayName="Складання" ref="I1:I11" totalsRowShown="0" headerRowCellStyle="Обычный 3" dataCellStyle="Обычный 3">
  <autoFilter ref="I1:I11"/>
  <tableColumns count="1">
    <tableColumn id="1" name="Складання" dataCellStyle="Обычный 3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id="63" name="ВідРубкиРД" displayName="ВідРубкиРД" ref="AM1:AM13" totalsRowShown="0" headerRowDxfId="266" dataDxfId="264" headerRowBorderDxfId="265" tableBorderDxfId="263" totalsRowBorderDxfId="262">
  <autoFilter ref="AM1:AM13"/>
  <tableColumns count="1">
    <tableColumn id="1" name="6" dataDxfId="261"/>
  </tableColumns>
  <tableStyleInfo name="TableStyleLight1" showFirstColumn="0" showLastColumn="0" showRowStripes="1" showColumnStripes="0"/>
</table>
</file>

<file path=xl/tables/table26.xml><?xml version="1.0" encoding="utf-8"?>
<table xmlns="http://schemas.openxmlformats.org/spreadsheetml/2006/main" id="66" name="Логика" displayName="Логика" ref="H16:I18" totalsRowShown="0" headerRowCellStyle="Обычный 3" dataCellStyle="Обычный 3">
  <autoFilter ref="H16:I18"/>
  <tableColumns count="2">
    <tableColumn id="2" name="Текст" dataCellStyle="Обычный 3"/>
    <tableColumn id="1" name="Логика" dataCellStyle="Обычный 3"/>
  </tableColumns>
  <tableStyleInfo name="TableStyleLight1" showFirstColumn="0" showLastColumn="0" showRowStripes="1" showColumnStripes="0"/>
</table>
</file>

<file path=xl/tables/table27.xml><?xml version="1.0" encoding="utf-8"?>
<table xmlns="http://schemas.openxmlformats.org/spreadsheetml/2006/main" id="54" name="СортуванняТаШтабелювання" displayName="СортуванняТаШтабелювання" ref="AP1:AQ3" totalsRowShown="0" dataDxfId="260" tableBorderDxfId="259" headerRowCellStyle="Обычный 3" dataCellStyle="Обычный_Тех карти. Finpla~1">
  <autoFilter ref="AP1:AQ3"/>
  <tableColumns count="2">
    <tableColumn id="1" name="СортуванняТаШтабелювання" dataDxfId="258" dataCellStyle="Обычный_Тех карти. Finpla~1"/>
    <tableColumn id="2" name="Коєфициент" dataDxfId="257" dataCellStyle="Обычный_Тех карти. Finpla~1"/>
  </tableColumns>
  <tableStyleInfo name="TableStyleLight1" showFirstColumn="0" showLastColumn="0" showRowStripes="1" showColumnStripes="0"/>
</table>
</file>

<file path=xl/tables/table28.xml><?xml version="1.0" encoding="utf-8"?>
<table xmlns="http://schemas.openxmlformats.org/spreadsheetml/2006/main" id="10" name="Путь" displayName="Путь" ref="A1:I5" totalsRowShown="0" headerRowDxfId="256" dataCellStyle="Обычный 3">
  <autoFilter ref="A1:I5"/>
  <tableColumns count="9">
    <tableColumn id="1" name="Путь" dataCellStyle="Обычный 3"/>
    <tableColumn id="2" name="Назва" dataCellStyle="Обычный 3"/>
    <tableColumn id="3" name="Дата создания" dataDxfId="255" dataCellStyle="Обычный 3">
      <calculatedColumnFormula>DataCreatedFile($A2  &amp;  "\" &amp; $B2,C$1)</calculatedColumnFormula>
    </tableColumn>
    <tableColumn id="4" name="Последний доступ" dataDxfId="254" dataCellStyle="Обычный 3">
      <calculatedColumnFormula>DataCreatedFile($A2  &amp;  "\" &amp; $B2,D$1)</calculatedColumnFormula>
    </tableColumn>
    <tableColumn id="5" name="Последнее изменение" dataDxfId="253" dataCellStyle="Обычный 3">
      <calculatedColumnFormula>DataCreatedFile($A2  &amp;  "\" &amp; $B2,E$1)</calculatedColumnFormula>
    </tableColumn>
    <tableColumn id="6" name="Путь к этой книге" dataDxfId="252" dataCellStyle="Обычный 3">
      <calculatedColumnFormula>MID(CELL("filename",Коєфициент!A1),1,SEARCH("[",CELL("filename",Коєфициент!A1))-1)</calculatedColumnFormula>
    </tableColumn>
    <tableColumn id="8" name="Смещение" dataDxfId="251" dataCellStyle="Обычный 3"/>
    <tableColumn id="7" name="Путь к книге отчета" dataDxfId="250" dataCellStyle="Обычный 3">
      <calculatedColumnFormula>SubstringPath(Путь[[#This Row],[Путь к этой книге]],"\",Путь[[#This Row],[Смещение]])</calculatedColumnFormula>
    </tableColumn>
    <tableColumn id="9" name="FullName" dataDxfId="249" dataCellStyle="Обычный 3">
      <calculatedColumnFormula>SubstringPath(Путь[[#This Row],[Путь к этой книге]],"\",Путь[[#This Row],[Смещение]])&amp;Путь[[#This Row],[Назва]]</calculatedColumnFormula>
    </tableColumn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id="57" name="Майстри" displayName="Майстри" ref="I2:J53" totalsRowShown="0" headerRowCellStyle="Обычный 2 2">
  <autoFilter ref="I2:J53"/>
  <tableColumns count="2">
    <tableColumn id="1" name="Скр" dataDxfId="248" dataCellStyle="Обычный_Реализация (1) (1)"/>
    <tableColumn id="2" name="Майстри" dataDxfId="247" dataCellStyle="Обычный_Мастера_1"/>
  </tableColumns>
  <tableStyleInfo name="TableStyleLight1" showFirstColumn="0" showLastColumn="0" showRowStripes="1" showColumnStripes="0"/>
</table>
</file>

<file path=xl/tables/table30.xml><?xml version="1.0" encoding="utf-8"?>
<table xmlns="http://schemas.openxmlformats.org/spreadsheetml/2006/main" id="3" name="РеестрЛКЕОД" displayName="РеестрЛКЕОД" ref="A4:T591" tableType="queryTable" totalsRowShown="0">
  <autoFilter ref="A4:T591">
    <filterColumn colId="18">
      <customFilters>
        <customFilter operator="notEqual" val=" "/>
      </customFilters>
    </filterColumn>
  </autoFilter>
  <sortState ref="A5:R591">
    <sortCondition ref="A5:A591"/>
    <sortCondition ref="D5:D591"/>
  </sortState>
  <tableColumns count="20">
    <tableColumn id="19" uniqueName="19" name="Лісництво" queryTableFieldId="1" dataDxfId="246"/>
    <tableColumn id="20" uniqueName="20" name="Вид рубки" queryTableFieldId="2" dataDxfId="245"/>
    <tableColumn id="21" uniqueName="21" name="Ділянка" queryTableFieldId="3" dataDxfId="244"/>
    <tableColumn id="22" uniqueName="22" name="Номер" queryTableFieldId="4" dataDxfId="243"/>
    <tableColumn id="23" uniqueName="23" name="Дата початку" queryTableFieldId="5" dataDxfId="242"/>
    <tableColumn id="24" uniqueName="24" name="Дата закінчення" queryTableFieldId="6" dataDxfId="241"/>
    <tableColumn id="25" uniqueName="25" name="Площа" queryTableFieldId="7" dataDxfId="240"/>
    <tableColumn id="26" uniqueName="26" name="Ділова" queryTableFieldId="8" dataDxfId="239"/>
    <tableColumn id="27" uniqueName="27" name="Дров'яна" queryTableFieldId="9" dataDxfId="238"/>
    <tableColumn id="28" uniqueName="28" name="Всього куб. м." queryTableFieldId="10" dataDxfId="237"/>
    <tableColumn id="29" uniqueName="29" name="Сведено" queryTableFieldId="11" dataDxfId="236"/>
    <tableColumn id="30" uniqueName="30" name="Виконавець" queryTableFieldId="12" dataDxfId="235"/>
    <tableColumn id="31" uniqueName="31" name="Номер договору" queryTableFieldId="13" dataDxfId="234"/>
    <tableColumn id="32" uniqueName="32" name="Месяц договору" queryTableFieldId="14" dataDxfId="233"/>
    <tableColumn id="33" uniqueName="33" name="СКР" queryTableFieldId="15" dataDxfId="232"/>
    <tableColumn id="34" uniqueName="34" name="Порядковий договору" queryTableFieldId="16" dataDxfId="231"/>
    <tableColumn id="35" uniqueName="35" name="Месяц ЛК" queryTableFieldId="17" dataDxfId="230"/>
    <tableColumn id="36" uniqueName="36" name="Вик" queryTableFieldId="18" dataDxfId="229"/>
    <tableColumn id="1" uniqueName="1" name="n" queryTableFieldId="19" dataDxfId="228"/>
    <tableColumn id="2" uniqueName="2" name="Столбец1" queryTableFieldId="20" dataDxfId="227">
      <calculatedColumnFormula>L5:L212</calculatedColumnFormula>
    </tableColumn>
  </tableColumns>
  <tableStyleInfo name="TableStyleMedium7" showFirstColumn="0" showLastColumn="0" showRowStripes="1" showColumnStripes="0"/>
</table>
</file>

<file path=xl/tables/table31.xml><?xml version="1.0" encoding="utf-8"?>
<table xmlns="http://schemas.openxmlformats.org/spreadsheetml/2006/main" id="59" name="rachtet" displayName="rachtet" comment="{&quot;keycolumnname&quot;:&quot;Порода&quot;}" ref="W7:AI22" totalsRowShown="0" headerRowDxfId="225" headerRowBorderDxfId="224" tableBorderDxfId="223" totalsRowBorderDxfId="222">
  <autoFilter ref="W7:AI22"/>
  <tableColumns count="13">
    <tableColumn id="1" name="Порода" dataDxfId="221" dataCellStyle="Обычный 2 2">
      <calculatedColumnFormula>B8</calculatedColumnFormula>
    </tableColumn>
    <tableColumn id="2" name="Фансировина 1" dataDxfId="220">
      <calculatedColumnFormula>F8</calculatedColumnFormula>
    </tableColumn>
    <tableColumn id="3" name="Фансировина 2 " dataDxfId="219">
      <calculatedColumnFormula>G8</calculatedColumnFormula>
    </tableColumn>
    <tableColumn id="4" name="Пиловники 1" dataDxfId="218">
      <calculatedColumnFormula>I8</calculatedColumnFormula>
    </tableColumn>
    <tableColumn id="5" name="Пиловники 2" dataDxfId="217">
      <calculatedColumnFormula>J8</calculatedColumnFormula>
    </tableColumn>
    <tableColumn id="6" name="Пиловники 3" dataDxfId="216">
      <calculatedColumnFormula>K8</calculatedColumnFormula>
    </tableColumn>
    <tableColumn id="7" name="Будлис" dataDxfId="215">
      <calculatedColumnFormula>L8</calculatedColumnFormula>
    </tableColumn>
    <tableColumn id="8" name="Баланси" dataDxfId="214">
      <calculatedColumnFormula>M8</calculatedColumnFormula>
    </tableColumn>
    <tableColumn id="9" name="Рудстійка" dataDxfId="213">
      <calculatedColumnFormula>N8</calculatedColumnFormula>
    </tableColumn>
    <tableColumn id="10" name="Техсировина" dataDxfId="212">
      <calculatedColumnFormula>O8</calculatedColumnFormula>
    </tableColumn>
    <tableColumn id="11" name="Дрова" dataDxfId="211">
      <calculatedColumnFormula>P8</calculatedColumnFormula>
    </tableColumn>
    <tableColumn id="12" name="Хворост 1" dataDxfId="210">
      <calculatedColumnFormula>S8</calculatedColumnFormula>
    </tableColumn>
    <tableColumn id="13" name="Хворост 2" dataDxfId="209">
      <calculatedColumnFormula>T8</calculatedColumnFormula>
    </tableColumn>
  </tableColumns>
  <tableStyleInfo name="TableStyleLight1" showFirstColumn="0" showLastColumn="0" showRowStripes="1" showColumnStripes="0"/>
</table>
</file>

<file path=xl/tables/table32.xml><?xml version="1.0" encoding="utf-8"?>
<table xmlns="http://schemas.openxmlformats.org/spreadsheetml/2006/main" id="60" name="РасчетUnpivot" displayName="РасчетUnpivot" ref="AK7:AN8" insertRow="1" totalsRowShown="0" headerRowDxfId="208">
  <autoFilter ref="AK7:AN8"/>
  <tableColumns count="4">
    <tableColumn id="1" name="Код"/>
    <tableColumn id="2" name="Порода"/>
    <tableColumn id="3" name="Параметр"/>
    <tableColumn id="4" name="Значения"/>
  </tableColumns>
  <tableStyleInfo name="TableStyleLight1" showFirstColumn="0" showLastColumn="0" showRowStripes="1" showColumnStripes="0"/>
</table>
</file>

<file path=xl/tables/table33.xml><?xml version="1.0" encoding="utf-8"?>
<table xmlns="http://schemas.openxmlformats.org/spreadsheetml/2006/main" id="1" name="Форма" displayName="Форма" ref="A1:W68">
  <autoFilter ref="A1:W68"/>
  <tableColumns count="23">
    <tableColumn id="1" name="Параметр" totalsRowLabel="Вид рубки" dataDxfId="197" totalsRowDxfId="196" dataCellStyle="Обычный_Тех карти. Finpla~1"/>
    <tableColumn id="5" name="VALIDATION" dataDxfId="195" totalsRowDxfId="194"/>
    <tableColumn id="6" name="Label Named Range" dataDxfId="193" totalsRowDxfId="192"/>
    <tableColumn id="23" name="offset Label" dataDxfId="191" totalsRowDxfId="190"/>
    <tableColumn id="7" name="Значение2" dataDxfId="189" totalsRowDxfId="188"/>
    <tableColumn id="3" name="По Умолчанию" totalsRowFunction="custom" dataDxfId="187" totalsRowDxfId="186">
      <calculatedColumnFormula>INDEX(РеестрЛКЕОД[Виконавець],MATCH(J29,РеестрЛКЕОД[Сведено],0),1)</calculatedColumnFormula>
      <totalsRowFormula>INDEX(РеестрЛКЕОД[Вид рубки],MATCH(J43,РеестрЛКЕОД[Номер],0),1)</totalsRowFormula>
    </tableColumn>
    <tableColumn id="4" name="Адрес" dataDxfId="185" totalsRowDxfId="184">
      <calculatedColumnFormula>IFERROR(RIGHT(getReferToNamedRangeByName(Форма[[#This Row],[Имя]]),LEN(getReferToNamedRangeByName(Форма[[#This Row],[Имя]]))-1),"")</calculatedColumnFormula>
    </tableColumn>
    <tableColumn id="8" name="Имя" dataDxfId="183" totalsRowDxfId="182"/>
    <tableColumn id="9" name="Столбец1" dataDxfId="181" totalsRowDxfId="180"/>
    <tableColumn id="2" name="Значение" dataDxfId="179" totalsRowDxfId="178">
      <calculatedColumnFormula>INDIRECT(Форма[[#This Row],[Адрес]])</calculatedColumnFormula>
    </tableColumn>
    <tableColumn id="10" name="РГК" dataDxfId="177" totalsRowDxfId="176"/>
    <tableColumn id="11" name="РД" dataDxfId="175" totalsRowDxfId="174"/>
    <tableColumn id="12" name="Молодняки механізовані" dataDxfId="173" totalsRowDxfId="172"/>
    <tableColumn id="14" name="Forma" dataDxfId="171" totalsRowDxfId="170"/>
    <tableColumn id="15" name="ControlType" totalsRowLabel="cmbox" dataDxfId="169" totalsRowDxfId="168"/>
    <tableColumn id="13" name="Control" dataDxfId="167" totalsRowDxfId="166"/>
    <tableColumn id="16" name="ControlName" dataDxfId="165" totalsRowDxfId="164">
      <calculatedColumnFormula>Форма[[#This Row],[ControlType]]&amp;Форма[[#This Row],[Столбец1]]</calculatedColumnFormula>
    </tableColumn>
    <tableColumn id="17" name="Маска поиска" dataDxfId="163" totalsRowDxfId="162"/>
    <tableColumn id="18" name="Регистр" totalsRowDxfId="161"/>
    <tableColumn id="19" name="Поиск по  значению" dataDxfId="160" totalsRowDxfId="159"/>
    <tableColumn id="20" name="Техкарта" dataDxfId="158" totalsRowDxfId="157"/>
    <tableColumn id="21" name="Комплект" totalsRowDxfId="156"/>
    <tableColumn id="22" name="Додаток" totalsRowDxfId="155"/>
  </tableColumns>
  <tableStyleInfo name="TableStyleLight1" showFirstColumn="0" showLastColumn="0" showRowStripes="1" showColumnStripes="0"/>
</table>
</file>

<file path=xl/tables/table34.xml><?xml version="1.0" encoding="utf-8"?>
<table xmlns="http://schemas.openxmlformats.org/spreadsheetml/2006/main" id="15" name="ЗахаращеністьЛісосіки" displayName="ЗахаращеністьЛісосіки" ref="I158:I161" totalsRowShown="0" dataDxfId="153" headerRowCellStyle="Обычный 2 2" dataCellStyle="Обычный 2 2">
  <autoFilter ref="I158:I161"/>
  <tableColumns count="1">
    <tableColumn id="1" name="ЗахаращеністьЛісосіки" dataDxfId="152" dataCellStyle="Обычный 2 2"/>
  </tableColumns>
  <tableStyleInfo name="TableStyleLight1" showFirstColumn="0" showLastColumn="0" showRowStripes="1" showColumnStripes="0"/>
</table>
</file>

<file path=xl/tables/table35.xml><?xml version="1.0" encoding="utf-8"?>
<table xmlns="http://schemas.openxmlformats.org/spreadsheetml/2006/main" id="16" name="Умови_Роботи" displayName="Умови_Роботи" ref="S3:S5" totalsRowShown="0" dataDxfId="151" headerRowCellStyle="Обычный 2 2" dataCellStyle="Обычный 2 2">
  <autoFilter ref="S3:S5"/>
  <tableColumns count="1">
    <tableColumn id="1" name="Умови_Роботи" dataDxfId="150" dataCellStyle="Обычный 2 2"/>
  </tableColumns>
  <tableStyleInfo name="TableStyleLight1" showFirstColumn="0" showLastColumn="0" showRowStripes="1" showColumnStripes="0"/>
</table>
</file>

<file path=xl/tables/table36.xml><?xml version="1.0" encoding="utf-8"?>
<table xmlns="http://schemas.openxmlformats.org/spreadsheetml/2006/main" id="19" name="ZVZP_Full" displayName="ZVZP_Full" ref="A2:M16" totalsRowShown="0" headerRowDxfId="149" headerRowCellStyle="Обычный 2 2" dataCellStyle="Обычный 2 2">
  <autoFilter ref="A2:M1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OBR_Full" displayName="OBR_Full" ref="A18:M32" totalsRowShown="0" headerRowCellStyle="Обычный 2 2" dataCellStyle="Обычный 2 2">
  <autoFilter ref="A18:M3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8.xml><?xml version="1.0" encoding="utf-8"?>
<table xmlns="http://schemas.openxmlformats.org/spreadsheetml/2006/main" id="22" name="OBRU_Full" displayName="OBRU_Full" ref="A34:M48" totalsRowShown="0" headerRowCellStyle="Обычный 2 2" dataCellStyle="Обычный 2 2">
  <autoFilter ref="A34:M4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39.xml><?xml version="1.0" encoding="utf-8"?>
<table xmlns="http://schemas.openxmlformats.org/spreadsheetml/2006/main" id="23" name="PIL_Full" displayName="PIL_Full" ref="A50:M64" totalsRowShown="0" headerRowCellStyle="Обычный 2 2" dataCellStyle="Обычный 2 2">
  <autoFilter ref="A50:M64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0.xml><?xml version="1.0" encoding="utf-8"?>
<table xmlns="http://schemas.openxmlformats.org/spreadsheetml/2006/main" id="24" name="FAN_Full" displayName="FAN_Full" ref="A66:M80" totalsRowShown="0" headerRowCellStyle="Обычный 2 2" dataCellStyle="Обычный 2 2">
  <autoFilter ref="A66:M80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1.xml><?xml version="1.0" encoding="utf-8"?>
<table xmlns="http://schemas.openxmlformats.org/spreadsheetml/2006/main" id="25" name="TEX_Full" displayName="TEX_Full" ref="A82:M96" totalsRowShown="0" headerRowCellStyle="Обычный 2 2" dataCellStyle="Обычный 2 2">
  <autoFilter ref="A82:M96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2.xml><?xml version="1.0" encoding="utf-8"?>
<table xmlns="http://schemas.openxmlformats.org/spreadsheetml/2006/main" id="26" name="DROV_Full" displayName="DROV_Full" ref="A98:M112" totalsRowShown="0" headerRowCellStyle="Обычный 2 2" dataCellStyle="Обычный 2 2">
  <autoFilter ref="A98:M112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3.xml><?xml version="1.0" encoding="utf-8"?>
<table xmlns="http://schemas.openxmlformats.org/spreadsheetml/2006/main" id="27" name="SPLG_Full" displayName="SPLG_Full" ref="A114:M128" totalsRowShown="0" headerRowCellStyle="Обычный 2 2" dataCellStyle="Обычный 2 2">
  <autoFilter ref="A114:M128"/>
  <tableColumns count="13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  <tableColumn id="8" name="Столбец8" dataCellStyle="Обычный 2 2"/>
    <tableColumn id="9" name="Столбец9" dataCellStyle="Обычный 2 2"/>
    <tableColumn id="10" name="Столбец10" dataCellStyle="Обычный 2 2"/>
    <tableColumn id="11" name="Столбец11" dataCellStyle="Обычный 2 2"/>
    <tableColumn id="12" name="Столбец12" dataCellStyle="Обычный 2 2"/>
    <tableColumn id="13" name="Столбец13" dataCellStyle="Обычный 2 2"/>
  </tableColumns>
  <tableStyleInfo name="TableStyleLight1" showFirstColumn="0" showLastColumn="0" showRowStripes="1" showColumnStripes="0"/>
</table>
</file>

<file path=xl/tables/table44.xml><?xml version="1.0" encoding="utf-8"?>
<table xmlns="http://schemas.openxmlformats.org/spreadsheetml/2006/main" id="28" name="Full" displayName="Full" ref="O15:S27" totalsRowShown="0" dataDxfId="148" headerRowCellStyle="Обычный 2 2" dataCellStyle="Обычный 2 2">
  <autoFilter ref="O15:S27"/>
  <tableColumns count="5">
    <tableColumn id="1" name="Назва робіт" dataDxfId="147" dataCellStyle="Обычный 2 2"/>
    <tableColumn id="2" name="СКР" dataDxfId="146" dataCellStyle="Обычный 2 2"/>
    <tableColumn id="3" name="СКР_HL" dataDxfId="145" dataCellStyle="Обычный 2 2">
      <calculatedColumnFormula>P16 &amp; "_HL"</calculatedColumnFormula>
    </tableColumn>
    <tableColumn id="4" name="Full" dataCellStyle="Обычный 2 2"/>
    <tableColumn id="5" name="Параметр" dataDxfId="144" dataCellStyle="Обычный 2 2"/>
  </tableColumns>
  <tableStyleInfo name="TableStyleLight1" showFirstColumn="0" showLastColumn="0" showRowStripes="1" showColumnStripes="0"/>
</table>
</file>

<file path=xl/tables/table45.xml><?xml version="1.0" encoding="utf-8"?>
<table xmlns="http://schemas.openxmlformats.org/spreadsheetml/2006/main" id="29" name="PND_Full" displayName="PND_Full" ref="A156:G169" totalsRowShown="0" headerRowCellStyle="Обычный 2 2" dataCellStyle="Обычный 2 2">
  <autoFilter ref="A156:G169"/>
  <tableColumns count="7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  <tableColumn id="6" name="Столбец6" dataCellStyle="Обычный 2 2"/>
    <tableColumn id="7" name="Столбец7" dataCellStyle="Обычный 2 2"/>
  </tableColumns>
  <tableStyleInfo name="TableStyleLight1" showFirstColumn="0" showLastColumn="0" showRowStripes="1" showColumnStripes="0"/>
</table>
</file>

<file path=xl/tables/table46.xml><?xml version="1.0" encoding="utf-8"?>
<table xmlns="http://schemas.openxmlformats.org/spreadsheetml/2006/main" id="31" name="SPILP_Full" displayName="SPILP_Full" ref="A136:E153" totalsRowShown="0" tableBorderDxfId="143" headerRowCellStyle="Обычный 2 2" dataCellStyle="Обычный 2 2">
  <autoFilter ref="A136:E153"/>
  <tableColumns count="5">
    <tableColumn id="1" name="Столбец1" dataDxfId="142" dataCellStyle="Обычный 2 2"/>
    <tableColumn id="2" name="Столбец2" dataDxfId="141" dataCellStyle="Обычный 2 2"/>
    <tableColumn id="3" name="Столбец3" dataDxfId="140" dataCellStyle="Обычный 2 2"/>
    <tableColumn id="4" name="Столбец4" dataDxfId="139" dataCellStyle="Обычный 2 2"/>
    <tableColumn id="5" name="Столбец5" dataDxfId="138" dataCellStyle="Обычный 2 2"/>
  </tableColumns>
  <tableStyleInfo name="TableStyleLight1" showFirstColumn="0" showLastColumn="0" showRowStripes="1" showColumnStripes="0"/>
</table>
</file>

<file path=xl/tables/table47.xml><?xml version="1.0" encoding="utf-8"?>
<table xmlns="http://schemas.openxmlformats.org/spreadsheetml/2006/main" id="32" name="ZACH_Full" displayName="ZACH_Full" ref="A176:E189" totalsRowShown="0" dataCellStyle="Обычный 2 2">
  <autoFilter ref="A176:E189"/>
  <tableColumns count="5">
    <tableColumn id="1" name="Столбец1" dataCellStyle="Обычный 2 2"/>
    <tableColumn id="2" name="Столбец2" dataCellStyle="Обычный 2 2"/>
    <tableColumn id="3" name="Столбец3" dataCellStyle="Обычный 2 2"/>
    <tableColumn id="4" name="Столбец4" dataCellStyle="Обычный 2 2"/>
    <tableColumn id="5" name="Столбец5" dataCellStyle="Обычный 2 2"/>
  </tableColumns>
  <tableStyleInfo name="TableStyleLight1" showFirstColumn="0" showLastColumn="0" showRowStripes="1" showColumnStripes="0"/>
</table>
</file>

<file path=xl/tables/table48.xml><?xml version="1.0" encoding="utf-8"?>
<table xmlns="http://schemas.openxmlformats.org/spreadsheetml/2006/main" id="33" name="KOL_Full" displayName="KOL_Full" ref="A191:E195" totalsRowShown="0">
  <autoFilter ref="A191:E195"/>
  <tableColumns count="5">
    <tableColumn id="1" name="Столбец1" dataCellStyle="Обычный 2 2"/>
    <tableColumn id="2" name="Столбец2"/>
    <tableColumn id="3" name="Столбец3" dataCellStyle="Обычный 2 2"/>
    <tableColumn id="4" name="Столбец4"/>
    <tableColumn id="5" name="Столбец5"/>
  </tableColumns>
  <tableStyleInfo name="TableStyleLight1" showFirstColumn="0" showLastColumn="0" showRowStripes="1" showColumnStripes="0"/>
</table>
</file>

<file path=xl/tables/table49.xml><?xml version="1.0" encoding="utf-8"?>
<table xmlns="http://schemas.openxmlformats.org/spreadsheetml/2006/main" id="67" name="VKP" displayName="VKP" ref="A230:D236" totalsRowShown="0" headerRowCellStyle="Обычный 2 2" dataCellStyle="Обычный 2 2">
  <autoFilter ref="A230:D236"/>
  <tableColumns count="4">
    <tableColumn id="1" name="Вирубування " dataCellStyle="Обычный 2 2"/>
    <tableColumn id="2" name="підростом" dataCellStyle="Обычный 2 2"/>
    <tableColumn id="3" name="норма вироботку " dataCellStyle="Обычный 2 2"/>
    <tableColumn id="4" name="нормі часу" dataCellStyle="Обычный 2 2"/>
  </tableColumns>
  <tableStyleInfo name="TableStyleLight1" showFirstColumn="0" showLastColumn="0" showRowStripes="1" showColumnStripes="0"/>
</table>
</file>

<file path=xl/tables/table50.xml><?xml version="1.0" encoding="utf-8"?>
<table xmlns="http://schemas.openxmlformats.org/spreadsheetml/2006/main" id="68" name="СпалюванняВЗУ" displayName="СпалюванняВЗУ" ref="A224:F227" totalsRowShown="0" headerRowCellStyle="Обычный 2 2" dataCellStyle="Обычный 2 2">
  <autoFilter ref="A224:F227"/>
  <tableColumns count="6">
    <tableColumn id="1" name="Группа порід" dataDxfId="137"/>
    <tableColumn id="2" name="Склад ланки" dataCellStyle="Обычный 2 2"/>
    <tableColumn id="3" name="норма вироботку " dataCellStyle="Обычный 2 2"/>
    <tableColumn id="4" name="нормі часу" dataCellStyle="Обычный 2 2"/>
    <tableColumn id="5" name="таріфна розцінка" dataCellStyle="Обычный 2 2"/>
    <tableColumn id="6" name="таріфна ставка" dataCellStyle="Обычный 2 2"/>
  </tableColumns>
  <tableStyleInfo name="TableStyleLight1" showFirstColumn="0" showLastColumn="0" showRowStripes="1" showColumnStripes="0"/>
</table>
</file>

<file path=xl/tables/table51.xml><?xml version="1.0" encoding="utf-8"?>
<table xmlns="http://schemas.openxmlformats.org/spreadsheetml/2006/main" id="71" name="jsonTexzavdannya" displayName="jsonTexzavdannya" comment="{&quot;keycolumnname&quot;:&quot;№п/п&quot;}" ref="S48:V61" totalsRowShown="0">
  <autoFilter ref="S48:V61"/>
  <tableColumns count="4">
    <tableColumn id="1" name="№п/п">
      <calculatedColumnFormula>A49</calculatedColumnFormula>
    </tableColumn>
    <tableColumn id="2" name="Найменування послуг">
      <calculatedColumnFormula>B49</calculatedColumnFormula>
    </tableColumn>
    <tableColumn id="3" name="Од. Вим.">
      <calculatedColumnFormula>G49</calculatedColumnFormula>
    </tableColumn>
    <tableColumn id="4" name="Кіл-сть" dataDxfId="127">
      <calculatedColumnFormula>H49</calculatedColumnFormula>
    </tableColumn>
  </tableColumns>
  <tableStyleInfo name="TableStyleLight1" showFirstColumn="0" showLastColumn="0" showRowStripes="1" showColumnStripes="0"/>
</table>
</file>

<file path=xl/tables/table52.xml><?xml version="1.0" encoding="utf-8"?>
<table xmlns="http://schemas.openxmlformats.org/spreadsheetml/2006/main" id="13" name="Тарифи" displayName="Тарифи" ref="A1:H11" totalsRowShown="0" headerRowDxfId="126" headerRowBorderDxfId="125" tableBorderDxfId="124" totalsRowBorderDxfId="123">
  <autoFilter ref="A1:H11"/>
  <tableColumns count="8">
    <tableColumn id="1" name="№" dataDxfId="122"/>
    <tableColumn id="2" name="Назва" dataDxfId="121"/>
    <tableColumn id="3" name="1" dataDxfId="120"/>
    <tableColumn id="4" name="2" dataDxfId="119"/>
    <tableColumn id="5" name="3" dataDxfId="118"/>
    <tableColumn id="6" name="4" dataDxfId="117"/>
    <tableColumn id="7" name="5" dataDxfId="116"/>
    <tableColumn id="8" name="6" dataDxfId="115"/>
  </tableColumns>
  <tableStyleInfo name="TableStyleLight1" showFirstColumn="0" showLastColumn="0" showRowStripes="1" showColumnStripes="0"/>
</table>
</file>

<file path=xl/tables/table53.xml><?xml version="1.0" encoding="utf-8"?>
<table xmlns="http://schemas.openxmlformats.org/spreadsheetml/2006/main" id="56" name="РеестрДоговорів" displayName="РеестрДоговорів" ref="A1:C2" totalsRowShown="0">
  <autoFilter ref="A1:C2"/>
  <tableColumns count="3">
    <tableColumn id="1" name="Дата договора"/>
    <tableColumn id="2" name="Виконавец"/>
    <tableColumn id="3" name="№ Договора"/>
  </tableColumns>
  <tableStyleInfo name="TableStyleLight1" showFirstColumn="0" showLastColumn="0" showRowStripes="1" showColumnStripes="0"/>
</table>
</file>

<file path=xl/tables/table54.xml><?xml version="1.0" encoding="utf-8"?>
<table xmlns="http://schemas.openxmlformats.org/spreadsheetml/2006/main" id="12" name="Виконавец" displayName="Виконавец" ref="A1:U6" totalsRowShown="0">
  <autoFilter ref="A1:U6"/>
  <tableColumns count="21">
    <tableColumn id="1" name="Сокр"/>
    <tableColumn id="2" name="{ФирмаВиконавец}" dataDxfId="114"/>
    <tableColumn id="3" name="{ВОВиконавец}"/>
    <tableColumn id="4" name="{ПосадаВОВиконавец}" dataDxfId="113"/>
    <tableColumn id="5" name="{ВОВиконавця}" dataDxfId="112"/>
    <tableColumn id="6" name="{ПосадаВОВиконавця}" dataDxfId="111"/>
    <tableColumn id="7" name="{NДог}"/>
    <tableColumn id="8" name="{ДатаДог}"/>
    <tableColumn id="9" name="{ВО2Виконавец}"/>
    <tableColumn id="10" name="в особі"/>
    <tableColumn id="11" name="{ПідставіВиконавец}"/>
    <tableColumn id="12" name="{ПовнФирмаВиконавец}" dataDxfId="110"/>
    <tableColumn id="13" name="Адреса"/>
    <tableColumn id="14" name=" ІПН" dataDxfId="109"/>
    <tableColumn id="15" name="р/р" dataDxfId="108"/>
    <tableColumn id="16" name="ЄДРПОУ" dataDxfId="107"/>
    <tableColumn id="17" name="Договор"/>
    <tableColumn id="18" name="{ДатаДоговора}" dataDxfId="106"/>
    <tableColumn id="19" name="КоєфПДВ"/>
    <tableColumn id="20" name="ДатаНачалаРаботи"/>
    <tableColumn id="21" name="ЕО"/>
  </tableColumns>
  <tableStyleInfo name="TableStyleLight1" showFirstColumn="0" showLastColumn="0" showRowStripes="1" showColumnStripes="0"/>
</table>
</file>

<file path=xl/tables/table55.xml><?xml version="1.0" encoding="utf-8"?>
<table xmlns="http://schemas.openxmlformats.org/spreadsheetml/2006/main" id="62" name="Техкарта" displayName="Техкарта" ref="A1:BY651" totalsRowShown="0">
  <autoFilter ref="A1:BY651"/>
  <sortState ref="A2:BM16">
    <sortCondition ref="B1:B16"/>
  </sortState>
  <tableColumns count="77">
    <tableColumn id="1" name="Шаблон"/>
    <tableColumn id="2" name="Лісництво"/>
    <tableColumn id="3" name="Вид рубки" dataDxfId="96"/>
    <tableColumn id="4" name="Чорнобильська зона"/>
    <tableColumn id="5" name="Гол.пор."/>
    <tableColumn id="6" name="Розряд висот"/>
    <tableColumn id="7" name="Умови роботи"/>
    <tableColumn id="8" name="Кв-л"/>
    <tableColumn id="9" name="Виділ"/>
    <tableColumn id="10" name="Площа,га"/>
    <tableColumn id="11" name="Кільк-сть дерев"/>
    <tableColumn id="12" name="Знач1"/>
    <tableColumn id="13" name="Знач2"/>
    <tableColumn id="14" name="Знач3"/>
    <tableColumn id="15" name="Знач4"/>
    <tableColumn id="16" name="Знач5"/>
    <tableColumn id="17" name="Знач6"/>
    <tableColumn id="18" name="Знач7"/>
    <tableColumn id="19" name="Знач8"/>
    <tableColumn id="20" name="Знач9"/>
    <tableColumn id="21" name="Знач10"/>
    <tableColumn id="22" name="Знач11"/>
    <tableColumn id="23" name="Знач12"/>
    <tableColumn id="24" name="Разм хлиста" dataDxfId="95"/>
    <tableColumn id="25" name="Масса" dataDxfId="94"/>
    <tableColumn id="26" name="Масса на1 га" dataDxfId="93"/>
    <tableColumn id="27" name="Витрати кбм" dataDxfId="92"/>
    <tableColumn id="28" name="Витрати хлисти" dataDxfId="91"/>
    <tableColumn id="29" name="Нелеквид"/>
    <tableColumn id="30" name="Складання молодняк"/>
    <tableColumn id="31" name="Номер Карты" dataDxfId="90"/>
    <tableColumn id="32" name="К.Схилу"/>
    <tableColumn id="33" name="Дата тарифних ставок" dataDxfId="89"/>
    <tableColumn id="34" name="ID Карты СокращенноЛісн\Від рубки\Кв\Вид"/>
    <tableColumn id="35" name="Дата договору"/>
    <tableColumn id="36" name="Дата начала робіт договору" dataDxfId="88"/>
    <tableColumn id="37" name="Дата закінчення робіт договору"/>
    <tableColumn id="38" name="Відповідальний"/>
    <tableColumn id="39" name="Цена договору"/>
    <tableColumn id="40" name="Цена договору з ПДВ"/>
    <tableColumn id="41" name="Сумма договору з ПДВ" dataDxfId="87"/>
    <tableColumn id="42" name="ЛК"/>
    <tableColumn id="43" name="Дата ЛК" dataDxfId="86"/>
    <tableColumn id="44" name="Коэфициент складання"/>
    <tableColumn id="45" name="Способ рубки молодняків"/>
    <tableColumn id="46" name="Путь к договору"/>
    <tableColumn id="47" name="Путь к техкарте"/>
    <tableColumn id="48" name="Путь к кошторису"/>
    <tableColumn id="49" name="Залишок по ТК"/>
    <tableColumn id="50" name="Столбец1"/>
    <tableColumn id="51" name="Виконавець"/>
    <tableColumn id="52" name="Квиконавець"/>
    <tableColumn id="53" name="Підготовчі "/>
    <tableColumn id="54" name="Тендер"/>
    <tableColumn id="55" name="Дата тендера" dataDxfId="85"/>
    <tableColumn id="56" name="знак"/>
    <tableColumn id="57" name="Вибираєма маса підліску з 1 га скм"/>
    <tableColumn id="58" name="Середній діаметр пня"/>
    <tableColumn id="59" name="Захаращеність лісосіки"/>
    <tableColumn id="60" name="Загальний коефіцієнт" dataDxfId="84"/>
    <tableColumn id="61" name="Залишок Площа"/>
    <tableColumn id="62" name="Порядковий договору"/>
    <tableColumn id="64" name="ПолнаяДіл" dataDxfId="83">
      <calculatedColumnFormula>Техкарта[[#This Row],[Кв-л]]&amp;" кв ("&amp;Substring(Техкарта[[#This Row],[Виділ]],"_",1)&amp;" вид) "&amp;Substring(Техкарта[[#This Row],[Виділ]],"_",2)&amp;" діл."</calculatedColumnFormula>
    </tableColumn>
    <tableColumn id="65" name="Сведено" dataDxfId="82">
      <calculatedColumnFormula>Техкарта[[#This Row],[ПолнаяДіл]] &amp;" "&amp;Техкарта[[#This Row],[ЛК]]&amp;" "&amp;Техкарта[[#This Row],[Вид рубки]]</calculatedColumnFormula>
    </tableColumn>
    <tableColumn id="63" name="Месяц договору" dataDxfId="81"/>
    <tableColumn id="66" name="Прибирання" dataDxfId="80"/>
    <tableColumn id="67" name="Зрізування" dataDxfId="79"/>
    <tableColumn id="68" name="Спилювання" dataDxfId="78"/>
    <tableColumn id="69" name="Шаблон2" dataDxfId="77"/>
    <tableColumn id="70" name="Довжина верх." dataDxfId="76"/>
    <tableColumn id="72" name="НелГраб" dataDxfId="75"/>
    <tableColumn id="73" name="НелМяк" dataDxfId="74"/>
    <tableColumn id="74" name="НелТВ" dataDxfId="73"/>
    <tableColumn id="75" name="Підріст" dataDxfId="72"/>
    <tableColumn id="76" name="JSONРасчет" dataDxfId="71"/>
    <tableColumn id="77" name="Спалювання" dataDxfId="70"/>
    <tableColumn id="71" name="jsonKoshtoris" dataDxfId="69"/>
  </tableColumns>
  <tableStyleInfo name="TableStyleLight1" showFirstColumn="0" showLastColumn="0" showRowStripes="1" showColumnStripes="0"/>
</table>
</file>

<file path=xl/tables/table56.xml><?xml version="1.0" encoding="utf-8"?>
<table xmlns="http://schemas.openxmlformats.org/spreadsheetml/2006/main" id="64" name="NamedRanges" displayName="NamedRanges" ref="A1:J450" totalsRowShown="0">
  <autoFilter ref="A1:J450"/>
  <tableColumns count="10">
    <tableColumn id="1" name="Name"/>
    <tableColumn id="2" name="RefersTo" dataDxfId="68">
      <calculatedColumnFormula>КоэфРГК!$B$4:$M$4</calculatedColumnFormula>
    </tableColumn>
    <tableColumn id="3" name="Comment"/>
    <tableColumn id="4" name="Формула" dataDxfId="67">
      <calculatedColumnFormula>getFormula(NamedRanges[[#This Row],[RefersTo]])</calculatedColumnFormula>
    </tableColumn>
    <tableColumn id="5" name="isSheetLink" dataDxfId="66">
      <calculatedColumnFormula>regex(NamedRanges[[#This Row],[Формула]],"([=])(.*?)([!])","$2")</calculatedColumnFormula>
    </tableColumn>
    <tableColumn id="6" name="CellReflist" dataDxfId="65">
      <calculatedColumnFormula>CellReflist(NamedRanges[[#This Row],[RefersTo]])</calculatedColumnFormula>
    </tableColumn>
    <tableColumn id="7" name="Column" dataDxfId="64">
      <calculatedColumnFormula>regex(NamedRanges[[#This Row],[CellReflist]],"(\$)(.*[A-Z])","$2")</calculatedColumnFormula>
    </tableColumn>
    <tableColumn id="8" name="Row" dataDxfId="63">
      <calculatedColumnFormula>regex(NamedRanges[[#This Row],[CellReflist]],"[0-9].*")</calculatedColumnFormula>
    </tableColumn>
    <tableColumn id="9" name="Столбец1" dataDxfId="62">
      <calculatedColumnFormula>regex(NamedRanges[[#This Row],[CellReflist]],"(.+?)?(:)(.+)?","$1")</calculatedColumnFormula>
    </tableColumn>
    <tableColumn id="10" name="Столбец2" dataDxfId="61">
      <calculatedColumnFormula>regex(NamedRanges[[#This Row],[CellReflist]],"(.+?)?(:)(.+)?","$3")</calculatedColumnFormula>
    </tableColumn>
  </tableColumns>
  <tableStyleInfo name="TableStyleLight1" showFirstColumn="0" showLastColumn="0" showRowStripes="1" showColumnStripes="0"/>
</table>
</file>

<file path=xl/tables/table57.xml><?xml version="1.0" encoding="utf-8"?>
<table xmlns="http://schemas.openxmlformats.org/spreadsheetml/2006/main" id="69" name="parametrs" displayName="parametrs" ref="A1:C2" totalsRowShown="0">
  <autoFilter ref="A1:C2"/>
  <tableColumns count="3">
    <tableColumn id="1" name="parametr"/>
    <tableColumn id="2" name="value"/>
    <tableColumn id="3" name="comment"/>
  </tableColumns>
  <tableStyleInfo name="TableStyleLight1" showFirstColumn="0" showLastColumn="0" showRowStripes="1" showColumnStripes="0"/>
</table>
</file>

<file path=xl/tables/table58.xml><?xml version="1.0" encoding="utf-8"?>
<table xmlns="http://schemas.openxmlformats.org/spreadsheetml/2006/main" id="35" name="Вызванная_функция" displayName="Вызванная_функция" ref="A1:A2" tableType="queryTable" totalsRowShown="0">
  <autoFilter ref="A1:A2"/>
  <tableColumns count="1">
    <tableColumn id="1" uniqueName="1" name="Вызванная функция" queryTableFieldId="1" dataDxfId="60"/>
  </tableColumns>
  <tableStyleInfo name="TableStyleMedium7" showFirstColumn="0" showLastColumn="0" showRowStripes="1" showColumnStripes="0"/>
</table>
</file>

<file path=xl/tables/table59.xml><?xml version="1.0" encoding="utf-8"?>
<table xmlns="http://schemas.openxmlformats.org/spreadsheetml/2006/main" id="38" name="Вызванная_функция__4" displayName="Вызванная_функция__4" ref="A1:B4" tableType="queryTable" totalsRowShown="0">
  <autoFilter ref="A1:B4"/>
  <tableColumns count="2">
    <tableColumn id="9" uniqueName="9" name="Column1" queryTableFieldId="1"/>
    <tableColumn id="10" uniqueName="10" name="Column2" queryTableFieldId="2"/>
  </tableColumns>
  <tableStyleInfo name="TableStyleMedium7" showFirstColumn="0" showLastColumn="0" showRowStripes="1" showColumnStripes="0"/>
</table>
</file>

<file path=xl/tables/table60.xml><?xml version="1.0" encoding="utf-8"?>
<table xmlns="http://schemas.openxmlformats.org/spreadsheetml/2006/main" id="42" name="Лісництва" displayName="Лісництва" ref="A1:P7" totalsRowShown="0" tableBorderDxfId="59">
  <autoFilter ref="A1:P7"/>
  <tableColumns count="16">
    <tableColumn id="1" name="Группа" dataDxfId="58" dataCellStyle="Обычный_Реализация (1) (1)"/>
    <tableColumn id="2" name="Підрозділ" dataDxfId="57"/>
    <tableColumn id="3" name="Нумерация" dataDxfId="56" dataCellStyle="Обычный_Реализация (1) (1)"/>
    <tableColumn id="4" name="Сокр" dataDxfId="55" dataCellStyle="Обычный_Реализация (1) (1)"/>
    <tableColumn id="5" name="Лісництвого" dataDxfId="54"/>
    <tableColumn id="6" name="ЛісничОГО" dataDxfId="53" dataCellStyle="Обычный_Реализация (1) (1)"/>
    <tableColumn id="7" name="ЛісничИЙ" dataDxfId="52" dataCellStyle="Обычный_Реализация (1) (1)"/>
    <tableColumn id="8" name="Виконавец" dataDxfId="51" dataCellStyle="Обычный 2"/>
    <tableColumn id="9" name="Помичник" dataDxfId="50" dataCellStyle="Обычный_Реализация (1) (1)"/>
    <tableColumn id="10" name="в" dataDxfId="49"/>
    <tableColumn id="11" name="Лісництві" dataDxfId="48" dataCellStyle="Обычный_Реализация (1) (1)"/>
    <tableColumn id="12" name="01.фев" dataDxfId="47"/>
    <tableColumn id="13" name="ВиконавецEOD" dataCellStyle="Обычный_Реализация (1) (1)"/>
    <tableColumn id="14" name="Дата договору" dataCellStyle="Обычный_Реализация (1) (1)"/>
    <tableColumn id="15" name="№ Договору" dataCellStyle="Обычный_Реализация (1) (1)"/>
    <tableColumn id="16" name="ВиконавецДоговор" dataCellStyle="Обычный_Реализация (1) (1)"/>
  </tableColumns>
  <tableStyleInfo name="TableStyleLight1" showFirstColumn="0" showLastColumn="0" showRowStripes="1" showColumnStripes="0"/>
</table>
</file>

<file path=xl/tables/table61.xml><?xml version="1.0" encoding="utf-8"?>
<table xmlns="http://schemas.openxmlformats.org/spreadsheetml/2006/main" id="61" name="Тендер" displayName="Тендер" ref="A1:D5" totalsRowShown="0">
  <autoFilter ref="A1:D5"/>
  <tableColumns count="4">
    <tableColumn id="1" name="Тендер" dataCellStyle="Обычный 2 2"/>
    <tableColumn id="2" name="Дата" dataDxfId="46"/>
    <tableColumn id="3" name="Виконавець" dataDxfId="45"/>
    <tableColumn id="4" name="Сума тендера"/>
  </tableColumns>
  <tableStyleInfo name="TableStyleLight1" showFirstColumn="0" showLastColumn="0" showRowStripes="1" showColumnStripes="0"/>
</table>
</file>

<file path=xl/tables/table62.xml><?xml version="1.0" encoding="utf-8"?>
<table xmlns="http://schemas.openxmlformats.org/spreadsheetml/2006/main" id="39" name="Вызванная_функцияListColumnsNames" displayName="Вызванная_функцияListColumnsNames" ref="A1:B4" tableType="queryTable" totalsRowShown="0">
  <autoFilter ref="A1:B4"/>
  <tableColumns count="2">
    <tableColumn id="10" uniqueName="10" name="Column1" queryTableFieldId="1"/>
    <tableColumn id="11" uniqueName="11" name="Column2" queryTableFieldId="2"/>
  </tableColumns>
  <tableStyleInfo name="TableStyleMedium7" showFirstColumn="0" showLastColumn="0" showRowStripes="1" showColumnStripes="0"/>
</table>
</file>

<file path=xl/tables/table63.xml><?xml version="1.0" encoding="utf-8"?>
<table xmlns="http://schemas.openxmlformats.org/spreadsheetml/2006/main" id="40" name="Merge1" displayName="Merge1" ref="A1:C2" tableType="queryTable" totalsRowShown="0">
  <autoFilter ref="A1:C2"/>
  <tableColumns count="3">
    <tableColumn id="8" uniqueName="8" name="Сведено.1" queryTableFieldId="1" dataDxfId="44"/>
    <tableColumn id="9" uniqueName="9" name="Сведено.2" queryTableFieldId="2" dataDxfId="43"/>
    <tableColumn id="10" uniqueName="10" name="Сведено.3" queryTableFieldId="3" dataDxfId="42"/>
  </tableColumns>
  <tableStyleInfo name="TableStyleMedium7" showFirstColumn="0" showLastColumn="0" showRowStripes="1" showColumnStripes="0"/>
</table>
</file>

<file path=xl/tables/table64.xml><?xml version="1.0" encoding="utf-8"?>
<table xmlns="http://schemas.openxmlformats.org/spreadsheetml/2006/main" id="41" name="Full__2" displayName="Full__2" ref="A1:G2" tableType="queryTable" totalsRowShown="0">
  <autoFilter ref="A1:G2"/>
  <tableColumns count="7">
    <tableColumn id="1" uniqueName="1" name="СКР" queryTableFieldId="1" dataDxfId="41"/>
    <tableColumn id="2" uniqueName="2" name="Сведено.1" queryTableFieldId="2" dataDxfId="40"/>
    <tableColumn id="3" uniqueName="3" name="Сведено.2" queryTableFieldId="3" dataDxfId="39"/>
    <tableColumn id="4" uniqueName="4" name="Сведено.3" queryTableFieldId="4" dataDxfId="38"/>
    <tableColumn id="5" uniqueName="5" name="Сведено.4" queryTableFieldId="5" dataDxfId="37"/>
    <tableColumn id="6" uniqueName="6" name="Атрибут" queryTableFieldId="6" dataDxfId="36"/>
    <tableColumn id="7" uniqueName="7" name="Значение" queryTableFieldId="7" dataDxfId="35"/>
  </tableColumns>
  <tableStyleInfo name="TableStyleMedium7" showFirstColumn="0" showLastColumn="0" showRowStripes="1" showColumnStripes="0"/>
</table>
</file>

<file path=xl/tables/table65.xml><?xml version="1.0" encoding="utf-8"?>
<table xmlns="http://schemas.openxmlformats.org/spreadsheetml/2006/main" id="14" name="ДілянкаПоЛК" displayName="ДілянкаПоЛК" ref="A1:L2" tableType="queryTable" insertRow="1" totalsRowShown="0">
  <autoFilter ref="A1:L2"/>
  <tableColumns count="12">
    <tableColumn id="1" uniqueName="1" name="Ділянка" queryTableFieldId="1" dataDxfId="34"/>
    <tableColumn id="2" uniqueName="2" name="Дата початку" queryTableFieldId="2" dataDxfId="33"/>
    <tableColumn id="3" uniqueName="3" name="Дата закінчення" queryTableFieldId="3" dataDxfId="32"/>
    <tableColumn id="4" uniqueName="4" name="Площа" queryTableFieldId="4" dataDxfId="31"/>
    <tableColumn id="5" uniqueName="5" name="Сведено" queryTableFieldId="5" dataDxfId="30"/>
    <tableColumn id="6" uniqueName="6" name="Виконавець" queryTableFieldId="6" dataDxfId="29"/>
    <tableColumn id="7" uniqueName="7" name="Номер договору" queryTableFieldId="7" dataDxfId="28"/>
    <tableColumn id="8" uniqueName="8" name="Месяц договору" queryTableFieldId="8" dataDxfId="27"/>
    <tableColumn id="9" uniqueName="9" name="СКР" queryTableFieldId="9" dataDxfId="26"/>
    <tableColumn id="10" uniqueName="10" name="Порядковий договору" queryTableFieldId="10" dataDxfId="25"/>
    <tableColumn id="11" uniqueName="11" name="Месяц ЛК" queryTableFieldId="11" dataDxfId="24"/>
    <tableColumn id="12" uniqueName="12" name="Вик" queryTableFieldId="12" dataDxfId="23"/>
  </tableColumns>
  <tableStyleInfo name="TableStyleMedium7" showFirstColumn="0" showLastColumn="0" showRowStripes="1" showColumnStripes="0"/>
</table>
</file>

<file path=xl/tables/table66.xml><?xml version="1.0" encoding="utf-8"?>
<table xmlns="http://schemas.openxmlformats.org/spreadsheetml/2006/main" id="30" name="РеестрЛКЕОДConect" displayName="РеестрЛКЕОДConect" ref="A1:K836" tableType="queryTable" totalsRowShown="0">
  <autoFilter ref="A1:K836">
    <filterColumn colId="3">
      <filters>
        <filter val="514193"/>
      </filters>
    </filterColumn>
  </autoFilter>
  <tableColumns count="11">
    <tableColumn id="12" uniqueName="12" name="Лісництво" queryTableFieldId="1" dataDxfId="22"/>
    <tableColumn id="13" uniqueName="13" name="Вид рубки" queryTableFieldId="2" dataDxfId="21"/>
    <tableColumn id="14" uniqueName="14" name="Ділянка" queryTableFieldId="3" dataDxfId="20"/>
    <tableColumn id="15" uniqueName="15" name="Номер" queryTableFieldId="4" dataDxfId="19"/>
    <tableColumn id="16" uniqueName="16" name="Дата початку" queryTableFieldId="5" dataDxfId="18"/>
    <tableColumn id="17" uniqueName="17" name="Дата закінчення" queryTableFieldId="6" dataDxfId="17"/>
    <tableColumn id="18" uniqueName="18" name="Площа" queryTableFieldId="7" dataDxfId="16"/>
    <tableColumn id="19" uniqueName="19" name="Ділова" queryTableFieldId="8" dataDxfId="15"/>
    <tableColumn id="20" uniqueName="20" name="Дров'яна" queryTableFieldId="9" dataDxfId="14"/>
    <tableColumn id="21" uniqueName="21" name="Всього куб. м." queryTableFieldId="10" dataDxfId="13"/>
    <tableColumn id="22" uniqueName="22" name="Сведено" queryTableFieldId="11" dataDxfId="12"/>
  </tableColumns>
  <tableStyleInfo name="TableStyleMedium7" showFirstColumn="0" showLastColumn="0" showRowStripes="1" showColumnStripes="0"/>
</table>
</file>

<file path=xl/tables/table67.xml><?xml version="1.0" encoding="utf-8"?>
<table xmlns="http://schemas.openxmlformats.org/spreadsheetml/2006/main" id="4" name="ДоговораПодрядаЕОД" displayName="ДоговораПодрядаЕОД" ref="A1:G430" tableType="queryTable" totalsRowShown="0">
  <autoFilter ref="A1:G430">
    <filterColumn colId="6">
      <customFilters>
        <customFilter val="*514193*"/>
      </customFilters>
    </filterColumn>
  </autoFilter>
  <tableColumns count="7">
    <tableColumn id="15" uniqueName="15" name="Лісгосп" queryTableFieldId="1" dataDxfId="11"/>
    <tableColumn id="16" uniqueName="16" name="Лісництво" queryTableFieldId="2" dataDxfId="10"/>
    <tableColumn id="17" uniqueName="17" name="Виконавець" queryTableFieldId="3" dataDxfId="9"/>
    <tableColumn id="18" uniqueName="18" name="Ділянка" queryTableFieldId="4" dataDxfId="8"/>
    <tableColumn id="19" uniqueName="19" name="Номер договору" queryTableFieldId="5" dataDxfId="7"/>
    <tableColumn id="20" uniqueName="20" name="Номер" queryTableFieldId="6" dataDxfId="6"/>
    <tableColumn id="21" uniqueName="21" name="Сведено" queryTableFieldId="7" dataDxfId="5"/>
  </tableColumns>
  <tableStyleInfo name="TableStyleMedium7" showFirstColumn="0" showLastColumn="0" showRowStripes="1" showColumnStripes="0"/>
</table>
</file>

<file path=xl/tables/table68.xml><?xml version="1.0" encoding="utf-8"?>
<table xmlns="http://schemas.openxmlformats.org/spreadsheetml/2006/main" id="58" name="SheetNAme" displayName="SheetNAme" ref="A1:A3" tableType="queryTable" totalsRowShown="0">
  <autoFilter ref="A1:A3"/>
  <tableColumns count="1">
    <tableColumn id="9" uniqueName="9" name="Name" queryTableFieldId="1" dataDxfId="4"/>
  </tableColumns>
  <tableStyleInfo name="TableStyleMedium7" showFirstColumn="0" showLastColumn="0" showRowStripes="1" showColumnStripes="0"/>
</table>
</file>

<file path=xl/tables/table69.xml><?xml version="1.0" encoding="utf-8"?>
<table xmlns="http://schemas.openxmlformats.org/spreadsheetml/2006/main" id="55" name="Майстри_2" displayName="Майстри_2" ref="A1:A2" tableType="queryTable" insertRow="1" totalsRowShown="0">
  <autoFilter ref="A1:A2"/>
  <tableColumns count="1">
    <tableColumn id="3" uniqueName="3" name="Майстри" queryTableFieldId="1" dataDxfId="3"/>
  </tableColumns>
  <tableStyleInfo name="TableStyleMedium7" showFirstColumn="0" showLastColumn="0" showRowStripes="1" showColumnStripes="0"/>
</table>
</file>

<file path=xl/tables/table70.xml><?xml version="1.0" encoding="utf-8"?>
<table xmlns="http://schemas.openxmlformats.org/spreadsheetml/2006/main" id="65" name="ІнформаціяДляСтроки7__2" displayName="ІнформаціяДляСтроки7__2" ref="A1:B106" tableType="queryTable" totalsRowShown="0">
  <autoFilter ref="A1:B106"/>
  <tableColumns count="2">
    <tableColumn id="5" uniqueName="5" name="ИнформацияДляСтрочки.1" queryTableFieldId="1" dataDxfId="2"/>
    <tableColumn id="6" uniqueName="6" name="ИнформацияДляСтрочки.15" queryTableFieldId="2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table" Target="../tables/table18.xml"/><Relationship Id="rId7" Type="http://schemas.openxmlformats.org/officeDocument/2006/relationships/table" Target="../tables/table22.xml"/><Relationship Id="rId12" Type="http://schemas.openxmlformats.org/officeDocument/2006/relationships/table" Target="../tables/table27.xml"/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1.xml"/><Relationship Id="rId11" Type="http://schemas.openxmlformats.org/officeDocument/2006/relationships/table" Target="../tables/table26.xml"/><Relationship Id="rId5" Type="http://schemas.openxmlformats.org/officeDocument/2006/relationships/table" Target="../tables/table20.xml"/><Relationship Id="rId10" Type="http://schemas.openxmlformats.org/officeDocument/2006/relationships/table" Target="../tables/table25.xml"/><Relationship Id="rId4" Type="http://schemas.openxmlformats.org/officeDocument/2006/relationships/table" Target="../tables/table19.xml"/><Relationship Id="rId9" Type="http://schemas.openxmlformats.org/officeDocument/2006/relationships/table" Target="../tables/table2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table" Target="../tables/table32.xml"/><Relationship Id="rId4" Type="http://schemas.openxmlformats.org/officeDocument/2006/relationships/control" Target="../activeX/activeX1.xml"/><Relationship Id="rId9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13" Type="http://schemas.openxmlformats.org/officeDocument/2006/relationships/table" Target="../tables/table45.xml"/><Relationship Id="rId18" Type="http://schemas.openxmlformats.org/officeDocument/2006/relationships/table" Target="../tables/table5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17" Type="http://schemas.openxmlformats.org/officeDocument/2006/relationships/table" Target="../tables/table49.xml"/><Relationship Id="rId2" Type="http://schemas.openxmlformats.org/officeDocument/2006/relationships/table" Target="../tables/table34.xml"/><Relationship Id="rId16" Type="http://schemas.openxmlformats.org/officeDocument/2006/relationships/table" Target="../tables/table48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5" Type="http://schemas.openxmlformats.org/officeDocument/2006/relationships/table" Target="../tables/table4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Relationship Id="rId14" Type="http://schemas.openxmlformats.org/officeDocument/2006/relationships/table" Target="../tables/table4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4.xml"/><Relationship Id="rId4" Type="http://schemas.openxmlformats.org/officeDocument/2006/relationships/table" Target="../tables/table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5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1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6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8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9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15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16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2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3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1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3">
    <tabColor indexed="14"/>
  </sheetPr>
  <dimension ref="A1:U28"/>
  <sheetViews>
    <sheetView topLeftCell="A16" workbookViewId="0">
      <selection activeCell="C16" sqref="C16"/>
    </sheetView>
  </sheetViews>
  <sheetFormatPr defaultRowHeight="12.75"/>
  <cols>
    <col min="1" max="1" width="30.42578125" style="187" customWidth="1"/>
    <col min="2" max="7" width="9.140625" style="187"/>
    <col min="8" max="8" width="16.85546875" style="187" bestFit="1" customWidth="1"/>
    <col min="9" max="9" width="27.140625" style="187" bestFit="1" customWidth="1"/>
    <col min="10" max="10" width="10.28515625" style="187" bestFit="1" customWidth="1"/>
    <col min="11" max="11" width="9.140625" style="187"/>
    <col min="12" max="12" width="9" style="187" customWidth="1"/>
    <col min="13" max="13" width="25" style="187" bestFit="1" customWidth="1"/>
    <col min="14" max="16384" width="9.140625" style="187"/>
  </cols>
  <sheetData>
    <row r="1" spans="1:21" ht="13.5" thickBot="1">
      <c r="A1" s="187" t="s">
        <v>3221</v>
      </c>
      <c r="B1" s="389" t="s">
        <v>72</v>
      </c>
      <c r="C1" s="390"/>
      <c r="D1" s="390"/>
      <c r="E1" s="390"/>
      <c r="F1" s="390"/>
      <c r="G1" s="390"/>
      <c r="M1" s="187" t="s">
        <v>3221</v>
      </c>
      <c r="N1" s="391" t="s">
        <v>71</v>
      </c>
    </row>
    <row r="2" spans="1:21" ht="27" customHeight="1" thickBot="1">
      <c r="A2" s="313" t="s">
        <v>3222</v>
      </c>
      <c r="B2" s="316" t="s">
        <v>3223</v>
      </c>
      <c r="C2" s="316" t="s">
        <v>3224</v>
      </c>
      <c r="D2" s="316" t="s">
        <v>3225</v>
      </c>
      <c r="E2" s="316" t="s">
        <v>3226</v>
      </c>
      <c r="F2" s="317" t="s">
        <v>3107</v>
      </c>
      <c r="G2" s="392"/>
      <c r="I2" s="187" t="s">
        <v>3213</v>
      </c>
      <c r="J2" s="187" t="e">
        <f ca="1">INDIRECT(I2 &amp; "[Вибираема маса]")</f>
        <v>#VALUE!</v>
      </c>
      <c r="M2" s="313" t="s">
        <v>3222</v>
      </c>
      <c r="N2" s="363" t="s">
        <v>3223</v>
      </c>
      <c r="O2" s="363" t="s">
        <v>3224</v>
      </c>
      <c r="P2" s="363" t="s">
        <v>3225</v>
      </c>
      <c r="Q2" s="363" t="s">
        <v>3226</v>
      </c>
      <c r="R2" s="364" t="s">
        <v>3107</v>
      </c>
      <c r="S2" s="380"/>
      <c r="T2" s="187" t="s">
        <v>3214</v>
      </c>
    </row>
    <row r="3" spans="1:21" ht="15">
      <c r="A3" s="318">
        <v>3.5000000000000003E-2</v>
      </c>
      <c r="B3" s="322">
        <v>7.5</v>
      </c>
      <c r="C3" s="321">
        <v>8.3000000000000007</v>
      </c>
      <c r="D3" s="321">
        <v>9.1</v>
      </c>
      <c r="E3" s="321">
        <v>10</v>
      </c>
      <c r="F3" s="323">
        <v>11</v>
      </c>
      <c r="G3" s="393"/>
      <c r="H3" s="324" t="s">
        <v>3221</v>
      </c>
      <c r="I3" s="709">
        <v>0.44</v>
      </c>
      <c r="J3" s="187" t="e">
        <v>#VALUE!</v>
      </c>
      <c r="K3" s="187">
        <f ca="1">nearmax(I3,INDIRECT(I2&amp;"[Вибираема маса]"))</f>
        <v>0.5</v>
      </c>
      <c r="M3" s="350">
        <v>3.5000000000000003E-2</v>
      </c>
      <c r="N3" s="319">
        <v>9.3000000000000007</v>
      </c>
      <c r="O3" s="319">
        <v>10.199999999999999</v>
      </c>
      <c r="P3" s="319">
        <v>11.2</v>
      </c>
      <c r="Q3" s="319">
        <v>12.3</v>
      </c>
      <c r="R3" s="320">
        <v>13.5</v>
      </c>
      <c r="S3" s="380"/>
      <c r="T3" s="369">
        <v>0.04</v>
      </c>
      <c r="U3" s="187" t="e">
        <v>#VALUE!</v>
      </c>
    </row>
    <row r="4" spans="1:21" ht="15.75" thickBot="1">
      <c r="A4" s="318">
        <v>0.04</v>
      </c>
      <c r="B4" s="322">
        <v>8.4</v>
      </c>
      <c r="C4" s="321">
        <v>9.1999999999999993</v>
      </c>
      <c r="D4" s="321">
        <v>10.1</v>
      </c>
      <c r="E4" s="321">
        <v>11.1</v>
      </c>
      <c r="F4" s="323">
        <v>12.2</v>
      </c>
      <c r="G4" s="393"/>
      <c r="H4" s="326" t="s">
        <v>3222</v>
      </c>
      <c r="I4" s="327">
        <v>12</v>
      </c>
      <c r="J4" s="187">
        <f>nearmax(I4,RDNAME)</f>
        <v>14</v>
      </c>
      <c r="K4" s="187">
        <f>nearmax(I4,RDNAME)</f>
        <v>14</v>
      </c>
      <c r="M4" s="350">
        <v>0.04</v>
      </c>
      <c r="N4" s="319">
        <v>10.4</v>
      </c>
      <c r="O4" s="319">
        <v>11.4</v>
      </c>
      <c r="P4" s="319">
        <v>12.5</v>
      </c>
      <c r="Q4" s="319">
        <v>13.8</v>
      </c>
      <c r="R4" s="320">
        <v>15.2</v>
      </c>
      <c r="S4" s="380"/>
      <c r="T4" s="369">
        <v>9</v>
      </c>
      <c r="U4" s="187">
        <f>nearmax(T4,RDNAME)</f>
        <v>10</v>
      </c>
    </row>
    <row r="5" spans="1:21" ht="15">
      <c r="A5" s="318">
        <v>4.4999999999999998E-2</v>
      </c>
      <c r="B5" s="322">
        <v>9.3000000000000007</v>
      </c>
      <c r="C5" s="321">
        <v>10.199999999999999</v>
      </c>
      <c r="D5" s="321">
        <v>11.2</v>
      </c>
      <c r="E5" s="321">
        <v>12.3</v>
      </c>
      <c r="F5" s="323">
        <v>13.5</v>
      </c>
      <c r="G5" s="393"/>
      <c r="J5" s="187" t="e">
        <v>#VALUE!</v>
      </c>
      <c r="K5" s="187">
        <f ca="1">MATCH(nearmax(I3,INDIRECT(I2&amp;"[Вибираема маса]")),INDIRECT(I2 &amp; "[Вибираема маса]"),0)</f>
        <v>21</v>
      </c>
      <c r="M5" s="350">
        <v>4.4999999999999998E-2</v>
      </c>
      <c r="N5" s="319">
        <v>11.5</v>
      </c>
      <c r="O5" s="319">
        <v>12.7</v>
      </c>
      <c r="P5" s="319">
        <v>14</v>
      </c>
      <c r="Q5" s="319">
        <v>15.4</v>
      </c>
      <c r="R5" s="320">
        <v>16.899999999999999</v>
      </c>
      <c r="S5" s="380"/>
      <c r="U5" s="187" t="e">
        <v>#VALUE!</v>
      </c>
    </row>
    <row r="6" spans="1:21" ht="15">
      <c r="A6" s="318">
        <v>0.05</v>
      </c>
      <c r="B6" s="322">
        <v>10.3</v>
      </c>
      <c r="C6" s="321">
        <v>11.3</v>
      </c>
      <c r="D6" s="321">
        <v>12.4</v>
      </c>
      <c r="E6" s="321">
        <v>13.6</v>
      </c>
      <c r="F6" s="323">
        <v>15</v>
      </c>
      <c r="G6" s="393"/>
      <c r="J6" s="187">
        <f>MATCH(nearmax(I4,RDNAME),RDNAME,0)+1</f>
        <v>4</v>
      </c>
      <c r="K6" s="187">
        <f>MATCH(nearmax(J4,RDNAME),RDNAME,0)+1</f>
        <v>4</v>
      </c>
      <c r="M6" s="350">
        <v>0.05</v>
      </c>
      <c r="N6" s="319">
        <v>12.7</v>
      </c>
      <c r="O6" s="319">
        <v>14</v>
      </c>
      <c r="P6" s="319">
        <v>15.4</v>
      </c>
      <c r="Q6" s="319">
        <v>16.899999999999999</v>
      </c>
      <c r="R6" s="320">
        <v>18.600000000000001</v>
      </c>
      <c r="S6" s="380"/>
      <c r="U6" s="187">
        <f>MATCH(nearmax(T4,RDNAME),RDNAME,0)+1</f>
        <v>3</v>
      </c>
    </row>
    <row r="7" spans="1:21" ht="15">
      <c r="A7" s="318">
        <v>5.5E-2</v>
      </c>
      <c r="B7" s="321">
        <v>11.3</v>
      </c>
      <c r="C7" s="321">
        <v>12.4</v>
      </c>
      <c r="D7" s="321">
        <v>13.6</v>
      </c>
      <c r="E7" s="321">
        <v>15</v>
      </c>
      <c r="F7" s="323">
        <v>16.5</v>
      </c>
      <c r="G7" s="393"/>
      <c r="J7" s="328">
        <f>INDEX(ЗД_ТП[],MATCH(nearmax(I3,ЗД_ТП[Вибираема маса]),ЗД_ТП[Вибираема маса],0),MATCH(nearmax(I4,RDNAME),RDNAME,0)+1)</f>
        <v>65.5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80.900000000000006</v>
      </c>
      <c r="M7" s="350">
        <v>5.5E-2</v>
      </c>
      <c r="N7" s="319">
        <v>13.9</v>
      </c>
      <c r="O7" s="319">
        <v>15.3</v>
      </c>
      <c r="P7" s="319">
        <v>16.8</v>
      </c>
      <c r="Q7" s="319">
        <v>18.5</v>
      </c>
      <c r="R7" s="320">
        <v>20.3</v>
      </c>
      <c r="S7" s="380"/>
      <c r="U7" s="328">
        <f>INDEX(ЗД_ХМ[],MATCH(nearmax(T3,ЗД_ХМ[Вибираема маса]),ЗД_ХМ[Вибираема маса],0),MATCH(nearmax(T4,RDNAME),RDNAME,0)+1)</f>
        <v>11.4</v>
      </c>
    </row>
    <row r="8" spans="1:21" ht="15">
      <c r="A8" s="318">
        <v>0.06</v>
      </c>
      <c r="B8" s="321">
        <v>12.2</v>
      </c>
      <c r="C8" s="321">
        <v>13.4</v>
      </c>
      <c r="D8" s="321">
        <v>14.7</v>
      </c>
      <c r="E8" s="321">
        <v>16.2</v>
      </c>
      <c r="F8" s="323">
        <v>17.8</v>
      </c>
      <c r="G8" s="393"/>
      <c r="M8" s="350">
        <v>0.06</v>
      </c>
      <c r="N8" s="319">
        <v>15</v>
      </c>
      <c r="O8" s="319">
        <v>16.5</v>
      </c>
      <c r="P8" s="319">
        <v>18.100000000000001</v>
      </c>
      <c r="Q8" s="319">
        <v>19.899999999999999</v>
      </c>
      <c r="R8" s="320">
        <v>21.9</v>
      </c>
      <c r="S8" s="380"/>
      <c r="T8" s="380"/>
      <c r="U8" s="380"/>
    </row>
    <row r="9" spans="1:21" ht="15">
      <c r="A9" s="318">
        <v>6.5000000000000002E-2</v>
      </c>
      <c r="B9" s="322">
        <v>13</v>
      </c>
      <c r="C9" s="321">
        <v>14.3</v>
      </c>
      <c r="D9" s="321">
        <v>15.7</v>
      </c>
      <c r="E9" s="321">
        <v>17.3</v>
      </c>
      <c r="F9" s="323">
        <v>19</v>
      </c>
      <c r="G9" s="393"/>
      <c r="I9" s="39" t="s">
        <v>71</v>
      </c>
      <c r="M9" s="350">
        <v>6.5000000000000002E-2</v>
      </c>
      <c r="N9" s="319">
        <v>16.100000000000001</v>
      </c>
      <c r="O9" s="319">
        <v>17.7</v>
      </c>
      <c r="P9" s="319">
        <v>19.5</v>
      </c>
      <c r="Q9" s="319">
        <v>21.4</v>
      </c>
      <c r="R9" s="320">
        <v>23.5</v>
      </c>
      <c r="S9" s="380"/>
      <c r="T9" s="380"/>
      <c r="U9" s="380"/>
    </row>
    <row r="10" spans="1:21" ht="15">
      <c r="A10" s="318">
        <v>7.0000000000000007E-2</v>
      </c>
      <c r="B10" s="322">
        <v>13.9</v>
      </c>
      <c r="C10" s="321">
        <v>15.3</v>
      </c>
      <c r="D10" s="321">
        <v>16.8</v>
      </c>
      <c r="E10" s="321">
        <v>18.5</v>
      </c>
      <c r="F10" s="323">
        <v>20.399999999999999</v>
      </c>
      <c r="G10" s="393"/>
      <c r="I10" s="39" t="s">
        <v>71</v>
      </c>
      <c r="J10" s="187" t="str">
        <f>IF(I10="Твердолистяні породи",K12&amp;"_ТП",K12&amp;"_ХМ")</f>
        <v>ЗД_ХМ</v>
      </c>
      <c r="M10" s="350">
        <v>7.0000000000000007E-2</v>
      </c>
      <c r="N10" s="319">
        <v>17.100000000000001</v>
      </c>
      <c r="O10" s="319">
        <v>18.8</v>
      </c>
      <c r="P10" s="319">
        <v>20.7</v>
      </c>
      <c r="Q10" s="319">
        <v>22.8</v>
      </c>
      <c r="R10" s="320">
        <v>25.1</v>
      </c>
      <c r="S10" s="380"/>
      <c r="T10" s="380"/>
      <c r="U10" s="380"/>
    </row>
    <row r="11" spans="1:21" ht="15.75" thickBot="1">
      <c r="A11" s="318">
        <v>0.08</v>
      </c>
      <c r="B11" s="321">
        <v>15.6</v>
      </c>
      <c r="C11" s="321">
        <v>17.2</v>
      </c>
      <c r="D11" s="321">
        <v>18.899999999999999</v>
      </c>
      <c r="E11" s="321">
        <v>20.8</v>
      </c>
      <c r="F11" s="323">
        <v>22.9</v>
      </c>
      <c r="G11" s="393"/>
      <c r="M11" s="350">
        <v>0.08</v>
      </c>
      <c r="N11" s="319">
        <v>19.2</v>
      </c>
      <c r="O11" s="319">
        <v>21.1</v>
      </c>
      <c r="P11" s="319">
        <v>23.2</v>
      </c>
      <c r="Q11" s="319">
        <v>25.5</v>
      </c>
      <c r="R11" s="320">
        <v>28.1</v>
      </c>
      <c r="S11" s="380"/>
      <c r="T11" s="380"/>
      <c r="U11" s="380"/>
    </row>
    <row r="12" spans="1:21" ht="15.75" thickBot="1">
      <c r="A12" s="318">
        <v>0.09</v>
      </c>
      <c r="B12" s="322">
        <v>17.3</v>
      </c>
      <c r="C12" s="321">
        <v>19</v>
      </c>
      <c r="D12" s="321">
        <v>20.9</v>
      </c>
      <c r="E12" s="321">
        <v>23</v>
      </c>
      <c r="F12" s="323">
        <v>25.3</v>
      </c>
      <c r="G12" s="393"/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65.5</v>
      </c>
      <c r="K12" s="332" t="s">
        <v>3279</v>
      </c>
      <c r="M12" s="350">
        <v>0.09</v>
      </c>
      <c r="N12" s="319">
        <v>21.3</v>
      </c>
      <c r="O12" s="319">
        <v>23.4</v>
      </c>
      <c r="P12" s="319">
        <v>25.7</v>
      </c>
      <c r="Q12" s="319">
        <v>28.3</v>
      </c>
      <c r="R12" s="320">
        <v>31.1</v>
      </c>
      <c r="S12" s="380"/>
      <c r="T12" s="380"/>
      <c r="U12" s="380"/>
    </row>
    <row r="13" spans="1:21" ht="15">
      <c r="A13" s="318">
        <v>0.1</v>
      </c>
      <c r="B13" s="321">
        <v>18.8</v>
      </c>
      <c r="C13" s="321">
        <v>20.7</v>
      </c>
      <c r="D13" s="321">
        <v>22.8</v>
      </c>
      <c r="E13" s="321">
        <v>25.1</v>
      </c>
      <c r="F13" s="323">
        <v>27.6</v>
      </c>
      <c r="G13" s="393"/>
      <c r="M13" s="350">
        <v>0.1</v>
      </c>
      <c r="N13" s="319">
        <v>23.2</v>
      </c>
      <c r="O13" s="319">
        <v>25.5</v>
      </c>
      <c r="P13" s="319">
        <v>28</v>
      </c>
      <c r="Q13" s="319">
        <v>30.8</v>
      </c>
      <c r="R13" s="320">
        <v>33.9</v>
      </c>
      <c r="S13" s="380"/>
      <c r="T13" s="380"/>
      <c r="U13" s="380"/>
    </row>
    <row r="14" spans="1:21" ht="15">
      <c r="A14" s="318">
        <v>0.12</v>
      </c>
      <c r="B14" s="322">
        <v>21.7</v>
      </c>
      <c r="C14" s="321">
        <v>23.9</v>
      </c>
      <c r="D14" s="321">
        <v>26.3</v>
      </c>
      <c r="E14" s="321">
        <v>28.9</v>
      </c>
      <c r="F14" s="323">
        <v>31.8</v>
      </c>
      <c r="G14" s="393"/>
      <c r="M14" s="350">
        <v>0.12</v>
      </c>
      <c r="N14" s="319">
        <v>26.8</v>
      </c>
      <c r="O14" s="319">
        <v>29.5</v>
      </c>
      <c r="P14" s="319">
        <v>32.4</v>
      </c>
      <c r="Q14" s="319">
        <v>35.6</v>
      </c>
      <c r="R14" s="320">
        <v>39.200000000000003</v>
      </c>
      <c r="S14" s="380"/>
      <c r="T14" s="380"/>
      <c r="U14" s="380"/>
    </row>
    <row r="15" spans="1:21" ht="15">
      <c r="A15" s="318">
        <v>0.14000000000000001</v>
      </c>
      <c r="B15" s="321">
        <v>24.5</v>
      </c>
      <c r="C15" s="321">
        <v>27</v>
      </c>
      <c r="D15" s="321">
        <v>29.7</v>
      </c>
      <c r="E15" s="321">
        <v>32.700000000000003</v>
      </c>
      <c r="F15" s="323">
        <v>36</v>
      </c>
      <c r="G15" s="393"/>
      <c r="M15" s="350">
        <v>0.14000000000000001</v>
      </c>
      <c r="N15" s="319">
        <v>30.2</v>
      </c>
      <c r="O15" s="319">
        <v>33.200000000000003</v>
      </c>
      <c r="P15" s="319">
        <v>36.5</v>
      </c>
      <c r="Q15" s="319">
        <v>40.200000000000003</v>
      </c>
      <c r="R15" s="320">
        <v>44.2</v>
      </c>
      <c r="S15" s="380"/>
      <c r="T15" s="380"/>
      <c r="U15" s="380"/>
    </row>
    <row r="16" spans="1:21" ht="15">
      <c r="A16" s="318">
        <v>0.16</v>
      </c>
      <c r="B16" s="322">
        <v>27.1</v>
      </c>
      <c r="C16" s="321">
        <v>29.8</v>
      </c>
      <c r="D16" s="321">
        <v>32.799999999999997</v>
      </c>
      <c r="E16" s="321">
        <v>36.1</v>
      </c>
      <c r="F16" s="323">
        <v>39.700000000000003</v>
      </c>
      <c r="G16" s="393"/>
      <c r="M16" s="350">
        <v>0.16</v>
      </c>
      <c r="N16" s="319">
        <v>33.4</v>
      </c>
      <c r="O16" s="319">
        <v>36.700000000000003</v>
      </c>
      <c r="P16" s="319">
        <v>40.4</v>
      </c>
      <c r="Q16" s="319">
        <v>44.4</v>
      </c>
      <c r="R16" s="320">
        <v>48.8</v>
      </c>
      <c r="S16" s="380"/>
      <c r="T16" s="380"/>
      <c r="U16" s="380"/>
    </row>
    <row r="17" spans="1:21" ht="15">
      <c r="A17" s="318">
        <v>0.19</v>
      </c>
      <c r="B17" s="322">
        <v>30.5</v>
      </c>
      <c r="C17" s="321">
        <v>33.6</v>
      </c>
      <c r="D17" s="321">
        <v>37</v>
      </c>
      <c r="E17" s="321">
        <v>40.700000000000003</v>
      </c>
      <c r="F17" s="323">
        <v>44.8</v>
      </c>
      <c r="G17" s="393"/>
      <c r="M17" s="350">
        <v>0.19</v>
      </c>
      <c r="N17" s="319">
        <v>37.700000000000003</v>
      </c>
      <c r="O17" s="319">
        <v>41.5</v>
      </c>
      <c r="P17" s="319">
        <v>45.6</v>
      </c>
      <c r="Q17" s="319">
        <v>50.2</v>
      </c>
      <c r="R17" s="320">
        <v>55.2</v>
      </c>
      <c r="S17" s="380"/>
      <c r="T17" s="380"/>
      <c r="U17" s="380"/>
    </row>
    <row r="18" spans="1:21" ht="15">
      <c r="A18" s="318">
        <v>0.22</v>
      </c>
      <c r="B18" s="322">
        <v>33.799999999999997</v>
      </c>
      <c r="C18" s="321">
        <v>37.200000000000003</v>
      </c>
      <c r="D18" s="321">
        <v>40.9</v>
      </c>
      <c r="E18" s="321">
        <v>45</v>
      </c>
      <c r="F18" s="323">
        <v>49.5</v>
      </c>
      <c r="G18" s="393"/>
      <c r="M18" s="350">
        <v>0.22</v>
      </c>
      <c r="N18" s="319">
        <v>41.7</v>
      </c>
      <c r="O18" s="319">
        <v>45.9</v>
      </c>
      <c r="P18" s="319">
        <v>50.5</v>
      </c>
      <c r="Q18" s="319">
        <v>55.6</v>
      </c>
      <c r="R18" s="386">
        <v>61.2</v>
      </c>
      <c r="S18" s="380"/>
      <c r="T18" s="380"/>
      <c r="U18" s="380"/>
    </row>
    <row r="19" spans="1:21" ht="15">
      <c r="A19" s="318">
        <v>0.25</v>
      </c>
      <c r="B19" s="322">
        <v>36.9</v>
      </c>
      <c r="C19" s="321">
        <v>40.6</v>
      </c>
      <c r="D19" s="321">
        <v>44.7</v>
      </c>
      <c r="E19" s="321">
        <v>49.2</v>
      </c>
      <c r="F19" s="323">
        <v>54.1</v>
      </c>
      <c r="G19" s="393"/>
      <c r="M19" s="350">
        <v>0.25</v>
      </c>
      <c r="N19" s="319">
        <v>45.5</v>
      </c>
      <c r="O19" s="319">
        <v>50</v>
      </c>
      <c r="P19" s="319">
        <v>55</v>
      </c>
      <c r="Q19" s="319">
        <v>60.5</v>
      </c>
      <c r="R19" s="386">
        <v>66.5</v>
      </c>
      <c r="S19" s="380"/>
      <c r="T19" s="380"/>
      <c r="U19" s="380"/>
    </row>
    <row r="20" spans="1:21" ht="15">
      <c r="A20" s="318">
        <v>0.28999999999999998</v>
      </c>
      <c r="B20" s="322">
        <v>40.299999999999997</v>
      </c>
      <c r="C20" s="321">
        <v>44.3</v>
      </c>
      <c r="D20" s="321">
        <v>48.7</v>
      </c>
      <c r="E20" s="321">
        <v>53.6</v>
      </c>
      <c r="F20" s="323">
        <v>59</v>
      </c>
      <c r="G20" s="393"/>
      <c r="I20" s="187">
        <f>ЗД_ТП[Вибираема маса]</f>
        <v>0.28999999999999998</v>
      </c>
      <c r="M20" s="350">
        <v>0.28999999999999998</v>
      </c>
      <c r="N20" s="319">
        <v>49.8</v>
      </c>
      <c r="O20" s="319">
        <v>54.8</v>
      </c>
      <c r="P20" s="319">
        <v>60.3</v>
      </c>
      <c r="Q20" s="319">
        <v>66.3</v>
      </c>
      <c r="R20" s="386">
        <v>72.900000000000006</v>
      </c>
      <c r="S20" s="380"/>
      <c r="T20" s="380"/>
      <c r="U20" s="380"/>
    </row>
    <row r="21" spans="1:21" ht="15">
      <c r="A21" s="318">
        <v>0.35</v>
      </c>
      <c r="B21" s="322">
        <v>45.3</v>
      </c>
      <c r="C21" s="321">
        <v>49.8</v>
      </c>
      <c r="D21" s="321">
        <v>54.8</v>
      </c>
      <c r="E21" s="321">
        <v>60.3</v>
      </c>
      <c r="F21" s="323">
        <v>66.3</v>
      </c>
      <c r="G21" s="393"/>
      <c r="M21" s="350">
        <v>0.35</v>
      </c>
      <c r="N21" s="319">
        <v>55.9</v>
      </c>
      <c r="O21" s="319">
        <v>61.5</v>
      </c>
      <c r="P21" s="319">
        <v>67.7</v>
      </c>
      <c r="Q21" s="319">
        <v>74.5</v>
      </c>
      <c r="R21" s="386">
        <v>81.900000000000006</v>
      </c>
      <c r="S21" s="380"/>
      <c r="T21" s="380"/>
      <c r="U21" s="380"/>
    </row>
    <row r="22" spans="1:21" ht="15">
      <c r="A22" s="318">
        <v>0.41</v>
      </c>
      <c r="B22" s="322">
        <v>49</v>
      </c>
      <c r="C22" s="321">
        <v>53.9</v>
      </c>
      <c r="D22" s="321">
        <v>59.3</v>
      </c>
      <c r="E22" s="321">
        <v>65.2</v>
      </c>
      <c r="F22" s="323">
        <v>71.7</v>
      </c>
      <c r="G22" s="393"/>
      <c r="M22" s="350">
        <v>0.41</v>
      </c>
      <c r="N22" s="319">
        <v>60.5</v>
      </c>
      <c r="O22" s="319">
        <v>66.599999999999994</v>
      </c>
      <c r="P22" s="319">
        <v>73.3</v>
      </c>
      <c r="Q22" s="319">
        <v>80.599999999999994</v>
      </c>
      <c r="R22" s="386">
        <v>88.7</v>
      </c>
      <c r="S22" s="380"/>
      <c r="T22" s="380"/>
      <c r="U22" s="380"/>
    </row>
    <row r="23" spans="1:21" ht="15">
      <c r="A23" s="318">
        <v>0.5</v>
      </c>
      <c r="B23" s="321">
        <v>54.1</v>
      </c>
      <c r="C23" s="321">
        <v>59.5</v>
      </c>
      <c r="D23" s="321">
        <v>65.5</v>
      </c>
      <c r="E23" s="321">
        <v>72.099999999999994</v>
      </c>
      <c r="F23" s="323">
        <v>79.3</v>
      </c>
      <c r="G23" s="393"/>
      <c r="M23" s="350">
        <v>0.5</v>
      </c>
      <c r="N23" s="319">
        <v>66.8</v>
      </c>
      <c r="O23" s="319">
        <v>73.5</v>
      </c>
      <c r="P23" s="319">
        <v>80.900000000000006</v>
      </c>
      <c r="Q23" s="319">
        <v>89</v>
      </c>
      <c r="R23" s="320">
        <v>97.9</v>
      </c>
      <c r="S23" s="380"/>
      <c r="T23" s="380"/>
      <c r="U23" s="380"/>
    </row>
    <row r="24" spans="1:21" ht="15">
      <c r="A24" s="318">
        <v>0.62</v>
      </c>
      <c r="B24" s="321">
        <v>59.6</v>
      </c>
      <c r="C24" s="321">
        <v>65.599999999999994</v>
      </c>
      <c r="D24" s="321">
        <v>72.2</v>
      </c>
      <c r="E24" s="321">
        <v>79.400000000000006</v>
      </c>
      <c r="F24" s="323">
        <v>87.3</v>
      </c>
      <c r="G24" s="393"/>
      <c r="M24" s="350">
        <v>0.62</v>
      </c>
      <c r="N24" s="319">
        <v>73.599999999999994</v>
      </c>
      <c r="O24" s="319">
        <v>81</v>
      </c>
      <c r="P24" s="319">
        <v>89.1</v>
      </c>
      <c r="Q24" s="319">
        <v>98</v>
      </c>
      <c r="R24" s="320">
        <v>107.8</v>
      </c>
      <c r="S24" s="380"/>
      <c r="T24" s="380"/>
      <c r="U24" s="380"/>
    </row>
    <row r="25" spans="1:21" ht="15">
      <c r="A25" s="318">
        <v>0.78</v>
      </c>
      <c r="B25" s="321">
        <v>65.2</v>
      </c>
      <c r="C25" s="321">
        <v>71.7</v>
      </c>
      <c r="D25" s="321">
        <v>78.900000000000006</v>
      </c>
      <c r="E25" s="321">
        <v>86.8</v>
      </c>
      <c r="F25" s="323">
        <v>95.5</v>
      </c>
      <c r="G25" s="393"/>
      <c r="M25" s="350">
        <v>0.78</v>
      </c>
      <c r="N25" s="319">
        <v>80.5</v>
      </c>
      <c r="O25" s="319">
        <v>88.6</v>
      </c>
      <c r="P25" s="319">
        <v>97.5</v>
      </c>
      <c r="Q25" s="319">
        <v>107.2</v>
      </c>
      <c r="R25" s="320">
        <v>117.9</v>
      </c>
      <c r="S25" s="380"/>
      <c r="T25" s="380"/>
      <c r="U25" s="380"/>
    </row>
    <row r="26" spans="1:21" ht="15">
      <c r="A26" s="318">
        <v>0.98</v>
      </c>
      <c r="B26" s="322">
        <v>70.5</v>
      </c>
      <c r="C26" s="321">
        <v>77.599999999999994</v>
      </c>
      <c r="D26" s="321">
        <v>85.4</v>
      </c>
      <c r="E26" s="321">
        <v>93.9</v>
      </c>
      <c r="F26" s="323">
        <v>103.3</v>
      </c>
      <c r="G26" s="393"/>
      <c r="M26" s="350">
        <v>0.98</v>
      </c>
      <c r="N26" s="319">
        <v>87</v>
      </c>
      <c r="O26" s="319">
        <v>95.7</v>
      </c>
      <c r="P26" s="319">
        <v>105.3</v>
      </c>
      <c r="Q26" s="319">
        <v>115.8</v>
      </c>
      <c r="R26" s="386">
        <v>127.4</v>
      </c>
      <c r="S26" s="380"/>
      <c r="T26" s="380"/>
      <c r="U26" s="380"/>
    </row>
    <row r="27" spans="1:21" ht="15">
      <c r="A27" s="318">
        <v>1.5</v>
      </c>
      <c r="B27" s="322">
        <v>79.099999999999994</v>
      </c>
      <c r="C27" s="321">
        <v>87</v>
      </c>
      <c r="D27" s="321">
        <v>95.7</v>
      </c>
      <c r="E27" s="321">
        <v>105.3</v>
      </c>
      <c r="F27" s="323">
        <v>115.8</v>
      </c>
      <c r="G27" s="393"/>
      <c r="M27" s="350">
        <v>1.5</v>
      </c>
      <c r="N27" s="319">
        <v>97.7</v>
      </c>
      <c r="O27" s="319">
        <v>107.5</v>
      </c>
      <c r="P27" s="319">
        <v>118.2</v>
      </c>
      <c r="Q27" s="319">
        <v>130</v>
      </c>
      <c r="R27" s="394">
        <v>143</v>
      </c>
      <c r="S27" s="380"/>
      <c r="T27" s="380"/>
      <c r="U27" s="380"/>
    </row>
    <row r="28" spans="1:21" ht="15">
      <c r="A28" s="395">
        <v>1000</v>
      </c>
      <c r="B28" s="322">
        <v>79.099999999999994</v>
      </c>
      <c r="C28" s="321">
        <v>87</v>
      </c>
      <c r="D28" s="321">
        <v>95.7</v>
      </c>
      <c r="E28" s="321">
        <v>105.3</v>
      </c>
      <c r="F28" s="323">
        <v>115.8</v>
      </c>
      <c r="G28" s="393"/>
      <c r="M28" s="396">
        <v>1000</v>
      </c>
      <c r="N28" s="319">
        <v>97.7</v>
      </c>
      <c r="O28" s="319">
        <v>107.5</v>
      </c>
      <c r="P28" s="319">
        <v>118.2</v>
      </c>
      <c r="Q28" s="319">
        <v>130</v>
      </c>
      <c r="R28" s="394">
        <v>143</v>
      </c>
    </row>
  </sheetData>
  <pageMargins left="0.75" right="0.75" top="1" bottom="1" header="0.5" footer="0.5"/>
  <headerFooter alignWithMargins="0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5">
    <tabColor indexed="34"/>
  </sheetPr>
  <dimension ref="A1:W28"/>
  <sheetViews>
    <sheetView workbookViewId="0">
      <selection activeCell="K3" sqref="K3"/>
    </sheetView>
  </sheetViews>
  <sheetFormatPr defaultRowHeight="12.75"/>
  <cols>
    <col min="1" max="1" width="27" style="187" customWidth="1"/>
    <col min="2" max="2" width="9.140625" style="187"/>
    <col min="3" max="4" width="9.140625" style="204"/>
    <col min="5" max="8" width="9.140625" style="187"/>
    <col min="9" max="9" width="10.7109375" style="187" bestFit="1" customWidth="1"/>
    <col min="10" max="16384" width="9.140625" style="187"/>
  </cols>
  <sheetData>
    <row r="1" spans="1:23">
      <c r="A1" s="187" t="s">
        <v>3221</v>
      </c>
      <c r="O1" s="187" t="s">
        <v>3221</v>
      </c>
    </row>
    <row r="2" spans="1:23" s="380" customFormat="1" ht="15.75" thickBo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H2" s="187"/>
      <c r="I2" s="187" t="s">
        <v>3213</v>
      </c>
      <c r="J2" s="187" t="e">
        <f ca="1">INDIRECT(I2 &amp; "[Вибираема маса]")</f>
        <v>#VALUE!</v>
      </c>
      <c r="K2" s="187"/>
      <c r="O2" s="313" t="s">
        <v>3222</v>
      </c>
      <c r="P2" s="343" t="s">
        <v>3223</v>
      </c>
      <c r="Q2" s="343" t="s">
        <v>3224</v>
      </c>
      <c r="R2" s="343" t="s">
        <v>3225</v>
      </c>
      <c r="S2" s="343" t="s">
        <v>3226</v>
      </c>
      <c r="T2" s="344" t="s">
        <v>3107</v>
      </c>
      <c r="U2" s="187"/>
      <c r="V2" s="187" t="s">
        <v>3215</v>
      </c>
      <c r="W2" s="187"/>
    </row>
    <row r="3" spans="1:23" s="380" customFormat="1" ht="15.75">
      <c r="A3" s="381">
        <v>3.5000000000000003E-2</v>
      </c>
      <c r="B3" s="319">
        <v>3.3</v>
      </c>
      <c r="C3" s="319">
        <v>3.6</v>
      </c>
      <c r="D3" s="319">
        <v>4</v>
      </c>
      <c r="E3" s="319" t="s">
        <v>3233</v>
      </c>
      <c r="F3" s="320">
        <v>4.8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O3" s="350">
        <v>3.5000000000000003E-2</v>
      </c>
      <c r="P3" s="382" t="s">
        <v>3234</v>
      </c>
      <c r="Q3" s="351" t="s">
        <v>3235</v>
      </c>
      <c r="R3" s="351">
        <v>4.9000000000000004</v>
      </c>
      <c r="S3" s="319">
        <v>5.4</v>
      </c>
      <c r="T3" s="320">
        <v>5.9</v>
      </c>
      <c r="U3" s="187"/>
      <c r="V3" s="369">
        <v>0.04</v>
      </c>
      <c r="W3" s="187">
        <f>nearmax(V3,ЗГ_ХМ[Вибираема маса])</f>
        <v>0.04</v>
      </c>
    </row>
    <row r="4" spans="1:23" s="380" customFormat="1" ht="16.5" thickBot="1">
      <c r="A4" s="383">
        <v>0.04</v>
      </c>
      <c r="B4" s="319">
        <v>3.7</v>
      </c>
      <c r="C4" s="319">
        <v>4.0999999999999996</v>
      </c>
      <c r="D4" s="319">
        <v>4.5</v>
      </c>
      <c r="E4" s="319">
        <v>4.9000000000000004</v>
      </c>
      <c r="F4" s="320">
        <v>5.4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O4" s="352">
        <v>0.04</v>
      </c>
      <c r="P4" s="382" t="s">
        <v>3236</v>
      </c>
      <c r="Q4" s="351" t="s">
        <v>142</v>
      </c>
      <c r="R4" s="351">
        <v>5.5</v>
      </c>
      <c r="S4" s="319">
        <v>6</v>
      </c>
      <c r="T4" s="320">
        <v>6.6</v>
      </c>
      <c r="U4" s="187"/>
      <c r="V4" s="369">
        <v>9</v>
      </c>
      <c r="W4" s="187">
        <f>nearmax(V4,RDNAME)</f>
        <v>10</v>
      </c>
    </row>
    <row r="5" spans="1:23" s="380" customFormat="1" ht="15.75">
      <c r="A5" s="383">
        <v>4.4999999999999998E-2</v>
      </c>
      <c r="B5" s="319">
        <v>4.0999999999999996</v>
      </c>
      <c r="C5" s="319">
        <v>4.5</v>
      </c>
      <c r="D5" s="319">
        <v>4.9000000000000004</v>
      </c>
      <c r="E5" s="319">
        <v>5.4</v>
      </c>
      <c r="F5" s="320">
        <v>5.9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2</v>
      </c>
      <c r="O5" s="352">
        <v>4.4999999999999998E-2</v>
      </c>
      <c r="P5" s="382" t="s">
        <v>142</v>
      </c>
      <c r="Q5" s="351" t="s">
        <v>3237</v>
      </c>
      <c r="R5" s="351">
        <v>6</v>
      </c>
      <c r="S5" s="319" t="s">
        <v>3238</v>
      </c>
      <c r="T5" s="320">
        <v>7.3</v>
      </c>
      <c r="U5" s="187"/>
      <c r="V5" s="187"/>
      <c r="W5" s="187">
        <f>MATCH(nearmax(V3,ЗГ_ХМ[Вибираема маса]),ЗГ_ХМ[Вибираема маса],0)</f>
        <v>2</v>
      </c>
    </row>
    <row r="6" spans="1:23" s="380" customFormat="1" ht="15.75">
      <c r="A6" s="383">
        <v>0.05</v>
      </c>
      <c r="B6" s="319">
        <v>4.5</v>
      </c>
      <c r="C6" s="319">
        <v>5</v>
      </c>
      <c r="D6" s="319">
        <v>5.5</v>
      </c>
      <c r="E6" s="319">
        <v>6</v>
      </c>
      <c r="F6" s="320">
        <v>6.6</v>
      </c>
      <c r="H6" s="187"/>
      <c r="I6" s="187"/>
      <c r="J6" s="187">
        <f>MATCH(nearmax(I4,RDNAME),RDNAME,0)+1</f>
        <v>3</v>
      </c>
      <c r="K6" s="187">
        <f>MATCH(nearmax(J4,RDNAME),RDNAME,0)+1</f>
        <v>3</v>
      </c>
      <c r="O6" s="352">
        <v>0.05</v>
      </c>
      <c r="P6" s="382" t="s">
        <v>3237</v>
      </c>
      <c r="Q6" s="351" t="s">
        <v>3239</v>
      </c>
      <c r="R6" s="351">
        <v>6.7</v>
      </c>
      <c r="S6" s="319">
        <v>7.4</v>
      </c>
      <c r="T6" s="320">
        <v>8.1</v>
      </c>
      <c r="U6" s="187"/>
      <c r="V6" s="187"/>
      <c r="W6" s="187">
        <f>MATCH(nearmax(V4,RDNAME),RDNAME,0)+1</f>
        <v>3</v>
      </c>
    </row>
    <row r="7" spans="1:23" s="380" customFormat="1" ht="15.75">
      <c r="A7" s="383">
        <v>5.5E-2</v>
      </c>
      <c r="B7" s="319">
        <v>5</v>
      </c>
      <c r="C7" s="319">
        <v>5.5</v>
      </c>
      <c r="D7" s="319">
        <v>6</v>
      </c>
      <c r="E7" s="319">
        <v>6.6</v>
      </c>
      <c r="F7" s="320">
        <v>7.3</v>
      </c>
      <c r="H7" s="187"/>
      <c r="I7" s="187"/>
      <c r="J7" s="328" t="e">
        <v>#REF!</v>
      </c>
      <c r="K7" s="328" t="str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5,0</v>
      </c>
      <c r="O7" s="352">
        <v>5.5E-2</v>
      </c>
      <c r="P7" s="382">
        <v>6.2</v>
      </c>
      <c r="Q7" s="351">
        <v>6.8</v>
      </c>
      <c r="R7" s="351">
        <v>7.5</v>
      </c>
      <c r="S7" s="319">
        <v>8.1999999999999993</v>
      </c>
      <c r="T7" s="320">
        <v>9</v>
      </c>
      <c r="U7" s="187"/>
      <c r="V7" s="187"/>
      <c r="W7" s="328" t="str">
        <f>INDEX(ЗГ_ХМ[],MATCH(nearmax(V3,ЗГ_ХМ[Вибираема маса]),ЗГ_ХМ[Вибираема маса],0),MATCH(nearmax(V4,RDNAME),RDNAME,0)+1)</f>
        <v>5,0</v>
      </c>
    </row>
    <row r="8" spans="1:23" s="380" customFormat="1" ht="15.75">
      <c r="A8" s="383">
        <v>0.06</v>
      </c>
      <c r="B8" s="319">
        <v>5.5</v>
      </c>
      <c r="C8" s="319">
        <v>6.1</v>
      </c>
      <c r="D8" s="319">
        <v>6.7</v>
      </c>
      <c r="E8" s="319">
        <v>7.4</v>
      </c>
      <c r="F8" s="320">
        <v>8.1</v>
      </c>
      <c r="H8" s="187"/>
      <c r="I8" s="187"/>
      <c r="J8" s="187"/>
      <c r="K8" s="187"/>
      <c r="O8" s="352">
        <v>0.06</v>
      </c>
      <c r="P8" s="382" t="s">
        <v>3240</v>
      </c>
      <c r="Q8" s="351" t="s">
        <v>3241</v>
      </c>
      <c r="R8" s="351">
        <v>8.3000000000000007</v>
      </c>
      <c r="S8" s="319" t="s">
        <v>3242</v>
      </c>
      <c r="T8" s="320">
        <v>10</v>
      </c>
      <c r="U8" s="187"/>
      <c r="V8" s="187"/>
      <c r="W8" s="187"/>
    </row>
    <row r="9" spans="1:23" s="380" customFormat="1" ht="15.75">
      <c r="A9" s="383">
        <v>6.5000000000000002E-2</v>
      </c>
      <c r="B9" s="319">
        <v>6.2</v>
      </c>
      <c r="C9" s="319">
        <v>6.8</v>
      </c>
      <c r="D9" s="319">
        <v>7.5</v>
      </c>
      <c r="E9" s="384">
        <v>8.1999999999999993</v>
      </c>
      <c r="F9" s="320">
        <v>9</v>
      </c>
      <c r="H9" s="187"/>
      <c r="I9" s="39" t="s">
        <v>71</v>
      </c>
      <c r="J9" s="187"/>
      <c r="K9" s="187"/>
      <c r="O9" s="352">
        <v>6.5000000000000002E-2</v>
      </c>
      <c r="P9" s="382" t="s">
        <v>3243</v>
      </c>
      <c r="Q9" s="351">
        <v>8.4</v>
      </c>
      <c r="R9" s="351">
        <v>9.1999999999999993</v>
      </c>
      <c r="S9" s="319" t="s">
        <v>3244</v>
      </c>
      <c r="T9" s="385">
        <v>11.1</v>
      </c>
      <c r="U9" s="187"/>
      <c r="V9" s="187"/>
      <c r="W9" s="187"/>
    </row>
    <row r="10" spans="1:23" s="380" customFormat="1" ht="15.75">
      <c r="A10" s="383">
        <v>7.0000000000000007E-2</v>
      </c>
      <c r="B10" s="319">
        <v>6.8</v>
      </c>
      <c r="C10" s="319">
        <v>7.5</v>
      </c>
      <c r="D10" s="319">
        <v>8.3000000000000007</v>
      </c>
      <c r="E10" s="319">
        <v>9.1</v>
      </c>
      <c r="F10" s="320">
        <v>10</v>
      </c>
      <c r="H10" s="187"/>
      <c r="I10" s="39" t="s">
        <v>71</v>
      </c>
      <c r="J10" s="187" t="str">
        <f>IF(I10="Твердолистяні породи",K12&amp;"_ТП",K12&amp;"_ХМ")</f>
        <v>ЗГ_ХМ</v>
      </c>
      <c r="K10" s="187"/>
      <c r="O10" s="352">
        <v>7.0000000000000007E-2</v>
      </c>
      <c r="P10" s="382" t="s">
        <v>3245</v>
      </c>
      <c r="Q10" s="351">
        <v>9.3000000000000007</v>
      </c>
      <c r="R10" s="351">
        <v>10.199999999999999</v>
      </c>
      <c r="S10" s="319" t="s">
        <v>3246</v>
      </c>
      <c r="T10" s="320">
        <v>12.3</v>
      </c>
      <c r="U10" s="187"/>
      <c r="V10" s="187"/>
      <c r="W10" s="187"/>
    </row>
    <row r="11" spans="1:23" s="380" customFormat="1" ht="16.5" thickBot="1">
      <c r="A11" s="383">
        <v>0.08</v>
      </c>
      <c r="B11" s="319">
        <v>7.6</v>
      </c>
      <c r="C11" s="319">
        <v>8.4</v>
      </c>
      <c r="D11" s="319">
        <v>9.1999999999999993</v>
      </c>
      <c r="E11" s="319">
        <v>10.1</v>
      </c>
      <c r="F11" s="320">
        <v>11.1</v>
      </c>
      <c r="H11" s="187"/>
      <c r="I11" s="187"/>
      <c r="J11" s="187"/>
      <c r="K11" s="187"/>
      <c r="O11" s="352">
        <v>0.08</v>
      </c>
      <c r="P11" s="382" t="s">
        <v>3247</v>
      </c>
      <c r="Q11" s="351" t="s">
        <v>3248</v>
      </c>
      <c r="R11" s="351">
        <v>11.3</v>
      </c>
      <c r="S11" s="319" t="s">
        <v>3249</v>
      </c>
      <c r="T11" s="320">
        <v>13.6</v>
      </c>
      <c r="U11" s="187"/>
      <c r="V11" s="187"/>
      <c r="W11" s="187"/>
    </row>
    <row r="12" spans="1:23" s="380" customFormat="1" ht="16.5" thickBot="1">
      <c r="A12" s="383">
        <v>0.09</v>
      </c>
      <c r="B12" s="319">
        <v>8.5</v>
      </c>
      <c r="C12" s="319">
        <v>9.3000000000000007</v>
      </c>
      <c r="D12" s="319">
        <v>10.199999999999999</v>
      </c>
      <c r="E12" s="319">
        <v>11.2</v>
      </c>
      <c r="F12" s="320">
        <v>12.3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4.0999999999999996</v>
      </c>
      <c r="K12" s="332" t="s">
        <v>3250</v>
      </c>
      <c r="O12" s="352">
        <v>0.09</v>
      </c>
      <c r="P12" s="382" t="s">
        <v>3251</v>
      </c>
      <c r="Q12" s="351" t="s">
        <v>3252</v>
      </c>
      <c r="R12" s="351">
        <v>12.5</v>
      </c>
      <c r="S12" s="319">
        <v>13.7</v>
      </c>
      <c r="T12" s="320">
        <v>15.1</v>
      </c>
      <c r="U12" s="187"/>
      <c r="V12" s="187"/>
      <c r="W12" s="187"/>
    </row>
    <row r="13" spans="1:23" s="380" customFormat="1" ht="15.75">
      <c r="A13" s="383">
        <v>0.1</v>
      </c>
      <c r="B13" s="319">
        <v>9.5</v>
      </c>
      <c r="C13" s="319">
        <v>10.4</v>
      </c>
      <c r="D13" s="319">
        <v>11.4</v>
      </c>
      <c r="E13" s="319">
        <v>12.5</v>
      </c>
      <c r="F13" s="386">
        <v>13.7</v>
      </c>
      <c r="O13" s="352">
        <v>0.1</v>
      </c>
      <c r="P13" s="382" t="s">
        <v>3253</v>
      </c>
      <c r="Q13" s="351" t="s">
        <v>3254</v>
      </c>
      <c r="R13" s="351">
        <v>13.9</v>
      </c>
      <c r="S13" s="319" t="s">
        <v>3255</v>
      </c>
      <c r="T13" s="320">
        <v>16.8</v>
      </c>
      <c r="U13" s="187"/>
      <c r="V13" s="187"/>
      <c r="W13" s="187"/>
    </row>
    <row r="14" spans="1:23" s="380" customFormat="1" ht="15.75">
      <c r="A14" s="383">
        <v>0.12</v>
      </c>
      <c r="B14" s="319">
        <v>10.4</v>
      </c>
      <c r="C14" s="319">
        <v>11.4</v>
      </c>
      <c r="D14" s="319">
        <v>12.5</v>
      </c>
      <c r="E14" s="319">
        <v>13.7</v>
      </c>
      <c r="F14" s="320">
        <v>15.1</v>
      </c>
      <c r="O14" s="352">
        <v>0.12</v>
      </c>
      <c r="P14" s="382" t="s">
        <v>3256</v>
      </c>
      <c r="Q14" s="351">
        <v>14</v>
      </c>
      <c r="R14" s="351">
        <v>15.4</v>
      </c>
      <c r="S14" s="319" t="s">
        <v>3257</v>
      </c>
      <c r="T14" s="320">
        <v>18.600000000000001</v>
      </c>
      <c r="U14" s="187"/>
      <c r="V14" s="187"/>
      <c r="W14" s="187"/>
    </row>
    <row r="15" spans="1:23" s="380" customFormat="1" ht="15.75">
      <c r="A15" s="383">
        <v>0.14000000000000001</v>
      </c>
      <c r="B15" s="319">
        <v>11.4</v>
      </c>
      <c r="C15" s="319">
        <v>12.5</v>
      </c>
      <c r="D15" s="319">
        <v>13.8</v>
      </c>
      <c r="E15" s="384">
        <v>15.2</v>
      </c>
      <c r="F15" s="320">
        <v>16.7</v>
      </c>
      <c r="O15" s="352">
        <v>0.14000000000000001</v>
      </c>
      <c r="P15" s="382" t="s">
        <v>3258</v>
      </c>
      <c r="Q15" s="351">
        <v>15.5</v>
      </c>
      <c r="R15" s="351">
        <v>17</v>
      </c>
      <c r="S15" s="319" t="s">
        <v>3259</v>
      </c>
      <c r="T15" s="320">
        <v>20.6</v>
      </c>
      <c r="U15" s="187"/>
      <c r="V15" s="187"/>
      <c r="W15" s="187"/>
    </row>
    <row r="16" spans="1:23" s="380" customFormat="1" ht="15.75">
      <c r="A16" s="383">
        <v>0.16</v>
      </c>
      <c r="B16" s="319">
        <v>12.3</v>
      </c>
      <c r="C16" s="319">
        <v>13.5</v>
      </c>
      <c r="D16" s="319">
        <v>14.9</v>
      </c>
      <c r="E16" s="319">
        <v>16.399999999999999</v>
      </c>
      <c r="F16" s="320">
        <v>18</v>
      </c>
      <c r="O16" s="352">
        <v>0.16</v>
      </c>
      <c r="P16" s="382">
        <v>15.2</v>
      </c>
      <c r="Q16" s="351">
        <v>16.7</v>
      </c>
      <c r="R16" s="351">
        <v>18.399999999999999</v>
      </c>
      <c r="S16" s="319" t="s">
        <v>3260</v>
      </c>
      <c r="T16" s="320">
        <v>22.2</v>
      </c>
      <c r="U16" s="187"/>
      <c r="V16" s="187"/>
      <c r="W16" s="187"/>
    </row>
    <row r="17" spans="1:23" s="380" customFormat="1" ht="15.75">
      <c r="A17" s="383">
        <v>0.19</v>
      </c>
      <c r="B17" s="319">
        <v>13.3</v>
      </c>
      <c r="C17" s="319">
        <v>14.6</v>
      </c>
      <c r="D17" s="319">
        <v>16.100000000000001</v>
      </c>
      <c r="E17" s="319">
        <v>17.7</v>
      </c>
      <c r="F17" s="320">
        <v>19.5</v>
      </c>
      <c r="O17" s="352">
        <v>0.19</v>
      </c>
      <c r="P17" s="382" t="s">
        <v>3261</v>
      </c>
      <c r="Q17" s="351" t="s">
        <v>136</v>
      </c>
      <c r="R17" s="351">
        <v>19.8</v>
      </c>
      <c r="S17" s="319" t="s">
        <v>3262</v>
      </c>
      <c r="T17" s="320" t="s">
        <v>268</v>
      </c>
      <c r="U17" s="187"/>
      <c r="V17" s="187"/>
      <c r="W17" s="187"/>
    </row>
    <row r="18" spans="1:23" s="380" customFormat="1" ht="15.75">
      <c r="A18" s="383">
        <v>0.22</v>
      </c>
      <c r="B18" s="319">
        <v>14.5</v>
      </c>
      <c r="C18" s="319">
        <v>15.9</v>
      </c>
      <c r="D18" s="319">
        <v>17.5</v>
      </c>
      <c r="E18" s="319">
        <v>19.2</v>
      </c>
      <c r="F18" s="320">
        <v>21.1</v>
      </c>
      <c r="O18" s="352">
        <v>0.22</v>
      </c>
      <c r="P18" s="382" t="s">
        <v>3263</v>
      </c>
      <c r="Q18" s="351">
        <v>19.5</v>
      </c>
      <c r="R18" s="351">
        <v>21.4</v>
      </c>
      <c r="S18" s="319" t="s">
        <v>3264</v>
      </c>
      <c r="T18" s="320" t="s">
        <v>3265</v>
      </c>
      <c r="U18" s="187"/>
      <c r="V18" s="187"/>
      <c r="W18" s="187"/>
    </row>
    <row r="19" spans="1:23" s="380" customFormat="1" ht="15.75">
      <c r="A19" s="383">
        <v>0.25</v>
      </c>
      <c r="B19" s="319">
        <v>15.5</v>
      </c>
      <c r="C19" s="319">
        <v>17.100000000000001</v>
      </c>
      <c r="D19" s="319">
        <v>18.8</v>
      </c>
      <c r="E19" s="319">
        <v>20.7</v>
      </c>
      <c r="F19" s="320">
        <v>22.8</v>
      </c>
      <c r="O19" s="352">
        <v>0.25</v>
      </c>
      <c r="P19" s="382">
        <v>19.2</v>
      </c>
      <c r="Q19" s="351" t="s">
        <v>3266</v>
      </c>
      <c r="R19" s="351">
        <v>23.2</v>
      </c>
      <c r="S19" s="319">
        <v>25.5</v>
      </c>
      <c r="T19" s="320">
        <v>28</v>
      </c>
      <c r="U19" s="187"/>
      <c r="V19" s="187"/>
      <c r="W19" s="187"/>
    </row>
    <row r="20" spans="1:23" s="380" customFormat="1" ht="15.75">
      <c r="A20" s="383">
        <v>0.28999999999999998</v>
      </c>
      <c r="B20" s="319">
        <v>16.8</v>
      </c>
      <c r="C20" s="319">
        <v>18.5</v>
      </c>
      <c r="D20" s="319">
        <v>20.399999999999999</v>
      </c>
      <c r="E20" s="319">
        <v>22.4</v>
      </c>
      <c r="F20" s="320">
        <v>24.6</v>
      </c>
      <c r="O20" s="352">
        <v>0.28999999999999998</v>
      </c>
      <c r="P20" s="382" t="s">
        <v>3267</v>
      </c>
      <c r="Q20" s="351">
        <v>22.7</v>
      </c>
      <c r="R20" s="351">
        <v>25</v>
      </c>
      <c r="S20" s="319" t="s">
        <v>3268</v>
      </c>
      <c r="T20" s="320">
        <v>30.2</v>
      </c>
      <c r="U20" s="187"/>
      <c r="V20" s="187"/>
      <c r="W20" s="187"/>
    </row>
    <row r="21" spans="1:23" s="380" customFormat="1" ht="15.75">
      <c r="A21" s="383">
        <v>0.35</v>
      </c>
      <c r="B21" s="319">
        <v>18.100000000000001</v>
      </c>
      <c r="C21" s="319">
        <v>19.899999999999999</v>
      </c>
      <c r="D21" s="319">
        <v>21.9</v>
      </c>
      <c r="E21" s="319">
        <v>24.1</v>
      </c>
      <c r="F21" s="320">
        <v>26.5</v>
      </c>
      <c r="O21" s="352">
        <v>0.35</v>
      </c>
      <c r="P21" s="382">
        <v>22.3</v>
      </c>
      <c r="Q21" s="351" t="s">
        <v>3269</v>
      </c>
      <c r="R21" s="351">
        <v>26.9</v>
      </c>
      <c r="S21" s="319" t="s">
        <v>3270</v>
      </c>
      <c r="T21" s="320">
        <v>32.6</v>
      </c>
      <c r="U21" s="187"/>
      <c r="V21" s="187"/>
      <c r="W21" s="187"/>
    </row>
    <row r="22" spans="1:23" s="380" customFormat="1" ht="15.75">
      <c r="A22" s="383">
        <v>0.41</v>
      </c>
      <c r="B22" s="319">
        <v>19.5</v>
      </c>
      <c r="C22" s="319">
        <v>21.5</v>
      </c>
      <c r="D22" s="319">
        <v>23.6</v>
      </c>
      <c r="E22" s="319">
        <v>26</v>
      </c>
      <c r="F22" s="320">
        <v>28.6</v>
      </c>
      <c r="O22" s="352">
        <v>0.5</v>
      </c>
      <c r="P22" s="382">
        <v>24.1</v>
      </c>
      <c r="Q22" s="351" t="s">
        <v>3271</v>
      </c>
      <c r="R22" s="351">
        <v>29.1</v>
      </c>
      <c r="S22" s="319" t="s">
        <v>147</v>
      </c>
      <c r="T22" s="320" t="s">
        <v>3272</v>
      </c>
      <c r="U22" s="187"/>
      <c r="V22" s="187"/>
      <c r="W22" s="187"/>
    </row>
    <row r="23" spans="1:23" s="380" customFormat="1" ht="15.75">
      <c r="A23" s="383">
        <v>0.5</v>
      </c>
      <c r="B23" s="319">
        <v>21.1</v>
      </c>
      <c r="C23" s="319">
        <v>23.2</v>
      </c>
      <c r="D23" s="319">
        <v>25.5</v>
      </c>
      <c r="E23" s="319">
        <v>28.1</v>
      </c>
      <c r="F23" s="320">
        <v>30.9</v>
      </c>
      <c r="O23" s="352">
        <v>0.5</v>
      </c>
      <c r="P23" s="382">
        <v>25.9</v>
      </c>
      <c r="Q23" s="351">
        <v>28.5</v>
      </c>
      <c r="R23" s="351">
        <v>31.4</v>
      </c>
      <c r="S23" s="319">
        <v>34.5</v>
      </c>
      <c r="T23" s="320" t="s">
        <v>415</v>
      </c>
      <c r="U23" s="187"/>
      <c r="V23" s="187"/>
      <c r="W23" s="187"/>
    </row>
    <row r="24" spans="1:23" s="380" customFormat="1" ht="15.75">
      <c r="A24" s="383">
        <v>0.62</v>
      </c>
      <c r="B24" s="319">
        <v>22.7</v>
      </c>
      <c r="C24" s="319">
        <v>25</v>
      </c>
      <c r="D24" s="319">
        <v>27.5</v>
      </c>
      <c r="E24" s="319">
        <v>30.3</v>
      </c>
      <c r="F24" s="320">
        <v>33.299999999999997</v>
      </c>
      <c r="O24" s="352">
        <v>0.62</v>
      </c>
      <c r="P24" s="382" t="s">
        <v>144</v>
      </c>
      <c r="Q24" s="351">
        <v>30.8</v>
      </c>
      <c r="R24" s="351">
        <v>33.9</v>
      </c>
      <c r="S24" s="319">
        <v>37.299999999999997</v>
      </c>
      <c r="T24" s="320" t="s">
        <v>210</v>
      </c>
      <c r="U24" s="187"/>
      <c r="V24" s="187"/>
      <c r="W24" s="187"/>
    </row>
    <row r="25" spans="1:23" s="380" customFormat="1" ht="15.75">
      <c r="A25" s="383">
        <v>0.78</v>
      </c>
      <c r="B25" s="319">
        <v>24.5</v>
      </c>
      <c r="C25" s="319">
        <v>27</v>
      </c>
      <c r="D25" s="319">
        <v>29.7</v>
      </c>
      <c r="E25" s="384">
        <v>32.700000000000003</v>
      </c>
      <c r="F25" s="320">
        <v>36</v>
      </c>
      <c r="O25" s="352">
        <v>0.78</v>
      </c>
      <c r="P25" s="382" t="s">
        <v>3273</v>
      </c>
      <c r="Q25" s="351" t="s">
        <v>3274</v>
      </c>
      <c r="R25" s="351">
        <v>36.6</v>
      </c>
      <c r="S25" s="319">
        <v>40.299999999999997</v>
      </c>
      <c r="T25" s="320">
        <v>44.3</v>
      </c>
      <c r="U25" s="187"/>
      <c r="V25" s="187"/>
      <c r="W25" s="187"/>
    </row>
    <row r="26" spans="1:23" s="380" customFormat="1" ht="15.75">
      <c r="A26" s="383">
        <v>0.98</v>
      </c>
      <c r="B26" s="319">
        <v>26.6</v>
      </c>
      <c r="C26" s="319">
        <v>29.3</v>
      </c>
      <c r="D26" s="319">
        <v>32.200000000000003</v>
      </c>
      <c r="E26" s="319">
        <v>35.4</v>
      </c>
      <c r="F26" s="386">
        <v>38.9</v>
      </c>
      <c r="O26" s="352">
        <v>0.98</v>
      </c>
      <c r="P26" s="382" t="s">
        <v>3275</v>
      </c>
      <c r="Q26" s="351">
        <v>35.9</v>
      </c>
      <c r="R26" s="351" t="s">
        <v>3276</v>
      </c>
      <c r="S26" s="319">
        <v>43.5</v>
      </c>
      <c r="T26" s="320" t="s">
        <v>3277</v>
      </c>
      <c r="U26" s="187"/>
      <c r="V26" s="187"/>
      <c r="W26" s="187"/>
    </row>
    <row r="27" spans="1:23" s="380" customFormat="1" ht="15.75">
      <c r="A27" s="383">
        <v>1.5</v>
      </c>
      <c r="B27" s="319">
        <v>28.6</v>
      </c>
      <c r="C27" s="319">
        <v>31.5</v>
      </c>
      <c r="D27" s="319">
        <v>34.700000000000003</v>
      </c>
      <c r="E27" s="319">
        <v>38.200000000000003</v>
      </c>
      <c r="F27" s="320">
        <v>42</v>
      </c>
      <c r="O27" s="352">
        <v>1.5</v>
      </c>
      <c r="P27" s="382" t="s">
        <v>3272</v>
      </c>
      <c r="Q27" s="351">
        <v>38.700000000000003</v>
      </c>
      <c r="R27" s="351" t="s">
        <v>3278</v>
      </c>
      <c r="S27" s="319">
        <v>46.9</v>
      </c>
      <c r="T27" s="320">
        <v>51.6</v>
      </c>
      <c r="U27" s="187"/>
      <c r="V27" s="187"/>
      <c r="W27" s="187"/>
    </row>
    <row r="28" spans="1:23" ht="15.75">
      <c r="A28" s="387">
        <v>1000</v>
      </c>
      <c r="B28" s="336">
        <v>28.6</v>
      </c>
      <c r="C28" s="336">
        <v>31.5</v>
      </c>
      <c r="D28" s="336">
        <v>34.700000000000003</v>
      </c>
      <c r="E28" s="336">
        <v>38.200000000000003</v>
      </c>
      <c r="F28" s="337">
        <v>42</v>
      </c>
      <c r="O28" s="359">
        <v>1000</v>
      </c>
      <c r="P28" s="388" t="s">
        <v>3272</v>
      </c>
      <c r="Q28" s="360">
        <v>38.700000000000003</v>
      </c>
      <c r="R28" s="360" t="s">
        <v>3278</v>
      </c>
      <c r="S28" s="336">
        <v>46.9</v>
      </c>
      <c r="T28" s="337">
        <v>51.6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7">
    <tabColor indexed="52"/>
  </sheetPr>
  <dimension ref="A1:Y28"/>
  <sheetViews>
    <sheetView workbookViewId="0">
      <selection activeCell="D40" sqref="D40"/>
    </sheetView>
  </sheetViews>
  <sheetFormatPr defaultRowHeight="12.75"/>
  <cols>
    <col min="1" max="1" width="33" style="205" customWidth="1"/>
    <col min="2" max="9" width="9.140625" style="205"/>
    <col min="10" max="10" width="14.140625" style="205" customWidth="1"/>
    <col min="11" max="16384" width="9.140625" style="205"/>
  </cols>
  <sheetData>
    <row r="1" spans="1:25">
      <c r="A1" s="187" t="s">
        <v>3221</v>
      </c>
      <c r="Q1" s="187" t="s">
        <v>3221</v>
      </c>
    </row>
    <row r="2" spans="1:25" ht="16.5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H2" s="187"/>
      <c r="I2" s="187" t="s">
        <v>3219</v>
      </c>
      <c r="J2" s="187" t="e">
        <f ca="1">INDIRECT(I2 &amp; "[Вибираема маса]")</f>
        <v>#VALUE!</v>
      </c>
      <c r="K2" s="187"/>
      <c r="Q2" s="313" t="s">
        <v>3222</v>
      </c>
      <c r="R2" s="316" t="s">
        <v>3223</v>
      </c>
      <c r="S2" s="316" t="s">
        <v>3224</v>
      </c>
      <c r="T2" s="316" t="s">
        <v>3225</v>
      </c>
      <c r="U2" s="316" t="s">
        <v>3226</v>
      </c>
      <c r="V2" s="317" t="s">
        <v>3107</v>
      </c>
    </row>
    <row r="3" spans="1:25" ht="15.75" thickBot="1">
      <c r="A3" s="653">
        <v>3.5000000000000003E-2</v>
      </c>
      <c r="B3" s="319">
        <v>5.5</v>
      </c>
      <c r="C3" s="319">
        <v>6.1</v>
      </c>
      <c r="D3" s="319">
        <v>6.7</v>
      </c>
      <c r="E3" s="319">
        <v>7.4</v>
      </c>
      <c r="F3" s="320">
        <v>8.1</v>
      </c>
      <c r="H3" s="324" t="s">
        <v>3221</v>
      </c>
      <c r="I3" s="325">
        <v>0.34</v>
      </c>
      <c r="J3" s="187" t="e">
        <v>#VALUE!</v>
      </c>
      <c r="K3" s="187">
        <f ca="1">nearmax(I3,INDIRECT(I2 &amp; "[Вибираема маса]"))</f>
        <v>0.35</v>
      </c>
      <c r="Q3" s="318">
        <v>3.5000000000000003E-2</v>
      </c>
      <c r="R3" s="321">
        <v>8.3000000000000007</v>
      </c>
      <c r="S3" s="321">
        <v>9.1</v>
      </c>
      <c r="T3" s="321">
        <v>10</v>
      </c>
      <c r="U3" s="321">
        <v>11</v>
      </c>
      <c r="V3" s="323">
        <v>12.1</v>
      </c>
      <c r="W3" s="378"/>
      <c r="X3" s="378" t="s">
        <v>3218</v>
      </c>
      <c r="Y3" s="378"/>
    </row>
    <row r="4" spans="1:25" ht="15.75" thickBot="1">
      <c r="A4" s="653">
        <v>0.04</v>
      </c>
      <c r="B4" s="319">
        <v>5.9</v>
      </c>
      <c r="C4" s="319">
        <v>6.5</v>
      </c>
      <c r="D4" s="319">
        <v>7.2</v>
      </c>
      <c r="E4" s="319">
        <v>7.9</v>
      </c>
      <c r="F4" s="320">
        <v>8.6999999999999993</v>
      </c>
      <c r="H4" s="326" t="s">
        <v>3222</v>
      </c>
      <c r="I4" s="327">
        <v>131</v>
      </c>
      <c r="J4" s="187">
        <f>nearmax(I4,RDNAME)</f>
        <v>1000</v>
      </c>
      <c r="K4" s="187">
        <f>nearmax(I4,RDNAME)</f>
        <v>1000</v>
      </c>
      <c r="Q4" s="318">
        <v>0.04</v>
      </c>
      <c r="R4" s="321">
        <v>8.9</v>
      </c>
      <c r="S4" s="321">
        <v>9.8000000000000007</v>
      </c>
      <c r="T4" s="321">
        <v>10.8</v>
      </c>
      <c r="U4" s="321">
        <v>11.9</v>
      </c>
      <c r="V4" s="323">
        <v>13.1</v>
      </c>
      <c r="W4" s="378"/>
      <c r="X4" s="325">
        <v>0.34</v>
      </c>
      <c r="Y4" s="187" t="e">
        <v>#VALUE!</v>
      </c>
    </row>
    <row r="5" spans="1:25" ht="15.75" thickBot="1">
      <c r="A5" s="653">
        <v>4.4999999999999998E-2</v>
      </c>
      <c r="B5" s="319">
        <v>6.3</v>
      </c>
      <c r="C5" s="319">
        <v>6.9</v>
      </c>
      <c r="D5" s="319">
        <v>7.6</v>
      </c>
      <c r="E5" s="319">
        <v>8.4</v>
      </c>
      <c r="F5" s="320">
        <v>9.1999999999999993</v>
      </c>
      <c r="H5" s="187"/>
      <c r="I5" s="187"/>
      <c r="J5" s="187" t="e">
        <v>#VALUE!</v>
      </c>
      <c r="K5" s="187">
        <f ca="1">MATCH(nearmax(I3,INDIRECT(I2 &amp; "[Вибираема маса]")),INDIRECT(I2 &amp; "[Вибираема маса]"),0)</f>
        <v>19</v>
      </c>
      <c r="Q5" s="318">
        <v>4.4999999999999998E-2</v>
      </c>
      <c r="R5" s="321">
        <v>9.5</v>
      </c>
      <c r="S5" s="321">
        <v>10.5</v>
      </c>
      <c r="T5" s="321">
        <v>11.6</v>
      </c>
      <c r="U5" s="321">
        <v>12.8</v>
      </c>
      <c r="V5" s="323">
        <v>14.1</v>
      </c>
      <c r="W5" s="378"/>
      <c r="X5" s="327">
        <v>131</v>
      </c>
      <c r="Y5" s="187">
        <f>nearmax(X5,RDNAME)</f>
        <v>1000</v>
      </c>
    </row>
    <row r="6" spans="1:25" ht="15">
      <c r="A6" s="653">
        <v>0.05</v>
      </c>
      <c r="B6" s="319">
        <v>6.9</v>
      </c>
      <c r="C6" s="319">
        <v>7.6</v>
      </c>
      <c r="D6" s="319">
        <v>8.4</v>
      </c>
      <c r="E6" s="319">
        <v>9.1999999999999993</v>
      </c>
      <c r="F6" s="320">
        <v>10.1</v>
      </c>
      <c r="H6" s="187"/>
      <c r="I6" s="187"/>
      <c r="J6" s="187">
        <f>MATCH(nearmax(I4,RDNAME),RDNAME,0)+1</f>
        <v>6</v>
      </c>
      <c r="K6" s="187">
        <f>MATCH(nearmax(I4,RDNAME),RDNAME,0)+1</f>
        <v>6</v>
      </c>
      <c r="Q6" s="318">
        <v>0.05</v>
      </c>
      <c r="R6" s="321">
        <v>10.4</v>
      </c>
      <c r="S6" s="321">
        <v>11.4</v>
      </c>
      <c r="T6" s="321">
        <v>12.5</v>
      </c>
      <c r="U6" s="321">
        <v>13.8</v>
      </c>
      <c r="V6" s="323">
        <v>15.2</v>
      </c>
      <c r="W6" s="378"/>
      <c r="X6" s="187"/>
      <c r="Y6" s="187" t="e">
        <v>#VALUE!</v>
      </c>
    </row>
    <row r="7" spans="1:25" ht="15">
      <c r="A7" s="653">
        <v>5.5E-2</v>
      </c>
      <c r="B7" s="319">
        <v>7.5</v>
      </c>
      <c r="C7" s="319">
        <v>8.3000000000000007</v>
      </c>
      <c r="D7" s="319">
        <v>9.1</v>
      </c>
      <c r="E7" s="319">
        <v>10</v>
      </c>
      <c r="F7" s="320">
        <v>11</v>
      </c>
      <c r="H7" s="187"/>
      <c r="I7" s="187"/>
      <c r="J7" s="328" t="e">
        <v>#REF!</v>
      </c>
      <c r="K7" s="328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48.1</v>
      </c>
      <c r="Q7" s="318">
        <v>5.5E-2</v>
      </c>
      <c r="R7" s="321">
        <v>11.2</v>
      </c>
      <c r="S7" s="321">
        <v>12.3</v>
      </c>
      <c r="T7" s="321">
        <v>13.5</v>
      </c>
      <c r="U7" s="321">
        <v>14.9</v>
      </c>
      <c r="V7" s="323">
        <v>16.399999999999999</v>
      </c>
      <c r="W7" s="378"/>
      <c r="X7" s="187"/>
      <c r="Y7" s="187">
        <f>MATCH(nearmax(X5,RDNAME),RDNAME,0)+1</f>
        <v>6</v>
      </c>
    </row>
    <row r="8" spans="1:25" ht="15">
      <c r="A8" s="653">
        <v>0.06</v>
      </c>
      <c r="B8" s="319">
        <v>8.1</v>
      </c>
      <c r="C8" s="319">
        <v>8.9</v>
      </c>
      <c r="D8" s="319">
        <v>9.8000000000000007</v>
      </c>
      <c r="E8" s="319">
        <v>10.8</v>
      </c>
      <c r="F8" s="320">
        <v>11.9</v>
      </c>
      <c r="H8" s="187"/>
      <c r="I8" s="187"/>
      <c r="J8" s="187"/>
      <c r="K8" s="187"/>
      <c r="Q8" s="318">
        <v>0.06</v>
      </c>
      <c r="R8" s="321">
        <v>12.1</v>
      </c>
      <c r="S8" s="321">
        <v>13.3</v>
      </c>
      <c r="T8" s="321">
        <v>14.6</v>
      </c>
      <c r="U8" s="321">
        <v>16.100000000000001</v>
      </c>
      <c r="V8" s="323">
        <v>17.7</v>
      </c>
      <c r="W8" s="378"/>
      <c r="X8" s="187"/>
      <c r="Y8" s="328">
        <f>INDEX(ЗС_ХМ[],MATCH(nearmax(X4,ЗС_ХМ[Вибираема маса]),ЗС_ХМ[Вибираема маса],0),MATCH(nearmax(X5,RDNAME),RDNAME,0)+1)</f>
        <v>48.1</v>
      </c>
    </row>
    <row r="9" spans="1:25" ht="15">
      <c r="A9" s="653">
        <v>6.5000000000000002E-2</v>
      </c>
      <c r="B9" s="319">
        <v>8.6999999999999993</v>
      </c>
      <c r="C9" s="319">
        <v>9.6</v>
      </c>
      <c r="D9" s="319">
        <v>10.6</v>
      </c>
      <c r="E9" s="319">
        <v>11.7</v>
      </c>
      <c r="F9" s="320">
        <v>12.9</v>
      </c>
      <c r="H9" s="187"/>
      <c r="I9" s="39" t="s">
        <v>71</v>
      </c>
      <c r="J9" s="187"/>
      <c r="K9" s="187"/>
      <c r="Q9" s="318">
        <v>6.5000000000000002E-2</v>
      </c>
      <c r="R9" s="321">
        <v>13.1</v>
      </c>
      <c r="S9" s="321">
        <v>14.4</v>
      </c>
      <c r="T9" s="321">
        <v>15.8</v>
      </c>
      <c r="U9" s="321">
        <v>17.399999999999999</v>
      </c>
      <c r="V9" s="323">
        <v>19.100000000000001</v>
      </c>
      <c r="W9" s="378"/>
      <c r="X9" s="378"/>
      <c r="Y9" s="378"/>
    </row>
    <row r="10" spans="1:25" ht="15">
      <c r="A10" s="653">
        <v>7.0000000000000007E-2</v>
      </c>
      <c r="B10" s="319">
        <v>9.4</v>
      </c>
      <c r="C10" s="319">
        <v>10.3</v>
      </c>
      <c r="D10" s="319">
        <v>11.3</v>
      </c>
      <c r="E10" s="319">
        <v>12.4</v>
      </c>
      <c r="F10" s="320">
        <v>13.6</v>
      </c>
      <c r="H10" s="187"/>
      <c r="I10" s="39" t="s">
        <v>71</v>
      </c>
      <c r="J10" s="187" t="str">
        <f>IF(I10="Твердолистяні породи",K12&amp;"_ТП",K12&amp;"_ХМ")</f>
        <v>ЗС_ХМ</v>
      </c>
      <c r="K10" s="187"/>
      <c r="Q10" s="318">
        <v>7.0000000000000007E-2</v>
      </c>
      <c r="R10" s="321">
        <v>14.1</v>
      </c>
      <c r="S10" s="321">
        <v>15.5</v>
      </c>
      <c r="T10" s="321">
        <v>17</v>
      </c>
      <c r="U10" s="321">
        <v>18.7</v>
      </c>
      <c r="V10" s="323">
        <v>20.6</v>
      </c>
      <c r="W10" s="378"/>
      <c r="X10" s="378"/>
      <c r="Y10" s="378"/>
    </row>
    <row r="11" spans="1:25" ht="15.75" thickBot="1">
      <c r="A11" s="653">
        <v>0.08</v>
      </c>
      <c r="B11" s="319">
        <v>10.199999999999999</v>
      </c>
      <c r="C11" s="319">
        <v>11.2</v>
      </c>
      <c r="D11" s="319">
        <v>12.3</v>
      </c>
      <c r="E11" s="319">
        <v>13.5</v>
      </c>
      <c r="F11" s="320">
        <v>14.9</v>
      </c>
      <c r="H11" s="187"/>
      <c r="I11" s="187"/>
      <c r="J11" s="187"/>
      <c r="K11" s="187"/>
      <c r="Q11" s="318">
        <v>0.08</v>
      </c>
      <c r="R11" s="321">
        <v>15.3</v>
      </c>
      <c r="S11" s="321">
        <v>16.8</v>
      </c>
      <c r="T11" s="321">
        <v>18.5</v>
      </c>
      <c r="U11" s="321">
        <v>20.3</v>
      </c>
      <c r="V11" s="323">
        <v>22.3</v>
      </c>
      <c r="W11" s="378"/>
      <c r="X11" s="378"/>
      <c r="Y11" s="378"/>
    </row>
    <row r="12" spans="1:25" ht="15.75" thickBot="1">
      <c r="A12" s="653">
        <v>0.09</v>
      </c>
      <c r="B12" s="319">
        <v>11</v>
      </c>
      <c r="C12" s="319">
        <v>12.1</v>
      </c>
      <c r="D12" s="319">
        <v>13.3</v>
      </c>
      <c r="E12" s="319">
        <v>14.6</v>
      </c>
      <c r="F12" s="320">
        <v>16.100000000000001</v>
      </c>
      <c r="H12" s="329" t="s">
        <v>2240</v>
      </c>
      <c r="I12" s="330" t="s">
        <v>72</v>
      </c>
      <c r="J12" s="325">
        <v>0.34</v>
      </c>
      <c r="K12" s="332" t="s">
        <v>3232</v>
      </c>
      <c r="Q12" s="318">
        <v>0.09</v>
      </c>
      <c r="R12" s="321">
        <v>16.5</v>
      </c>
      <c r="S12" s="321">
        <v>18.100000000000001</v>
      </c>
      <c r="T12" s="321">
        <v>19.899999999999999</v>
      </c>
      <c r="U12" s="321">
        <v>21.9</v>
      </c>
      <c r="V12" s="323">
        <v>24.1</v>
      </c>
      <c r="W12" s="378"/>
      <c r="X12" s="378"/>
      <c r="Y12" s="378"/>
    </row>
    <row r="13" spans="1:25" ht="15.75" thickBot="1">
      <c r="A13" s="653">
        <v>0.1</v>
      </c>
      <c r="B13" s="319">
        <v>11.8</v>
      </c>
      <c r="C13" s="319">
        <v>13</v>
      </c>
      <c r="D13" s="319">
        <v>14.3</v>
      </c>
      <c r="E13" s="319">
        <v>15.7</v>
      </c>
      <c r="F13" s="320">
        <v>17.3</v>
      </c>
      <c r="J13" s="327">
        <v>131</v>
      </c>
      <c r="Q13" s="318">
        <v>0.1</v>
      </c>
      <c r="R13" s="321">
        <v>17.7</v>
      </c>
      <c r="S13" s="321">
        <v>19.5</v>
      </c>
      <c r="T13" s="321">
        <v>21.5</v>
      </c>
      <c r="U13" s="321">
        <v>23.6</v>
      </c>
      <c r="V13" s="323">
        <v>26</v>
      </c>
      <c r="W13" s="378"/>
      <c r="X13" s="378"/>
      <c r="Y13" s="378"/>
    </row>
    <row r="14" spans="1:25" ht="15">
      <c r="A14" s="653">
        <v>0.12</v>
      </c>
      <c r="B14" s="319">
        <v>12.8</v>
      </c>
      <c r="C14" s="319">
        <v>14.1</v>
      </c>
      <c r="D14" s="319">
        <v>15.5</v>
      </c>
      <c r="E14" s="319">
        <v>17.100000000000001</v>
      </c>
      <c r="F14" s="320">
        <v>18.8</v>
      </c>
      <c r="Q14" s="318">
        <v>0.12</v>
      </c>
      <c r="R14" s="321">
        <v>19.2</v>
      </c>
      <c r="S14" s="321">
        <v>21.1</v>
      </c>
      <c r="T14" s="321">
        <v>23.2</v>
      </c>
      <c r="U14" s="321">
        <v>25.5</v>
      </c>
      <c r="V14" s="323">
        <v>28.1</v>
      </c>
      <c r="W14" s="378"/>
      <c r="X14" s="378"/>
      <c r="Y14" s="378"/>
    </row>
    <row r="15" spans="1:25" ht="15">
      <c r="A15" s="653">
        <v>0.14000000000000001</v>
      </c>
      <c r="B15" s="319">
        <v>13.7</v>
      </c>
      <c r="C15" s="319">
        <v>15.1</v>
      </c>
      <c r="D15" s="319">
        <v>16.600000000000001</v>
      </c>
      <c r="E15" s="319">
        <v>18.3</v>
      </c>
      <c r="F15" s="320">
        <v>20.100000000000001</v>
      </c>
      <c r="Q15" s="318">
        <v>0.14000000000000001</v>
      </c>
      <c r="R15" s="321">
        <v>20.6</v>
      </c>
      <c r="S15" s="321">
        <v>22.7</v>
      </c>
      <c r="T15" s="321">
        <v>25</v>
      </c>
      <c r="U15" s="321">
        <v>27.5</v>
      </c>
      <c r="V15" s="323">
        <v>30.3</v>
      </c>
      <c r="W15" s="378"/>
      <c r="X15" s="378"/>
      <c r="Y15" s="378"/>
    </row>
    <row r="16" spans="1:25" ht="15">
      <c r="A16" s="653">
        <v>0.16</v>
      </c>
      <c r="B16" s="319">
        <v>14.9</v>
      </c>
      <c r="C16" s="319">
        <v>16.399999999999999</v>
      </c>
      <c r="D16" s="319">
        <v>18</v>
      </c>
      <c r="E16" s="319">
        <v>19.8</v>
      </c>
      <c r="F16" s="320">
        <v>21.8</v>
      </c>
      <c r="Q16" s="318">
        <v>0.16</v>
      </c>
      <c r="R16" s="321">
        <v>22.3</v>
      </c>
      <c r="S16" s="321">
        <v>24.5</v>
      </c>
      <c r="T16" s="321">
        <v>27</v>
      </c>
      <c r="U16" s="321">
        <v>29.7</v>
      </c>
      <c r="V16" s="323">
        <v>32.700000000000003</v>
      </c>
      <c r="W16" s="378"/>
      <c r="X16" s="378"/>
      <c r="Y16" s="378"/>
    </row>
    <row r="17" spans="1:25" ht="15">
      <c r="A17" s="653">
        <v>0.19</v>
      </c>
      <c r="B17" s="319">
        <v>16.100000000000001</v>
      </c>
      <c r="C17" s="319">
        <v>17.7</v>
      </c>
      <c r="D17" s="319">
        <v>19.5</v>
      </c>
      <c r="E17" s="319">
        <v>21.5</v>
      </c>
      <c r="F17" s="320">
        <v>23.7</v>
      </c>
      <c r="Q17" s="318">
        <v>0.19</v>
      </c>
      <c r="R17" s="321">
        <v>24.1</v>
      </c>
      <c r="S17" s="321">
        <v>26.5</v>
      </c>
      <c r="T17" s="321">
        <v>29.2</v>
      </c>
      <c r="U17" s="321">
        <v>32.1</v>
      </c>
      <c r="V17" s="323">
        <v>35.299999999999997</v>
      </c>
      <c r="W17" s="378"/>
      <c r="X17" s="378"/>
      <c r="Y17" s="378"/>
    </row>
    <row r="18" spans="1:25" ht="15">
      <c r="A18" s="653">
        <v>0.22</v>
      </c>
      <c r="B18" s="319">
        <v>17.3</v>
      </c>
      <c r="C18" s="319">
        <v>19</v>
      </c>
      <c r="D18" s="319">
        <v>20.9</v>
      </c>
      <c r="E18" s="319">
        <v>23</v>
      </c>
      <c r="F18" s="320">
        <v>25.3</v>
      </c>
      <c r="Q18" s="318">
        <v>0.22</v>
      </c>
      <c r="R18" s="321">
        <v>26</v>
      </c>
      <c r="S18" s="321">
        <v>28.6</v>
      </c>
      <c r="T18" s="321">
        <v>31.5</v>
      </c>
      <c r="U18" s="321">
        <v>34.6</v>
      </c>
      <c r="V18" s="323">
        <v>38.1</v>
      </c>
      <c r="W18" s="378"/>
      <c r="X18" s="378"/>
      <c r="Y18" s="378"/>
    </row>
    <row r="19" spans="1:25" ht="15">
      <c r="A19" s="653">
        <v>0.25</v>
      </c>
      <c r="B19" s="319">
        <v>18.8</v>
      </c>
      <c r="C19" s="319">
        <v>20.7</v>
      </c>
      <c r="D19" s="319">
        <v>22.8</v>
      </c>
      <c r="E19" s="319">
        <v>25.1</v>
      </c>
      <c r="F19" s="320">
        <v>27.6</v>
      </c>
      <c r="Q19" s="318">
        <v>0.25</v>
      </c>
      <c r="R19" s="321">
        <v>28.2</v>
      </c>
      <c r="S19" s="321">
        <v>31</v>
      </c>
      <c r="T19" s="321">
        <v>34.1</v>
      </c>
      <c r="U19" s="321">
        <v>37.5</v>
      </c>
      <c r="V19" s="323">
        <v>41.2</v>
      </c>
      <c r="W19" s="378"/>
      <c r="X19" s="378"/>
      <c r="Y19" s="378"/>
    </row>
    <row r="20" spans="1:25" ht="15">
      <c r="A20" s="653">
        <v>0.28999999999999998</v>
      </c>
      <c r="B20" s="319">
        <v>20.3</v>
      </c>
      <c r="C20" s="319">
        <v>22.3</v>
      </c>
      <c r="D20" s="319">
        <v>24.5</v>
      </c>
      <c r="E20" s="319">
        <v>27</v>
      </c>
      <c r="F20" s="320">
        <v>29.7</v>
      </c>
      <c r="Q20" s="318">
        <v>0.28999999999999998</v>
      </c>
      <c r="R20" s="321">
        <v>30.5</v>
      </c>
      <c r="S20" s="321">
        <v>33.5</v>
      </c>
      <c r="T20" s="321">
        <v>36.799999999999997</v>
      </c>
      <c r="U20" s="321">
        <v>40.5</v>
      </c>
      <c r="V20" s="323">
        <v>44.5</v>
      </c>
      <c r="W20" s="378"/>
      <c r="X20" s="378"/>
      <c r="Y20" s="378"/>
    </row>
    <row r="21" spans="1:25" ht="15">
      <c r="A21" s="318">
        <v>0.35</v>
      </c>
      <c r="B21" s="319">
        <v>21.9</v>
      </c>
      <c r="C21" s="319">
        <v>24.1</v>
      </c>
      <c r="D21" s="319">
        <v>26.5</v>
      </c>
      <c r="E21" s="319">
        <v>29.2</v>
      </c>
      <c r="F21" s="320">
        <v>32.1</v>
      </c>
      <c r="Q21" s="318">
        <v>0.35</v>
      </c>
      <c r="R21" s="321">
        <v>32.799999999999997</v>
      </c>
      <c r="S21" s="321">
        <v>36.1</v>
      </c>
      <c r="T21" s="321">
        <v>39.700000000000003</v>
      </c>
      <c r="U21" s="321">
        <v>43.7</v>
      </c>
      <c r="V21" s="323">
        <v>48.1</v>
      </c>
      <c r="W21" s="378"/>
      <c r="X21" s="378"/>
      <c r="Y21" s="378"/>
    </row>
    <row r="22" spans="1:25" ht="15">
      <c r="A22" s="653">
        <v>0.41</v>
      </c>
      <c r="B22" s="319">
        <v>23.7</v>
      </c>
      <c r="C22" s="319">
        <v>26.1</v>
      </c>
      <c r="D22" s="319">
        <v>28.7</v>
      </c>
      <c r="E22" s="319">
        <v>31.6</v>
      </c>
      <c r="F22" s="320">
        <v>34.799999999999997</v>
      </c>
      <c r="Q22" s="318">
        <v>0.41</v>
      </c>
      <c r="R22" s="321">
        <v>35.5</v>
      </c>
      <c r="S22" s="321">
        <v>39.1</v>
      </c>
      <c r="T22" s="321">
        <v>43</v>
      </c>
      <c r="U22" s="321">
        <v>47.3</v>
      </c>
      <c r="V22" s="379">
        <v>52</v>
      </c>
      <c r="W22" s="378"/>
      <c r="X22" s="378"/>
      <c r="Y22" s="378"/>
    </row>
    <row r="23" spans="1:25" ht="15">
      <c r="A23" s="318">
        <v>0.5</v>
      </c>
      <c r="B23" s="319">
        <v>25.7</v>
      </c>
      <c r="C23" s="319">
        <v>28.3</v>
      </c>
      <c r="D23" s="319">
        <v>31.1</v>
      </c>
      <c r="E23" s="319">
        <v>34.200000000000003</v>
      </c>
      <c r="F23" s="320">
        <v>37.6</v>
      </c>
      <c r="Q23" s="318">
        <v>0.5</v>
      </c>
      <c r="R23" s="321">
        <v>38.5</v>
      </c>
      <c r="S23" s="321">
        <v>42.3</v>
      </c>
      <c r="T23" s="321">
        <v>46.5</v>
      </c>
      <c r="U23" s="321">
        <v>51.1</v>
      </c>
      <c r="V23" s="323">
        <v>56.2</v>
      </c>
      <c r="W23" s="378"/>
      <c r="X23" s="378"/>
      <c r="Y23" s="378"/>
    </row>
    <row r="24" spans="1:25" ht="15">
      <c r="A24" s="653">
        <v>0.62</v>
      </c>
      <c r="B24" s="319">
        <v>27.7</v>
      </c>
      <c r="C24" s="319">
        <v>30.5</v>
      </c>
      <c r="D24" s="319">
        <v>33.6</v>
      </c>
      <c r="E24" s="319">
        <v>37</v>
      </c>
      <c r="F24" s="320">
        <v>40.700000000000003</v>
      </c>
      <c r="Q24" s="318">
        <v>0.62</v>
      </c>
      <c r="R24" s="321">
        <v>41.5</v>
      </c>
      <c r="S24" s="321">
        <v>45.6</v>
      </c>
      <c r="T24" s="321">
        <v>50.2</v>
      </c>
      <c r="U24" s="321">
        <v>55.2</v>
      </c>
      <c r="V24" s="323">
        <v>60.7</v>
      </c>
      <c r="W24" s="378"/>
      <c r="X24" s="378"/>
      <c r="Y24" s="378"/>
    </row>
    <row r="25" spans="1:25" ht="15">
      <c r="A25" s="653">
        <v>0.78</v>
      </c>
      <c r="B25" s="319">
        <v>29.9</v>
      </c>
      <c r="C25" s="319">
        <v>32.9</v>
      </c>
      <c r="D25" s="319">
        <v>36.200000000000003</v>
      </c>
      <c r="E25" s="319">
        <v>39.799999999999997</v>
      </c>
      <c r="F25" s="320">
        <v>43.8</v>
      </c>
      <c r="Q25" s="318">
        <v>0.78</v>
      </c>
      <c r="R25" s="321">
        <v>44.8</v>
      </c>
      <c r="S25" s="321">
        <v>49.3</v>
      </c>
      <c r="T25" s="321">
        <v>54.2</v>
      </c>
      <c r="U25" s="321">
        <v>59.6</v>
      </c>
      <c r="V25" s="323">
        <v>65.599999999999994</v>
      </c>
      <c r="W25" s="378"/>
      <c r="X25" s="378"/>
      <c r="Y25" s="378"/>
    </row>
    <row r="26" spans="1:25" ht="15">
      <c r="A26" s="653">
        <v>0.98</v>
      </c>
      <c r="B26" s="319">
        <v>32.9</v>
      </c>
      <c r="C26" s="319">
        <v>35.5</v>
      </c>
      <c r="D26" s="319">
        <v>39.1</v>
      </c>
      <c r="E26" s="319">
        <v>43</v>
      </c>
      <c r="F26" s="320">
        <v>47.3</v>
      </c>
      <c r="Q26" s="318">
        <v>0.98</v>
      </c>
      <c r="R26" s="321">
        <v>48.4</v>
      </c>
      <c r="S26" s="321">
        <v>53.2</v>
      </c>
      <c r="T26" s="321">
        <v>58.5</v>
      </c>
      <c r="U26" s="321">
        <v>64.400000000000006</v>
      </c>
      <c r="V26" s="323">
        <v>70.8</v>
      </c>
      <c r="W26" s="378"/>
      <c r="X26" s="378"/>
      <c r="Y26" s="378"/>
    </row>
    <row r="27" spans="1:25" ht="15">
      <c r="A27" s="653">
        <v>1.5</v>
      </c>
      <c r="B27" s="319">
        <v>36.4</v>
      </c>
      <c r="C27" s="319">
        <v>40</v>
      </c>
      <c r="D27" s="319">
        <v>44</v>
      </c>
      <c r="E27" s="319">
        <v>48.4</v>
      </c>
      <c r="F27" s="320">
        <v>53.2</v>
      </c>
      <c r="Q27" s="318">
        <v>1.5</v>
      </c>
      <c r="R27" s="321">
        <v>54.6</v>
      </c>
      <c r="S27" s="321">
        <v>60.1</v>
      </c>
      <c r="T27" s="321">
        <v>66.099999999999994</v>
      </c>
      <c r="U27" s="321">
        <v>72.7</v>
      </c>
      <c r="V27" s="323">
        <v>80</v>
      </c>
      <c r="W27" s="378"/>
      <c r="X27" s="378"/>
      <c r="Y27" s="378"/>
    </row>
    <row r="28" spans="1:25" ht="15">
      <c r="A28" s="654">
        <v>1000</v>
      </c>
      <c r="B28" s="336">
        <v>36.4</v>
      </c>
      <c r="C28" s="336">
        <v>40</v>
      </c>
      <c r="D28" s="336">
        <v>44</v>
      </c>
      <c r="E28" s="336">
        <v>48.4</v>
      </c>
      <c r="F28" s="337">
        <v>53.2</v>
      </c>
      <c r="Q28" s="335">
        <v>1000</v>
      </c>
      <c r="R28" s="338">
        <v>54.6</v>
      </c>
      <c r="S28" s="338">
        <v>60.1</v>
      </c>
      <c r="T28" s="338">
        <v>66.099999999999994</v>
      </c>
      <c r="U28" s="338">
        <v>72.7</v>
      </c>
      <c r="V28" s="340">
        <v>80</v>
      </c>
      <c r="W28" s="378"/>
      <c r="X28" s="378"/>
      <c r="Y28" s="378"/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9">
    <tabColor indexed="50"/>
  </sheetPr>
  <dimension ref="A1:Y28"/>
  <sheetViews>
    <sheetView topLeftCell="A19" workbookViewId="0">
      <selection activeCell="D12" sqref="D12"/>
    </sheetView>
  </sheetViews>
  <sheetFormatPr defaultRowHeight="12.75"/>
  <cols>
    <col min="1" max="1" width="33" style="377" customWidth="1"/>
    <col min="2" max="16384" width="9.140625" style="187"/>
  </cols>
  <sheetData>
    <row r="1" spans="1:25">
      <c r="A1" s="187" t="s">
        <v>3221</v>
      </c>
      <c r="Q1" s="187" t="s">
        <v>3221</v>
      </c>
    </row>
    <row r="2" spans="1:25" ht="31.5" customHeight="1" thickBot="1">
      <c r="A2" s="313" t="s">
        <v>3222</v>
      </c>
      <c r="B2" s="361" t="s">
        <v>3223</v>
      </c>
      <c r="C2" s="361" t="s">
        <v>3224</v>
      </c>
      <c r="D2" s="361" t="s">
        <v>3225</v>
      </c>
      <c r="E2" s="361" t="s">
        <v>3226</v>
      </c>
      <c r="F2" s="362" t="s">
        <v>3107</v>
      </c>
      <c r="I2" s="187" t="s">
        <v>3213</v>
      </c>
      <c r="J2" s="187" t="e">
        <f ca="1">INDIRECT(I2 &amp; "[Вибираема маса]")</f>
        <v>#VALUE!</v>
      </c>
      <c r="L2" s="205"/>
      <c r="Q2" s="313" t="s">
        <v>3222</v>
      </c>
      <c r="R2" s="363" t="s">
        <v>3223</v>
      </c>
      <c r="S2" s="363" t="s">
        <v>3224</v>
      </c>
      <c r="T2" s="363" t="s">
        <v>3225</v>
      </c>
      <c r="U2" s="363" t="s">
        <v>3226</v>
      </c>
      <c r="V2" s="364" t="s">
        <v>3107</v>
      </c>
      <c r="W2" s="365"/>
      <c r="X2" s="365" t="s">
        <v>3217</v>
      </c>
      <c r="Y2" s="365"/>
    </row>
    <row r="3" spans="1:25" ht="15">
      <c r="A3" s="366">
        <v>3.5000000000000003E-2</v>
      </c>
      <c r="B3" s="367" t="s">
        <v>132</v>
      </c>
      <c r="C3" s="367">
        <v>4.4000000000000004</v>
      </c>
      <c r="D3" s="367">
        <v>4.8</v>
      </c>
      <c r="E3" s="319">
        <v>5.3</v>
      </c>
      <c r="F3" s="320">
        <v>5.8</v>
      </c>
      <c r="H3" s="324" t="s">
        <v>3221</v>
      </c>
      <c r="I3" s="325">
        <v>0.04</v>
      </c>
      <c r="J3" s="187" t="e">
        <v>#VALUE!</v>
      </c>
      <c r="K3" s="187">
        <f ca="1">nearmax(I3,INDIRECT(I2 &amp; "[Вибираема маса]"))</f>
        <v>0.04</v>
      </c>
      <c r="L3" s="205"/>
      <c r="Q3" s="350">
        <v>3.5000000000000003E-2</v>
      </c>
      <c r="R3" s="367">
        <v>4.8</v>
      </c>
      <c r="S3" s="367">
        <v>5.3</v>
      </c>
      <c r="T3" s="367">
        <v>5.8</v>
      </c>
      <c r="U3" s="367">
        <v>6.4</v>
      </c>
      <c r="V3" s="368">
        <v>7</v>
      </c>
      <c r="W3" s="365"/>
      <c r="X3" s="369">
        <v>0.04</v>
      </c>
      <c r="Y3" s="187">
        <f>nearmax(X3,РХ_ХМ_1[Вибираема маса])</f>
        <v>0.04</v>
      </c>
    </row>
    <row r="4" spans="1:25" ht="15.75" thickBot="1">
      <c r="A4" s="366">
        <v>0.04</v>
      </c>
      <c r="B4" s="367">
        <v>4.4000000000000004</v>
      </c>
      <c r="C4" s="367">
        <v>4.8</v>
      </c>
      <c r="D4" s="367">
        <v>5.3</v>
      </c>
      <c r="E4" s="319">
        <v>5.8</v>
      </c>
      <c r="F4" s="320">
        <v>6.4</v>
      </c>
      <c r="H4" s="326" t="s">
        <v>3222</v>
      </c>
      <c r="I4" s="327">
        <v>9</v>
      </c>
      <c r="J4" s="187">
        <f>nearmax(I4,RDNAME)</f>
        <v>10</v>
      </c>
      <c r="K4" s="187">
        <f>nearmax(I4,RDNAME)</f>
        <v>10</v>
      </c>
      <c r="L4" s="205"/>
      <c r="Q4" s="350">
        <v>0.04</v>
      </c>
      <c r="R4" s="367">
        <v>5.3</v>
      </c>
      <c r="S4" s="367">
        <v>5.8</v>
      </c>
      <c r="T4" s="367">
        <v>6.4</v>
      </c>
      <c r="U4" s="367">
        <v>7</v>
      </c>
      <c r="V4" s="368">
        <v>7.7</v>
      </c>
      <c r="W4" s="365"/>
      <c r="X4" s="369">
        <v>9</v>
      </c>
      <c r="Y4" s="187">
        <f>nearmax(X4,RDNAME)</f>
        <v>10</v>
      </c>
    </row>
    <row r="5" spans="1:25" ht="15">
      <c r="A5" s="366">
        <v>4.4999999999999998E-2</v>
      </c>
      <c r="B5" s="367">
        <v>4.9000000000000004</v>
      </c>
      <c r="C5" s="367">
        <v>5.4</v>
      </c>
      <c r="D5" s="367">
        <v>5.9</v>
      </c>
      <c r="E5" s="319">
        <v>6.5</v>
      </c>
      <c r="F5" s="320">
        <v>7.2</v>
      </c>
      <c r="J5" s="187" t="e">
        <v>#VALUE!</v>
      </c>
      <c r="K5" s="187">
        <f ca="1">MATCH(nearmax(I3,INDIRECT(I2 &amp; "[Вибираема маса]")),INDIRECT(I2 &amp; "[Вибираема маса]"),0)</f>
        <v>2</v>
      </c>
      <c r="L5" s="205"/>
      <c r="Q5" s="350">
        <v>4.4999999999999998E-2</v>
      </c>
      <c r="R5" s="367">
        <v>5.9</v>
      </c>
      <c r="S5" s="367">
        <v>6.5</v>
      </c>
      <c r="T5" s="367">
        <v>7.2</v>
      </c>
      <c r="U5" s="367">
        <v>7.9</v>
      </c>
      <c r="V5" s="368">
        <v>8.6999999999999993</v>
      </c>
      <c r="W5" s="365"/>
      <c r="Y5" s="187">
        <f>MATCH(nearmax(X3,РХ_ХМ_1[Вибираема маса]),РХ_ХМ_1[Вибираема маса],0)</f>
        <v>2</v>
      </c>
    </row>
    <row r="6" spans="1:25" ht="15">
      <c r="A6" s="366">
        <v>0.05</v>
      </c>
      <c r="B6" s="367">
        <v>5.5</v>
      </c>
      <c r="C6" s="367">
        <v>6.1</v>
      </c>
      <c r="D6" s="367">
        <v>6.7</v>
      </c>
      <c r="E6" s="319">
        <v>7.4</v>
      </c>
      <c r="F6" s="320">
        <v>8.1</v>
      </c>
      <c r="J6" s="187">
        <f>MATCH(nearmax(I4,RDNAME),RDNAME,0)+1</f>
        <v>3</v>
      </c>
      <c r="K6" s="187">
        <f>MATCH(nearmax(J4,RDNAME),RDNAME,0)+1</f>
        <v>3</v>
      </c>
      <c r="L6" s="205"/>
      <c r="Q6" s="350">
        <v>0.05</v>
      </c>
      <c r="R6" s="367">
        <v>6.6</v>
      </c>
      <c r="S6" s="367">
        <v>7.3</v>
      </c>
      <c r="T6" s="367">
        <v>8</v>
      </c>
      <c r="U6" s="367">
        <v>8.8000000000000007</v>
      </c>
      <c r="V6" s="368">
        <v>9.6999999999999993</v>
      </c>
      <c r="W6" s="365"/>
      <c r="Y6" s="187">
        <f>MATCH(nearmax(X4,RDNAME),RDNAME,0)+1</f>
        <v>3</v>
      </c>
    </row>
    <row r="7" spans="1:25" ht="15">
      <c r="A7" s="366">
        <v>5.5E-2</v>
      </c>
      <c r="B7" s="367">
        <v>6</v>
      </c>
      <c r="C7" s="367">
        <v>6.6</v>
      </c>
      <c r="D7" s="367">
        <v>7.3</v>
      </c>
      <c r="E7" s="319">
        <v>8</v>
      </c>
      <c r="F7" s="320">
        <v>8.8000000000000007</v>
      </c>
      <c r="J7" s="328" t="e">
        <v>#REF!</v>
      </c>
      <c r="K7" s="328" t="e">
        <f ca="1">INDEX(INDIRECT(IF(I10="Твердолистяні породи",K12&amp;"_ТП",K12&amp;"_ХМ")),MATCH(nearmax(I3,INDIRECT(IF(I10="Твердолистяні породи",K12&amp;"_ТП",K12&amp;"_ХМ") &amp; "[Вибираема маса]")),INDIRECT(IF(I10="Твердолистяні породи",K12&amp;"_ТП",K12&amp;"_ХМ") &amp; "[Вибираема маса]"),0),MATCH(nearmax(nearmax(I4,RDNAME),RDNAME),RDNAME,0)+1)</f>
        <v>#REF!</v>
      </c>
      <c r="L7" s="205"/>
      <c r="Q7" s="350">
        <v>5.5E-2</v>
      </c>
      <c r="R7" s="367">
        <v>7.2</v>
      </c>
      <c r="S7" s="367">
        <v>7.9</v>
      </c>
      <c r="T7" s="367">
        <v>8.6999999999999993</v>
      </c>
      <c r="U7" s="367">
        <v>9.6</v>
      </c>
      <c r="V7" s="368">
        <v>10.6</v>
      </c>
      <c r="W7" s="365"/>
      <c r="Y7" s="328">
        <f>INDEX(РХ_ХМ_1[],MATCH(nearmax(X3,РХ_ХМ_1[Вибираема маса]),РХ_ХМ_1[Вибираема маса],0),MATCH(nearmax(X4,RDNAME),RDNAME,0)+1)</f>
        <v>5.8</v>
      </c>
    </row>
    <row r="8" spans="1:25" ht="15">
      <c r="A8" s="366">
        <v>0.06</v>
      </c>
      <c r="B8" s="367">
        <v>6.5</v>
      </c>
      <c r="C8" s="367">
        <v>7.2</v>
      </c>
      <c r="D8" s="367">
        <v>7.9</v>
      </c>
      <c r="E8" s="319">
        <v>8.6999999999999993</v>
      </c>
      <c r="F8" s="320">
        <v>9.6</v>
      </c>
      <c r="L8" s="205"/>
      <c r="Q8" s="350">
        <v>0.06</v>
      </c>
      <c r="R8" s="367">
        <v>7.8</v>
      </c>
      <c r="S8" s="367">
        <v>8.6</v>
      </c>
      <c r="T8" s="367">
        <v>9.5</v>
      </c>
      <c r="U8" s="367">
        <v>10.5</v>
      </c>
      <c r="V8" s="368">
        <v>11.6</v>
      </c>
      <c r="W8" s="365"/>
      <c r="X8" s="365"/>
      <c r="Y8" s="365"/>
    </row>
    <row r="9" spans="1:25" ht="15">
      <c r="A9" s="366">
        <v>6.5000000000000002E-2</v>
      </c>
      <c r="B9" s="367">
        <v>6.9</v>
      </c>
      <c r="C9" s="367">
        <v>7.6</v>
      </c>
      <c r="D9" s="367">
        <v>8.4</v>
      </c>
      <c r="E9" s="319">
        <v>9.1999999999999993</v>
      </c>
      <c r="F9" s="320">
        <v>10.1</v>
      </c>
      <c r="I9" s="39" t="s">
        <v>71</v>
      </c>
      <c r="L9" s="205"/>
      <c r="Q9" s="350">
        <v>6.5000000000000002E-2</v>
      </c>
      <c r="R9" s="367">
        <v>8.3000000000000007</v>
      </c>
      <c r="S9" s="367">
        <v>9.1</v>
      </c>
      <c r="T9" s="367">
        <v>10</v>
      </c>
      <c r="U9" s="367">
        <v>11</v>
      </c>
      <c r="V9" s="368">
        <v>12.1</v>
      </c>
      <c r="W9" s="365"/>
      <c r="X9" s="365"/>
      <c r="Y9" s="365">
        <f>INDEX(РХ_ХМ_1[],MATCH(nearmax(X3,РХ_ХМ_1[Вибираема маса]),РХ_ХМ_1[Вибираема маса],0),MATCH(nearmax(X4,RDNAME),RDNAME,0)+1)</f>
        <v>5.8</v>
      </c>
    </row>
    <row r="10" spans="1:25" ht="15">
      <c r="A10" s="366">
        <v>7.0000000000000007E-2</v>
      </c>
      <c r="B10" s="367">
        <v>7.4</v>
      </c>
      <c r="C10" s="367">
        <v>8.1</v>
      </c>
      <c r="D10" s="367">
        <v>8.9</v>
      </c>
      <c r="E10" s="319">
        <v>9.8000000000000007</v>
      </c>
      <c r="F10" s="320">
        <v>10.8</v>
      </c>
      <c r="I10" s="39" t="s">
        <v>71</v>
      </c>
      <c r="J10" s="187" t="str">
        <f>IF(I10="Твердолистяні породи",K12&amp;"_ТП",K12&amp;"_ХМ")</f>
        <v>РХ_ХМ</v>
      </c>
      <c r="L10" s="205"/>
      <c r="Q10" s="350">
        <v>7.0000000000000007E-2</v>
      </c>
      <c r="R10" s="367">
        <v>8.9</v>
      </c>
      <c r="S10" s="367">
        <v>9.8000000000000007</v>
      </c>
      <c r="T10" s="367">
        <v>10.8</v>
      </c>
      <c r="U10" s="367">
        <v>11.9</v>
      </c>
      <c r="V10" s="368">
        <v>13.1</v>
      </c>
      <c r="W10" s="365"/>
      <c r="X10" s="365"/>
      <c r="Y10" s="365"/>
    </row>
    <row r="11" spans="1:25" ht="15.75" thickBot="1">
      <c r="A11" s="366">
        <v>0.08</v>
      </c>
      <c r="B11" s="367">
        <v>8.3000000000000007</v>
      </c>
      <c r="C11" s="367">
        <v>9.1</v>
      </c>
      <c r="D11" s="367">
        <v>10</v>
      </c>
      <c r="E11" s="319">
        <v>11</v>
      </c>
      <c r="F11" s="320">
        <v>12.1</v>
      </c>
      <c r="L11" s="205"/>
      <c r="Q11" s="370">
        <v>0.08</v>
      </c>
      <c r="R11" s="367">
        <v>10</v>
      </c>
      <c r="S11" s="367">
        <v>11</v>
      </c>
      <c r="T11" s="367">
        <v>12.1</v>
      </c>
      <c r="U11" s="367">
        <v>13.3</v>
      </c>
      <c r="V11" s="368">
        <v>14.6</v>
      </c>
      <c r="W11" s="365"/>
      <c r="X11" s="365"/>
      <c r="Y11" s="365"/>
    </row>
    <row r="12" spans="1:25" ht="15.75" thickBot="1">
      <c r="A12" s="366">
        <v>0.09</v>
      </c>
      <c r="B12" s="367">
        <v>9.1</v>
      </c>
      <c r="C12" s="367">
        <v>10</v>
      </c>
      <c r="D12" s="367">
        <v>11</v>
      </c>
      <c r="E12" s="319">
        <v>12.1</v>
      </c>
      <c r="F12" s="320">
        <v>13.3</v>
      </c>
      <c r="H12" s="329" t="s">
        <v>2240</v>
      </c>
      <c r="I12" s="330" t="s">
        <v>72</v>
      </c>
      <c r="J12" s="331">
        <f ca="1">INDEX(INDIRECT(IF(I12="Твердолистяні породи",K12&amp;"_ТП"&amp;L12,K12&amp;"_ХМ"&amp;L12)),MATCH(nearmax(I3,INDIRECT(IF(I12="Твердолистяні породи",K12&amp;"_ТП"&amp;L12,K12&amp;"_ХМ"&amp;L12) &amp; "[Вибираема маса]")),INDIRECT(IF(I12="Твердолистяні породи",K12&amp;"_ТП"&amp;L12,K12&amp;"_ХМ"&amp;L12) &amp; "[Вибираема маса]"),0),MATCH(nearmax(nearmax(I4,RDNAME),RDNAME),RDNAME,0)+1)</f>
        <v>4.8</v>
      </c>
      <c r="K12" s="332" t="s">
        <v>3229</v>
      </c>
      <c r="L12" s="333" t="s">
        <v>3231</v>
      </c>
      <c r="Q12" s="350">
        <v>0.09</v>
      </c>
      <c r="R12" s="367">
        <v>11</v>
      </c>
      <c r="S12" s="367">
        <v>12.1</v>
      </c>
      <c r="T12" s="367">
        <v>13.3</v>
      </c>
      <c r="U12" s="367">
        <v>14.6</v>
      </c>
      <c r="V12" s="368">
        <v>16.100000000000001</v>
      </c>
      <c r="W12" s="365"/>
      <c r="X12" s="365"/>
      <c r="Y12" s="365"/>
    </row>
    <row r="13" spans="1:25" ht="15">
      <c r="A13" s="366">
        <v>0.1</v>
      </c>
      <c r="B13" s="367">
        <v>10</v>
      </c>
      <c r="C13" s="367">
        <v>11</v>
      </c>
      <c r="D13" s="367">
        <v>12.1</v>
      </c>
      <c r="E13" s="319">
        <v>13.3</v>
      </c>
      <c r="F13" s="320">
        <v>14.6</v>
      </c>
      <c r="Q13" s="350">
        <v>0.1</v>
      </c>
      <c r="R13" s="367">
        <v>12</v>
      </c>
      <c r="S13" s="367">
        <v>13.2</v>
      </c>
      <c r="T13" s="367">
        <v>14.5</v>
      </c>
      <c r="U13" s="367">
        <v>16</v>
      </c>
      <c r="V13" s="368">
        <v>17.600000000000001</v>
      </c>
      <c r="W13" s="365"/>
      <c r="X13" s="365"/>
      <c r="Y13" s="365"/>
    </row>
    <row r="14" spans="1:25" ht="15">
      <c r="A14" s="366">
        <v>0.12</v>
      </c>
      <c r="B14" s="367">
        <v>11.5</v>
      </c>
      <c r="C14" s="367">
        <v>12.7</v>
      </c>
      <c r="D14" s="367">
        <v>14</v>
      </c>
      <c r="E14" s="319">
        <v>15.4</v>
      </c>
      <c r="F14" s="320">
        <v>16.899999999999999</v>
      </c>
      <c r="Q14" s="350">
        <v>0.12</v>
      </c>
      <c r="R14" s="367">
        <v>13.9</v>
      </c>
      <c r="S14" s="367">
        <v>15.3</v>
      </c>
      <c r="T14" s="367">
        <v>16.8</v>
      </c>
      <c r="U14" s="367">
        <v>18.5</v>
      </c>
      <c r="V14" s="368">
        <v>20.399999999999999</v>
      </c>
      <c r="W14" s="365"/>
      <c r="X14" s="365"/>
      <c r="Y14" s="365"/>
    </row>
    <row r="15" spans="1:25" ht="15">
      <c r="A15" s="366">
        <v>0.14000000000000001</v>
      </c>
      <c r="B15" s="367">
        <v>12.9</v>
      </c>
      <c r="C15" s="367">
        <v>14.2</v>
      </c>
      <c r="D15" s="367">
        <v>15.6</v>
      </c>
      <c r="E15" s="319">
        <v>17.2</v>
      </c>
      <c r="F15" s="320">
        <v>18.899999999999999</v>
      </c>
      <c r="Q15" s="350">
        <v>0.14000000000000001</v>
      </c>
      <c r="R15" s="367">
        <v>15.6</v>
      </c>
      <c r="S15" s="367">
        <v>17.2</v>
      </c>
      <c r="T15" s="367">
        <v>18.899999999999999</v>
      </c>
      <c r="U15" s="367">
        <v>20.8</v>
      </c>
      <c r="V15" s="368">
        <v>22.9</v>
      </c>
      <c r="W15" s="365"/>
      <c r="X15" s="365"/>
      <c r="Y15" s="365"/>
    </row>
    <row r="16" spans="1:25" ht="15">
      <c r="A16" s="366">
        <v>0.16</v>
      </c>
      <c r="B16" s="367">
        <v>14</v>
      </c>
      <c r="C16" s="367">
        <v>15.4</v>
      </c>
      <c r="D16" s="367">
        <v>16.899999999999999</v>
      </c>
      <c r="E16" s="319">
        <v>18.600000000000001</v>
      </c>
      <c r="F16" s="320">
        <v>20.5</v>
      </c>
      <c r="Q16" s="350">
        <v>0.16</v>
      </c>
      <c r="R16" s="367">
        <v>16.899999999999999</v>
      </c>
      <c r="S16" s="367">
        <v>18.600000000000001</v>
      </c>
      <c r="T16" s="367">
        <v>20.5</v>
      </c>
      <c r="U16" s="367">
        <v>22.6</v>
      </c>
      <c r="V16" s="368">
        <v>24.9</v>
      </c>
      <c r="W16" s="365"/>
      <c r="X16" s="365"/>
      <c r="Y16" s="365"/>
    </row>
    <row r="17" spans="1:25" ht="15">
      <c r="A17" s="366">
        <v>0.19</v>
      </c>
      <c r="B17" s="367">
        <v>15.1</v>
      </c>
      <c r="C17" s="367">
        <v>16.600000000000001</v>
      </c>
      <c r="D17" s="367">
        <v>18.3</v>
      </c>
      <c r="E17" s="319">
        <v>20.100000000000001</v>
      </c>
      <c r="F17" s="320">
        <v>22.1</v>
      </c>
      <c r="Q17" s="350">
        <v>0.19</v>
      </c>
      <c r="R17" s="367">
        <v>18.2</v>
      </c>
      <c r="S17" s="367">
        <v>20</v>
      </c>
      <c r="T17" s="367">
        <v>22</v>
      </c>
      <c r="U17" s="367">
        <v>24.2</v>
      </c>
      <c r="V17" s="368">
        <v>26.6</v>
      </c>
      <c r="W17" s="365"/>
      <c r="X17" s="365"/>
      <c r="Y17" s="365"/>
    </row>
    <row r="18" spans="1:25" ht="15">
      <c r="A18" s="366">
        <v>0.23</v>
      </c>
      <c r="B18" s="367">
        <v>16.2</v>
      </c>
      <c r="C18" s="367">
        <v>17.8</v>
      </c>
      <c r="D18" s="367">
        <v>19.600000000000001</v>
      </c>
      <c r="E18" s="319">
        <v>21.6</v>
      </c>
      <c r="F18" s="320">
        <v>23.8</v>
      </c>
      <c r="Q18" s="350">
        <v>0.22</v>
      </c>
      <c r="R18" s="367">
        <v>19.5</v>
      </c>
      <c r="S18" s="367">
        <v>21.5</v>
      </c>
      <c r="T18" s="367">
        <v>23.7</v>
      </c>
      <c r="U18" s="367">
        <v>26.1</v>
      </c>
      <c r="V18" s="368">
        <v>28.7</v>
      </c>
      <c r="W18" s="365"/>
      <c r="X18" s="365"/>
      <c r="Y18" s="365"/>
    </row>
    <row r="19" spans="1:25" ht="15">
      <c r="A19" s="366">
        <v>0.25</v>
      </c>
      <c r="B19" s="367">
        <v>17.399999999999999</v>
      </c>
      <c r="C19" s="367">
        <v>19.100000000000001</v>
      </c>
      <c r="D19" s="367">
        <v>21</v>
      </c>
      <c r="E19" s="319">
        <v>23.1</v>
      </c>
      <c r="F19" s="320">
        <v>25.4</v>
      </c>
      <c r="Q19" s="350">
        <v>0.25</v>
      </c>
      <c r="R19" s="367">
        <v>21</v>
      </c>
      <c r="S19" s="367">
        <v>23.1</v>
      </c>
      <c r="T19" s="367">
        <v>25.4</v>
      </c>
      <c r="U19" s="367">
        <v>27.9</v>
      </c>
      <c r="V19" s="368">
        <v>30.7</v>
      </c>
      <c r="W19" s="365"/>
      <c r="X19" s="365"/>
      <c r="Y19" s="365"/>
    </row>
    <row r="20" spans="1:25" ht="15">
      <c r="A20" s="366">
        <v>0.28999999999999998</v>
      </c>
      <c r="B20" s="367">
        <v>18.8</v>
      </c>
      <c r="C20" s="367">
        <v>20.7</v>
      </c>
      <c r="D20" s="367">
        <v>22.8</v>
      </c>
      <c r="E20" s="319">
        <v>25.1</v>
      </c>
      <c r="F20" s="320">
        <v>27.6</v>
      </c>
      <c r="Q20" s="350">
        <v>0.28999999999999998</v>
      </c>
      <c r="R20" s="367">
        <v>22.6</v>
      </c>
      <c r="S20" s="367">
        <v>24.9</v>
      </c>
      <c r="T20" s="367">
        <v>27.4</v>
      </c>
      <c r="U20" s="367">
        <v>30.1</v>
      </c>
      <c r="V20" s="368">
        <v>33.1</v>
      </c>
      <c r="W20" s="365"/>
      <c r="X20" s="365"/>
      <c r="Y20" s="365"/>
    </row>
    <row r="21" spans="1:25" ht="15">
      <c r="A21" s="366">
        <v>0.35</v>
      </c>
      <c r="B21" s="367">
        <v>20.3</v>
      </c>
      <c r="C21" s="367">
        <v>22.3</v>
      </c>
      <c r="D21" s="367">
        <v>24.5</v>
      </c>
      <c r="E21" s="319">
        <v>27</v>
      </c>
      <c r="F21" s="320">
        <v>29.7</v>
      </c>
      <c r="Q21" s="350">
        <v>0.35</v>
      </c>
      <c r="R21" s="367">
        <v>24.4</v>
      </c>
      <c r="S21" s="367">
        <v>26.8</v>
      </c>
      <c r="T21" s="367">
        <v>29.5</v>
      </c>
      <c r="U21" s="367">
        <v>32.5</v>
      </c>
      <c r="V21" s="368">
        <v>35.799999999999997</v>
      </c>
      <c r="W21" s="365"/>
      <c r="X21" s="365"/>
      <c r="Y21" s="365"/>
    </row>
    <row r="22" spans="1:25" ht="15">
      <c r="A22" s="366">
        <v>0.41</v>
      </c>
      <c r="B22" s="367">
        <v>21.7</v>
      </c>
      <c r="C22" s="367">
        <v>23.9</v>
      </c>
      <c r="D22" s="367">
        <v>26.3</v>
      </c>
      <c r="E22" s="319">
        <v>28.9</v>
      </c>
      <c r="F22" s="320">
        <v>31.8</v>
      </c>
      <c r="Q22" s="350">
        <v>0.41</v>
      </c>
      <c r="R22" s="367">
        <v>26.2</v>
      </c>
      <c r="S22" s="367">
        <v>28.8</v>
      </c>
      <c r="T22" s="367">
        <v>31.7</v>
      </c>
      <c r="U22" s="367">
        <v>34.9</v>
      </c>
      <c r="V22" s="368">
        <v>38.4</v>
      </c>
      <c r="W22" s="365"/>
      <c r="X22" s="365"/>
      <c r="Y22" s="365"/>
    </row>
    <row r="23" spans="1:25" ht="15">
      <c r="A23" s="366">
        <v>0.5</v>
      </c>
      <c r="B23" s="367">
        <v>23.4</v>
      </c>
      <c r="C23" s="367">
        <v>25.7</v>
      </c>
      <c r="D23" s="367">
        <v>28.3</v>
      </c>
      <c r="E23" s="319">
        <v>31.1</v>
      </c>
      <c r="F23" s="320">
        <v>34.200000000000003</v>
      </c>
      <c r="Q23" s="350">
        <v>0.5</v>
      </c>
      <c r="R23" s="367">
        <v>28.2</v>
      </c>
      <c r="S23" s="367">
        <v>31</v>
      </c>
      <c r="T23" s="367">
        <v>34.1</v>
      </c>
      <c r="U23" s="367">
        <v>37.5</v>
      </c>
      <c r="V23" s="368">
        <v>41.3</v>
      </c>
      <c r="W23" s="365"/>
      <c r="X23" s="365"/>
      <c r="Y23" s="365"/>
    </row>
    <row r="24" spans="1:25" ht="15">
      <c r="A24" s="366">
        <v>0.62</v>
      </c>
      <c r="B24" s="367">
        <v>25.1</v>
      </c>
      <c r="C24" s="367">
        <v>27.6</v>
      </c>
      <c r="D24" s="367">
        <v>30.4</v>
      </c>
      <c r="E24" s="319">
        <v>33.4</v>
      </c>
      <c r="F24" s="320">
        <v>36.700000000000003</v>
      </c>
      <c r="Q24" s="350">
        <v>0.62</v>
      </c>
      <c r="R24" s="367">
        <v>30.3</v>
      </c>
      <c r="S24" s="367">
        <v>33.299999999999997</v>
      </c>
      <c r="T24" s="367">
        <v>36.6</v>
      </c>
      <c r="U24" s="367">
        <v>40.299999999999997</v>
      </c>
      <c r="V24" s="368">
        <v>44.3</v>
      </c>
      <c r="W24" s="365"/>
      <c r="X24" s="365"/>
      <c r="Y24" s="365"/>
    </row>
    <row r="25" spans="1:25" ht="15">
      <c r="A25" s="366">
        <v>0.78</v>
      </c>
      <c r="B25" s="367">
        <v>27.1</v>
      </c>
      <c r="C25" s="367">
        <v>29.8</v>
      </c>
      <c r="D25" s="367">
        <v>32.799999999999997</v>
      </c>
      <c r="E25" s="319">
        <v>36.1</v>
      </c>
      <c r="F25" s="320">
        <v>39.700000000000003</v>
      </c>
      <c r="Q25" s="350">
        <v>0.78</v>
      </c>
      <c r="R25" s="367">
        <v>32.6</v>
      </c>
      <c r="S25" s="367">
        <v>35.9</v>
      </c>
      <c r="T25" s="367">
        <v>39.5</v>
      </c>
      <c r="U25" s="367">
        <v>43.5</v>
      </c>
      <c r="V25" s="368">
        <v>47.9</v>
      </c>
      <c r="W25" s="365"/>
      <c r="X25" s="365"/>
      <c r="Y25" s="365"/>
    </row>
    <row r="26" spans="1:25" ht="15">
      <c r="A26" s="366">
        <v>0.98</v>
      </c>
      <c r="B26" s="367">
        <v>29.1</v>
      </c>
      <c r="C26" s="367">
        <v>32</v>
      </c>
      <c r="D26" s="367">
        <v>35.200000000000003</v>
      </c>
      <c r="E26" s="319">
        <v>38.700000000000003</v>
      </c>
      <c r="F26" s="320">
        <v>42.6</v>
      </c>
      <c r="Q26" s="350">
        <v>0.98</v>
      </c>
      <c r="R26" s="367">
        <v>35.1</v>
      </c>
      <c r="S26" s="367">
        <v>38.6</v>
      </c>
      <c r="T26" s="367">
        <v>42.5</v>
      </c>
      <c r="U26" s="367">
        <v>46.8</v>
      </c>
      <c r="V26" s="368">
        <v>51.5</v>
      </c>
      <c r="W26" s="365"/>
      <c r="X26" s="365"/>
      <c r="Y26" s="365"/>
    </row>
    <row r="27" spans="1:25" ht="15">
      <c r="A27" s="366">
        <v>1.5</v>
      </c>
      <c r="B27" s="367">
        <v>31.4</v>
      </c>
      <c r="C27" s="367">
        <v>34.5</v>
      </c>
      <c r="D27" s="371">
        <v>38</v>
      </c>
      <c r="E27" s="319">
        <v>41.8</v>
      </c>
      <c r="F27" s="320">
        <v>46</v>
      </c>
      <c r="Q27" s="350">
        <v>1.5</v>
      </c>
      <c r="R27" s="367">
        <v>37.799999999999997</v>
      </c>
      <c r="S27" s="367">
        <v>41.6</v>
      </c>
      <c r="T27" s="367">
        <v>45.8</v>
      </c>
      <c r="U27" s="367">
        <v>50.4</v>
      </c>
      <c r="V27" s="368">
        <v>55.4</v>
      </c>
      <c r="W27" s="365"/>
      <c r="X27" s="365"/>
      <c r="Y27" s="365"/>
    </row>
    <row r="28" spans="1:25" ht="15">
      <c r="A28" s="372">
        <v>1000</v>
      </c>
      <c r="B28" s="373">
        <v>31.4</v>
      </c>
      <c r="C28" s="373">
        <v>34.5</v>
      </c>
      <c r="D28" s="374">
        <v>38</v>
      </c>
      <c r="E28" s="336">
        <v>41.8</v>
      </c>
      <c r="F28" s="337">
        <v>46</v>
      </c>
      <c r="Q28" s="375">
        <v>1000</v>
      </c>
      <c r="R28" s="373">
        <v>37.799999999999997</v>
      </c>
      <c r="S28" s="373">
        <v>41.6</v>
      </c>
      <c r="T28" s="373">
        <v>45.8</v>
      </c>
      <c r="U28" s="373">
        <v>50.4</v>
      </c>
      <c r="V28" s="376">
        <v>55.4</v>
      </c>
      <c r="W28" s="365"/>
      <c r="X28" s="365"/>
      <c r="Y28" s="365"/>
    </row>
  </sheetData>
  <pageMargins left="0.75" right="0.75" top="1" bottom="1" header="0.5" footer="0.5"/>
  <pageSetup paperSize="9" orientation="portrait" r:id="rId1"/>
  <headerFooter alignWithMargins="0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1">
    <tabColor indexed="50"/>
  </sheetPr>
  <dimension ref="A1:V28"/>
  <sheetViews>
    <sheetView workbookViewId="0">
      <selection activeCell="J21" sqref="J21"/>
    </sheetView>
  </sheetViews>
  <sheetFormatPr defaultRowHeight="12.75"/>
  <cols>
    <col min="1" max="1" width="33.42578125" style="187" customWidth="1"/>
    <col min="2" max="16384" width="9.140625" style="187"/>
  </cols>
  <sheetData>
    <row r="1" spans="1:22">
      <c r="A1" s="187" t="s">
        <v>3221</v>
      </c>
      <c r="Q1" s="187" t="s">
        <v>3221</v>
      </c>
    </row>
    <row r="2" spans="1:22" ht="39.75" customHeight="1">
      <c r="A2" s="313" t="s">
        <v>3222</v>
      </c>
      <c r="B2" s="343" t="s">
        <v>3223</v>
      </c>
      <c r="C2" s="343" t="s">
        <v>3224</v>
      </c>
      <c r="D2" s="343" t="s">
        <v>3225</v>
      </c>
      <c r="E2" s="343" t="s">
        <v>3226</v>
      </c>
      <c r="F2" s="344" t="s">
        <v>3107</v>
      </c>
      <c r="Q2" s="313" t="s">
        <v>3222</v>
      </c>
      <c r="R2" s="345" t="s">
        <v>3223</v>
      </c>
      <c r="S2" s="345" t="s">
        <v>3224</v>
      </c>
      <c r="T2" s="345" t="s">
        <v>3225</v>
      </c>
      <c r="U2" s="345" t="s">
        <v>3226</v>
      </c>
      <c r="V2" s="346" t="s">
        <v>3107</v>
      </c>
    </row>
    <row r="3" spans="1:22" ht="15.75" thickBot="1">
      <c r="A3" s="347">
        <v>3.5000000000000003E-2</v>
      </c>
      <c r="B3" s="348">
        <v>5.6</v>
      </c>
      <c r="C3" s="348">
        <v>6.2</v>
      </c>
      <c r="D3" s="348">
        <v>6.8</v>
      </c>
      <c r="E3" s="348">
        <v>7.5</v>
      </c>
      <c r="F3" s="349">
        <v>8.3000000000000007</v>
      </c>
      <c r="I3" s="187" t="s">
        <v>3213</v>
      </c>
      <c r="J3" s="187">
        <f ca="1">INDIRECT(I3 &amp; "[Вибираема маса]")</f>
        <v>3.5000000000000003E-2</v>
      </c>
      <c r="L3" s="205"/>
      <c r="Q3" s="350">
        <v>3.5000000000000003E-2</v>
      </c>
      <c r="R3" s="351">
        <v>6.7</v>
      </c>
      <c r="S3" s="351">
        <v>7.4</v>
      </c>
      <c r="T3" s="351">
        <v>8.1</v>
      </c>
      <c r="U3" s="319">
        <v>8.9</v>
      </c>
      <c r="V3" s="320">
        <v>9.8000000000000007</v>
      </c>
    </row>
    <row r="4" spans="1:22" ht="15">
      <c r="A4" s="347">
        <v>0.04</v>
      </c>
      <c r="B4" s="348">
        <v>6.2</v>
      </c>
      <c r="C4" s="348">
        <v>6.8</v>
      </c>
      <c r="D4" s="348">
        <v>7.5</v>
      </c>
      <c r="E4" s="348">
        <v>8.3000000000000007</v>
      </c>
      <c r="F4" s="349">
        <v>9.1</v>
      </c>
      <c r="H4" s="324" t="s">
        <v>3221</v>
      </c>
      <c r="I4" s="325">
        <v>0.04</v>
      </c>
      <c r="J4" s="187" t="e">
        <v>#VALUE!</v>
      </c>
      <c r="K4" s="187">
        <f ca="1">nearmax(I4,INDIRECT(I3 &amp; "[Вибираема маса]"))</f>
        <v>0.04</v>
      </c>
      <c r="L4" s="205"/>
      <c r="Q4" s="352">
        <v>0.04</v>
      </c>
      <c r="R4" s="351">
        <v>7.6</v>
      </c>
      <c r="S4" s="351">
        <v>8.4</v>
      </c>
      <c r="T4" s="351">
        <v>9.1999999999999993</v>
      </c>
      <c r="U4" s="319">
        <v>10.1</v>
      </c>
      <c r="V4" s="320">
        <v>11.1</v>
      </c>
    </row>
    <row r="5" spans="1:22" ht="15.75" thickBot="1">
      <c r="A5" s="347">
        <v>4.4999999999999998E-2</v>
      </c>
      <c r="B5" s="348">
        <v>6.8</v>
      </c>
      <c r="C5" s="348">
        <v>7.5</v>
      </c>
      <c r="D5" s="348">
        <v>8.3000000000000007</v>
      </c>
      <c r="E5" s="348">
        <v>9.1</v>
      </c>
      <c r="F5" s="349">
        <v>10</v>
      </c>
      <c r="H5" s="326" t="s">
        <v>3222</v>
      </c>
      <c r="I5" s="327">
        <v>9</v>
      </c>
      <c r="J5" s="187">
        <f>nearmax(I5,RDNAME)</f>
        <v>10</v>
      </c>
      <c r="K5" s="187">
        <f>nearmax(I5,RDNAME)</f>
        <v>10</v>
      </c>
      <c r="L5" s="205"/>
      <c r="Q5" s="352">
        <v>4.4999999999999998E-2</v>
      </c>
      <c r="R5" s="351">
        <v>8.3000000000000007</v>
      </c>
      <c r="S5" s="351">
        <v>9.1</v>
      </c>
      <c r="T5" s="351">
        <v>10</v>
      </c>
      <c r="U5" s="319">
        <v>11</v>
      </c>
      <c r="V5" s="320">
        <v>12.1</v>
      </c>
    </row>
    <row r="6" spans="1:22" ht="15">
      <c r="A6" s="347">
        <v>0.05</v>
      </c>
      <c r="B6" s="348">
        <v>7.7</v>
      </c>
      <c r="C6" s="348">
        <v>8.5</v>
      </c>
      <c r="D6" s="348">
        <v>9.4</v>
      </c>
      <c r="E6" s="348">
        <v>10.3</v>
      </c>
      <c r="F6" s="349">
        <v>11.3</v>
      </c>
      <c r="J6" s="187" t="e">
        <v>#VALUE!</v>
      </c>
      <c r="K6" s="187">
        <f ca="1">MATCH(nearmax(I4,INDIRECT(I3 &amp; "[Вибираема маса]")),INDIRECT(I3 &amp; "[Вибираема маса]"),0)</f>
        <v>2</v>
      </c>
      <c r="L6" s="205"/>
      <c r="Q6" s="352">
        <v>0.05</v>
      </c>
      <c r="R6" s="351">
        <v>9.3000000000000007</v>
      </c>
      <c r="S6" s="351">
        <v>10.199999999999999</v>
      </c>
      <c r="T6" s="351">
        <v>11.2</v>
      </c>
      <c r="U6" s="319">
        <v>12.3</v>
      </c>
      <c r="V6" s="320">
        <v>13.5</v>
      </c>
    </row>
    <row r="7" spans="1:22" ht="15">
      <c r="A7" s="347">
        <v>5.5E-2</v>
      </c>
      <c r="B7" s="348">
        <v>8.5</v>
      </c>
      <c r="C7" s="348">
        <v>9.4</v>
      </c>
      <c r="D7" s="348">
        <v>10.3</v>
      </c>
      <c r="E7" s="348">
        <v>11.3</v>
      </c>
      <c r="F7" s="349">
        <v>12.4</v>
      </c>
      <c r="J7" s="187">
        <f>MATCH(nearmax(I5,RDNAME),RDNAME,0)+1</f>
        <v>3</v>
      </c>
      <c r="K7" s="187">
        <f>MATCH(nearmax(J5,RDNAME),RDNAME,0)+1</f>
        <v>3</v>
      </c>
      <c r="L7" s="205"/>
      <c r="Q7" s="352">
        <v>5.5E-2</v>
      </c>
      <c r="R7" s="351">
        <v>10.199999999999999</v>
      </c>
      <c r="S7" s="351">
        <v>11.2</v>
      </c>
      <c r="T7" s="351">
        <v>12.3</v>
      </c>
      <c r="U7" s="319">
        <v>13.5</v>
      </c>
      <c r="V7" s="320">
        <v>14.9</v>
      </c>
    </row>
    <row r="8" spans="1:22" ht="15">
      <c r="A8" s="353">
        <v>0.06</v>
      </c>
      <c r="B8" s="348">
        <v>9.1999999999999993</v>
      </c>
      <c r="C8" s="348">
        <v>10.1</v>
      </c>
      <c r="D8" s="348">
        <v>11.1</v>
      </c>
      <c r="E8" s="348">
        <v>12.2</v>
      </c>
      <c r="F8" s="349">
        <v>13.4</v>
      </c>
      <c r="J8" s="328" t="e">
        <v>#REF!</v>
      </c>
      <c r="K8" s="328" t="e">
        <f ca="1">INDEX(INDIRECT(IF(I11="Твердолистяні породи",K13&amp;"_ТП",K13&amp;"_ХМ")),MATCH(nearmax(I4,INDIRECT(IF(I11="Твердолистяні породи",K13&amp;"_ТП",K13&amp;"_ХМ") &amp; "[Вибираема маса]")),INDIRECT(IF(I11="Твердолистяні породи",K13&amp;"_ТП",K13&amp;"_ХМ") &amp; "[Вибираема маса]"),0),MATCH(nearmax(nearmax(I5,RDNAME),RDNAME),RDNAME,0)+1)</f>
        <v>#REF!</v>
      </c>
      <c r="L8" s="205"/>
      <c r="Q8" s="352">
        <v>0.06</v>
      </c>
      <c r="R8" s="351">
        <v>11</v>
      </c>
      <c r="S8" s="351">
        <v>12.1</v>
      </c>
      <c r="T8" s="351">
        <v>13.3</v>
      </c>
      <c r="U8" s="319">
        <v>14.6</v>
      </c>
      <c r="V8" s="320">
        <v>16.100000000000001</v>
      </c>
    </row>
    <row r="9" spans="1:22" ht="15">
      <c r="A9" s="347">
        <v>6.5000000000000002E-2</v>
      </c>
      <c r="B9" s="348">
        <v>9.8000000000000007</v>
      </c>
      <c r="C9" s="348">
        <v>10.8</v>
      </c>
      <c r="D9" s="348">
        <v>11.9</v>
      </c>
      <c r="E9" s="348">
        <v>13.1</v>
      </c>
      <c r="F9" s="354">
        <v>14.4</v>
      </c>
      <c r="L9" s="205"/>
      <c r="Q9" s="352">
        <v>6.5000000000000002E-2</v>
      </c>
      <c r="R9" s="351">
        <v>11.7</v>
      </c>
      <c r="S9" s="351">
        <v>12.9</v>
      </c>
      <c r="T9" s="351">
        <v>14.2</v>
      </c>
      <c r="U9" s="319">
        <v>15.6</v>
      </c>
      <c r="V9" s="320" t="s">
        <v>3228</v>
      </c>
    </row>
    <row r="10" spans="1:22" ht="15">
      <c r="A10" s="347">
        <v>7.0000000000000007E-2</v>
      </c>
      <c r="B10" s="348">
        <v>10.5</v>
      </c>
      <c r="C10" s="348">
        <v>11.6</v>
      </c>
      <c r="D10" s="348">
        <v>12.8</v>
      </c>
      <c r="E10" s="348">
        <v>14.1</v>
      </c>
      <c r="F10" s="349">
        <v>15.5</v>
      </c>
      <c r="I10" s="39" t="s">
        <v>71</v>
      </c>
      <c r="L10" s="205"/>
      <c r="Q10" s="352">
        <v>7.0000000000000007E-2</v>
      </c>
      <c r="R10" s="351">
        <v>12.7</v>
      </c>
      <c r="S10" s="351">
        <v>14</v>
      </c>
      <c r="T10" s="351">
        <v>15.4</v>
      </c>
      <c r="U10" s="319">
        <v>16.899999999999999</v>
      </c>
      <c r="V10" s="320">
        <v>18.600000000000001</v>
      </c>
    </row>
    <row r="11" spans="1:22" ht="15">
      <c r="A11" s="347">
        <v>0.08</v>
      </c>
      <c r="B11" s="348">
        <v>11.7</v>
      </c>
      <c r="C11" s="348">
        <v>12.9</v>
      </c>
      <c r="D11" s="348">
        <v>14.2</v>
      </c>
      <c r="E11" s="348">
        <v>15.6</v>
      </c>
      <c r="F11" s="349">
        <v>17.2</v>
      </c>
      <c r="I11" s="39" t="s">
        <v>71</v>
      </c>
      <c r="J11" s="187" t="str">
        <f>IF(I11="Твердолистяні породи",K13&amp;"_ТП",K13&amp;"_ХМ")</f>
        <v>РХ_ХМ</v>
      </c>
      <c r="L11" s="205"/>
      <c r="Q11" s="352">
        <v>0.08</v>
      </c>
      <c r="R11" s="351">
        <v>14.2</v>
      </c>
      <c r="S11" s="351">
        <v>15.6</v>
      </c>
      <c r="T11" s="351">
        <v>17.2</v>
      </c>
      <c r="U11" s="319">
        <v>18.899999999999999</v>
      </c>
      <c r="V11" s="320">
        <v>20.8</v>
      </c>
    </row>
    <row r="12" spans="1:22" ht="15.75" thickBot="1">
      <c r="A12" s="347">
        <v>0.09</v>
      </c>
      <c r="B12" s="348">
        <v>12.8</v>
      </c>
      <c r="C12" s="348">
        <v>14.1</v>
      </c>
      <c r="D12" s="348">
        <v>15.5</v>
      </c>
      <c r="E12" s="348">
        <v>17.100000000000001</v>
      </c>
      <c r="F12" s="349">
        <v>18.8</v>
      </c>
      <c r="L12" s="205"/>
      <c r="Q12" s="352">
        <v>0.09</v>
      </c>
      <c r="R12" s="351">
        <v>15.5</v>
      </c>
      <c r="S12" s="351">
        <v>17.100000000000001</v>
      </c>
      <c r="T12" s="351">
        <v>18.8</v>
      </c>
      <c r="U12" s="319">
        <v>20.7</v>
      </c>
      <c r="V12" s="320">
        <v>22.8</v>
      </c>
    </row>
    <row r="13" spans="1:22" ht="15.75" thickBot="1">
      <c r="A13" s="347">
        <v>0.1</v>
      </c>
      <c r="B13" s="348">
        <v>14.2</v>
      </c>
      <c r="C13" s="348">
        <v>15.6</v>
      </c>
      <c r="D13" s="348">
        <v>17.2</v>
      </c>
      <c r="E13" s="348">
        <v>18.899999999999999</v>
      </c>
      <c r="F13" s="349">
        <v>20.8</v>
      </c>
      <c r="H13" s="329" t="s">
        <v>2240</v>
      </c>
      <c r="I13" s="330" t="s">
        <v>72</v>
      </c>
      <c r="J13" s="331">
        <f ca="1">INDEX(INDIRECT(IF(I13="Твердолистяні породи",K13&amp;"_ТП"&amp;L13,K13&amp;"_ХМ"&amp;L13)),MATCH(nearmax(I4,INDIRECT(IF(I13="Твердолистяні породи",K13&amp;"_ТП"&amp;L13,K13&amp;"_ХМ"&amp;L13) &amp; "[Вибираема маса]")),INDIRECT(IF(I13="Твердолистяні породи",K13&amp;"_ТП"&amp;L13,K13&amp;"_ХМ"&amp;L13) &amp; "[Вибираема маса]"),0),MATCH(nearmax(nearmax(I5,RDNAME),RDNAME),RDNAME,0)+1)</f>
        <v>6.8</v>
      </c>
      <c r="K13" s="332" t="s">
        <v>3229</v>
      </c>
      <c r="L13" s="333" t="s">
        <v>3230</v>
      </c>
      <c r="Q13" s="352">
        <v>0.1</v>
      </c>
      <c r="R13" s="351">
        <v>17.100000000000001</v>
      </c>
      <c r="S13" s="351">
        <v>18.8</v>
      </c>
      <c r="T13" s="351">
        <v>20.7</v>
      </c>
      <c r="U13" s="319">
        <v>22.8</v>
      </c>
      <c r="V13" s="320">
        <v>25.1</v>
      </c>
    </row>
    <row r="14" spans="1:22" ht="15">
      <c r="A14" s="347">
        <v>0.12</v>
      </c>
      <c r="B14" s="348">
        <v>16.3</v>
      </c>
      <c r="C14" s="348">
        <v>17.899999999999999</v>
      </c>
      <c r="D14" s="348">
        <v>19.7</v>
      </c>
      <c r="E14" s="348">
        <v>21.7</v>
      </c>
      <c r="F14" s="349">
        <v>23.9</v>
      </c>
      <c r="Q14" s="352">
        <v>0.12</v>
      </c>
      <c r="R14" s="351">
        <v>19.600000000000001</v>
      </c>
      <c r="S14" s="351">
        <v>21.6</v>
      </c>
      <c r="T14" s="351">
        <v>23.8</v>
      </c>
      <c r="U14" s="319">
        <v>26.2</v>
      </c>
      <c r="V14" s="320">
        <v>28.8</v>
      </c>
    </row>
    <row r="15" spans="1:22" ht="15">
      <c r="A15" s="347">
        <v>0.14000000000000001</v>
      </c>
      <c r="B15" s="348">
        <v>18.3</v>
      </c>
      <c r="C15" s="348">
        <v>20.100000000000001</v>
      </c>
      <c r="D15" s="348">
        <v>22.1</v>
      </c>
      <c r="E15" s="348">
        <v>24.3</v>
      </c>
      <c r="F15" s="349">
        <v>26.7</v>
      </c>
      <c r="Q15" s="352">
        <v>0.14000000000000001</v>
      </c>
      <c r="R15" s="351">
        <v>22.1</v>
      </c>
      <c r="S15" s="351">
        <v>24.3</v>
      </c>
      <c r="T15" s="351">
        <v>26.7</v>
      </c>
      <c r="U15" s="319">
        <v>29.4</v>
      </c>
      <c r="V15" s="320">
        <v>32.299999999999997</v>
      </c>
    </row>
    <row r="16" spans="1:22" ht="15">
      <c r="A16" s="347">
        <v>0.16</v>
      </c>
      <c r="B16" s="348">
        <v>19.899999999999999</v>
      </c>
      <c r="C16" s="348">
        <v>21.9</v>
      </c>
      <c r="D16" s="348">
        <v>24.1</v>
      </c>
      <c r="E16" s="348">
        <v>26.5</v>
      </c>
      <c r="F16" s="349">
        <v>29.2</v>
      </c>
      <c r="Q16" s="352">
        <v>0.16</v>
      </c>
      <c r="R16" s="351">
        <v>23.9</v>
      </c>
      <c r="S16" s="351">
        <v>26.3</v>
      </c>
      <c r="T16" s="351">
        <v>28.9</v>
      </c>
      <c r="U16" s="319">
        <v>31.8</v>
      </c>
      <c r="V16" s="320">
        <v>35</v>
      </c>
    </row>
    <row r="17" spans="1:22" ht="15">
      <c r="A17" s="347">
        <v>0.19</v>
      </c>
      <c r="B17" s="348">
        <v>21.4</v>
      </c>
      <c r="C17" s="348">
        <v>23.5</v>
      </c>
      <c r="D17" s="348">
        <v>25.9</v>
      </c>
      <c r="E17" s="348">
        <v>28.5</v>
      </c>
      <c r="F17" s="349">
        <v>31.4</v>
      </c>
      <c r="Q17" s="352">
        <v>0.19</v>
      </c>
      <c r="R17" s="351">
        <v>25.7</v>
      </c>
      <c r="S17" s="351">
        <v>28.3</v>
      </c>
      <c r="T17" s="351">
        <v>31.1</v>
      </c>
      <c r="U17" s="319">
        <v>34.200000000000003</v>
      </c>
      <c r="V17" s="320">
        <v>37.6</v>
      </c>
    </row>
    <row r="18" spans="1:22" ht="15">
      <c r="A18" s="347">
        <v>0.23</v>
      </c>
      <c r="B18" s="348">
        <v>22.9</v>
      </c>
      <c r="C18" s="348">
        <v>25.2</v>
      </c>
      <c r="D18" s="348">
        <v>27.7</v>
      </c>
      <c r="E18" s="348">
        <v>30.5</v>
      </c>
      <c r="F18" s="349">
        <v>33.6</v>
      </c>
      <c r="Q18" s="352">
        <v>0.23</v>
      </c>
      <c r="R18" s="351">
        <v>27.6</v>
      </c>
      <c r="S18" s="351">
        <v>30.4</v>
      </c>
      <c r="T18" s="351">
        <v>33.4</v>
      </c>
      <c r="U18" s="319">
        <v>36.700000000000003</v>
      </c>
      <c r="V18" s="320">
        <v>40.4</v>
      </c>
    </row>
    <row r="19" spans="1:22" ht="15">
      <c r="A19" s="347">
        <v>0.25</v>
      </c>
      <c r="B19" s="348">
        <v>24.6</v>
      </c>
      <c r="C19" s="348">
        <v>27.1</v>
      </c>
      <c r="D19" s="348">
        <v>29.8</v>
      </c>
      <c r="E19" s="348">
        <v>32.799999999999997</v>
      </c>
      <c r="F19" s="349">
        <v>36.1</v>
      </c>
      <c r="Q19" s="352">
        <v>0.25</v>
      </c>
      <c r="R19" s="351">
        <v>29.6</v>
      </c>
      <c r="S19" s="351">
        <v>32.6</v>
      </c>
      <c r="T19" s="351">
        <v>35.9</v>
      </c>
      <c r="U19" s="319">
        <v>39.5</v>
      </c>
      <c r="V19" s="320">
        <v>43.5</v>
      </c>
    </row>
    <row r="20" spans="1:22" ht="15">
      <c r="A20" s="347">
        <v>0.28999999999999998</v>
      </c>
      <c r="B20" s="348">
        <v>26.6</v>
      </c>
      <c r="C20" s="348">
        <v>29.3</v>
      </c>
      <c r="D20" s="348">
        <v>32.200000000000003</v>
      </c>
      <c r="E20" s="348">
        <v>35.4</v>
      </c>
      <c r="F20" s="349">
        <v>38.9</v>
      </c>
      <c r="Q20" s="352">
        <v>0.28999999999999998</v>
      </c>
      <c r="R20" s="351">
        <v>32.1</v>
      </c>
      <c r="S20" s="351">
        <v>35.299999999999997</v>
      </c>
      <c r="T20" s="351">
        <v>38.799999999999997</v>
      </c>
      <c r="U20" s="319">
        <v>42.7</v>
      </c>
      <c r="V20" s="320">
        <v>47</v>
      </c>
    </row>
    <row r="21" spans="1:22" ht="15">
      <c r="A21" s="347">
        <v>0.35</v>
      </c>
      <c r="B21" s="348">
        <v>28.7</v>
      </c>
      <c r="C21" s="348">
        <v>31.6</v>
      </c>
      <c r="D21" s="348">
        <v>34.799999999999997</v>
      </c>
      <c r="E21" s="348">
        <v>38.299999999999997</v>
      </c>
      <c r="F21" s="349">
        <v>42.1</v>
      </c>
      <c r="Q21" s="352">
        <v>0.35</v>
      </c>
      <c r="R21" s="351">
        <v>34.5</v>
      </c>
      <c r="S21" s="351">
        <v>38</v>
      </c>
      <c r="T21" s="351">
        <v>41.8</v>
      </c>
      <c r="U21" s="319">
        <v>46</v>
      </c>
      <c r="V21" s="320">
        <v>50.6</v>
      </c>
    </row>
    <row r="22" spans="1:22" ht="15">
      <c r="A22" s="347">
        <v>0.41</v>
      </c>
      <c r="B22" s="348">
        <v>30.9</v>
      </c>
      <c r="C22" s="348">
        <v>34</v>
      </c>
      <c r="D22" s="348">
        <v>37.4</v>
      </c>
      <c r="E22" s="348">
        <v>41.1</v>
      </c>
      <c r="F22" s="349">
        <v>45.2</v>
      </c>
      <c r="Q22" s="352">
        <v>0.41</v>
      </c>
      <c r="R22" s="351">
        <v>37.200000000000003</v>
      </c>
      <c r="S22" s="351">
        <v>40.9</v>
      </c>
      <c r="T22" s="351">
        <v>45</v>
      </c>
      <c r="U22" s="319">
        <v>49.5</v>
      </c>
      <c r="V22" s="320">
        <v>54.5</v>
      </c>
    </row>
    <row r="23" spans="1:22" ht="15">
      <c r="A23" s="347">
        <v>0.5</v>
      </c>
      <c r="B23" s="348">
        <v>33.200000000000003</v>
      </c>
      <c r="C23" s="348">
        <v>36.5</v>
      </c>
      <c r="D23" s="348">
        <v>40.200000000000003</v>
      </c>
      <c r="E23" s="348">
        <v>44.2</v>
      </c>
      <c r="F23" s="349">
        <v>48.6</v>
      </c>
      <c r="Q23" s="352">
        <v>0.5</v>
      </c>
      <c r="R23" s="351">
        <v>40</v>
      </c>
      <c r="S23" s="351">
        <v>44</v>
      </c>
      <c r="T23" s="351">
        <v>48.4</v>
      </c>
      <c r="U23" s="319">
        <v>53.2</v>
      </c>
      <c r="V23" s="320">
        <v>58.5</v>
      </c>
    </row>
    <row r="24" spans="1:22" ht="15">
      <c r="A24" s="347">
        <v>0.62</v>
      </c>
      <c r="B24" s="348">
        <v>35.6</v>
      </c>
      <c r="C24" s="348">
        <v>39.200000000000003</v>
      </c>
      <c r="D24" s="348">
        <v>43.1</v>
      </c>
      <c r="E24" s="348">
        <v>47.4</v>
      </c>
      <c r="F24" s="349">
        <v>52.1</v>
      </c>
      <c r="Q24" s="352">
        <v>0.62</v>
      </c>
      <c r="R24" s="351">
        <v>42.9</v>
      </c>
      <c r="S24" s="351">
        <v>47.2</v>
      </c>
      <c r="T24" s="351">
        <v>51.9</v>
      </c>
      <c r="U24" s="319">
        <v>57.1</v>
      </c>
      <c r="V24" s="320">
        <v>62.8</v>
      </c>
    </row>
    <row r="25" spans="1:22" ht="15">
      <c r="A25" s="347">
        <v>0.78</v>
      </c>
      <c r="B25" s="348">
        <v>38.299999999999997</v>
      </c>
      <c r="C25" s="348">
        <v>42.1</v>
      </c>
      <c r="D25" s="348">
        <v>46.3</v>
      </c>
      <c r="E25" s="348">
        <v>50.9</v>
      </c>
      <c r="F25" s="349">
        <v>56</v>
      </c>
      <c r="Q25" s="352">
        <v>0.78</v>
      </c>
      <c r="R25" s="351">
        <v>46.1</v>
      </c>
      <c r="S25" s="351">
        <v>50.7</v>
      </c>
      <c r="T25" s="351">
        <v>55.8</v>
      </c>
      <c r="U25" s="319">
        <v>61.4</v>
      </c>
      <c r="V25" s="320">
        <v>67.5</v>
      </c>
    </row>
    <row r="26" spans="1:22" ht="15">
      <c r="A26" s="347">
        <v>0.98</v>
      </c>
      <c r="B26" s="348">
        <v>41.4</v>
      </c>
      <c r="C26" s="348">
        <v>45.5</v>
      </c>
      <c r="D26" s="348">
        <v>50.1</v>
      </c>
      <c r="E26" s="348">
        <v>55.1</v>
      </c>
      <c r="F26" s="349">
        <v>60.6</v>
      </c>
      <c r="Q26" s="352">
        <v>0.98</v>
      </c>
      <c r="R26" s="351">
        <v>49.8</v>
      </c>
      <c r="S26" s="351">
        <v>54.8</v>
      </c>
      <c r="T26" s="351">
        <v>60.3</v>
      </c>
      <c r="U26" s="319">
        <v>66.3</v>
      </c>
      <c r="V26" s="320">
        <v>72.900000000000006</v>
      </c>
    </row>
    <row r="27" spans="1:22" ht="15">
      <c r="A27" s="355">
        <v>1.5</v>
      </c>
      <c r="B27" s="356">
        <v>44.4</v>
      </c>
      <c r="C27" s="356">
        <v>48.8</v>
      </c>
      <c r="D27" s="356">
        <v>53.7</v>
      </c>
      <c r="E27" s="356">
        <v>59.1</v>
      </c>
      <c r="F27" s="357">
        <v>65</v>
      </c>
      <c r="Q27" s="352">
        <v>1.5</v>
      </c>
      <c r="R27" s="351">
        <v>53.4</v>
      </c>
      <c r="S27" s="351">
        <v>58.7</v>
      </c>
      <c r="T27" s="351">
        <v>64.599999999999994</v>
      </c>
      <c r="U27" s="319">
        <v>71.099999999999994</v>
      </c>
      <c r="V27" s="320">
        <v>78.2</v>
      </c>
    </row>
    <row r="28" spans="1:22" ht="15">
      <c r="A28" s="358">
        <v>1000</v>
      </c>
      <c r="B28" s="348">
        <v>44.4</v>
      </c>
      <c r="C28" s="348">
        <v>48.8</v>
      </c>
      <c r="D28" s="348">
        <v>53.7</v>
      </c>
      <c r="E28" s="348">
        <v>59.1</v>
      </c>
      <c r="F28" s="348">
        <v>65</v>
      </c>
      <c r="Q28" s="359">
        <v>1000</v>
      </c>
      <c r="R28" s="360">
        <v>53.4</v>
      </c>
      <c r="S28" s="360">
        <v>58.7</v>
      </c>
      <c r="T28" s="360">
        <v>64.599999999999994</v>
      </c>
      <c r="U28" s="336">
        <v>71.099999999999994</v>
      </c>
      <c r="V28" s="337">
        <v>78.2</v>
      </c>
    </row>
  </sheetData>
  <pageMargins left="0.75" right="0.75" top="1" bottom="1" header="0.5" footer="0.5"/>
  <headerFooter alignWithMargins="0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3">
    <tabColor indexed="15"/>
  </sheetPr>
  <dimension ref="A1:R54"/>
  <sheetViews>
    <sheetView topLeftCell="A49" workbookViewId="0">
      <selection activeCell="H1" sqref="H1"/>
    </sheetView>
  </sheetViews>
  <sheetFormatPr defaultRowHeight="12.75"/>
  <cols>
    <col min="1" max="1" width="36.42578125" style="187" customWidth="1"/>
    <col min="2" max="5" width="9.140625" style="187"/>
    <col min="6" max="6" width="9.5703125" style="187" bestFit="1" customWidth="1"/>
    <col min="7" max="7" width="9.140625" style="187"/>
    <col min="8" max="8" width="47.7109375" style="187" customWidth="1"/>
    <col min="9" max="12" width="9.140625" style="187"/>
    <col min="13" max="13" width="37.42578125" style="187" customWidth="1"/>
    <col min="14" max="16384" width="9.140625" style="187"/>
  </cols>
  <sheetData>
    <row r="1" spans="1:18" ht="15.75">
      <c r="B1" s="311">
        <v>8</v>
      </c>
      <c r="C1" s="311">
        <v>10</v>
      </c>
      <c r="D1" s="311">
        <v>14</v>
      </c>
      <c r="E1" s="311">
        <v>24</v>
      </c>
      <c r="F1" s="311">
        <v>1000</v>
      </c>
    </row>
    <row r="2" spans="1:18" ht="15.75">
      <c r="B2" s="312"/>
      <c r="C2" s="312"/>
      <c r="D2" s="312"/>
      <c r="E2" s="312"/>
      <c r="F2" s="312"/>
    </row>
    <row r="3" spans="1:18" ht="15.75">
      <c r="B3" s="312"/>
      <c r="C3" s="312"/>
      <c r="D3" s="312"/>
      <c r="E3" s="312"/>
      <c r="F3" s="312"/>
    </row>
    <row r="4" spans="1:18">
      <c r="A4" s="187" t="s">
        <v>3221</v>
      </c>
      <c r="M4" s="187" t="s">
        <v>3221</v>
      </c>
    </row>
    <row r="5" spans="1:18" ht="24.75" customHeight="1">
      <c r="A5" s="313" t="s">
        <v>3222</v>
      </c>
      <c r="B5" s="314" t="s">
        <v>3223</v>
      </c>
      <c r="C5" s="314" t="s">
        <v>3224</v>
      </c>
      <c r="D5" s="314" t="s">
        <v>3225</v>
      </c>
      <c r="E5" s="314" t="s">
        <v>3226</v>
      </c>
      <c r="F5" s="315" t="s">
        <v>3107</v>
      </c>
      <c r="M5" s="313" t="s">
        <v>3222</v>
      </c>
      <c r="N5" s="316" t="s">
        <v>3223</v>
      </c>
      <c r="O5" s="316" t="s">
        <v>3224</v>
      </c>
      <c r="P5" s="316" t="s">
        <v>3225</v>
      </c>
      <c r="Q5" s="316" t="s">
        <v>3226</v>
      </c>
      <c r="R5" s="317" t="s">
        <v>3107</v>
      </c>
    </row>
    <row r="6" spans="1:18" ht="16.5" customHeight="1" thickBot="1">
      <c r="A6" s="318">
        <v>0.05</v>
      </c>
      <c r="B6" s="319">
        <v>4.9000000000000004</v>
      </c>
      <c r="C6" s="319">
        <v>5.4</v>
      </c>
      <c r="D6" s="319">
        <v>5.9</v>
      </c>
      <c r="E6" s="319">
        <v>6.5</v>
      </c>
      <c r="F6" s="320">
        <v>7.2</v>
      </c>
      <c r="I6" s="187" t="s">
        <v>3213</v>
      </c>
      <c r="J6" s="187">
        <f ca="1">INDIRECT(I6 &amp; "[Вибираема маса]")</f>
        <v>0.05</v>
      </c>
      <c r="L6" s="205"/>
      <c r="M6" s="318">
        <v>0.05</v>
      </c>
      <c r="N6" s="321">
        <v>7.3</v>
      </c>
      <c r="O6" s="322">
        <v>8</v>
      </c>
      <c r="P6" s="321">
        <v>8.8000000000000007</v>
      </c>
      <c r="Q6" s="321">
        <v>9.6999999999999993</v>
      </c>
      <c r="R6" s="323">
        <v>10.7</v>
      </c>
    </row>
    <row r="7" spans="1:18" ht="15">
      <c r="A7" s="318">
        <v>5.5E-2</v>
      </c>
      <c r="B7" s="319">
        <v>5.4</v>
      </c>
      <c r="C7" s="319">
        <v>5.9</v>
      </c>
      <c r="D7" s="319">
        <v>6.5</v>
      </c>
      <c r="E7" s="319">
        <v>7.2</v>
      </c>
      <c r="F7" s="320">
        <v>7.9</v>
      </c>
      <c r="H7" s="324" t="s">
        <v>3221</v>
      </c>
      <c r="I7" s="325">
        <v>0.04</v>
      </c>
      <c r="J7" s="187" t="e">
        <v>#VALUE!</v>
      </c>
      <c r="K7" s="187">
        <f ca="1">nearmax(I7,INDIRECT(I6 &amp; "[Вибираема маса]"))</f>
        <v>0.04</v>
      </c>
      <c r="L7" s="205"/>
      <c r="M7" s="318">
        <v>5.5E-2</v>
      </c>
      <c r="N7" s="321">
        <v>8.1</v>
      </c>
      <c r="O7" s="322">
        <v>8.9</v>
      </c>
      <c r="P7" s="321">
        <v>9.8000000000000007</v>
      </c>
      <c r="Q7" s="321">
        <v>10.8</v>
      </c>
      <c r="R7" s="323">
        <v>11.9</v>
      </c>
    </row>
    <row r="8" spans="1:18" ht="15.75" thickBot="1">
      <c r="A8" s="318">
        <v>0.06</v>
      </c>
      <c r="B8" s="319">
        <v>6</v>
      </c>
      <c r="C8" s="319">
        <v>6.6</v>
      </c>
      <c r="D8" s="319">
        <v>7.3</v>
      </c>
      <c r="E8" s="319">
        <v>8</v>
      </c>
      <c r="F8" s="320">
        <v>8.8000000000000007</v>
      </c>
      <c r="H8" s="326" t="s">
        <v>3222</v>
      </c>
      <c r="I8" s="327">
        <v>9</v>
      </c>
      <c r="J8" s="187">
        <f>nearmax(I8,RDNAME)</f>
        <v>10</v>
      </c>
      <c r="K8" s="187">
        <f>nearmax(I8,RDNAME)</f>
        <v>10</v>
      </c>
      <c r="L8" s="205"/>
      <c r="M8" s="318">
        <v>0.06</v>
      </c>
      <c r="N8" s="321">
        <v>9</v>
      </c>
      <c r="O8" s="322">
        <v>9.9</v>
      </c>
      <c r="P8" s="321">
        <v>10.9</v>
      </c>
      <c r="Q8" s="321">
        <v>12</v>
      </c>
      <c r="R8" s="323">
        <v>13.2</v>
      </c>
    </row>
    <row r="9" spans="1:18" ht="15">
      <c r="A9" s="318">
        <v>6.5000000000000002E-2</v>
      </c>
      <c r="B9" s="319">
        <v>6.7</v>
      </c>
      <c r="C9" s="319">
        <v>7.4</v>
      </c>
      <c r="D9" s="319">
        <v>8.1</v>
      </c>
      <c r="E9" s="319">
        <v>8.9</v>
      </c>
      <c r="F9" s="320">
        <v>9.8000000000000007</v>
      </c>
      <c r="J9" s="187" t="e">
        <v>#VALUE!</v>
      </c>
      <c r="K9" s="187">
        <f ca="1">MATCH(nearmax(I7,INDIRECT(I6 &amp; "[Вибираема маса]")),INDIRECT(I6 &amp; "[Вибираема маса]"),0)</f>
        <v>2</v>
      </c>
      <c r="L9" s="205"/>
      <c r="M9" s="318">
        <v>6.5000000000000002E-2</v>
      </c>
      <c r="N9" s="321">
        <v>10</v>
      </c>
      <c r="O9" s="322">
        <v>11</v>
      </c>
      <c r="P9" s="321">
        <v>12.1</v>
      </c>
      <c r="Q9" s="321">
        <v>13.3</v>
      </c>
      <c r="R9" s="323">
        <v>14.5</v>
      </c>
    </row>
    <row r="10" spans="1:18" ht="15">
      <c r="A10" s="318">
        <v>7.0000000000000007E-2</v>
      </c>
      <c r="B10" s="319">
        <v>7.4</v>
      </c>
      <c r="C10" s="319">
        <v>8.1</v>
      </c>
      <c r="D10" s="319">
        <v>8.9</v>
      </c>
      <c r="E10" s="319">
        <v>9.8000000000000007</v>
      </c>
      <c r="F10" s="320">
        <v>10.8</v>
      </c>
      <c r="J10" s="187">
        <f>MATCH(nearmax(I8,RDNAME),RDNAME,0)+1</f>
        <v>3</v>
      </c>
      <c r="K10" s="187">
        <f>MATCH(nearmax(J8,RDNAME),RDNAME,0)+1</f>
        <v>3</v>
      </c>
      <c r="L10" s="205"/>
      <c r="M10" s="318">
        <v>7.0000000000000007E-2</v>
      </c>
      <c r="N10" s="321">
        <v>11.1</v>
      </c>
      <c r="O10" s="322">
        <v>12.2</v>
      </c>
      <c r="P10" s="321">
        <v>13.4</v>
      </c>
      <c r="Q10" s="321">
        <v>14.7</v>
      </c>
      <c r="R10" s="323">
        <v>16.2</v>
      </c>
    </row>
    <row r="11" spans="1:18" ht="15">
      <c r="A11" s="318">
        <v>0.08</v>
      </c>
      <c r="B11" s="319">
        <v>8.1999999999999993</v>
      </c>
      <c r="C11" s="319">
        <v>9</v>
      </c>
      <c r="D11" s="319">
        <v>9.9</v>
      </c>
      <c r="E11" s="319">
        <v>10.9</v>
      </c>
      <c r="F11" s="320">
        <v>12</v>
      </c>
      <c r="J11" s="328" t="e">
        <v>#REF!</v>
      </c>
      <c r="K11" s="328">
        <f ca="1">INDEX(INDIRECT(IF(I14="Твердолистяні породи",K16&amp;"_ТП",K16&amp;"_ХМ")),MATCH(nearmax(I7,INDIRECT(IF(I14="Твердолистяні породи",K16&amp;"_ТП",K16&amp;"_ХМ") &amp; "[Вибираема маса]")),INDIRECT(IF(I14="Твердолистяні породи",K16&amp;"_ТП",K16&amp;"_ХМ") &amp; "[Вибираема маса]"),0),MATCH(nearmax(nearmax(I8,RDNAME),RDNAME),RDNAME,0)+1)</f>
        <v>8</v>
      </c>
      <c r="L11" s="205"/>
      <c r="M11" s="318">
        <v>0.08</v>
      </c>
      <c r="N11" s="321">
        <v>12.3</v>
      </c>
      <c r="O11" s="322">
        <v>13.5</v>
      </c>
      <c r="P11" s="321">
        <v>14.9</v>
      </c>
      <c r="Q11" s="321">
        <v>16.399999999999999</v>
      </c>
      <c r="R11" s="323">
        <v>18</v>
      </c>
    </row>
    <row r="12" spans="1:18" ht="15">
      <c r="A12" s="318">
        <v>0.09</v>
      </c>
      <c r="B12" s="319">
        <v>9.1</v>
      </c>
      <c r="C12" s="319">
        <v>10</v>
      </c>
      <c r="D12" s="319">
        <v>11</v>
      </c>
      <c r="E12" s="319">
        <v>12.1</v>
      </c>
      <c r="F12" s="320">
        <v>13.3</v>
      </c>
      <c r="L12" s="205"/>
      <c r="M12" s="318">
        <v>0.09</v>
      </c>
      <c r="N12" s="321">
        <v>13.6</v>
      </c>
      <c r="O12" s="322">
        <v>15</v>
      </c>
      <c r="P12" s="321">
        <v>16.5</v>
      </c>
      <c r="Q12" s="321">
        <v>18.2</v>
      </c>
      <c r="R12" s="323">
        <v>20</v>
      </c>
    </row>
    <row r="13" spans="1:18" ht="15">
      <c r="A13" s="318">
        <v>0.1</v>
      </c>
      <c r="B13" s="319">
        <v>10.1</v>
      </c>
      <c r="C13" s="319">
        <v>11.1</v>
      </c>
      <c r="D13" s="319">
        <v>12.2</v>
      </c>
      <c r="E13" s="319">
        <v>13.4</v>
      </c>
      <c r="F13" s="320">
        <v>14.7</v>
      </c>
      <c r="I13" s="39" t="s">
        <v>71</v>
      </c>
      <c r="L13" s="205"/>
      <c r="M13" s="318">
        <v>0.1</v>
      </c>
      <c r="N13" s="321">
        <v>15.2</v>
      </c>
      <c r="O13" s="322">
        <v>16.7</v>
      </c>
      <c r="P13" s="321">
        <v>18.399999999999999</v>
      </c>
      <c r="Q13" s="321">
        <v>20.2</v>
      </c>
      <c r="R13" s="323">
        <v>22.2</v>
      </c>
    </row>
    <row r="14" spans="1:18" ht="15">
      <c r="A14" s="318">
        <v>0.12</v>
      </c>
      <c r="B14" s="319">
        <v>11.2</v>
      </c>
      <c r="C14" s="319">
        <v>12.3</v>
      </c>
      <c r="D14" s="319">
        <v>13.5</v>
      </c>
      <c r="E14" s="319">
        <v>14.9</v>
      </c>
      <c r="F14" s="320">
        <v>16.399999999999999</v>
      </c>
      <c r="I14" s="39" t="s">
        <v>71</v>
      </c>
      <c r="J14" s="187" t="str">
        <f>IF(I14="Твердолистяні породи",K16&amp;"_ТП",K16&amp;"_ХМ")</f>
        <v>ЗР_ХМ</v>
      </c>
      <c r="L14" s="205"/>
      <c r="M14" s="318">
        <v>0.12</v>
      </c>
      <c r="N14" s="321">
        <v>16.8</v>
      </c>
      <c r="O14" s="322">
        <v>18.5</v>
      </c>
      <c r="P14" s="321">
        <v>20.399999999999999</v>
      </c>
      <c r="Q14" s="321">
        <v>22.4</v>
      </c>
      <c r="R14" s="323">
        <v>24.6</v>
      </c>
    </row>
    <row r="15" spans="1:18" ht="15.75" thickBot="1">
      <c r="A15" s="318">
        <v>0.14000000000000001</v>
      </c>
      <c r="B15" s="319">
        <v>12.4</v>
      </c>
      <c r="C15" s="319">
        <v>13.6</v>
      </c>
      <c r="D15" s="319">
        <v>15</v>
      </c>
      <c r="E15" s="319">
        <v>16.5</v>
      </c>
      <c r="F15" s="320">
        <v>18.2</v>
      </c>
      <c r="L15" s="205"/>
      <c r="M15" s="318">
        <v>0.14000000000000001</v>
      </c>
      <c r="N15" s="321">
        <v>18.600000000000001</v>
      </c>
      <c r="O15" s="322">
        <v>20.5</v>
      </c>
      <c r="P15" s="321">
        <v>22.5</v>
      </c>
      <c r="Q15" s="321">
        <v>24.8</v>
      </c>
      <c r="R15" s="323">
        <v>27.3</v>
      </c>
    </row>
    <row r="16" spans="1:18" ht="15.75" thickBot="1">
      <c r="A16" s="318">
        <v>0.16</v>
      </c>
      <c r="B16" s="319">
        <v>13.7</v>
      </c>
      <c r="C16" s="319">
        <v>15.1</v>
      </c>
      <c r="D16" s="319">
        <v>16.600000000000001</v>
      </c>
      <c r="E16" s="319">
        <v>18.3</v>
      </c>
      <c r="F16" s="320">
        <v>20.100000000000001</v>
      </c>
      <c r="H16" s="329" t="s">
        <v>2240</v>
      </c>
      <c r="I16" s="330" t="s">
        <v>72</v>
      </c>
      <c r="J16" s="331">
        <f ca="1">INDEX(INDIRECT(IF(I16="Твердолистяні породи",K16&amp;"_ТП"&amp;L16,K16&amp;"_ХМ"&amp;L16)),MATCH(nearmax(I7,INDIRECT(IF(I16="Твердолистяні породи",K16&amp;"_ТП"&amp;L16,K16&amp;"_ХМ"&amp;L16) &amp; "[Вибираема маса]")),INDIRECT(IF(I16="Твердолистяні породи",K16&amp;"_ТП"&amp;L16,K16&amp;"_ХМ"&amp;L16) &amp; "[Вибираема маса]"),0),MATCH(nearmax(nearmax(I8,RDNAME),RDNAME),RDNAME,0)+1)</f>
        <v>5.4</v>
      </c>
      <c r="K16" s="332" t="s">
        <v>3227</v>
      </c>
      <c r="L16" s="333"/>
      <c r="M16" s="318">
        <v>0.16</v>
      </c>
      <c r="N16" s="321">
        <v>20.6</v>
      </c>
      <c r="O16" s="322">
        <v>22.7</v>
      </c>
      <c r="P16" s="321">
        <v>25</v>
      </c>
      <c r="Q16" s="321">
        <v>27.5</v>
      </c>
      <c r="R16" s="323">
        <v>30.3</v>
      </c>
    </row>
    <row r="17" spans="1:18" ht="15">
      <c r="A17" s="318">
        <v>0.19</v>
      </c>
      <c r="B17" s="319">
        <v>15.3</v>
      </c>
      <c r="C17" s="319">
        <v>16.8</v>
      </c>
      <c r="D17" s="319">
        <v>18.5</v>
      </c>
      <c r="E17" s="319">
        <v>20.399999999999999</v>
      </c>
      <c r="F17" s="320">
        <v>22.4</v>
      </c>
      <c r="M17" s="318">
        <v>0.19</v>
      </c>
      <c r="N17" s="321">
        <v>22.9</v>
      </c>
      <c r="O17" s="322">
        <v>25.2</v>
      </c>
      <c r="P17" s="321">
        <v>27.7</v>
      </c>
      <c r="Q17" s="321">
        <v>30.5</v>
      </c>
      <c r="R17" s="323">
        <v>33.6</v>
      </c>
    </row>
    <row r="18" spans="1:18" ht="15">
      <c r="A18" s="318">
        <v>0.22</v>
      </c>
      <c r="B18" s="319">
        <v>17</v>
      </c>
      <c r="C18" s="319">
        <v>18.7</v>
      </c>
      <c r="D18" s="319">
        <v>20.6</v>
      </c>
      <c r="E18" s="319">
        <v>22.7</v>
      </c>
      <c r="F18" s="320">
        <v>25</v>
      </c>
      <c r="M18" s="318">
        <v>0.22</v>
      </c>
      <c r="N18" s="321">
        <v>25.5</v>
      </c>
      <c r="O18" s="322">
        <v>28</v>
      </c>
      <c r="P18" s="321">
        <v>30.8</v>
      </c>
      <c r="Q18" s="321">
        <v>33.9</v>
      </c>
      <c r="R18" s="323">
        <v>37.299999999999997</v>
      </c>
    </row>
    <row r="19" spans="1:18" ht="15">
      <c r="A19" s="318">
        <v>0.25</v>
      </c>
      <c r="B19" s="319">
        <v>18.899999999999999</v>
      </c>
      <c r="C19" s="319">
        <v>20.8</v>
      </c>
      <c r="D19" s="319">
        <v>22.9</v>
      </c>
      <c r="E19" s="319">
        <v>25.2</v>
      </c>
      <c r="F19" s="320">
        <v>27.7</v>
      </c>
      <c r="M19" s="318">
        <v>0.25</v>
      </c>
      <c r="N19" s="321">
        <v>28.3</v>
      </c>
      <c r="O19" s="322">
        <v>31.1</v>
      </c>
      <c r="P19" s="321">
        <v>34.200000000000003</v>
      </c>
      <c r="Q19" s="321">
        <v>37.6</v>
      </c>
      <c r="R19" s="323">
        <v>41.4</v>
      </c>
    </row>
    <row r="20" spans="1:18" ht="15">
      <c r="A20" s="318">
        <v>0.28999999999999998</v>
      </c>
      <c r="B20" s="319">
        <v>20.9</v>
      </c>
      <c r="C20" s="319">
        <v>23</v>
      </c>
      <c r="D20" s="319">
        <v>25.3</v>
      </c>
      <c r="E20" s="319">
        <v>27.8</v>
      </c>
      <c r="F20" s="320">
        <v>30.6</v>
      </c>
      <c r="M20" s="318">
        <v>0.28999999999999998</v>
      </c>
      <c r="N20" s="321">
        <v>31.4</v>
      </c>
      <c r="O20" s="322">
        <v>34.5</v>
      </c>
      <c r="P20" s="321">
        <v>37.9</v>
      </c>
      <c r="Q20" s="321">
        <v>41.7</v>
      </c>
      <c r="R20" s="323">
        <v>45.9</v>
      </c>
    </row>
    <row r="21" spans="1:18" ht="15">
      <c r="A21" s="318">
        <v>0.35</v>
      </c>
      <c r="B21" s="319">
        <v>23.3</v>
      </c>
      <c r="C21" s="319">
        <v>25.6</v>
      </c>
      <c r="D21" s="319">
        <v>28.2</v>
      </c>
      <c r="E21" s="319">
        <v>31</v>
      </c>
      <c r="F21" s="320">
        <v>34.1</v>
      </c>
      <c r="M21" s="318">
        <v>0.35</v>
      </c>
      <c r="N21" s="321">
        <v>34.9</v>
      </c>
      <c r="O21" s="322">
        <v>38.4</v>
      </c>
      <c r="P21" s="321">
        <v>42.2</v>
      </c>
      <c r="Q21" s="321">
        <v>46.4</v>
      </c>
      <c r="R21" s="323">
        <v>51</v>
      </c>
    </row>
    <row r="22" spans="1:18" ht="15">
      <c r="A22" s="318">
        <v>0.41</v>
      </c>
      <c r="B22" s="319">
        <v>25.7</v>
      </c>
      <c r="C22" s="319">
        <v>28.3</v>
      </c>
      <c r="D22" s="319">
        <v>31.1</v>
      </c>
      <c r="E22" s="319">
        <v>34.200000000000003</v>
      </c>
      <c r="F22" s="320">
        <v>37.6</v>
      </c>
      <c r="H22" s="187">
        <f t="array" ref="H22">MIN(IF(RDNAME&gt;=H31,RDNAME))</f>
        <v>10</v>
      </c>
      <c r="M22" s="318">
        <v>0.41</v>
      </c>
      <c r="N22" s="321">
        <v>38.6</v>
      </c>
      <c r="O22" s="322">
        <v>42.5</v>
      </c>
      <c r="P22" s="321">
        <v>46.8</v>
      </c>
      <c r="Q22" s="321">
        <v>51.5</v>
      </c>
      <c r="R22" s="323">
        <v>56.6</v>
      </c>
    </row>
    <row r="23" spans="1:18" ht="15">
      <c r="A23" s="318">
        <v>0.5</v>
      </c>
      <c r="B23" s="319">
        <v>28.6</v>
      </c>
      <c r="C23" s="319">
        <v>31.5</v>
      </c>
      <c r="D23" s="319">
        <v>34.700000000000003</v>
      </c>
      <c r="E23" s="319">
        <v>38.200000000000003</v>
      </c>
      <c r="F23" s="320">
        <v>42</v>
      </c>
      <c r="H23" s="187">
        <f t="array" ref="H23">MATCH(MIN(IF(RDNAME&gt;=H31,RDNAME)),RDNAME,0)+1</f>
        <v>3</v>
      </c>
      <c r="M23" s="318">
        <v>0.5</v>
      </c>
      <c r="N23" s="321">
        <v>42.9</v>
      </c>
      <c r="O23" s="322">
        <v>47.2</v>
      </c>
      <c r="P23" s="321">
        <v>51.9</v>
      </c>
      <c r="Q23" s="321">
        <v>57.1</v>
      </c>
      <c r="R23" s="323">
        <v>62.8</v>
      </c>
    </row>
    <row r="24" spans="1:18" ht="15">
      <c r="A24" s="318">
        <v>0.62</v>
      </c>
      <c r="B24" s="319">
        <v>31.7</v>
      </c>
      <c r="C24" s="319">
        <v>34.9</v>
      </c>
      <c r="D24" s="319">
        <v>38.4</v>
      </c>
      <c r="E24" s="319">
        <v>42.2</v>
      </c>
      <c r="F24" s="320">
        <v>46.4</v>
      </c>
      <c r="H24" s="187">
        <f t="array" ref="H24">MATCH(MIN(IF(ЗР_ТП[Вибираема маса]&gt;=H30,ЗР_ТП[Вибираема маса])),ЗР_ТП[Вибираема маса],0)</f>
        <v>19</v>
      </c>
      <c r="M24" s="318">
        <v>0.62</v>
      </c>
      <c r="N24" s="321">
        <v>47.6</v>
      </c>
      <c r="O24" s="322">
        <v>52.4</v>
      </c>
      <c r="P24" s="321">
        <v>57.6</v>
      </c>
      <c r="Q24" s="321">
        <v>63.4</v>
      </c>
      <c r="R24" s="323">
        <v>69.7</v>
      </c>
    </row>
    <row r="25" spans="1:18" ht="15">
      <c r="A25" s="318">
        <v>0.78</v>
      </c>
      <c r="B25" s="319">
        <v>35.299999999999997</v>
      </c>
      <c r="C25" s="319">
        <v>38.799999999999997</v>
      </c>
      <c r="D25" s="319">
        <v>42.7</v>
      </c>
      <c r="E25" s="319">
        <v>47</v>
      </c>
      <c r="F25" s="320">
        <v>51.7</v>
      </c>
      <c r="H25" s="187" t="e">
        <f>INDEX(ЗР_ТП[],MATCH(MIN(IF(ЗР_ТП[Вибираема маса]&gt;=H30,ЗР_ТП[Вибираема маса])),ЗР_ТП[Вибираема маса],0),MATCH(MIN(IF(RDNAME&gt;=H31,RDNAME)),RDNAME,0)+1)</f>
        <v>#VALUE!</v>
      </c>
      <c r="M25" s="318">
        <v>0.78</v>
      </c>
      <c r="N25" s="321">
        <v>52.9</v>
      </c>
      <c r="O25" s="322">
        <v>58.2</v>
      </c>
      <c r="P25" s="321">
        <v>64</v>
      </c>
      <c r="Q25" s="321">
        <v>70.400000000000006</v>
      </c>
      <c r="R25" s="323">
        <v>77.400000000000006</v>
      </c>
    </row>
    <row r="26" spans="1:18" ht="15">
      <c r="A26" s="318">
        <v>0.98</v>
      </c>
      <c r="B26" s="319">
        <v>39.1</v>
      </c>
      <c r="C26" s="319">
        <v>43</v>
      </c>
      <c r="D26" s="319">
        <v>47.3</v>
      </c>
      <c r="E26" s="319">
        <v>52</v>
      </c>
      <c r="F26" s="320">
        <v>57.2</v>
      </c>
      <c r="M26" s="318">
        <v>0.98</v>
      </c>
      <c r="N26" s="321">
        <v>58.6</v>
      </c>
      <c r="O26" s="322">
        <v>64.5</v>
      </c>
      <c r="P26" s="321">
        <v>71</v>
      </c>
      <c r="Q26" s="321">
        <v>78.099999999999994</v>
      </c>
      <c r="R26" s="323">
        <v>85.9</v>
      </c>
    </row>
    <row r="27" spans="1:18" ht="15">
      <c r="A27" s="318">
        <v>1.5</v>
      </c>
      <c r="B27" s="319">
        <v>43.4</v>
      </c>
      <c r="C27" s="319">
        <v>47.7</v>
      </c>
      <c r="D27" s="319">
        <v>52.5</v>
      </c>
      <c r="E27" s="319">
        <v>57.8</v>
      </c>
      <c r="F27" s="320">
        <v>63.6</v>
      </c>
      <c r="M27" s="318">
        <v>1.5</v>
      </c>
      <c r="N27" s="321">
        <v>65.099999999999994</v>
      </c>
      <c r="O27" s="334">
        <v>71.599999999999994</v>
      </c>
      <c r="P27" s="321">
        <v>78.8</v>
      </c>
      <c r="Q27" s="321">
        <v>86.7</v>
      </c>
      <c r="R27" s="323">
        <v>95.4</v>
      </c>
    </row>
    <row r="28" spans="1:18" ht="15">
      <c r="A28" s="335">
        <v>1000</v>
      </c>
      <c r="B28" s="336">
        <v>43.4</v>
      </c>
      <c r="C28" s="336">
        <v>47.7</v>
      </c>
      <c r="D28" s="336">
        <v>52.5</v>
      </c>
      <c r="E28" s="336">
        <v>57.8</v>
      </c>
      <c r="F28" s="337">
        <v>63.6</v>
      </c>
      <c r="M28" s="335">
        <v>1000</v>
      </c>
      <c r="N28" s="338">
        <v>65.099999999999994</v>
      </c>
      <c r="O28" s="339">
        <v>71.599999999999994</v>
      </c>
      <c r="P28" s="338">
        <v>78.8</v>
      </c>
      <c r="Q28" s="338">
        <v>86.7</v>
      </c>
      <c r="R28" s="340">
        <v>95.4</v>
      </c>
    </row>
    <row r="30" spans="1:18">
      <c r="H30" s="341">
        <v>0.52</v>
      </c>
      <c r="I30" s="341">
        <f>nearmax(H30,ЗР_ХМ21[Середній об''єм])</f>
        <v>0.62</v>
      </c>
    </row>
    <row r="31" spans="1:18" ht="15">
      <c r="A31" s="342" t="s">
        <v>3221</v>
      </c>
      <c r="B31" s="316" t="s">
        <v>3223</v>
      </c>
      <c r="C31" s="316" t="s">
        <v>3224</v>
      </c>
      <c r="D31" s="316" t="s">
        <v>3225</v>
      </c>
      <c r="E31" s="316" t="s">
        <v>3226</v>
      </c>
      <c r="F31" s="317" t="s">
        <v>3107</v>
      </c>
      <c r="H31" s="341">
        <v>9</v>
      </c>
      <c r="I31" s="341">
        <f>nearmax(H31,RDNAME)</f>
        <v>10</v>
      </c>
    </row>
    <row r="32" spans="1:18" ht="15">
      <c r="A32" s="318">
        <v>0.05</v>
      </c>
      <c r="B32" s="321">
        <v>7.3</v>
      </c>
      <c r="C32" s="322">
        <v>8</v>
      </c>
      <c r="D32" s="321">
        <v>8.8000000000000007</v>
      </c>
      <c r="E32" s="321">
        <v>9.6999999999999993</v>
      </c>
      <c r="F32" s="323">
        <v>10.7</v>
      </c>
      <c r="H32" s="341"/>
      <c r="I32" s="341">
        <f>MATCH(nearmax(H30,ЗР_ХМ21[Середній об''єм]),ЗР_ТП[Вибираема маса],0)</f>
        <v>19</v>
      </c>
    </row>
    <row r="33" spans="1:9" ht="15">
      <c r="A33" s="318">
        <v>5.5E-2</v>
      </c>
      <c r="B33" s="321">
        <v>8.1</v>
      </c>
      <c r="C33" s="322">
        <v>8.9</v>
      </c>
      <c r="D33" s="321">
        <v>9.8000000000000007</v>
      </c>
      <c r="E33" s="321">
        <v>10.8</v>
      </c>
      <c r="F33" s="323">
        <v>11.9</v>
      </c>
      <c r="H33" s="341"/>
      <c r="I33" s="341">
        <f>MATCH(nearmax(H31,RDNAME),RDNAME,0)+1</f>
        <v>3</v>
      </c>
    </row>
    <row r="34" spans="1:9" ht="15">
      <c r="A34" s="318">
        <v>0.06</v>
      </c>
      <c r="B34" s="321">
        <v>9</v>
      </c>
      <c r="C34" s="322">
        <v>9.9</v>
      </c>
      <c r="D34" s="321">
        <v>10.9</v>
      </c>
      <c r="E34" s="321">
        <v>12</v>
      </c>
      <c r="F34" s="323">
        <v>13.2</v>
      </c>
      <c r="H34" s="341"/>
      <c r="I34" s="328">
        <f>INDEX(ЗР_ТП[],MATCH(nearmax(H30,ЗР_ТП[Вибираема маса]),ЗР_ТП[Вибираема маса],0),MATCH(nearmax(H31,RDNAME),RDNAME,0)+1)</f>
        <v>34.9</v>
      </c>
    </row>
    <row r="35" spans="1:9" ht="15">
      <c r="A35" s="318">
        <v>6.5000000000000002E-2</v>
      </c>
      <c r="B35" s="321">
        <v>10</v>
      </c>
      <c r="C35" s="322">
        <v>11</v>
      </c>
      <c r="D35" s="321">
        <v>12.1</v>
      </c>
      <c r="E35" s="321">
        <v>13.3</v>
      </c>
      <c r="F35" s="323">
        <v>14.5</v>
      </c>
    </row>
    <row r="36" spans="1:9" ht="15">
      <c r="A36" s="318">
        <v>7.0000000000000007E-2</v>
      </c>
      <c r="B36" s="321">
        <v>11.1</v>
      </c>
      <c r="C36" s="322">
        <v>12.2</v>
      </c>
      <c r="D36" s="321">
        <v>13.4</v>
      </c>
      <c r="E36" s="321">
        <v>14.7</v>
      </c>
      <c r="F36" s="323">
        <v>16.2</v>
      </c>
    </row>
    <row r="37" spans="1:9" ht="15">
      <c r="A37" s="318">
        <v>0.08</v>
      </c>
      <c r="B37" s="321">
        <v>12.3</v>
      </c>
      <c r="C37" s="322">
        <v>13.5</v>
      </c>
      <c r="D37" s="321">
        <v>14.9</v>
      </c>
      <c r="E37" s="321">
        <v>16.399999999999999</v>
      </c>
      <c r="F37" s="323">
        <v>18</v>
      </c>
    </row>
    <row r="38" spans="1:9" ht="15">
      <c r="A38" s="318">
        <v>0.09</v>
      </c>
      <c r="B38" s="321">
        <v>13.6</v>
      </c>
      <c r="C38" s="322">
        <v>15</v>
      </c>
      <c r="D38" s="321">
        <v>16.5</v>
      </c>
      <c r="E38" s="321">
        <v>18.2</v>
      </c>
      <c r="F38" s="323">
        <v>20</v>
      </c>
    </row>
    <row r="39" spans="1:9" ht="15">
      <c r="A39" s="318">
        <v>0.1</v>
      </c>
      <c r="B39" s="321">
        <v>15.2</v>
      </c>
      <c r="C39" s="322">
        <v>16.7</v>
      </c>
      <c r="D39" s="321">
        <v>18.399999999999999</v>
      </c>
      <c r="E39" s="321">
        <v>20.2</v>
      </c>
      <c r="F39" s="323">
        <v>22.2</v>
      </c>
    </row>
    <row r="40" spans="1:9" ht="15">
      <c r="A40" s="318">
        <v>0.12</v>
      </c>
      <c r="B40" s="321">
        <v>16.8</v>
      </c>
      <c r="C40" s="322">
        <v>18.5</v>
      </c>
      <c r="D40" s="321">
        <v>20.399999999999999</v>
      </c>
      <c r="E40" s="321">
        <v>22.4</v>
      </c>
      <c r="F40" s="323">
        <v>24.6</v>
      </c>
    </row>
    <row r="41" spans="1:9" ht="15">
      <c r="A41" s="318">
        <v>0.14000000000000001</v>
      </c>
      <c r="B41" s="321">
        <v>18.600000000000001</v>
      </c>
      <c r="C41" s="322">
        <v>20.5</v>
      </c>
      <c r="D41" s="321">
        <v>22.5</v>
      </c>
      <c r="E41" s="321">
        <v>24.8</v>
      </c>
      <c r="F41" s="323">
        <v>27.3</v>
      </c>
    </row>
    <row r="42" spans="1:9" ht="15">
      <c r="A42" s="318">
        <v>0.16</v>
      </c>
      <c r="B42" s="321">
        <v>20.6</v>
      </c>
      <c r="C42" s="322">
        <v>22.7</v>
      </c>
      <c r="D42" s="321">
        <v>25</v>
      </c>
      <c r="E42" s="321">
        <v>27.5</v>
      </c>
      <c r="F42" s="323">
        <v>30.3</v>
      </c>
    </row>
    <row r="43" spans="1:9" ht="15">
      <c r="A43" s="318">
        <v>0.19</v>
      </c>
      <c r="B43" s="321">
        <v>22.9</v>
      </c>
      <c r="C43" s="322">
        <v>25.2</v>
      </c>
      <c r="D43" s="321">
        <v>27.7</v>
      </c>
      <c r="E43" s="321">
        <v>30.5</v>
      </c>
      <c r="F43" s="323">
        <v>33.6</v>
      </c>
    </row>
    <row r="44" spans="1:9" ht="15">
      <c r="A44" s="318">
        <v>0.22</v>
      </c>
      <c r="B44" s="321">
        <v>25.5</v>
      </c>
      <c r="C44" s="322">
        <v>28</v>
      </c>
      <c r="D44" s="321">
        <v>30.8</v>
      </c>
      <c r="E44" s="321">
        <v>33.9</v>
      </c>
      <c r="F44" s="323">
        <v>37.299999999999997</v>
      </c>
    </row>
    <row r="45" spans="1:9" ht="15">
      <c r="A45" s="318">
        <v>0.25</v>
      </c>
      <c r="B45" s="321">
        <v>28.3</v>
      </c>
      <c r="C45" s="322">
        <v>31.1</v>
      </c>
      <c r="D45" s="321">
        <v>34.200000000000003</v>
      </c>
      <c r="E45" s="321">
        <v>37.6</v>
      </c>
      <c r="F45" s="323">
        <v>41.4</v>
      </c>
    </row>
    <row r="46" spans="1:9" ht="15">
      <c r="A46" s="318">
        <v>0.28999999999999998</v>
      </c>
      <c r="B46" s="321">
        <v>31.4</v>
      </c>
      <c r="C46" s="322">
        <v>34.5</v>
      </c>
      <c r="D46" s="321">
        <v>37.9</v>
      </c>
      <c r="E46" s="321">
        <v>41.7</v>
      </c>
      <c r="F46" s="323">
        <v>45.9</v>
      </c>
    </row>
    <row r="47" spans="1:9" ht="15">
      <c r="A47" s="318">
        <v>0.35</v>
      </c>
      <c r="B47" s="321">
        <v>34.9</v>
      </c>
      <c r="C47" s="322">
        <v>38.4</v>
      </c>
      <c r="D47" s="321">
        <v>42.2</v>
      </c>
      <c r="E47" s="321">
        <v>46.4</v>
      </c>
      <c r="F47" s="323">
        <v>51</v>
      </c>
    </row>
    <row r="48" spans="1:9" ht="15">
      <c r="A48" s="318">
        <v>0.41</v>
      </c>
      <c r="B48" s="321">
        <v>38.6</v>
      </c>
      <c r="C48" s="322">
        <v>42.5</v>
      </c>
      <c r="D48" s="321">
        <v>46.8</v>
      </c>
      <c r="E48" s="321">
        <v>51.5</v>
      </c>
      <c r="F48" s="323">
        <v>56.6</v>
      </c>
    </row>
    <row r="49" spans="1:6" ht="15">
      <c r="A49" s="318">
        <v>0.5</v>
      </c>
      <c r="B49" s="321">
        <v>42.9</v>
      </c>
      <c r="C49" s="322">
        <v>47.2</v>
      </c>
      <c r="D49" s="321">
        <v>51.9</v>
      </c>
      <c r="E49" s="321">
        <v>57.1</v>
      </c>
      <c r="F49" s="323">
        <v>62.8</v>
      </c>
    </row>
    <row r="50" spans="1:6" ht="15">
      <c r="A50" s="318">
        <v>0.62</v>
      </c>
      <c r="B50" s="321">
        <v>47.6</v>
      </c>
      <c r="C50" s="322">
        <v>52.4</v>
      </c>
      <c r="D50" s="321">
        <v>57.6</v>
      </c>
      <c r="E50" s="321">
        <v>63.4</v>
      </c>
      <c r="F50" s="323">
        <v>69.7</v>
      </c>
    </row>
    <row r="51" spans="1:6" ht="15">
      <c r="A51" s="318">
        <v>0.78</v>
      </c>
      <c r="B51" s="321">
        <v>52.9</v>
      </c>
      <c r="C51" s="322">
        <v>58.2</v>
      </c>
      <c r="D51" s="321">
        <v>64</v>
      </c>
      <c r="E51" s="321">
        <v>70.400000000000006</v>
      </c>
      <c r="F51" s="323">
        <v>77.400000000000006</v>
      </c>
    </row>
    <row r="52" spans="1:6" ht="15">
      <c r="A52" s="318">
        <v>0.98</v>
      </c>
      <c r="B52" s="321">
        <v>58.6</v>
      </c>
      <c r="C52" s="322">
        <v>64.5</v>
      </c>
      <c r="D52" s="321">
        <v>71</v>
      </c>
      <c r="E52" s="321">
        <v>78.099999999999994</v>
      </c>
      <c r="F52" s="323">
        <v>85.9</v>
      </c>
    </row>
    <row r="53" spans="1:6" ht="15">
      <c r="A53" s="318">
        <v>1.5</v>
      </c>
      <c r="B53" s="321">
        <v>65.099999999999994</v>
      </c>
      <c r="C53" s="334">
        <v>71.599999999999994</v>
      </c>
      <c r="D53" s="321">
        <v>78.8</v>
      </c>
      <c r="E53" s="321">
        <v>86.7</v>
      </c>
      <c r="F53" s="323">
        <v>95.4</v>
      </c>
    </row>
    <row r="54" spans="1:6" ht="15">
      <c r="A54" s="335">
        <v>1000</v>
      </c>
      <c r="B54" s="338">
        <v>65.099999999999994</v>
      </c>
      <c r="C54" s="339">
        <v>71.599999999999994</v>
      </c>
      <c r="D54" s="338">
        <v>78.8</v>
      </c>
      <c r="E54" s="338">
        <v>86.7</v>
      </c>
      <c r="F54" s="340">
        <v>95.4</v>
      </c>
    </row>
  </sheetData>
  <pageMargins left="0.75" right="0.75" top="1" bottom="1" header="0.5" footer="0.5"/>
  <headerFooter alignWithMargins="0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tabColor theme="4"/>
  </sheetPr>
  <dimension ref="A1:L383"/>
  <sheetViews>
    <sheetView topLeftCell="B2" workbookViewId="0">
      <selection activeCell="F3" sqref="F3"/>
    </sheetView>
  </sheetViews>
  <sheetFormatPr defaultRowHeight="15"/>
  <cols>
    <col min="3" max="3" width="22" customWidth="1"/>
    <col min="4" max="4" width="12.85546875" customWidth="1"/>
    <col min="5" max="5" width="30.28515625" customWidth="1"/>
    <col min="6" max="6" width="33.28515625" customWidth="1"/>
    <col min="9" max="9" width="24" customWidth="1"/>
    <col min="10" max="10" width="13.42578125" customWidth="1"/>
    <col min="11" max="11" width="41.140625" customWidth="1"/>
  </cols>
  <sheetData>
    <row r="1" spans="1:12" ht="67.5">
      <c r="A1" s="215" t="s">
        <v>2299</v>
      </c>
      <c r="B1" s="216" t="s">
        <v>2300</v>
      </c>
      <c r="C1" s="217" t="s">
        <v>2301</v>
      </c>
      <c r="D1" s="219" t="s">
        <v>2302</v>
      </c>
      <c r="E1" s="230" t="s">
        <v>3101</v>
      </c>
      <c r="F1" s="232" t="s">
        <v>2298</v>
      </c>
      <c r="G1" s="230"/>
      <c r="H1" s="230" t="s">
        <v>2304</v>
      </c>
      <c r="I1" s="220" t="s">
        <v>2298</v>
      </c>
      <c r="J1" s="230" t="s">
        <v>2303</v>
      </c>
      <c r="K1" s="228"/>
      <c r="L1" s="187" t="s">
        <v>2268</v>
      </c>
    </row>
    <row r="2" spans="1:12">
      <c r="A2" s="215">
        <v>1</v>
      </c>
      <c r="B2" s="216" t="s">
        <v>2311</v>
      </c>
      <c r="C2" s="217" t="s">
        <v>2311</v>
      </c>
      <c r="D2" s="219"/>
      <c r="E2" s="230" t="s">
        <v>71</v>
      </c>
      <c r="F2" s="230" t="str">
        <f>VLOOKUP(ПородиИГруппи[[#This Row],[список без груп порід]],Таблица20[],2,FALSE)</f>
        <v>Сосна звичайна</v>
      </c>
      <c r="G2" s="230"/>
      <c r="H2" s="227" t="s">
        <v>2591</v>
      </c>
      <c r="I2" s="220" t="s">
        <v>2592</v>
      </c>
      <c r="J2" s="227">
        <v>508010</v>
      </c>
      <c r="K2" s="228"/>
      <c r="L2" s="187" t="s">
        <v>71</v>
      </c>
    </row>
    <row r="3" spans="1:12">
      <c r="A3" s="215">
        <v>2</v>
      </c>
      <c r="B3" s="216" t="s">
        <v>2305</v>
      </c>
      <c r="C3" s="217" t="s">
        <v>2305</v>
      </c>
      <c r="D3" s="219"/>
      <c r="E3" s="230" t="s">
        <v>72</v>
      </c>
      <c r="F3" s="230" t="str">
        <f>VLOOKUP(ПородиИГруппи[[#This Row],[список без груп порід]],Таблица20[],2,FALSE)</f>
        <v>Дуб звичайний</v>
      </c>
      <c r="G3" s="230"/>
      <c r="H3" s="227" t="s">
        <v>2927</v>
      </c>
      <c r="I3" s="220" t="s">
        <v>2928</v>
      </c>
      <c r="J3" s="227">
        <v>821615</v>
      </c>
      <c r="K3" s="228"/>
      <c r="L3" s="187" t="s">
        <v>72</v>
      </c>
    </row>
    <row r="4" spans="1:12">
      <c r="A4" s="215">
        <v>3</v>
      </c>
      <c r="B4" s="216" t="s">
        <v>2316</v>
      </c>
      <c r="C4" s="217" t="s">
        <v>2316</v>
      </c>
      <c r="D4" s="219" t="s">
        <v>2311</v>
      </c>
      <c r="E4" s="230" t="s">
        <v>72</v>
      </c>
      <c r="F4" s="230" t="str">
        <f>VLOOKUP(ПородиИГруппи[[#This Row],[список без груп порід]],Таблица20[],2,FALSE)</f>
        <v>Ясен звичайний</v>
      </c>
      <c r="G4" s="230"/>
      <c r="H4" s="227" t="s">
        <v>2755</v>
      </c>
      <c r="I4" s="220" t="s">
        <v>2756</v>
      </c>
      <c r="J4" s="227">
        <v>817410</v>
      </c>
      <c r="K4" s="228"/>
    </row>
    <row r="5" spans="1:12">
      <c r="A5" s="215">
        <v>4</v>
      </c>
      <c r="B5" s="216" t="s">
        <v>2334</v>
      </c>
      <c r="C5" s="218" t="s">
        <v>2337</v>
      </c>
      <c r="D5" s="219" t="s">
        <v>2305</v>
      </c>
      <c r="E5" s="230" t="s">
        <v>72</v>
      </c>
      <c r="F5" s="230" t="str">
        <f>VLOOKUP(ПородиИГруппи[[#This Row],[список без груп порід]],Таблица20[],2,FALSE)</f>
        <v>Клен гостролистий</v>
      </c>
      <c r="G5" s="230"/>
      <c r="H5" s="227" t="s">
        <v>2753</v>
      </c>
      <c r="I5" s="220" t="s">
        <v>2754</v>
      </c>
      <c r="J5" s="227">
        <v>817405</v>
      </c>
      <c r="K5" s="228"/>
    </row>
    <row r="6" spans="1:12">
      <c r="A6" s="215">
        <v>5</v>
      </c>
      <c r="B6" s="216" t="s">
        <v>2347</v>
      </c>
      <c r="C6" s="217" t="s">
        <v>2347</v>
      </c>
      <c r="D6" s="219" t="s">
        <v>2318</v>
      </c>
      <c r="E6" s="230" t="s">
        <v>72</v>
      </c>
      <c r="F6" s="230" t="str">
        <f>VLOOKUP(ПородиИГруппи[[#This Row],[список без груп порід]],Таблица20[],2,FALSE)</f>
        <v>Граб звичайний</v>
      </c>
      <c r="G6" s="230"/>
      <c r="H6" s="227" t="s">
        <v>2751</v>
      </c>
      <c r="I6" s="220" t="s">
        <v>2752</v>
      </c>
      <c r="J6" s="227">
        <v>817105</v>
      </c>
      <c r="K6" s="228"/>
    </row>
    <row r="7" spans="1:12">
      <c r="A7" s="215">
        <v>6</v>
      </c>
      <c r="B7" s="216" t="s">
        <v>2358</v>
      </c>
      <c r="C7" s="217" t="s">
        <v>2358</v>
      </c>
      <c r="D7" s="219" t="s">
        <v>2321</v>
      </c>
      <c r="E7" s="230" t="s">
        <v>72</v>
      </c>
      <c r="F7" s="230" t="str">
        <f>VLOOKUP(ПородиИГруппи[[#This Row],[список без груп порід]],Таблица20[],2,FALSE)</f>
        <v>Біла акація</v>
      </c>
      <c r="G7" s="230"/>
      <c r="H7" s="231" t="s">
        <v>2358</v>
      </c>
      <c r="I7" s="220" t="s">
        <v>2485</v>
      </c>
      <c r="J7" s="231">
        <v>202805</v>
      </c>
      <c r="K7" s="228"/>
    </row>
    <row r="8" spans="1:12">
      <c r="A8" s="215">
        <v>7</v>
      </c>
      <c r="B8" s="216" t="s">
        <v>2368</v>
      </c>
      <c r="C8" s="217" t="s">
        <v>2368</v>
      </c>
      <c r="D8" s="219" t="s">
        <v>2326</v>
      </c>
      <c r="E8" s="230" t="s">
        <v>71</v>
      </c>
      <c r="F8" s="230" t="str">
        <f>VLOOKUP(ПородиИГруппи[[#This Row],[список без груп порід]],Таблица20[],2,FALSE)</f>
        <v>Берест</v>
      </c>
      <c r="G8" s="230"/>
      <c r="H8" s="227" t="s">
        <v>2905</v>
      </c>
      <c r="I8" s="220" t="s">
        <v>2906</v>
      </c>
      <c r="J8" s="227">
        <v>821010</v>
      </c>
      <c r="K8" s="228"/>
    </row>
    <row r="9" spans="1:12">
      <c r="A9" s="215">
        <v>8</v>
      </c>
      <c r="B9" s="216" t="s">
        <v>2430</v>
      </c>
      <c r="C9" s="218" t="s">
        <v>2431</v>
      </c>
      <c r="D9" s="222" t="s">
        <v>2330</v>
      </c>
      <c r="E9" s="231" t="s">
        <v>71</v>
      </c>
      <c r="F9" s="231" t="str">
        <f>VLOOKUP(ПородиИГруппи[[#This Row],[список без груп порід]],Таблица20[],2,FALSE)</f>
        <v>Липа дрібнолиста</v>
      </c>
      <c r="G9" s="230"/>
      <c r="H9" s="227" t="s">
        <v>2684</v>
      </c>
      <c r="I9" s="220" t="s">
        <v>2420</v>
      </c>
      <c r="J9" s="227">
        <v>512115</v>
      </c>
      <c r="K9" s="228"/>
    </row>
    <row r="10" spans="1:12">
      <c r="A10" s="215">
        <v>9</v>
      </c>
      <c r="B10" s="216" t="s">
        <v>2321</v>
      </c>
      <c r="C10" s="217" t="s">
        <v>2321</v>
      </c>
      <c r="D10" s="222"/>
      <c r="E10" s="231" t="s">
        <v>71</v>
      </c>
      <c r="F10" s="231" t="str">
        <f>VLOOKUP(ПородиИГруппи[[#This Row],[список без груп порід]],Таблица20[],2,FALSE)</f>
        <v>Вільха чорна</v>
      </c>
      <c r="G10" s="231"/>
      <c r="H10" s="227" t="s">
        <v>2757</v>
      </c>
      <c r="I10" s="220" t="s">
        <v>2758</v>
      </c>
      <c r="J10" s="227">
        <v>817505</v>
      </c>
      <c r="K10" s="228"/>
    </row>
    <row r="11" spans="1:12">
      <c r="A11" s="215">
        <v>10</v>
      </c>
      <c r="B11" s="216" t="s">
        <v>2449</v>
      </c>
      <c r="C11" s="217" t="s">
        <v>2449</v>
      </c>
      <c r="D11" s="222"/>
      <c r="E11" s="231" t="s">
        <v>71</v>
      </c>
      <c r="F11" s="231" t="str">
        <f>VLOOKUP(ПородиИГруппи[[#This Row],[список без груп порід]],Таблица20[],2,FALSE)</f>
        <v>Тополя канадська</v>
      </c>
      <c r="G11" s="231"/>
      <c r="H11" s="227" t="s">
        <v>2593</v>
      </c>
      <c r="I11" s="220" t="s">
        <v>2429</v>
      </c>
      <c r="J11" s="227">
        <v>508105</v>
      </c>
      <c r="K11" s="228"/>
    </row>
    <row r="12" spans="1:12">
      <c r="A12" s="215">
        <v>11</v>
      </c>
      <c r="B12" s="216" t="s">
        <v>2379</v>
      </c>
      <c r="C12" s="217" t="s">
        <v>2379</v>
      </c>
      <c r="D12" s="222"/>
      <c r="E12" s="231" t="s">
        <v>71</v>
      </c>
      <c r="F12" s="231" t="str">
        <f>VLOOKUP(ПородиИГруппи[[#This Row],[список без груп порід]],Таблица20[],2,FALSE)</f>
        <v>Черешня</v>
      </c>
      <c r="G12" s="231"/>
      <c r="H12" s="227" t="s">
        <v>2759</v>
      </c>
      <c r="I12" s="220" t="s">
        <v>2760</v>
      </c>
      <c r="J12" s="227">
        <v>817705</v>
      </c>
      <c r="K12" s="228"/>
    </row>
    <row r="13" spans="1:12">
      <c r="A13" s="215">
        <v>12</v>
      </c>
      <c r="B13" s="216" t="s">
        <v>2439</v>
      </c>
      <c r="C13" s="218" t="s">
        <v>2440</v>
      </c>
      <c r="D13" s="222"/>
      <c r="E13" s="231"/>
      <c r="F13" s="231" t="str">
        <f>VLOOKUP(ПородиИГруппи[[#This Row],[список без груп порід]],Таблица20[],2,FALSE)</f>
        <v>Береза повисла</v>
      </c>
      <c r="G13" s="231"/>
      <c r="H13" s="227" t="s">
        <v>2923</v>
      </c>
      <c r="I13" s="220" t="s">
        <v>2924</v>
      </c>
      <c r="J13" s="227">
        <v>821403</v>
      </c>
      <c r="K13" s="228"/>
    </row>
    <row r="14" spans="1:12">
      <c r="A14" s="215">
        <v>13</v>
      </c>
      <c r="B14" s="216" t="s">
        <v>2355</v>
      </c>
      <c r="C14" s="217" t="s">
        <v>2355</v>
      </c>
      <c r="D14" s="222"/>
      <c r="E14" s="231" t="s">
        <v>71</v>
      </c>
      <c r="F14" s="231" t="str">
        <f>VLOOKUP(ПородиИГруппи[[#This Row],[список без груп порід]],Таблица20[],2,FALSE)</f>
        <v>Осика</v>
      </c>
      <c r="G14" s="231"/>
      <c r="H14" s="227" t="s">
        <v>2594</v>
      </c>
      <c r="I14" s="220" t="s">
        <v>2595</v>
      </c>
      <c r="J14" s="227">
        <v>508305</v>
      </c>
      <c r="K14" s="228"/>
    </row>
    <row r="15" spans="1:12">
      <c r="A15" s="215">
        <v>14</v>
      </c>
      <c r="B15" s="216" t="s">
        <v>2342</v>
      </c>
      <c r="C15" s="218" t="s">
        <v>2392</v>
      </c>
      <c r="D15" s="222"/>
      <c r="E15" s="231"/>
      <c r="F15" s="231" t="str">
        <f>VLOOKUP(ПородиИГруппи[[#This Row],[список без груп порід]],Таблица20[],2,FALSE)</f>
        <v>Груша звичайна</v>
      </c>
      <c r="G15" s="231"/>
      <c r="H15" s="227" t="s">
        <v>2763</v>
      </c>
      <c r="I15" s="220" t="s">
        <v>2764</v>
      </c>
      <c r="J15" s="227">
        <v>818113</v>
      </c>
      <c r="K15" s="228"/>
    </row>
    <row r="16" spans="1:12">
      <c r="A16" s="215">
        <v>15</v>
      </c>
      <c r="B16" s="216" t="s">
        <v>2383</v>
      </c>
      <c r="C16" s="218" t="s">
        <v>2384</v>
      </c>
      <c r="D16" s="222"/>
      <c r="E16" s="231"/>
      <c r="F16" s="231" t="str">
        <f>VLOOKUP(ПородиИГруппи[[#This Row],[список без груп порід]],Таблица20[],2,FALSE)</f>
        <v>Горіх чорний</v>
      </c>
      <c r="G16" s="231"/>
      <c r="H16" s="227" t="s">
        <v>2761</v>
      </c>
      <c r="I16" s="220" t="s">
        <v>2762</v>
      </c>
      <c r="J16" s="227">
        <v>818105</v>
      </c>
      <c r="K16" s="228"/>
    </row>
    <row r="17" spans="1:11">
      <c r="A17" s="215">
        <v>16</v>
      </c>
      <c r="B17" s="216" t="s">
        <v>2326</v>
      </c>
      <c r="C17" s="218" t="s">
        <v>2467</v>
      </c>
      <c r="D17" s="222"/>
      <c r="E17" s="231"/>
      <c r="F17" s="231" t="str">
        <f>VLOOKUP(ПородиИГруппи[[#This Row],[список без груп порід]],Таблица20[],2,FALSE)</f>
        <v>Верба біла</v>
      </c>
      <c r="G17" s="231"/>
      <c r="H17" s="231" t="s">
        <v>2492</v>
      </c>
      <c r="I17" s="220" t="s">
        <v>2493</v>
      </c>
      <c r="J17" s="231">
        <v>302610</v>
      </c>
      <c r="K17" s="228"/>
    </row>
    <row r="18" spans="1:11">
      <c r="A18" s="215">
        <v>17</v>
      </c>
      <c r="B18" s="216" t="s">
        <v>2332</v>
      </c>
      <c r="C18" s="217" t="s">
        <v>2332</v>
      </c>
      <c r="D18" s="222"/>
      <c r="E18" s="231" t="s">
        <v>72</v>
      </c>
      <c r="F18" s="231" t="str">
        <f>VLOOKUP(ПородиИГруппи[[#This Row],[список без груп порід]],Таблица20[],2,FALSE)</f>
        <v>Дуб червоний</v>
      </c>
      <c r="G18" s="231"/>
      <c r="H18" s="227" t="s">
        <v>2442</v>
      </c>
      <c r="I18" s="220" t="s">
        <v>2428</v>
      </c>
      <c r="J18" s="227">
        <v>511825</v>
      </c>
      <c r="K18" s="228"/>
    </row>
    <row r="19" spans="1:11">
      <c r="A19" s="215">
        <v>18</v>
      </c>
      <c r="B19" s="216" t="s">
        <v>2481</v>
      </c>
      <c r="C19" s="218" t="s">
        <v>2482</v>
      </c>
      <c r="D19" s="222"/>
      <c r="E19" s="231" t="s">
        <v>71</v>
      </c>
      <c r="F19" s="231" t="str">
        <f>VLOOKUP(ПородиИГруппи[[#This Row],[список без груп порід]],Таблица20[],2,FALSE)</f>
        <v>Ялина європейська</v>
      </c>
      <c r="G19" s="231"/>
      <c r="H19" s="227" t="s">
        <v>2807</v>
      </c>
      <c r="I19" s="220" t="s">
        <v>2504</v>
      </c>
      <c r="J19" s="227">
        <v>818605</v>
      </c>
      <c r="K19" s="228"/>
    </row>
    <row r="20" spans="1:11">
      <c r="A20" s="215">
        <v>19</v>
      </c>
      <c r="B20" s="216" t="s">
        <v>2490</v>
      </c>
      <c r="C20" s="218" t="s">
        <v>2491</v>
      </c>
      <c r="D20" s="222"/>
      <c r="E20" s="231" t="s">
        <v>71</v>
      </c>
      <c r="F20" s="231" t="str">
        <f>VLOOKUP(ПородиИГруппи[[#This Row],[список без груп порід]],Таблица20[],2,FALSE)</f>
        <v>Модрина європейська</v>
      </c>
      <c r="G20" s="231"/>
      <c r="H20" s="227" t="s">
        <v>2808</v>
      </c>
      <c r="I20" s="220" t="s">
        <v>2500</v>
      </c>
      <c r="J20" s="227">
        <v>818625</v>
      </c>
      <c r="K20" s="228"/>
    </row>
    <row r="21" spans="1:11">
      <c r="A21" s="215">
        <v>20</v>
      </c>
      <c r="B21" s="216" t="s">
        <v>2324</v>
      </c>
      <c r="C21" s="217" t="s">
        <v>2324</v>
      </c>
      <c r="D21" s="222"/>
      <c r="E21" s="231" t="s">
        <v>71</v>
      </c>
      <c r="F21" s="231" t="str">
        <f>VLOOKUP(ПородиИГруппи[[#This Row],[список без груп порід]],Таблица20[],2,FALSE)</f>
        <v>Ясен зелений</v>
      </c>
      <c r="G21" s="231"/>
      <c r="H21" s="227" t="s">
        <v>2773</v>
      </c>
      <c r="I21" s="220" t="s">
        <v>2774</v>
      </c>
      <c r="J21" s="227">
        <v>818310</v>
      </c>
      <c r="K21" s="228"/>
    </row>
    <row r="22" spans="1:11">
      <c r="A22" s="215">
        <v>21</v>
      </c>
      <c r="B22" s="216" t="s">
        <v>2341</v>
      </c>
      <c r="C22" s="217" t="s">
        <v>2341</v>
      </c>
      <c r="D22" s="222"/>
      <c r="E22" s="231"/>
      <c r="F22" s="231" t="str">
        <f>VLOOKUP(ПородиИГруппи[[#This Row],[список без груп порід]],Таблица20[],2,FALSE)</f>
        <v>Явір</v>
      </c>
      <c r="G22" s="231"/>
      <c r="H22" s="231" t="s">
        <v>2421</v>
      </c>
      <c r="I22" s="220" t="s">
        <v>2422</v>
      </c>
      <c r="J22" s="231">
        <v>202110</v>
      </c>
      <c r="K22" s="228"/>
    </row>
    <row r="23" spans="1:11">
      <c r="A23" s="215">
        <v>22</v>
      </c>
      <c r="B23" s="216" t="s">
        <v>2345</v>
      </c>
      <c r="C23" s="217" t="s">
        <v>2345</v>
      </c>
      <c r="D23" s="222"/>
      <c r="E23" s="231" t="s">
        <v>72</v>
      </c>
      <c r="F23" s="231" t="str">
        <f>VLOOKUP(ПородиИГруппи[[#This Row],[список без груп порід]],Таблица20[],2,FALSE)</f>
        <v>Клен польовий</v>
      </c>
      <c r="G23" s="231"/>
      <c r="H23" s="231" t="s">
        <v>2418</v>
      </c>
      <c r="I23" s="220" t="s">
        <v>2419</v>
      </c>
      <c r="J23" s="231">
        <v>202105</v>
      </c>
      <c r="K23" s="228"/>
    </row>
    <row r="24" spans="1:11">
      <c r="A24" s="215">
        <v>23</v>
      </c>
      <c r="B24" s="216" t="s">
        <v>2353</v>
      </c>
      <c r="C24" s="217" t="s">
        <v>2353</v>
      </c>
      <c r="D24" s="222"/>
      <c r="E24" s="231" t="s">
        <v>72</v>
      </c>
      <c r="F24" s="231" t="str">
        <f>VLOOKUP(ПородиИГруппи[[#This Row],[список без груп порід]],Таблица20[],2,FALSE)</f>
        <v>Клен ясенолистий</v>
      </c>
      <c r="G24" s="231"/>
      <c r="H24" s="231" t="s">
        <v>2494</v>
      </c>
      <c r="I24" s="220" t="s">
        <v>2441</v>
      </c>
      <c r="J24" s="231">
        <v>302620</v>
      </c>
      <c r="K24" s="228"/>
    </row>
    <row r="25" spans="1:11">
      <c r="A25" s="215">
        <v>24</v>
      </c>
      <c r="B25" s="216" t="s">
        <v>2361</v>
      </c>
      <c r="C25" s="218" t="s">
        <v>2362</v>
      </c>
      <c r="D25" s="222"/>
      <c r="E25" s="231"/>
      <c r="F25" s="231" t="str">
        <f>VLOOKUP(ПородиИГруппи[[#This Row],[список без груп порід]],Таблица20[],2,FALSE)</f>
        <v>Гледичія колюча</v>
      </c>
      <c r="G25" s="231"/>
      <c r="H25" s="231" t="s">
        <v>2497</v>
      </c>
      <c r="I25" s="220" t="s">
        <v>2498</v>
      </c>
      <c r="J25" s="231">
        <v>302668</v>
      </c>
      <c r="K25" s="228"/>
    </row>
    <row r="26" spans="1:11">
      <c r="A26" s="215">
        <v>25</v>
      </c>
      <c r="B26" s="216" t="s">
        <v>2396</v>
      </c>
      <c r="C26" s="218" t="s">
        <v>2397</v>
      </c>
      <c r="D26" s="222"/>
      <c r="E26" s="231"/>
      <c r="F26" s="231" t="str">
        <f>VLOOKUP(ПородиИГруппи[[#This Row],[список без груп порід]],Таблица20[],2,FALSE)</f>
        <v>Шовковиця біла</v>
      </c>
      <c r="G26" s="231"/>
      <c r="H26" s="227" t="s">
        <v>2765</v>
      </c>
      <c r="I26" s="220" t="s">
        <v>2766</v>
      </c>
      <c r="J26" s="227">
        <v>818215</v>
      </c>
      <c r="K26" s="228"/>
    </row>
    <row r="27" spans="1:11">
      <c r="A27" s="215">
        <v>26</v>
      </c>
      <c r="B27" s="216" t="s">
        <v>2408</v>
      </c>
      <c r="C27" s="218" t="s">
        <v>2409</v>
      </c>
      <c r="D27" s="222"/>
      <c r="E27" s="231"/>
      <c r="F27" s="231" t="str">
        <f>VLOOKUP(ПородиИГруппи[[#This Row],[список без груп порід]],Таблица20[],2,FALSE)</f>
        <v>Абрикос звичайний</v>
      </c>
      <c r="G27" s="231"/>
      <c r="H27" s="227" t="s">
        <v>2767</v>
      </c>
      <c r="I27" s="220" t="s">
        <v>2768</v>
      </c>
      <c r="J27" s="227">
        <v>818220</v>
      </c>
      <c r="K27" s="228"/>
    </row>
    <row r="28" spans="1:11">
      <c r="A28" s="215">
        <v>27</v>
      </c>
      <c r="B28" s="216" t="s">
        <v>2386</v>
      </c>
      <c r="C28" s="218" t="s">
        <v>2412</v>
      </c>
      <c r="D28" s="222"/>
      <c r="E28" s="231"/>
      <c r="F28" s="231" t="str">
        <f>VLOOKUP(ПородиИГруппи[[#This Row],[список без груп порід]],Таблица20[],2,FALSE)</f>
        <v>Бархат амурський</v>
      </c>
      <c r="G28" s="231"/>
      <c r="H28" s="227" t="s">
        <v>2769</v>
      </c>
      <c r="I28" s="220" t="s">
        <v>2770</v>
      </c>
      <c r="J28" s="227">
        <v>818235</v>
      </c>
      <c r="K28" s="228"/>
    </row>
    <row r="29" spans="1:11">
      <c r="A29" s="215">
        <v>28</v>
      </c>
      <c r="B29" s="216" t="s">
        <v>2330</v>
      </c>
      <c r="C29" s="217" t="s">
        <v>2330</v>
      </c>
      <c r="D29" s="222"/>
      <c r="E29" s="231" t="s">
        <v>71</v>
      </c>
      <c r="F29" s="231" t="str">
        <f>VLOOKUP(ПородиИГруппи[[#This Row],[список без груп порід]],Таблица20[],2,FALSE)</f>
        <v>Тополя біла</v>
      </c>
      <c r="G29" s="231"/>
      <c r="H29" s="231" t="s">
        <v>2368</v>
      </c>
      <c r="I29" s="220" t="s">
        <v>2369</v>
      </c>
      <c r="J29" s="231">
        <v>202520</v>
      </c>
      <c r="K29" s="228"/>
    </row>
    <row r="30" spans="1:11">
      <c r="A30" s="215">
        <v>29</v>
      </c>
      <c r="B30" s="216" t="s">
        <v>2318</v>
      </c>
      <c r="C30" s="217" t="s">
        <v>2318</v>
      </c>
      <c r="D30" s="222"/>
      <c r="E30" s="231" t="s">
        <v>71</v>
      </c>
      <c r="F30" s="231" t="str">
        <f>VLOOKUP(ПородиИГруппи[[#This Row],[список без груп порід]],Таблица20[],2,FALSE)</f>
        <v>Тополя чорна</v>
      </c>
      <c r="G30" s="231"/>
      <c r="H30" s="227" t="s">
        <v>2771</v>
      </c>
      <c r="I30" s="220" t="s">
        <v>2772</v>
      </c>
      <c r="J30" s="227">
        <v>818275</v>
      </c>
      <c r="K30" s="228"/>
    </row>
    <row r="31" spans="1:11">
      <c r="A31" s="215">
        <v>30</v>
      </c>
      <c r="B31" s="216" t="s">
        <v>2457</v>
      </c>
      <c r="C31" s="217" t="s">
        <v>2457</v>
      </c>
      <c r="D31" s="222"/>
      <c r="E31" s="231" t="s">
        <v>71</v>
      </c>
      <c r="F31" s="231" t="str">
        <f>VLOOKUP(ПородиИГруппи[[#This Row],[список без груп порід]],Таблица20[],2,FALSE)</f>
        <v>Тополя пірамідальна</v>
      </c>
      <c r="G31" s="231"/>
      <c r="H31" s="231" t="s">
        <v>2370</v>
      </c>
      <c r="I31" s="220" t="s">
        <v>2499</v>
      </c>
      <c r="J31" s="231">
        <v>302674</v>
      </c>
      <c r="K31" s="228"/>
    </row>
    <row r="32" spans="1:11">
      <c r="A32" s="215">
        <v>31</v>
      </c>
      <c r="B32" s="216" t="s">
        <v>2476</v>
      </c>
      <c r="C32" s="230" t="s">
        <v>2322</v>
      </c>
      <c r="D32" s="222"/>
      <c r="E32" s="231" t="s">
        <v>71</v>
      </c>
      <c r="F32" s="231" t="str">
        <f>VLOOKUP(ПородиИГруппи[[#This Row],[список без груп порід]],Таблица20[],2,FALSE)</f>
        <v>Сосна кримська</v>
      </c>
      <c r="G32" s="231"/>
      <c r="H32" s="227" t="s">
        <v>3024</v>
      </c>
      <c r="I32" s="220" t="s">
        <v>3025</v>
      </c>
      <c r="J32" s="227">
        <v>824810</v>
      </c>
      <c r="K32" s="228"/>
    </row>
    <row r="33" spans="1:11">
      <c r="A33" s="215">
        <v>32</v>
      </c>
      <c r="B33" s="216" t="s">
        <v>2495</v>
      </c>
      <c r="C33" s="227" t="s">
        <v>2939</v>
      </c>
      <c r="D33" s="222"/>
      <c r="E33" s="231"/>
      <c r="F33" s="231" t="str">
        <f>VLOOKUP(ПородиИГруппи[[#This Row],[список без груп порід]],Таблица20[],2,FALSE)</f>
        <v>Ліщина звичайна</v>
      </c>
      <c r="G33" s="231"/>
      <c r="H33" s="227" t="s">
        <v>3026</v>
      </c>
      <c r="I33" s="220" t="s">
        <v>3027</v>
      </c>
      <c r="J33" s="227">
        <v>824830</v>
      </c>
      <c r="K33" s="228"/>
    </row>
    <row r="34" spans="1:11">
      <c r="A34" s="215">
        <v>33</v>
      </c>
      <c r="B34" s="216" t="s">
        <v>2502</v>
      </c>
      <c r="C34" s="214" t="s">
        <v>2503</v>
      </c>
      <c r="D34" s="222"/>
      <c r="E34" s="231"/>
      <c r="F34" s="231" t="str">
        <f>VLOOKUP(ПородиИГруппи[[#This Row],[список без груп порід]],Таблица20[],2,FALSE)</f>
        <v>Бузина червона</v>
      </c>
      <c r="G34" s="231"/>
      <c r="H34" s="227" t="s">
        <v>3028</v>
      </c>
      <c r="I34" s="220" t="s">
        <v>3029</v>
      </c>
      <c r="J34" s="227">
        <v>824833</v>
      </c>
      <c r="K34" s="228"/>
    </row>
    <row r="35" spans="1:11">
      <c r="A35" s="214"/>
      <c r="B35" s="214"/>
      <c r="C35" s="214"/>
      <c r="D35" s="226"/>
      <c r="E35" s="227"/>
      <c r="F35" s="227"/>
      <c r="G35" s="231"/>
      <c r="H35" s="227" t="s">
        <v>2596</v>
      </c>
      <c r="I35" s="220" t="s">
        <v>2413</v>
      </c>
      <c r="J35" s="227">
        <v>508605</v>
      </c>
      <c r="K35" s="228"/>
    </row>
    <row r="36" spans="1:11">
      <c r="A36" s="214"/>
      <c r="B36" s="214"/>
      <c r="C36" s="214"/>
      <c r="D36" s="226"/>
      <c r="E36" s="227" t="s">
        <v>2311</v>
      </c>
      <c r="F36" s="227"/>
      <c r="G36" s="231"/>
      <c r="H36" s="231" t="s">
        <v>2469</v>
      </c>
      <c r="I36" s="220" t="s">
        <v>2470</v>
      </c>
      <c r="J36" s="231">
        <v>202505</v>
      </c>
      <c r="K36" s="228"/>
    </row>
    <row r="37" spans="1:11">
      <c r="A37" s="214"/>
      <c r="B37" s="214"/>
      <c r="C37" s="214" t="e">
        <f ca="1">INDIRECT("ПородиИГруппи[список без груп порід]")</f>
        <v>#VALUE!</v>
      </c>
      <c r="D37" s="226"/>
      <c r="E37" s="227" t="e">
        <f>VLOOKUP(E36,ПородиИГруппи[],5,FALSE)</f>
        <v>#N/A</v>
      </c>
      <c r="F37" s="227"/>
      <c r="G37" s="231"/>
      <c r="H37" s="231" t="s">
        <v>2465</v>
      </c>
      <c r="I37" s="220" t="s">
        <v>2466</v>
      </c>
      <c r="J37" s="231">
        <v>202504</v>
      </c>
      <c r="K37" s="228"/>
    </row>
    <row r="38" spans="1:11">
      <c r="A38" s="214"/>
      <c r="B38" s="214"/>
      <c r="C38" s="214"/>
      <c r="D38" s="226"/>
      <c r="E38" s="227">
        <f>MATCH(E36,ПородиИГруппи[список без груп порід],0)</f>
        <v>1</v>
      </c>
      <c r="F38" s="227"/>
      <c r="G38" s="231"/>
      <c r="H38" s="231" t="s">
        <v>2472</v>
      </c>
      <c r="I38" s="220" t="s">
        <v>2473</v>
      </c>
      <c r="J38" s="231">
        <v>202530</v>
      </c>
      <c r="K38" s="228"/>
    </row>
    <row r="39" spans="1:11">
      <c r="A39" s="214"/>
      <c r="B39" s="214"/>
      <c r="C39" s="214"/>
      <c r="D39" s="226"/>
      <c r="E39" s="227" t="str">
        <f>INDEX(ПородиИГруппи[],MATCH(E36,ПородиИГруппи[список без груп порід],0),MATCH("Группа порід",ПородиИГруппи[#Headers],0))</f>
        <v>Хвойні та м'яколистяні породи</v>
      </c>
      <c r="F39" s="227"/>
      <c r="G39" s="231"/>
      <c r="H39" s="231" t="s">
        <v>2483</v>
      </c>
      <c r="I39" s="220" t="s">
        <v>2484</v>
      </c>
      <c r="J39" s="231">
        <v>202555</v>
      </c>
      <c r="K39" s="228"/>
    </row>
    <row r="40" spans="1:11">
      <c r="A40" s="214"/>
      <c r="B40" s="214"/>
      <c r="C40" s="214"/>
      <c r="D40" s="226"/>
      <c r="E40" s="227" t="s">
        <v>3101</v>
      </c>
      <c r="F40" s="227"/>
      <c r="G40" s="231"/>
      <c r="H40" s="231" t="s">
        <v>2477</v>
      </c>
      <c r="I40" s="220" t="s">
        <v>2478</v>
      </c>
      <c r="J40" s="231">
        <v>202540</v>
      </c>
      <c r="K40" s="228"/>
    </row>
    <row r="41" spans="1:11">
      <c r="A41" s="214"/>
      <c r="B41" s="214"/>
      <c r="C41" s="214"/>
      <c r="D41" s="226"/>
      <c r="E41" s="227">
        <f>MATCH("Группа порід",ПородиИГруппи[#Headers],0)</f>
        <v>5</v>
      </c>
      <c r="F41" s="227"/>
      <c r="G41" s="231"/>
      <c r="H41" s="231" t="s">
        <v>2474</v>
      </c>
      <c r="I41" s="220" t="s">
        <v>2475</v>
      </c>
      <c r="J41" s="231">
        <v>202535</v>
      </c>
      <c r="K41" s="228"/>
    </row>
    <row r="42" spans="1:11">
      <c r="A42" s="214"/>
      <c r="B42" s="214"/>
      <c r="C42" s="214"/>
      <c r="D42" s="226"/>
      <c r="E42" s="227"/>
      <c r="F42" s="227"/>
      <c r="G42" s="231"/>
      <c r="H42" s="231" t="s">
        <v>2479</v>
      </c>
      <c r="I42" s="220" t="s">
        <v>2480</v>
      </c>
      <c r="J42" s="231">
        <v>202550</v>
      </c>
      <c r="K42" s="228"/>
    </row>
    <row r="43" spans="1:11">
      <c r="A43" s="214"/>
      <c r="B43" s="214"/>
      <c r="C43" s="214"/>
      <c r="D43" s="226"/>
      <c r="E43" s="227"/>
      <c r="F43" s="227"/>
      <c r="G43" s="231"/>
      <c r="H43" s="227" t="s">
        <v>2809</v>
      </c>
      <c r="I43" s="220" t="s">
        <v>2810</v>
      </c>
      <c r="J43" s="227">
        <v>818805</v>
      </c>
      <c r="K43" s="228"/>
    </row>
    <row r="44" spans="1:11">
      <c r="A44" s="214"/>
      <c r="B44" s="214"/>
      <c r="C44" s="214"/>
      <c r="D44" s="226"/>
      <c r="E44" s="227"/>
      <c r="F44" s="227"/>
      <c r="G44" s="231"/>
      <c r="H44" s="227" t="s">
        <v>2811</v>
      </c>
      <c r="I44" s="220" t="s">
        <v>2812</v>
      </c>
      <c r="J44" s="227">
        <v>818807</v>
      </c>
      <c r="K44" s="228"/>
    </row>
    <row r="45" spans="1:11">
      <c r="A45" s="214"/>
      <c r="B45" s="214"/>
      <c r="C45" s="214"/>
      <c r="D45" s="226"/>
      <c r="E45" s="227"/>
      <c r="F45" s="227"/>
      <c r="G45" s="231"/>
      <c r="H45" s="227" t="s">
        <v>2813</v>
      </c>
      <c r="I45" s="220" t="s">
        <v>2814</v>
      </c>
      <c r="J45" s="227">
        <v>818810</v>
      </c>
      <c r="K45" s="228"/>
    </row>
    <row r="46" spans="1:11">
      <c r="A46" s="214"/>
      <c r="B46" s="214"/>
      <c r="C46" s="214"/>
      <c r="D46" s="226"/>
      <c r="E46" s="227"/>
      <c r="F46" s="227"/>
      <c r="G46" s="231"/>
      <c r="H46" s="227" t="s">
        <v>2815</v>
      </c>
      <c r="I46" s="220" t="s">
        <v>2816</v>
      </c>
      <c r="J46" s="227">
        <v>818812</v>
      </c>
      <c r="K46" s="228"/>
    </row>
    <row r="47" spans="1:11">
      <c r="A47" s="214"/>
      <c r="B47" s="214"/>
      <c r="C47" s="214"/>
      <c r="D47" s="226"/>
      <c r="E47" s="227"/>
      <c r="F47" s="227"/>
      <c r="G47" s="231"/>
      <c r="H47" s="227" t="s">
        <v>2817</v>
      </c>
      <c r="I47" s="220" t="s">
        <v>2818</v>
      </c>
      <c r="J47" s="227">
        <v>818815</v>
      </c>
      <c r="K47" s="228"/>
    </row>
    <row r="48" spans="1:11">
      <c r="A48" s="214"/>
      <c r="B48" s="214"/>
      <c r="C48" s="214"/>
      <c r="D48" s="226"/>
      <c r="E48" s="227"/>
      <c r="F48" s="227"/>
      <c r="G48" s="231"/>
      <c r="H48" s="231" t="s">
        <v>2501</v>
      </c>
      <c r="I48" s="220" t="s">
        <v>2463</v>
      </c>
      <c r="J48" s="231">
        <v>304105</v>
      </c>
      <c r="K48" s="228"/>
    </row>
    <row r="49" spans="1:11">
      <c r="A49" s="214"/>
      <c r="B49" s="214"/>
      <c r="C49" s="214"/>
      <c r="D49" s="226"/>
      <c r="E49" s="227"/>
      <c r="F49" s="227"/>
      <c r="G49" s="231"/>
      <c r="H49" s="231" t="s">
        <v>2321</v>
      </c>
      <c r="I49" s="220" t="s">
        <v>2461</v>
      </c>
      <c r="J49" s="231">
        <v>304110</v>
      </c>
      <c r="K49" s="228"/>
    </row>
    <row r="50" spans="1:11">
      <c r="A50" s="214"/>
      <c r="B50" s="214"/>
      <c r="C50" s="214"/>
      <c r="D50" s="226"/>
      <c r="E50" s="227"/>
      <c r="F50" s="227"/>
      <c r="G50" s="231"/>
      <c r="H50" t="s">
        <v>3098</v>
      </c>
      <c r="I50" s="229" t="s">
        <v>3099</v>
      </c>
      <c r="J50">
        <v>827305</v>
      </c>
      <c r="K50" s="228"/>
    </row>
    <row r="51" spans="1:11">
      <c r="A51" s="214"/>
      <c r="B51" s="214"/>
      <c r="C51" s="214"/>
      <c r="D51" s="226"/>
      <c r="E51" s="227"/>
      <c r="F51" s="227"/>
      <c r="G51" s="231"/>
      <c r="H51" s="227" t="s">
        <v>2819</v>
      </c>
      <c r="I51" s="220" t="s">
        <v>2820</v>
      </c>
      <c r="J51" s="227">
        <v>819020</v>
      </c>
      <c r="K51" s="228"/>
    </row>
    <row r="52" spans="1:11">
      <c r="A52" s="214"/>
      <c r="B52" s="214"/>
      <c r="C52" s="214"/>
      <c r="D52" s="226"/>
      <c r="E52" s="227"/>
      <c r="F52" s="227"/>
      <c r="G52" s="231"/>
      <c r="H52" s="231" t="s">
        <v>2529</v>
      </c>
      <c r="I52" s="220" t="s">
        <v>2468</v>
      </c>
      <c r="J52" s="231">
        <v>304403</v>
      </c>
      <c r="K52" s="228"/>
    </row>
    <row r="53" spans="1:11">
      <c r="A53" s="214"/>
      <c r="B53" s="214"/>
      <c r="C53" s="214"/>
      <c r="D53" s="226"/>
      <c r="E53" s="227"/>
      <c r="F53" s="227"/>
      <c r="G53" s="231"/>
      <c r="H53" s="231" t="s">
        <v>2530</v>
      </c>
      <c r="I53" s="220" t="s">
        <v>2531</v>
      </c>
      <c r="J53" s="231">
        <v>304405</v>
      </c>
      <c r="K53" s="228"/>
    </row>
    <row r="54" spans="1:11">
      <c r="A54" s="214"/>
      <c r="B54" s="214"/>
      <c r="C54" s="214"/>
      <c r="D54" s="226"/>
      <c r="E54" s="227"/>
      <c r="F54" s="227"/>
      <c r="G54" s="231"/>
      <c r="H54" s="227" t="s">
        <v>2745</v>
      </c>
      <c r="I54" s="220" t="s">
        <v>2746</v>
      </c>
      <c r="J54" s="227">
        <v>804370</v>
      </c>
      <c r="K54" s="228"/>
    </row>
    <row r="55" spans="1:11">
      <c r="A55" s="214"/>
      <c r="B55" s="214"/>
      <c r="C55" s="214"/>
      <c r="D55" s="226"/>
      <c r="E55" s="227"/>
      <c r="F55" s="227"/>
      <c r="G55" s="231"/>
      <c r="H55" s="227" t="s">
        <v>2726</v>
      </c>
      <c r="I55" s="220" t="s">
        <v>2464</v>
      </c>
      <c r="J55" s="227">
        <v>804330</v>
      </c>
      <c r="K55" s="228"/>
    </row>
    <row r="56" spans="1:11">
      <c r="A56" s="214"/>
      <c r="B56" s="214"/>
      <c r="C56" s="214"/>
      <c r="D56" s="226"/>
      <c r="E56" s="227"/>
      <c r="F56" s="227"/>
      <c r="G56" s="231"/>
      <c r="H56" s="231" t="s">
        <v>2532</v>
      </c>
      <c r="I56" s="220" t="s">
        <v>2471</v>
      </c>
      <c r="J56" s="231">
        <v>304410</v>
      </c>
      <c r="K56" s="228"/>
    </row>
    <row r="57" spans="1:11">
      <c r="A57" s="214"/>
      <c r="B57" s="214"/>
      <c r="C57" s="214"/>
      <c r="D57" s="226"/>
      <c r="E57" s="227"/>
      <c r="F57" s="227"/>
      <c r="G57" s="231"/>
      <c r="H57" s="227" t="s">
        <v>2727</v>
      </c>
      <c r="I57" s="220" t="s">
        <v>2728</v>
      </c>
      <c r="J57" s="227">
        <v>804334</v>
      </c>
      <c r="K57" s="228"/>
    </row>
    <row r="58" spans="1:11">
      <c r="A58" s="214"/>
      <c r="B58" s="214"/>
      <c r="C58" s="214"/>
      <c r="D58" s="226"/>
      <c r="E58" s="227"/>
      <c r="F58" s="227"/>
      <c r="G58" s="231"/>
      <c r="H58" s="227" t="s">
        <v>2731</v>
      </c>
      <c r="I58" s="220" t="s">
        <v>2732</v>
      </c>
      <c r="J58" s="227">
        <v>804338</v>
      </c>
      <c r="K58" s="228"/>
    </row>
    <row r="59" spans="1:11">
      <c r="A59" s="214"/>
      <c r="B59" s="214"/>
      <c r="C59" s="214"/>
      <c r="D59" s="226"/>
      <c r="E59" s="227"/>
      <c r="F59" s="227"/>
      <c r="G59" s="231"/>
      <c r="H59" s="227" t="s">
        <v>2733</v>
      </c>
      <c r="I59" s="220" t="s">
        <v>2734</v>
      </c>
      <c r="J59" s="227">
        <v>804340</v>
      </c>
      <c r="K59" s="228"/>
    </row>
    <row r="60" spans="1:11">
      <c r="A60" s="214"/>
      <c r="B60" s="214"/>
      <c r="C60" s="214"/>
      <c r="D60" s="226"/>
      <c r="E60" s="227"/>
      <c r="F60" s="227"/>
      <c r="G60" s="231"/>
      <c r="H60" s="227" t="s">
        <v>2737</v>
      </c>
      <c r="I60" s="220" t="s">
        <v>2738</v>
      </c>
      <c r="J60" s="227">
        <v>804345</v>
      </c>
      <c r="K60" s="228"/>
    </row>
    <row r="61" spans="1:11">
      <c r="A61" s="214"/>
      <c r="B61" s="214"/>
      <c r="C61" s="214"/>
      <c r="D61" s="226"/>
      <c r="E61" s="227"/>
      <c r="F61" s="227"/>
      <c r="G61" s="231"/>
      <c r="H61" s="227" t="s">
        <v>2735</v>
      </c>
      <c r="I61" s="220" t="s">
        <v>2736</v>
      </c>
      <c r="J61" s="227">
        <v>804343</v>
      </c>
      <c r="K61" s="228"/>
    </row>
    <row r="62" spans="1:11">
      <c r="A62" s="214"/>
      <c r="B62" s="214"/>
      <c r="C62" s="214"/>
      <c r="D62" s="226"/>
      <c r="E62" s="227"/>
      <c r="F62" s="227"/>
      <c r="G62" s="231"/>
      <c r="H62" s="227" t="s">
        <v>2739</v>
      </c>
      <c r="I62" s="220" t="s">
        <v>2740</v>
      </c>
      <c r="J62" s="227">
        <v>804346</v>
      </c>
      <c r="K62" s="228"/>
    </row>
    <row r="63" spans="1:11">
      <c r="A63" s="214"/>
      <c r="B63" s="214"/>
      <c r="C63" s="214"/>
      <c r="D63" s="226"/>
      <c r="E63" s="227"/>
      <c r="F63" s="227"/>
      <c r="G63" s="231"/>
      <c r="H63" s="227" t="s">
        <v>2741</v>
      </c>
      <c r="I63" s="220" t="s">
        <v>2742</v>
      </c>
      <c r="J63" s="227">
        <v>804361</v>
      </c>
      <c r="K63" s="228"/>
    </row>
    <row r="64" spans="1:11">
      <c r="A64" s="214"/>
      <c r="B64" s="214"/>
      <c r="C64" s="214"/>
      <c r="D64" s="226"/>
      <c r="E64" s="227"/>
      <c r="F64" s="227"/>
      <c r="G64" s="231"/>
      <c r="H64" s="227" t="s">
        <v>2743</v>
      </c>
      <c r="I64" s="220" t="s">
        <v>2744</v>
      </c>
      <c r="J64" s="227">
        <v>804365</v>
      </c>
      <c r="K64" s="228"/>
    </row>
    <row r="65" spans="1:11">
      <c r="A65" s="214"/>
      <c r="B65" s="214"/>
      <c r="C65" s="214"/>
      <c r="D65" s="226"/>
      <c r="E65" s="227"/>
      <c r="F65" s="227"/>
      <c r="G65" s="231"/>
      <c r="H65" s="227" t="s">
        <v>2747</v>
      </c>
      <c r="I65" s="220" t="s">
        <v>2748</v>
      </c>
      <c r="J65" s="227">
        <v>804371</v>
      </c>
      <c r="K65" s="228"/>
    </row>
    <row r="66" spans="1:11">
      <c r="A66" s="214"/>
      <c r="B66" s="214"/>
      <c r="C66" s="214"/>
      <c r="D66" s="226"/>
      <c r="E66" s="227"/>
      <c r="F66" s="227"/>
      <c r="G66" s="231"/>
      <c r="H66" s="227" t="s">
        <v>2749</v>
      </c>
      <c r="I66" s="220" t="s">
        <v>2750</v>
      </c>
      <c r="J66" s="227">
        <v>804380</v>
      </c>
      <c r="K66" s="228"/>
    </row>
    <row r="67" spans="1:11">
      <c r="A67" s="214"/>
      <c r="B67" s="214"/>
      <c r="C67" s="214"/>
      <c r="D67" s="226"/>
      <c r="E67" s="227"/>
      <c r="F67" s="227"/>
      <c r="G67" s="231"/>
      <c r="H67" s="227" t="s">
        <v>2603</v>
      </c>
      <c r="I67" s="220" t="s">
        <v>2405</v>
      </c>
      <c r="J67" s="227">
        <v>508750</v>
      </c>
      <c r="K67" s="228"/>
    </row>
    <row r="68" spans="1:11">
      <c r="A68" s="214"/>
      <c r="B68" s="214"/>
      <c r="C68" s="214"/>
      <c r="D68" s="226"/>
      <c r="E68" s="227"/>
      <c r="F68" s="227"/>
      <c r="G68" s="231"/>
      <c r="H68" s="227" t="s">
        <v>2601</v>
      </c>
      <c r="I68" s="220" t="s">
        <v>2602</v>
      </c>
      <c r="J68" s="227">
        <v>508740</v>
      </c>
      <c r="K68" s="228"/>
    </row>
    <row r="69" spans="1:11">
      <c r="A69" s="214"/>
      <c r="B69" s="214"/>
      <c r="C69" s="214"/>
      <c r="D69" s="226"/>
      <c r="E69" s="227"/>
      <c r="F69" s="227"/>
      <c r="G69" s="231"/>
      <c r="H69" s="227" t="s">
        <v>2597</v>
      </c>
      <c r="I69" s="220" t="s">
        <v>2598</v>
      </c>
      <c r="J69" s="227">
        <v>508710</v>
      </c>
      <c r="K69" s="228"/>
    </row>
    <row r="70" spans="1:11">
      <c r="A70" s="214"/>
      <c r="B70" s="214"/>
      <c r="C70" s="214"/>
      <c r="D70" s="226"/>
      <c r="E70" s="227"/>
      <c r="F70" s="227"/>
      <c r="G70" s="231"/>
      <c r="H70" s="227" t="s">
        <v>2599</v>
      </c>
      <c r="I70" s="220" t="s">
        <v>2600</v>
      </c>
      <c r="J70" s="227">
        <v>508720</v>
      </c>
      <c r="K70" s="228"/>
    </row>
    <row r="71" spans="1:11">
      <c r="A71" s="214"/>
      <c r="B71" s="214"/>
      <c r="C71" s="214"/>
      <c r="D71" s="226"/>
      <c r="E71" s="227"/>
      <c r="F71" s="227"/>
      <c r="G71" s="231"/>
      <c r="H71" s="227" t="s">
        <v>2825</v>
      </c>
      <c r="I71" s="220" t="s">
        <v>2826</v>
      </c>
      <c r="J71" s="227">
        <v>819028</v>
      </c>
      <c r="K71" s="228"/>
    </row>
    <row r="72" spans="1:11">
      <c r="A72" s="214"/>
      <c r="B72" s="214"/>
      <c r="C72" s="214"/>
      <c r="D72" s="226"/>
      <c r="E72" s="227"/>
      <c r="F72" s="227"/>
      <c r="G72" s="231"/>
      <c r="H72" s="227" t="s">
        <v>2821</v>
      </c>
      <c r="I72" s="220" t="s">
        <v>2822</v>
      </c>
      <c r="J72" s="227">
        <v>819025</v>
      </c>
      <c r="K72" s="228"/>
    </row>
    <row r="73" spans="1:11">
      <c r="A73" s="214"/>
      <c r="B73" s="214"/>
      <c r="C73" s="214"/>
      <c r="D73" s="226"/>
      <c r="E73" s="227"/>
      <c r="F73" s="227"/>
      <c r="G73" s="231"/>
      <c r="H73" s="227" t="s">
        <v>2823</v>
      </c>
      <c r="I73" s="220" t="s">
        <v>2824</v>
      </c>
      <c r="J73" s="227">
        <v>819027</v>
      </c>
      <c r="K73" s="228"/>
    </row>
    <row r="74" spans="1:11">
      <c r="A74" s="214"/>
      <c r="B74" s="214"/>
      <c r="C74" s="214"/>
      <c r="D74" s="226"/>
      <c r="E74" s="227"/>
      <c r="F74" s="227"/>
      <c r="G74" s="231"/>
      <c r="H74" s="227" t="s">
        <v>2604</v>
      </c>
      <c r="I74" s="220" t="s">
        <v>2605</v>
      </c>
      <c r="J74" s="227">
        <v>508905</v>
      </c>
      <c r="K74" s="228"/>
    </row>
    <row r="75" spans="1:11">
      <c r="A75" s="214"/>
      <c r="B75" s="214"/>
      <c r="C75" s="214"/>
      <c r="D75" s="226"/>
      <c r="E75" s="227"/>
      <c r="F75" s="227"/>
      <c r="G75" s="231"/>
      <c r="H75" s="227" t="s">
        <v>3020</v>
      </c>
      <c r="I75" s="220" t="s">
        <v>3021</v>
      </c>
      <c r="J75" s="227">
        <v>824310</v>
      </c>
      <c r="K75" s="228"/>
    </row>
    <row r="76" spans="1:11">
      <c r="A76" s="214"/>
      <c r="B76" s="214"/>
      <c r="C76" s="214"/>
      <c r="D76" s="226"/>
      <c r="E76" s="227"/>
      <c r="F76" s="227"/>
      <c r="G76" s="231"/>
      <c r="H76" s="227" t="s">
        <v>2775</v>
      </c>
      <c r="I76" s="220" t="s">
        <v>2776</v>
      </c>
      <c r="J76" s="227">
        <v>818408</v>
      </c>
      <c r="K76" s="228"/>
    </row>
    <row r="77" spans="1:11">
      <c r="A77" s="214"/>
      <c r="B77" s="214"/>
      <c r="C77" s="214"/>
      <c r="D77" s="226"/>
      <c r="E77" s="227"/>
      <c r="F77" s="227"/>
      <c r="G77" s="231"/>
      <c r="H77" s="227" t="s">
        <v>2779</v>
      </c>
      <c r="I77" s="220" t="s">
        <v>2780</v>
      </c>
      <c r="J77" s="227">
        <v>818418</v>
      </c>
      <c r="K77" s="228"/>
    </row>
    <row r="78" spans="1:11">
      <c r="A78" s="214"/>
      <c r="B78" s="214"/>
      <c r="C78" s="214"/>
      <c r="D78" s="226"/>
      <c r="E78" s="227"/>
      <c r="F78" s="227"/>
      <c r="G78" s="231"/>
      <c r="H78" s="227" t="s">
        <v>2789</v>
      </c>
      <c r="I78" s="220" t="s">
        <v>2790</v>
      </c>
      <c r="J78" s="227">
        <v>818435</v>
      </c>
      <c r="K78" s="228"/>
    </row>
    <row r="79" spans="1:11">
      <c r="A79" s="214"/>
      <c r="B79" s="214"/>
      <c r="C79" s="214"/>
      <c r="D79" s="226"/>
      <c r="E79" s="227"/>
      <c r="F79" s="227"/>
      <c r="G79" s="231"/>
      <c r="H79" s="227" t="s">
        <v>2781</v>
      </c>
      <c r="I79" s="220" t="s">
        <v>2782</v>
      </c>
      <c r="J79" s="227">
        <v>818422</v>
      </c>
      <c r="K79" s="228"/>
    </row>
    <row r="80" spans="1:11">
      <c r="A80" s="214"/>
      <c r="B80" s="214"/>
      <c r="C80" s="214"/>
      <c r="D80" s="226"/>
      <c r="E80" s="227"/>
      <c r="F80" s="227"/>
      <c r="G80" s="231"/>
      <c r="H80" s="227" t="s">
        <v>2783</v>
      </c>
      <c r="I80" s="220" t="s">
        <v>2784</v>
      </c>
      <c r="J80" s="227">
        <v>818428</v>
      </c>
      <c r="K80" s="228"/>
    </row>
    <row r="81" spans="1:11">
      <c r="A81" s="214"/>
      <c r="B81" s="214"/>
      <c r="C81" s="214"/>
      <c r="D81" s="226"/>
      <c r="E81" s="227"/>
      <c r="F81" s="227"/>
      <c r="G81" s="231"/>
      <c r="H81" s="227" t="s">
        <v>2785</v>
      </c>
      <c r="I81" s="220" t="s">
        <v>2786</v>
      </c>
      <c r="J81" s="227">
        <v>818431</v>
      </c>
      <c r="K81" s="228"/>
    </row>
    <row r="82" spans="1:11">
      <c r="A82" s="214"/>
      <c r="B82" s="214"/>
      <c r="C82" s="214"/>
      <c r="D82" s="226"/>
      <c r="E82" s="227"/>
      <c r="F82" s="227"/>
      <c r="G82" s="231"/>
      <c r="H82" s="227" t="s">
        <v>2801</v>
      </c>
      <c r="I82" s="220" t="s">
        <v>2802</v>
      </c>
      <c r="J82" s="227">
        <v>818450</v>
      </c>
      <c r="K82" s="228"/>
    </row>
    <row r="83" spans="1:11">
      <c r="A83" s="214"/>
      <c r="B83" s="214"/>
      <c r="C83" s="214"/>
      <c r="D83" s="226"/>
      <c r="E83" s="227"/>
      <c r="F83" s="227"/>
      <c r="G83" s="231"/>
      <c r="H83" s="227" t="s">
        <v>2787</v>
      </c>
      <c r="I83" s="220" t="s">
        <v>2788</v>
      </c>
      <c r="J83" s="227">
        <v>818432</v>
      </c>
      <c r="K83" s="228"/>
    </row>
    <row r="84" spans="1:11">
      <c r="A84" s="214"/>
      <c r="B84" s="214"/>
      <c r="C84" s="214"/>
      <c r="D84" s="226"/>
      <c r="E84" s="227"/>
      <c r="F84" s="227"/>
      <c r="G84" s="231"/>
      <c r="H84" s="227" t="s">
        <v>2791</v>
      </c>
      <c r="I84" s="220" t="s">
        <v>2792</v>
      </c>
      <c r="J84" s="227">
        <v>818436</v>
      </c>
      <c r="K84" s="228"/>
    </row>
    <row r="85" spans="1:11">
      <c r="A85" s="214"/>
      <c r="B85" s="214"/>
      <c r="C85" s="214"/>
      <c r="D85" s="226"/>
      <c r="E85" s="227"/>
      <c r="F85" s="227"/>
      <c r="G85" s="231"/>
      <c r="H85" s="227" t="s">
        <v>2793</v>
      </c>
      <c r="I85" s="220" t="s">
        <v>2794</v>
      </c>
      <c r="J85" s="227">
        <v>818437</v>
      </c>
      <c r="K85" s="228"/>
    </row>
    <row r="86" spans="1:11">
      <c r="A86" s="214"/>
      <c r="B86" s="214"/>
      <c r="C86" s="214"/>
      <c r="D86" s="226"/>
      <c r="E86" s="227"/>
      <c r="F86" s="227"/>
      <c r="G86" s="231"/>
      <c r="H86" s="227" t="s">
        <v>2797</v>
      </c>
      <c r="I86" s="220" t="s">
        <v>2798</v>
      </c>
      <c r="J86" s="227">
        <v>818439</v>
      </c>
      <c r="K86" s="228"/>
    </row>
    <row r="87" spans="1:11">
      <c r="A87" s="214"/>
      <c r="B87" s="214"/>
      <c r="C87" s="214"/>
      <c r="D87" s="226"/>
      <c r="E87" s="227"/>
      <c r="F87" s="227"/>
      <c r="G87" s="231"/>
      <c r="H87" s="227" t="s">
        <v>2795</v>
      </c>
      <c r="I87" s="220" t="s">
        <v>2796</v>
      </c>
      <c r="J87" s="227">
        <v>818438</v>
      </c>
      <c r="K87" s="228"/>
    </row>
    <row r="88" spans="1:11">
      <c r="A88" s="214"/>
      <c r="B88" s="214"/>
      <c r="C88" s="214"/>
      <c r="D88" s="226"/>
      <c r="E88" s="227"/>
      <c r="F88" s="227"/>
      <c r="G88" s="231"/>
      <c r="H88" s="227" t="s">
        <v>2799</v>
      </c>
      <c r="I88" s="220" t="s">
        <v>2800</v>
      </c>
      <c r="J88" s="227">
        <v>818448</v>
      </c>
      <c r="K88" s="228"/>
    </row>
    <row r="89" spans="1:11">
      <c r="A89" s="214"/>
      <c r="B89" s="214"/>
      <c r="C89" s="214"/>
      <c r="D89" s="226"/>
      <c r="E89" s="227"/>
      <c r="F89" s="227"/>
      <c r="G89" s="231"/>
      <c r="H89" s="227" t="s">
        <v>2803</v>
      </c>
      <c r="I89" s="220" t="s">
        <v>2804</v>
      </c>
      <c r="J89" s="227">
        <v>818454</v>
      </c>
      <c r="K89" s="228"/>
    </row>
    <row r="90" spans="1:11">
      <c r="A90" s="214"/>
      <c r="B90" s="214"/>
      <c r="C90" s="214"/>
      <c r="D90" s="226"/>
      <c r="E90" s="227"/>
      <c r="F90" s="227"/>
      <c r="G90" s="231"/>
      <c r="H90" s="227" t="s">
        <v>2777</v>
      </c>
      <c r="I90" s="220" t="s">
        <v>2778</v>
      </c>
      <c r="J90" s="227">
        <v>818410</v>
      </c>
      <c r="K90" s="228"/>
    </row>
    <row r="91" spans="1:11">
      <c r="A91" s="214"/>
      <c r="B91" s="214"/>
      <c r="C91" s="214"/>
      <c r="D91" s="226"/>
      <c r="E91" s="227"/>
      <c r="F91" s="227"/>
      <c r="G91" s="231"/>
      <c r="H91" s="227" t="s">
        <v>2805</v>
      </c>
      <c r="I91" s="220" t="s">
        <v>2806</v>
      </c>
      <c r="J91" s="227">
        <v>818460</v>
      </c>
      <c r="K91" s="228"/>
    </row>
    <row r="92" spans="1:11">
      <c r="A92" s="214"/>
      <c r="B92" s="214"/>
      <c r="C92" s="214"/>
      <c r="D92" s="226"/>
      <c r="E92" s="227"/>
      <c r="F92" s="227"/>
      <c r="G92" s="231"/>
      <c r="H92" s="231" t="s">
        <v>2347</v>
      </c>
      <c r="I92" s="220" t="s">
        <v>2365</v>
      </c>
      <c r="J92" s="231">
        <v>202210</v>
      </c>
      <c r="K92" s="228"/>
    </row>
    <row r="93" spans="1:11">
      <c r="A93" s="214"/>
      <c r="B93" s="214"/>
      <c r="C93" s="214"/>
      <c r="D93" s="226"/>
      <c r="E93" s="227"/>
      <c r="F93" s="227"/>
      <c r="G93" s="231"/>
      <c r="H93" s="227" t="s">
        <v>2627</v>
      </c>
      <c r="I93" s="220" t="s">
        <v>2628</v>
      </c>
      <c r="J93" s="227">
        <v>509920</v>
      </c>
      <c r="K93" s="228"/>
    </row>
    <row r="94" spans="1:11">
      <c r="A94" s="214"/>
      <c r="B94" s="214"/>
      <c r="C94" s="214"/>
      <c r="D94" s="226"/>
      <c r="E94" s="227"/>
      <c r="F94" s="227"/>
      <c r="G94" s="231"/>
      <c r="H94" s="231" t="s">
        <v>2488</v>
      </c>
      <c r="I94" s="220" t="s">
        <v>2489</v>
      </c>
      <c r="J94" s="231">
        <v>208810</v>
      </c>
      <c r="K94" s="228"/>
    </row>
    <row r="95" spans="1:11">
      <c r="A95" s="214"/>
      <c r="B95" s="214"/>
      <c r="C95" s="214"/>
      <c r="D95" s="226"/>
      <c r="E95" s="227"/>
      <c r="F95" s="227"/>
      <c r="G95" s="231"/>
      <c r="H95" s="231" t="s">
        <v>2486</v>
      </c>
      <c r="I95" s="220" t="s">
        <v>2487</v>
      </c>
      <c r="J95" s="231">
        <v>208805</v>
      </c>
      <c r="K95" s="228"/>
    </row>
    <row r="96" spans="1:11">
      <c r="A96" s="214"/>
      <c r="B96" s="214"/>
      <c r="C96" s="214"/>
      <c r="D96" s="226"/>
      <c r="E96" s="227"/>
      <c r="F96" s="227"/>
      <c r="G96" s="231"/>
      <c r="H96" s="227" t="s">
        <v>2899</v>
      </c>
      <c r="I96" s="220" t="s">
        <v>2900</v>
      </c>
      <c r="J96" s="227">
        <v>820830</v>
      </c>
      <c r="K96" s="228"/>
    </row>
    <row r="97" spans="1:11">
      <c r="A97" s="214"/>
      <c r="B97" s="214"/>
      <c r="C97" s="214"/>
      <c r="D97" s="226"/>
      <c r="E97" s="227"/>
      <c r="F97" s="227"/>
      <c r="G97" s="231"/>
      <c r="H97" s="227" t="s">
        <v>2669</v>
      </c>
      <c r="I97" s="220" t="s">
        <v>2670</v>
      </c>
      <c r="J97" s="227">
        <v>511833</v>
      </c>
      <c r="K97" s="228"/>
    </row>
    <row r="98" spans="1:11">
      <c r="A98" s="214"/>
      <c r="B98" s="214"/>
      <c r="C98" s="214"/>
      <c r="D98" s="226"/>
      <c r="E98" s="227"/>
      <c r="F98" s="227"/>
      <c r="G98" s="231"/>
      <c r="H98" s="227" t="s">
        <v>2416</v>
      </c>
      <c r="I98" s="220" t="s">
        <v>2417</v>
      </c>
      <c r="J98" s="227">
        <v>511845</v>
      </c>
      <c r="K98" s="228"/>
    </row>
    <row r="99" spans="1:11">
      <c r="A99" s="214"/>
      <c r="B99" s="214"/>
      <c r="C99" s="214"/>
      <c r="D99" s="226"/>
      <c r="E99" s="227"/>
      <c r="F99" s="227"/>
      <c r="G99" s="231"/>
      <c r="H99" s="227" t="s">
        <v>2673</v>
      </c>
      <c r="I99" s="220" t="s">
        <v>2674</v>
      </c>
      <c r="J99" s="227">
        <v>511843</v>
      </c>
      <c r="K99" s="228"/>
    </row>
    <row r="100" spans="1:11">
      <c r="A100" s="214"/>
      <c r="B100" s="214"/>
      <c r="C100" s="214"/>
      <c r="D100" s="226"/>
      <c r="E100" s="227"/>
      <c r="F100" s="227"/>
      <c r="G100" s="227"/>
      <c r="H100" s="227" t="s">
        <v>2671</v>
      </c>
      <c r="I100" s="220" t="s">
        <v>2672</v>
      </c>
      <c r="J100" s="227">
        <v>511839</v>
      </c>
      <c r="K100" s="228"/>
    </row>
    <row r="101" spans="1:11">
      <c r="A101" s="214"/>
      <c r="B101" s="214"/>
      <c r="C101" s="214"/>
      <c r="D101" s="226"/>
      <c r="E101" s="227"/>
      <c r="F101" s="227"/>
      <c r="G101" s="227"/>
      <c r="H101" s="227" t="s">
        <v>2584</v>
      </c>
      <c r="I101" s="220" t="s">
        <v>2585</v>
      </c>
      <c r="J101" s="227">
        <v>502220</v>
      </c>
      <c r="K101" s="228"/>
    </row>
    <row r="102" spans="1:11">
      <c r="A102" s="214"/>
      <c r="B102" s="214"/>
      <c r="C102" s="214"/>
      <c r="D102" s="226"/>
      <c r="E102" s="227"/>
      <c r="F102" s="227"/>
      <c r="G102" s="227"/>
      <c r="H102" s="227" t="s">
        <v>2653</v>
      </c>
      <c r="I102" s="220" t="s">
        <v>2389</v>
      </c>
      <c r="J102" s="227">
        <v>511305</v>
      </c>
      <c r="K102" s="228"/>
    </row>
    <row r="103" spans="1:11">
      <c r="A103" s="214"/>
      <c r="B103" s="214"/>
      <c r="C103" s="214"/>
      <c r="D103" s="226"/>
      <c r="E103" s="227"/>
      <c r="F103" s="227"/>
      <c r="G103" s="227"/>
      <c r="H103" s="227" t="s">
        <v>2654</v>
      </c>
      <c r="I103" s="220" t="s">
        <v>2655</v>
      </c>
      <c r="J103" s="227">
        <v>511310</v>
      </c>
      <c r="K103" s="228"/>
    </row>
    <row r="104" spans="1:11">
      <c r="A104" s="214"/>
      <c r="B104" s="214"/>
      <c r="C104" s="214"/>
      <c r="D104" s="226"/>
      <c r="E104" s="227"/>
      <c r="F104" s="227"/>
      <c r="G104" s="227"/>
      <c r="H104" s="227" t="s">
        <v>2656</v>
      </c>
      <c r="I104" s="220" t="s">
        <v>2657</v>
      </c>
      <c r="J104" s="227">
        <v>511315</v>
      </c>
      <c r="K104" s="228"/>
    </row>
    <row r="105" spans="1:11">
      <c r="A105" s="214"/>
      <c r="B105" s="214"/>
      <c r="C105" s="214"/>
      <c r="D105" s="226"/>
      <c r="E105" s="227"/>
      <c r="F105" s="227"/>
      <c r="G105" s="227"/>
      <c r="H105" s="227" t="s">
        <v>2658</v>
      </c>
      <c r="I105" s="220" t="s">
        <v>2659</v>
      </c>
      <c r="J105" s="227">
        <v>511320</v>
      </c>
      <c r="K105" s="228"/>
    </row>
    <row r="106" spans="1:11">
      <c r="A106" s="214"/>
      <c r="B106" s="214"/>
      <c r="C106" s="214"/>
      <c r="D106" s="226"/>
      <c r="E106" s="227"/>
      <c r="F106" s="227"/>
      <c r="G106" s="227"/>
      <c r="H106" s="227" t="s">
        <v>2660</v>
      </c>
      <c r="I106" s="220" t="s">
        <v>2385</v>
      </c>
      <c r="J106" s="227">
        <v>511325</v>
      </c>
      <c r="K106" s="228"/>
    </row>
    <row r="107" spans="1:11">
      <c r="A107" s="214"/>
      <c r="B107" s="214"/>
      <c r="C107" s="214"/>
      <c r="D107" s="226"/>
      <c r="E107" s="227"/>
      <c r="F107" s="227"/>
      <c r="G107" s="227"/>
      <c r="H107" s="227" t="s">
        <v>2608</v>
      </c>
      <c r="I107" s="220" t="s">
        <v>2393</v>
      </c>
      <c r="J107" s="227">
        <v>509025</v>
      </c>
      <c r="K107" s="228"/>
    </row>
    <row r="108" spans="1:11">
      <c r="A108" s="214"/>
      <c r="B108" s="214"/>
      <c r="C108" s="214"/>
      <c r="D108" s="226"/>
      <c r="E108" s="227"/>
      <c r="F108" s="227"/>
      <c r="G108" s="227"/>
      <c r="H108" s="227" t="s">
        <v>2606</v>
      </c>
      <c r="I108" s="220" t="s">
        <v>2607</v>
      </c>
      <c r="J108" s="227">
        <v>509020</v>
      </c>
      <c r="K108" s="228"/>
    </row>
    <row r="109" spans="1:11">
      <c r="A109" s="214"/>
      <c r="B109" s="214"/>
      <c r="C109" s="214"/>
      <c r="D109" s="226"/>
      <c r="E109" s="227"/>
      <c r="F109" s="227"/>
      <c r="G109" s="227"/>
      <c r="H109" s="231" t="s">
        <v>2406</v>
      </c>
      <c r="I109" s="220" t="s">
        <v>2407</v>
      </c>
      <c r="J109" s="231">
        <v>202055</v>
      </c>
      <c r="K109" s="228"/>
    </row>
    <row r="110" spans="1:11">
      <c r="A110" s="214"/>
      <c r="B110" s="214"/>
      <c r="C110" s="214"/>
      <c r="D110" s="226"/>
      <c r="E110" s="227"/>
      <c r="F110" s="227"/>
      <c r="G110" s="227"/>
      <c r="H110" s="227" t="s">
        <v>2835</v>
      </c>
      <c r="I110" s="220" t="s">
        <v>2836</v>
      </c>
      <c r="J110" s="227">
        <v>819405</v>
      </c>
      <c r="K110" s="228"/>
    </row>
    <row r="111" spans="1:11">
      <c r="A111" s="214"/>
      <c r="B111" s="214"/>
      <c r="C111" s="214"/>
      <c r="D111" s="226"/>
      <c r="E111" s="227"/>
      <c r="F111" s="227"/>
      <c r="G111" s="227"/>
      <c r="H111" s="227" t="s">
        <v>2837</v>
      </c>
      <c r="I111" s="220" t="s">
        <v>2838</v>
      </c>
      <c r="J111" s="227">
        <v>819410</v>
      </c>
      <c r="K111" s="228"/>
    </row>
    <row r="112" spans="1:11">
      <c r="A112" s="214"/>
      <c r="B112" s="214"/>
      <c r="C112" s="214"/>
      <c r="D112" s="226"/>
      <c r="E112" s="227"/>
      <c r="F112" s="227"/>
      <c r="G112" s="227"/>
      <c r="H112" s="227" t="s">
        <v>2566</v>
      </c>
      <c r="I112" s="220" t="s">
        <v>2567</v>
      </c>
      <c r="J112" s="227">
        <v>406420</v>
      </c>
      <c r="K112" s="228"/>
    </row>
    <row r="113" spans="1:11">
      <c r="A113" s="214"/>
      <c r="B113" s="214"/>
      <c r="C113" s="214"/>
      <c r="D113" s="226"/>
      <c r="E113" s="227"/>
      <c r="F113" s="227"/>
      <c r="G113" s="227"/>
      <c r="H113" s="231" t="s">
        <v>2399</v>
      </c>
      <c r="I113" s="220" t="s">
        <v>2400</v>
      </c>
      <c r="J113" s="231">
        <v>202020</v>
      </c>
      <c r="K113" s="228"/>
    </row>
    <row r="114" spans="1:11">
      <c r="A114" s="214"/>
      <c r="B114" s="214"/>
      <c r="C114" s="214"/>
      <c r="D114" s="226"/>
      <c r="E114" s="227"/>
      <c r="F114" s="227"/>
      <c r="G114" s="227"/>
      <c r="H114" s="231" t="s">
        <v>2394</v>
      </c>
      <c r="I114" s="220" t="s">
        <v>2395</v>
      </c>
      <c r="J114" s="231">
        <v>202015</v>
      </c>
      <c r="K114" s="228"/>
    </row>
    <row r="115" spans="1:11">
      <c r="A115" s="214"/>
      <c r="B115" s="214"/>
      <c r="C115" s="214"/>
      <c r="D115" s="226"/>
      <c r="E115" s="227"/>
      <c r="F115" s="227"/>
      <c r="G115" s="227"/>
      <c r="H115" s="227" t="s">
        <v>2853</v>
      </c>
      <c r="I115" s="220" t="s">
        <v>2854</v>
      </c>
      <c r="J115" s="227">
        <v>819805</v>
      </c>
      <c r="K115" s="228"/>
    </row>
    <row r="116" spans="1:11">
      <c r="A116" s="214"/>
      <c r="B116" s="214"/>
      <c r="C116" s="214"/>
      <c r="D116" s="226"/>
      <c r="E116" s="227"/>
      <c r="F116" s="227"/>
      <c r="G116" s="227"/>
      <c r="H116" s="231" t="s">
        <v>2305</v>
      </c>
      <c r="I116" s="220" t="s">
        <v>2306</v>
      </c>
      <c r="J116" s="231">
        <v>202080</v>
      </c>
      <c r="K116" s="228"/>
    </row>
    <row r="117" spans="1:11">
      <c r="A117" s="214"/>
      <c r="B117" s="214"/>
      <c r="C117" s="214"/>
      <c r="D117" s="226"/>
      <c r="E117" s="227"/>
      <c r="F117" s="227"/>
      <c r="G117" s="227"/>
      <c r="H117" s="231" t="s">
        <v>2402</v>
      </c>
      <c r="I117" s="220" t="s">
        <v>2403</v>
      </c>
      <c r="J117" s="231">
        <v>202045</v>
      </c>
      <c r="K117" s="228"/>
    </row>
    <row r="118" spans="1:11">
      <c r="A118" s="214"/>
      <c r="B118" s="214"/>
      <c r="C118" s="214"/>
      <c r="D118" s="226"/>
      <c r="E118" s="227"/>
      <c r="F118" s="227"/>
      <c r="G118" s="227"/>
      <c r="H118" s="231" t="s">
        <v>2410</v>
      </c>
      <c r="I118" s="220" t="s">
        <v>2411</v>
      </c>
      <c r="J118" s="231">
        <v>202070</v>
      </c>
      <c r="K118" s="228"/>
    </row>
    <row r="119" spans="1:11">
      <c r="A119" s="214"/>
      <c r="B119" s="214"/>
      <c r="C119" s="214"/>
      <c r="D119" s="226"/>
      <c r="E119" s="227"/>
      <c r="F119" s="227"/>
      <c r="G119" s="227"/>
      <c r="H119" s="227" t="s">
        <v>3086</v>
      </c>
      <c r="I119" s="220" t="s">
        <v>3087</v>
      </c>
      <c r="J119" s="227">
        <v>826705</v>
      </c>
      <c r="K119" s="228"/>
    </row>
    <row r="120" spans="1:11">
      <c r="A120" s="214"/>
      <c r="B120" s="214"/>
      <c r="C120" s="214"/>
      <c r="D120" s="226"/>
      <c r="E120" s="227"/>
      <c r="F120" s="227"/>
      <c r="G120" s="227"/>
      <c r="H120" s="227" t="s">
        <v>3088</v>
      </c>
      <c r="I120" s="220" t="s">
        <v>3089</v>
      </c>
      <c r="J120" s="227">
        <v>826715</v>
      </c>
      <c r="K120" s="228"/>
    </row>
    <row r="121" spans="1:11">
      <c r="A121" s="214"/>
      <c r="B121" s="214"/>
      <c r="C121" s="214"/>
      <c r="D121" s="226"/>
      <c r="E121" s="227"/>
      <c r="F121" s="227"/>
      <c r="G121" s="227"/>
      <c r="H121" s="227" t="s">
        <v>3090</v>
      </c>
      <c r="I121" s="220" t="s">
        <v>3091</v>
      </c>
      <c r="J121" s="227">
        <v>826720</v>
      </c>
      <c r="K121" s="228"/>
    </row>
    <row r="122" spans="1:11">
      <c r="A122" s="214"/>
      <c r="B122" s="214"/>
      <c r="C122" s="214"/>
      <c r="D122" s="226"/>
      <c r="E122" s="227"/>
      <c r="F122" s="227"/>
      <c r="G122" s="227"/>
      <c r="H122" s="227" t="s">
        <v>3092</v>
      </c>
      <c r="I122" s="220" t="s">
        <v>3093</v>
      </c>
      <c r="J122" s="227">
        <v>826730</v>
      </c>
      <c r="K122" s="228"/>
    </row>
    <row r="123" spans="1:11">
      <c r="A123" s="214"/>
      <c r="B123" s="214"/>
      <c r="C123" s="214"/>
      <c r="D123" s="226"/>
      <c r="E123" s="227"/>
      <c r="F123" s="227"/>
      <c r="G123" s="227"/>
      <c r="H123" s="227" t="s">
        <v>3094</v>
      </c>
      <c r="I123" s="220" t="s">
        <v>3095</v>
      </c>
      <c r="J123" s="227">
        <v>826740</v>
      </c>
      <c r="K123" s="228"/>
    </row>
    <row r="124" spans="1:11">
      <c r="A124" s="214"/>
      <c r="B124" s="214"/>
      <c r="C124" s="214"/>
      <c r="D124" s="226"/>
      <c r="E124" s="227"/>
      <c r="F124" s="227"/>
      <c r="G124" s="227"/>
      <c r="H124" t="s">
        <v>3096</v>
      </c>
      <c r="I124" s="229" t="s">
        <v>3097</v>
      </c>
      <c r="J124">
        <v>826745</v>
      </c>
      <c r="K124" s="228"/>
    </row>
    <row r="125" spans="1:11">
      <c r="A125" s="214"/>
      <c r="B125" s="214"/>
      <c r="C125" s="214"/>
      <c r="D125" s="226"/>
      <c r="E125" s="227"/>
      <c r="F125" s="227"/>
      <c r="G125" s="227"/>
      <c r="H125" s="231" t="s">
        <v>2414</v>
      </c>
      <c r="I125" s="220" t="s">
        <v>2415</v>
      </c>
      <c r="J125" s="231">
        <v>202075</v>
      </c>
      <c r="K125" s="228"/>
    </row>
    <row r="126" spans="1:11">
      <c r="A126" s="214"/>
      <c r="B126" s="214"/>
      <c r="C126" s="214"/>
      <c r="D126" s="226"/>
      <c r="E126" s="227"/>
      <c r="F126" s="227"/>
      <c r="G126" s="227"/>
      <c r="H126" s="227" t="s">
        <v>2589</v>
      </c>
      <c r="I126" s="220" t="s">
        <v>2590</v>
      </c>
      <c r="J126" s="227">
        <v>504020</v>
      </c>
      <c r="K126" s="228"/>
    </row>
    <row r="127" spans="1:11">
      <c r="A127" s="214"/>
      <c r="B127" s="214"/>
      <c r="C127" s="214"/>
      <c r="D127" s="226"/>
      <c r="E127" s="227"/>
      <c r="F127" s="227"/>
      <c r="G127" s="227"/>
      <c r="H127" s="227" t="s">
        <v>2839</v>
      </c>
      <c r="I127" s="220" t="s">
        <v>2840</v>
      </c>
      <c r="J127" s="227">
        <v>819510</v>
      </c>
      <c r="K127" s="228"/>
    </row>
    <row r="128" spans="1:11">
      <c r="A128" s="214"/>
      <c r="B128" s="214"/>
      <c r="C128" s="214"/>
      <c r="D128" s="226"/>
      <c r="E128" s="227"/>
      <c r="F128" s="227"/>
      <c r="G128" s="227"/>
      <c r="H128" s="231" t="s">
        <v>2332</v>
      </c>
      <c r="I128" s="220" t="s">
        <v>2333</v>
      </c>
      <c r="J128" s="231">
        <v>202050</v>
      </c>
      <c r="K128" s="228"/>
    </row>
    <row r="129" spans="1:11">
      <c r="A129" s="214"/>
      <c r="B129" s="214"/>
      <c r="C129" s="214"/>
      <c r="D129" s="226"/>
      <c r="E129" s="227"/>
      <c r="F129" s="227"/>
      <c r="G129" s="227"/>
      <c r="H129" s="227" t="s">
        <v>2700</v>
      </c>
      <c r="I129" s="220" t="s">
        <v>2701</v>
      </c>
      <c r="J129" s="227">
        <v>513205</v>
      </c>
      <c r="K129" s="228"/>
    </row>
    <row r="130" spans="1:11">
      <c r="A130" s="214"/>
      <c r="B130" s="214"/>
      <c r="C130" s="214"/>
      <c r="D130" s="226"/>
      <c r="E130" s="227"/>
      <c r="F130" s="227"/>
      <c r="G130" s="227"/>
      <c r="H130" s="227" t="s">
        <v>2724</v>
      </c>
      <c r="I130" s="220" t="s">
        <v>2725</v>
      </c>
      <c r="J130" s="227">
        <v>715105</v>
      </c>
      <c r="K130" s="228"/>
    </row>
    <row r="131" spans="1:11">
      <c r="A131" s="214"/>
      <c r="B131" s="214"/>
      <c r="C131" s="214"/>
      <c r="D131" s="226"/>
      <c r="E131" s="227"/>
      <c r="F131" s="227"/>
      <c r="G131" s="227"/>
      <c r="H131" s="227" t="s">
        <v>2877</v>
      </c>
      <c r="I131" s="220" t="s">
        <v>2878</v>
      </c>
      <c r="J131" s="227">
        <v>820411</v>
      </c>
      <c r="K131" s="228"/>
    </row>
    <row r="132" spans="1:11">
      <c r="A132" s="214"/>
      <c r="B132" s="214"/>
      <c r="C132" s="214"/>
      <c r="D132" s="226"/>
      <c r="E132" s="227"/>
      <c r="F132" s="227"/>
      <c r="G132" s="227"/>
      <c r="H132" s="227" t="s">
        <v>2879</v>
      </c>
      <c r="I132" s="220" t="s">
        <v>2880</v>
      </c>
      <c r="J132" s="227">
        <v>820423</v>
      </c>
      <c r="K132" s="228"/>
    </row>
    <row r="133" spans="1:11">
      <c r="A133" s="214"/>
      <c r="B133" s="214"/>
      <c r="C133" s="214"/>
      <c r="D133" s="226"/>
      <c r="E133" s="227"/>
      <c r="F133" s="227"/>
      <c r="G133" s="227"/>
      <c r="H133" s="227" t="s">
        <v>2867</v>
      </c>
      <c r="I133" s="220" t="s">
        <v>2868</v>
      </c>
      <c r="J133" s="227">
        <v>820202</v>
      </c>
      <c r="K133" s="228"/>
    </row>
    <row r="134" spans="1:11">
      <c r="A134" s="214"/>
      <c r="B134" s="214"/>
      <c r="C134" s="214"/>
      <c r="D134" s="226"/>
      <c r="E134" s="227"/>
      <c r="F134" s="227"/>
      <c r="G134" s="227"/>
      <c r="H134" s="227" t="s">
        <v>2881</v>
      </c>
      <c r="I134" s="220" t="s">
        <v>2882</v>
      </c>
      <c r="J134" s="227">
        <v>820440</v>
      </c>
      <c r="K134" s="228"/>
    </row>
    <row r="135" spans="1:11">
      <c r="A135" s="214"/>
      <c r="B135" s="214"/>
      <c r="C135" s="214"/>
      <c r="D135" s="226"/>
      <c r="E135" s="227"/>
      <c r="F135" s="227"/>
      <c r="G135" s="227"/>
      <c r="H135" s="227" t="s">
        <v>2869</v>
      </c>
      <c r="I135" s="220" t="s">
        <v>2870</v>
      </c>
      <c r="J135" s="227">
        <v>820302</v>
      </c>
      <c r="K135" s="228"/>
    </row>
    <row r="136" spans="1:11">
      <c r="A136" s="214"/>
      <c r="B136" s="214"/>
      <c r="C136" s="214"/>
      <c r="D136" s="226"/>
      <c r="E136" s="227"/>
      <c r="F136" s="227"/>
      <c r="G136" s="227"/>
      <c r="H136" s="227" t="s">
        <v>2871</v>
      </c>
      <c r="I136" s="220" t="s">
        <v>2872</v>
      </c>
      <c r="J136" s="227">
        <v>820315</v>
      </c>
      <c r="K136" s="228"/>
    </row>
    <row r="137" spans="1:11">
      <c r="A137" s="214"/>
      <c r="B137" s="214"/>
      <c r="C137" s="214"/>
      <c r="D137" s="226"/>
      <c r="E137" s="227"/>
      <c r="F137" s="227"/>
      <c r="G137" s="227"/>
      <c r="H137" s="227" t="s">
        <v>2873</v>
      </c>
      <c r="I137" s="220" t="s">
        <v>2874</v>
      </c>
      <c r="J137" s="227">
        <v>820325</v>
      </c>
      <c r="K137" s="228"/>
    </row>
    <row r="138" spans="1:11">
      <c r="A138" s="214"/>
      <c r="B138" s="214"/>
      <c r="C138" s="214"/>
      <c r="D138" s="226"/>
      <c r="E138" s="227"/>
      <c r="F138" s="227"/>
      <c r="G138" s="227"/>
      <c r="H138" s="227" t="s">
        <v>2875</v>
      </c>
      <c r="I138" s="220" t="s">
        <v>2876</v>
      </c>
      <c r="J138" s="227">
        <v>820335</v>
      </c>
      <c r="K138" s="228"/>
    </row>
    <row r="139" spans="1:11">
      <c r="A139" s="214"/>
      <c r="B139" s="214"/>
      <c r="C139" s="214"/>
      <c r="D139" s="226"/>
      <c r="E139" s="227"/>
      <c r="F139" s="227"/>
      <c r="G139" s="227"/>
      <c r="H139" s="227" t="s">
        <v>2883</v>
      </c>
      <c r="I139" s="220" t="s">
        <v>2884</v>
      </c>
      <c r="J139" s="227">
        <v>820458</v>
      </c>
      <c r="K139" s="228"/>
    </row>
    <row r="140" spans="1:11">
      <c r="A140" s="214"/>
      <c r="B140" s="214"/>
      <c r="C140" s="214"/>
      <c r="D140" s="226"/>
      <c r="E140" s="227"/>
      <c r="F140" s="227"/>
      <c r="G140" s="227"/>
      <c r="H140" s="227" t="s">
        <v>2885</v>
      </c>
      <c r="I140" s="220" t="s">
        <v>2886</v>
      </c>
      <c r="J140" s="227">
        <v>820459</v>
      </c>
      <c r="K140" s="228"/>
    </row>
    <row r="141" spans="1:11">
      <c r="A141" s="214"/>
      <c r="B141" s="214"/>
      <c r="C141" s="214"/>
      <c r="D141" s="226"/>
      <c r="E141" s="227"/>
      <c r="F141" s="227"/>
      <c r="G141" s="227"/>
      <c r="H141" s="227" t="s">
        <v>2887</v>
      </c>
      <c r="I141" s="220" t="s">
        <v>2888</v>
      </c>
      <c r="J141" s="227">
        <v>820505</v>
      </c>
      <c r="K141" s="228"/>
    </row>
    <row r="142" spans="1:11">
      <c r="A142" s="214"/>
      <c r="B142" s="214"/>
      <c r="C142" s="214"/>
      <c r="D142" s="226"/>
      <c r="E142" s="227"/>
      <c r="F142" s="227"/>
      <c r="G142" s="227"/>
      <c r="H142" s="227" t="s">
        <v>2966</v>
      </c>
      <c r="I142" s="220" t="s">
        <v>2967</v>
      </c>
      <c r="J142" s="227">
        <v>824002</v>
      </c>
      <c r="K142" s="228"/>
    </row>
    <row r="143" spans="1:11">
      <c r="A143" s="214"/>
      <c r="B143" s="214"/>
      <c r="C143" s="214"/>
      <c r="D143" s="226"/>
      <c r="E143" s="227"/>
      <c r="F143" s="227"/>
      <c r="G143" s="227"/>
      <c r="H143" s="227" t="s">
        <v>2972</v>
      </c>
      <c r="I143" s="220" t="s">
        <v>2973</v>
      </c>
      <c r="J143" s="227">
        <v>824006</v>
      </c>
      <c r="K143" s="228"/>
    </row>
    <row r="144" spans="1:11">
      <c r="A144" s="214"/>
      <c r="B144" s="214"/>
      <c r="C144" s="214"/>
      <c r="D144" s="226"/>
      <c r="E144" s="227"/>
      <c r="F144" s="227"/>
      <c r="G144" s="227"/>
      <c r="H144" s="227" t="s">
        <v>2968</v>
      </c>
      <c r="I144" s="220" t="s">
        <v>2969</v>
      </c>
      <c r="J144" s="227">
        <v>824003</v>
      </c>
      <c r="K144" s="228"/>
    </row>
    <row r="145" spans="1:11">
      <c r="A145" s="214"/>
      <c r="B145" s="214"/>
      <c r="C145" s="214"/>
      <c r="D145" s="226"/>
      <c r="E145" s="227"/>
      <c r="F145" s="227"/>
      <c r="G145" s="227"/>
      <c r="H145" s="227" t="s">
        <v>2970</v>
      </c>
      <c r="I145" s="220" t="s">
        <v>2971</v>
      </c>
      <c r="J145" s="227">
        <v>824005</v>
      </c>
      <c r="K145" s="228"/>
    </row>
    <row r="146" spans="1:11">
      <c r="A146" s="214"/>
      <c r="B146" s="214"/>
      <c r="C146" s="214"/>
      <c r="D146" s="226"/>
      <c r="E146" s="227"/>
      <c r="F146" s="227"/>
      <c r="G146" s="227"/>
      <c r="H146" s="227" t="s">
        <v>2974</v>
      </c>
      <c r="I146" s="220" t="s">
        <v>2975</v>
      </c>
      <c r="J146" s="227">
        <v>824008</v>
      </c>
      <c r="K146" s="228"/>
    </row>
    <row r="147" spans="1:11">
      <c r="A147" s="214"/>
      <c r="B147" s="214"/>
      <c r="C147" s="214"/>
      <c r="D147" s="226"/>
      <c r="E147" s="227"/>
      <c r="F147" s="227"/>
      <c r="G147" s="227"/>
      <c r="H147" s="227" t="s">
        <v>2978</v>
      </c>
      <c r="I147" s="220" t="s">
        <v>2979</v>
      </c>
      <c r="J147" s="227">
        <v>824011</v>
      </c>
      <c r="K147" s="228"/>
    </row>
    <row r="148" spans="1:11">
      <c r="A148" s="214"/>
      <c r="B148" s="214"/>
      <c r="C148" s="214"/>
      <c r="D148" s="226"/>
      <c r="E148" s="227"/>
      <c r="F148" s="227"/>
      <c r="G148" s="227"/>
      <c r="H148" s="227" t="s">
        <v>2976</v>
      </c>
      <c r="I148" s="220" t="s">
        <v>2977</v>
      </c>
      <c r="J148" s="227">
        <v>824010</v>
      </c>
      <c r="K148" s="228"/>
    </row>
    <row r="149" spans="1:11">
      <c r="A149" s="214"/>
      <c r="B149" s="214"/>
      <c r="C149" s="214"/>
      <c r="D149" s="226"/>
      <c r="E149" s="227"/>
      <c r="F149" s="227"/>
      <c r="G149" s="227"/>
      <c r="H149" s="227" t="s">
        <v>2980</v>
      </c>
      <c r="I149" s="220" t="s">
        <v>2981</v>
      </c>
      <c r="J149" s="227">
        <v>824015</v>
      </c>
      <c r="K149" s="228"/>
    </row>
    <row r="150" spans="1:11">
      <c r="A150" s="214"/>
      <c r="B150" s="214"/>
      <c r="C150" s="214"/>
      <c r="D150" s="226"/>
      <c r="E150" s="227"/>
      <c r="F150" s="227"/>
      <c r="G150" s="227"/>
      <c r="H150" s="227" t="s">
        <v>2897</v>
      </c>
      <c r="I150" s="220" t="s">
        <v>2898</v>
      </c>
      <c r="J150" s="227">
        <v>820715</v>
      </c>
      <c r="K150" s="228"/>
    </row>
    <row r="151" spans="1:11">
      <c r="A151" s="214"/>
      <c r="B151" s="214"/>
      <c r="C151" s="214"/>
      <c r="D151" s="226"/>
      <c r="E151" s="227"/>
      <c r="F151" s="227"/>
      <c r="G151" s="227"/>
      <c r="H151" s="227" t="s">
        <v>2893</v>
      </c>
      <c r="I151" s="220" t="s">
        <v>2894</v>
      </c>
      <c r="J151" s="227">
        <v>820705</v>
      </c>
      <c r="K151" s="228"/>
    </row>
    <row r="152" spans="1:11">
      <c r="A152" s="214"/>
      <c r="B152" s="214"/>
      <c r="C152" s="214"/>
      <c r="D152" s="226"/>
      <c r="E152" s="227"/>
      <c r="F152" s="227"/>
      <c r="G152" s="227"/>
      <c r="H152" s="227" t="s">
        <v>2895</v>
      </c>
      <c r="I152" s="220" t="s">
        <v>2896</v>
      </c>
      <c r="J152" s="227">
        <v>820710</v>
      </c>
      <c r="K152" s="228"/>
    </row>
    <row r="153" spans="1:11">
      <c r="A153" s="214"/>
      <c r="B153" s="214"/>
      <c r="C153" s="214"/>
      <c r="D153" s="226"/>
      <c r="E153" s="227"/>
      <c r="F153" s="227"/>
      <c r="G153" s="227"/>
      <c r="H153" s="227" t="s">
        <v>2929</v>
      </c>
      <c r="I153" s="220" t="s">
        <v>2930</v>
      </c>
      <c r="J153" s="227">
        <v>821803</v>
      </c>
      <c r="K153" s="228"/>
    </row>
    <row r="154" spans="1:11">
      <c r="A154" s="214"/>
      <c r="B154" s="214"/>
      <c r="C154" s="214"/>
      <c r="D154" s="226"/>
      <c r="E154" s="227"/>
      <c r="F154" s="227"/>
      <c r="G154" s="227"/>
      <c r="H154" s="227" t="s">
        <v>2901</v>
      </c>
      <c r="I154" s="220" t="s">
        <v>2902</v>
      </c>
      <c r="J154" s="227">
        <v>820835</v>
      </c>
      <c r="K154" s="228"/>
    </row>
    <row r="155" spans="1:11">
      <c r="A155" s="214"/>
      <c r="B155" s="214"/>
      <c r="C155" s="214"/>
      <c r="D155" s="226"/>
      <c r="E155" s="227"/>
      <c r="F155" s="227"/>
      <c r="G155" s="227"/>
      <c r="H155" s="227" t="s">
        <v>2909</v>
      </c>
      <c r="I155" s="220" t="s">
        <v>2910</v>
      </c>
      <c r="J155" s="227">
        <v>821025</v>
      </c>
      <c r="K155" s="228"/>
    </row>
    <row r="156" spans="1:11">
      <c r="A156" s="214"/>
      <c r="B156" s="214"/>
      <c r="C156" s="214"/>
      <c r="D156" s="226"/>
      <c r="E156" s="227"/>
      <c r="F156" s="227"/>
      <c r="G156" s="227"/>
      <c r="H156" s="227" t="s">
        <v>2911</v>
      </c>
      <c r="I156" s="220" t="s">
        <v>2912</v>
      </c>
      <c r="J156" s="227">
        <v>821035</v>
      </c>
      <c r="K156" s="228"/>
    </row>
    <row r="157" spans="1:11">
      <c r="A157" s="214"/>
      <c r="B157" s="214"/>
      <c r="C157" s="214"/>
      <c r="D157" s="226"/>
      <c r="E157" s="227"/>
      <c r="F157" s="227"/>
      <c r="G157" s="227"/>
      <c r="H157" s="227" t="s">
        <v>2907</v>
      </c>
      <c r="I157" s="220" t="s">
        <v>2908</v>
      </c>
      <c r="J157" s="227">
        <v>821020</v>
      </c>
      <c r="K157" s="228"/>
    </row>
    <row r="158" spans="1:11">
      <c r="A158" s="214"/>
      <c r="B158" s="214"/>
      <c r="C158" s="214"/>
      <c r="D158" s="226"/>
      <c r="E158" s="227"/>
      <c r="F158" s="227"/>
      <c r="G158" s="227"/>
      <c r="H158" s="231" t="s">
        <v>2541</v>
      </c>
      <c r="I158" s="220" t="s">
        <v>2542</v>
      </c>
      <c r="J158" s="231">
        <v>400553</v>
      </c>
      <c r="K158" s="228"/>
    </row>
    <row r="159" spans="1:11">
      <c r="A159" s="214"/>
      <c r="B159" s="214"/>
      <c r="C159" s="214"/>
      <c r="D159" s="226"/>
      <c r="E159" s="227"/>
      <c r="F159" s="227"/>
      <c r="G159" s="227"/>
      <c r="H159" s="231" t="s">
        <v>2543</v>
      </c>
      <c r="I159" s="220" t="s">
        <v>2544</v>
      </c>
      <c r="J159" s="231">
        <v>400555</v>
      </c>
      <c r="K159" s="228"/>
    </row>
    <row r="160" spans="1:11">
      <c r="A160" s="214"/>
      <c r="B160" s="214"/>
      <c r="C160" s="214"/>
      <c r="D160" s="226"/>
      <c r="E160" s="227"/>
      <c r="F160" s="227"/>
      <c r="G160" s="227"/>
      <c r="H160" s="231" t="s">
        <v>2546</v>
      </c>
      <c r="I160" s="220" t="s">
        <v>2547</v>
      </c>
      <c r="J160" s="231">
        <v>400557</v>
      </c>
      <c r="K160" s="228"/>
    </row>
    <row r="161" spans="1:11">
      <c r="A161" s="214"/>
      <c r="B161" s="214"/>
      <c r="C161" s="214"/>
      <c r="D161" s="226"/>
      <c r="E161" s="227"/>
      <c r="F161" s="227"/>
      <c r="G161" s="227"/>
      <c r="H161" s="227" t="s">
        <v>2903</v>
      </c>
      <c r="I161" s="220" t="s">
        <v>2904</v>
      </c>
      <c r="J161" s="227">
        <v>820840</v>
      </c>
      <c r="K161" s="228"/>
    </row>
    <row r="162" spans="1:11">
      <c r="A162" s="214"/>
      <c r="B162" s="214"/>
      <c r="C162" s="214"/>
      <c r="D162" s="226"/>
      <c r="E162" s="227"/>
      <c r="F162" s="227"/>
      <c r="G162" s="227"/>
      <c r="H162" s="227" t="s">
        <v>2560</v>
      </c>
      <c r="I162" s="220" t="s">
        <v>2561</v>
      </c>
      <c r="J162" s="227">
        <v>406205</v>
      </c>
      <c r="K162" s="228"/>
    </row>
    <row r="163" spans="1:11">
      <c r="A163" s="214"/>
      <c r="B163" s="214"/>
      <c r="C163" s="214"/>
      <c r="D163" s="226"/>
      <c r="E163" s="227"/>
      <c r="F163" s="227"/>
      <c r="G163" s="227"/>
      <c r="H163" s="227" t="s">
        <v>2849</v>
      </c>
      <c r="I163" s="220" t="s">
        <v>2850</v>
      </c>
      <c r="J163" s="227">
        <v>819730</v>
      </c>
      <c r="K163" s="228"/>
    </row>
    <row r="164" spans="1:11">
      <c r="A164" s="214"/>
      <c r="B164" s="214"/>
      <c r="C164" s="214"/>
      <c r="D164" s="226"/>
      <c r="E164" s="227"/>
      <c r="F164" s="227"/>
      <c r="G164" s="227"/>
      <c r="H164" s="227" t="s">
        <v>2562</v>
      </c>
      <c r="I164" s="220" t="s">
        <v>2563</v>
      </c>
      <c r="J164" s="227">
        <v>406210</v>
      </c>
      <c r="K164" s="228"/>
    </row>
    <row r="165" spans="1:11">
      <c r="A165" s="214"/>
      <c r="B165" s="214"/>
      <c r="C165" s="214"/>
      <c r="D165" s="226"/>
      <c r="E165" s="227"/>
      <c r="F165" s="227"/>
      <c r="G165" s="227"/>
      <c r="H165" s="231" t="s">
        <v>2450</v>
      </c>
      <c r="I165" s="220" t="s">
        <v>2338</v>
      </c>
      <c r="J165" s="231">
        <v>202430</v>
      </c>
      <c r="K165" s="228"/>
    </row>
    <row r="166" spans="1:11">
      <c r="A166" s="214"/>
      <c r="B166" s="214"/>
      <c r="C166" s="214"/>
      <c r="D166" s="226"/>
      <c r="E166" s="227"/>
      <c r="F166" s="227"/>
      <c r="G166" s="227"/>
      <c r="H166" s="231" t="s">
        <v>2345</v>
      </c>
      <c r="I166" s="220" t="s">
        <v>2346</v>
      </c>
      <c r="J166" s="231">
        <v>202433</v>
      </c>
      <c r="K166" s="228"/>
    </row>
    <row r="167" spans="1:11">
      <c r="A167" s="214"/>
      <c r="B167" s="214"/>
      <c r="C167" s="214"/>
      <c r="D167" s="226"/>
      <c r="E167" s="227"/>
      <c r="F167" s="227"/>
      <c r="G167" s="227"/>
      <c r="H167" s="231" t="s">
        <v>2456</v>
      </c>
      <c r="I167" s="220" t="s">
        <v>2350</v>
      </c>
      <c r="J167" s="231">
        <v>202440</v>
      </c>
      <c r="K167" s="228"/>
    </row>
    <row r="168" spans="1:11">
      <c r="A168" s="214"/>
      <c r="B168" s="214"/>
      <c r="C168" s="214"/>
      <c r="D168" s="226"/>
      <c r="E168" s="227"/>
      <c r="F168" s="227"/>
      <c r="G168" s="227"/>
      <c r="H168" s="231" t="s">
        <v>2459</v>
      </c>
      <c r="I168" s="220" t="s">
        <v>2460</v>
      </c>
      <c r="J168" s="231">
        <v>202443</v>
      </c>
      <c r="K168" s="228"/>
    </row>
    <row r="169" spans="1:11">
      <c r="A169" s="214"/>
      <c r="B169" s="214"/>
      <c r="C169" s="214"/>
      <c r="D169" s="226"/>
      <c r="E169" s="227"/>
      <c r="F169" s="227"/>
      <c r="G169" s="227"/>
      <c r="H169" s="227" t="s">
        <v>2424</v>
      </c>
      <c r="I169" s="220" t="s">
        <v>2425</v>
      </c>
      <c r="J169" s="227">
        <v>502463</v>
      </c>
      <c r="K169" s="228"/>
    </row>
    <row r="170" spans="1:11">
      <c r="A170" s="214"/>
      <c r="B170" s="214"/>
      <c r="C170" s="214"/>
      <c r="D170" s="226"/>
      <c r="E170" s="227"/>
      <c r="F170" s="227"/>
      <c r="G170" s="227"/>
      <c r="H170" s="231" t="s">
        <v>2446</v>
      </c>
      <c r="I170" s="220" t="s">
        <v>2447</v>
      </c>
      <c r="J170" s="231">
        <v>202420</v>
      </c>
      <c r="K170" s="228"/>
    </row>
    <row r="171" spans="1:11">
      <c r="A171" s="214"/>
      <c r="B171" s="214"/>
      <c r="C171" s="214"/>
      <c r="D171" s="226"/>
      <c r="E171" s="227"/>
      <c r="F171" s="227"/>
      <c r="G171" s="227"/>
      <c r="H171" s="231" t="s">
        <v>2453</v>
      </c>
      <c r="I171" s="220" t="s">
        <v>2454</v>
      </c>
      <c r="J171" s="231">
        <v>202435</v>
      </c>
      <c r="K171" s="228"/>
    </row>
    <row r="172" spans="1:11">
      <c r="A172" s="214"/>
      <c r="B172" s="214"/>
      <c r="C172" s="214"/>
      <c r="D172" s="226"/>
      <c r="E172" s="227"/>
      <c r="F172" s="227"/>
      <c r="G172" s="227"/>
      <c r="H172" s="231" t="s">
        <v>2353</v>
      </c>
      <c r="I172" s="220" t="s">
        <v>2354</v>
      </c>
      <c r="J172" s="231">
        <v>202450</v>
      </c>
      <c r="K172" s="228"/>
    </row>
    <row r="173" spans="1:11">
      <c r="A173" s="214"/>
      <c r="B173" s="214"/>
      <c r="C173" s="214"/>
      <c r="D173" s="226"/>
      <c r="E173" s="227"/>
      <c r="F173" s="227"/>
      <c r="G173" s="227"/>
      <c r="H173" s="227" t="s">
        <v>2913</v>
      </c>
      <c r="I173" s="220" t="s">
        <v>2914</v>
      </c>
      <c r="J173" s="227">
        <v>821120</v>
      </c>
      <c r="K173" s="228"/>
    </row>
    <row r="174" spans="1:11">
      <c r="A174" s="214"/>
      <c r="B174" s="214"/>
      <c r="C174" s="214"/>
      <c r="D174" s="226"/>
      <c r="E174" s="227"/>
      <c r="F174" s="227"/>
      <c r="G174" s="227"/>
      <c r="H174" s="227" t="s">
        <v>2915</v>
      </c>
      <c r="I174" s="220" t="s">
        <v>2916</v>
      </c>
      <c r="J174" s="227">
        <v>821145</v>
      </c>
      <c r="K174" s="228"/>
    </row>
    <row r="175" spans="1:11">
      <c r="A175" s="214"/>
      <c r="B175" s="214"/>
      <c r="C175" s="214"/>
      <c r="D175" s="226"/>
      <c r="E175" s="227"/>
      <c r="F175" s="227"/>
      <c r="G175" s="227"/>
      <c r="H175" s="227" t="s">
        <v>2917</v>
      </c>
      <c r="I175" s="220" t="s">
        <v>2918</v>
      </c>
      <c r="J175" s="227">
        <v>821150</v>
      </c>
      <c r="K175" s="228"/>
    </row>
    <row r="176" spans="1:11">
      <c r="A176" s="214"/>
      <c r="B176" s="214"/>
      <c r="C176" s="214"/>
      <c r="D176" s="226"/>
      <c r="E176" s="227"/>
      <c r="F176" s="227"/>
      <c r="G176" s="227"/>
      <c r="H176" s="227" t="s">
        <v>2919</v>
      </c>
      <c r="I176" s="220" t="s">
        <v>2920</v>
      </c>
      <c r="J176" s="227">
        <v>821305</v>
      </c>
      <c r="K176" s="228"/>
    </row>
    <row r="177" spans="1:11">
      <c r="A177" s="214"/>
      <c r="B177" s="214"/>
      <c r="C177" s="214"/>
      <c r="D177" s="226"/>
      <c r="E177" s="227"/>
      <c r="F177" s="227"/>
      <c r="G177" s="227"/>
      <c r="H177" s="227" t="s">
        <v>2921</v>
      </c>
      <c r="I177" s="220" t="s">
        <v>2922</v>
      </c>
      <c r="J177" s="227">
        <v>821310</v>
      </c>
      <c r="K177" s="228"/>
    </row>
    <row r="178" spans="1:11">
      <c r="A178" s="214"/>
      <c r="B178" s="214"/>
      <c r="C178" s="214"/>
      <c r="D178" s="226"/>
      <c r="E178" s="227"/>
      <c r="F178" s="227"/>
      <c r="G178" s="227"/>
      <c r="H178" s="227" t="s">
        <v>2558</v>
      </c>
      <c r="I178" s="220" t="s">
        <v>2559</v>
      </c>
      <c r="J178" s="227">
        <v>406105</v>
      </c>
      <c r="K178" s="228"/>
    </row>
    <row r="179" spans="1:11">
      <c r="A179" s="214"/>
      <c r="B179" s="214"/>
      <c r="C179" s="214"/>
      <c r="D179" s="226"/>
      <c r="E179" s="227"/>
      <c r="F179" s="227"/>
      <c r="G179" s="227"/>
      <c r="H179" s="227" t="s">
        <v>2613</v>
      </c>
      <c r="I179" s="220" t="s">
        <v>2614</v>
      </c>
      <c r="J179" s="227">
        <v>509605</v>
      </c>
      <c r="K179" s="228"/>
    </row>
    <row r="180" spans="1:11">
      <c r="A180" s="214"/>
      <c r="B180" s="214"/>
      <c r="C180" s="214"/>
      <c r="D180" s="226"/>
      <c r="E180" s="227"/>
      <c r="F180" s="227"/>
      <c r="G180" s="227"/>
      <c r="H180" s="227" t="s">
        <v>2615</v>
      </c>
      <c r="I180" s="220" t="s">
        <v>2616</v>
      </c>
      <c r="J180" s="227">
        <v>509610</v>
      </c>
      <c r="K180" s="228"/>
    </row>
    <row r="181" spans="1:11">
      <c r="A181" s="214"/>
      <c r="B181" s="214"/>
      <c r="C181" s="214"/>
      <c r="D181" s="226"/>
      <c r="E181" s="227"/>
      <c r="F181" s="227"/>
      <c r="G181" s="227"/>
      <c r="H181" s="227" t="s">
        <v>2617</v>
      </c>
      <c r="I181" s="220" t="s">
        <v>2618</v>
      </c>
      <c r="J181" s="227">
        <v>509615</v>
      </c>
      <c r="K181" s="228"/>
    </row>
    <row r="182" spans="1:11">
      <c r="A182" s="214"/>
      <c r="B182" s="214"/>
      <c r="C182" s="214"/>
      <c r="D182" s="226"/>
      <c r="E182" s="227"/>
      <c r="F182" s="227"/>
      <c r="G182" s="227"/>
      <c r="H182" s="227" t="s">
        <v>2619</v>
      </c>
      <c r="I182" s="220" t="s">
        <v>2620</v>
      </c>
      <c r="J182" s="227">
        <v>509620</v>
      </c>
      <c r="K182" s="228"/>
    </row>
    <row r="183" spans="1:11">
      <c r="A183" s="214"/>
      <c r="B183" s="214"/>
      <c r="C183" s="214"/>
      <c r="D183" s="226"/>
      <c r="E183" s="227"/>
      <c r="F183" s="227"/>
      <c r="G183" s="227"/>
      <c r="H183" s="227" t="s">
        <v>2621</v>
      </c>
      <c r="I183" s="220" t="s">
        <v>2622</v>
      </c>
      <c r="J183" s="227">
        <v>509703</v>
      </c>
      <c r="K183" s="228"/>
    </row>
    <row r="184" spans="1:11">
      <c r="A184" s="214"/>
      <c r="B184" s="214"/>
      <c r="C184" s="214"/>
      <c r="D184" s="226"/>
      <c r="E184" s="227"/>
      <c r="F184" s="227"/>
      <c r="G184" s="227"/>
      <c r="H184" s="227" t="s">
        <v>2623</v>
      </c>
      <c r="I184" s="220" t="s">
        <v>2624</v>
      </c>
      <c r="J184" s="227">
        <v>509705</v>
      </c>
      <c r="K184" s="228"/>
    </row>
    <row r="185" spans="1:11">
      <c r="A185" s="214"/>
      <c r="B185" s="214"/>
      <c r="C185" s="214"/>
      <c r="D185" s="226"/>
      <c r="E185" s="227"/>
      <c r="F185" s="227"/>
      <c r="G185" s="227"/>
      <c r="H185" s="227" t="s">
        <v>2925</v>
      </c>
      <c r="I185" s="220" t="s">
        <v>2926</v>
      </c>
      <c r="J185" s="227">
        <v>821510</v>
      </c>
      <c r="K185" s="228"/>
    </row>
    <row r="186" spans="1:11">
      <c r="A186" s="214"/>
      <c r="B186" s="214"/>
      <c r="C186" s="214"/>
      <c r="D186" s="226"/>
      <c r="E186" s="227"/>
      <c r="F186" s="227"/>
      <c r="G186" s="227"/>
      <c r="H186" s="227" t="s">
        <v>2625</v>
      </c>
      <c r="I186" s="220" t="s">
        <v>2626</v>
      </c>
      <c r="J186" s="227">
        <v>509810</v>
      </c>
      <c r="K186" s="228"/>
    </row>
    <row r="187" spans="1:11">
      <c r="A187" s="214"/>
      <c r="B187" s="214"/>
      <c r="C187" s="214"/>
      <c r="D187" s="226"/>
      <c r="E187" s="227"/>
      <c r="F187" s="227"/>
      <c r="G187" s="227"/>
      <c r="H187" s="227" t="s">
        <v>2631</v>
      </c>
      <c r="I187" s="220" t="s">
        <v>2632</v>
      </c>
      <c r="J187" s="227">
        <v>510105</v>
      </c>
      <c r="K187" s="228"/>
    </row>
    <row r="188" spans="1:11">
      <c r="A188" s="214"/>
      <c r="B188" s="214"/>
      <c r="C188" s="214"/>
      <c r="D188" s="226"/>
      <c r="E188" s="227"/>
      <c r="F188" s="227"/>
      <c r="G188" s="227"/>
      <c r="H188" s="227" t="s">
        <v>2931</v>
      </c>
      <c r="I188" s="220" t="s">
        <v>2932</v>
      </c>
      <c r="J188" s="227">
        <v>821905</v>
      </c>
      <c r="K188" s="228"/>
    </row>
    <row r="189" spans="1:11">
      <c r="A189" s="214"/>
      <c r="B189" s="214"/>
      <c r="C189" s="214"/>
      <c r="D189" s="226"/>
      <c r="E189" s="227"/>
      <c r="F189" s="227"/>
      <c r="G189" s="227"/>
      <c r="H189" s="227" t="s">
        <v>2637</v>
      </c>
      <c r="I189" s="220" t="s">
        <v>2638</v>
      </c>
      <c r="J189" s="227">
        <v>510405</v>
      </c>
      <c r="K189" s="228"/>
    </row>
    <row r="190" spans="1:11">
      <c r="A190" s="214"/>
      <c r="B190" s="214"/>
      <c r="C190" s="214"/>
      <c r="D190" s="226"/>
      <c r="E190" s="227"/>
      <c r="F190" s="227"/>
      <c r="G190" s="227"/>
      <c r="H190" s="227" t="s">
        <v>2633</v>
      </c>
      <c r="I190" s="220" t="s">
        <v>2634</v>
      </c>
      <c r="J190" s="227">
        <v>510205</v>
      </c>
      <c r="K190" s="228"/>
    </row>
    <row r="191" spans="1:11">
      <c r="A191" s="214"/>
      <c r="B191" s="214"/>
      <c r="C191" s="214"/>
      <c r="D191" s="226"/>
      <c r="E191" s="227"/>
      <c r="F191" s="227"/>
      <c r="G191" s="227"/>
      <c r="H191" s="227" t="s">
        <v>2635</v>
      </c>
      <c r="I191" s="220" t="s">
        <v>2636</v>
      </c>
      <c r="J191" s="227">
        <v>510300</v>
      </c>
      <c r="K191" s="228"/>
    </row>
    <row r="192" spans="1:11">
      <c r="A192" s="214"/>
      <c r="B192" s="214"/>
      <c r="C192" s="214"/>
      <c r="D192" s="226"/>
      <c r="E192" s="227"/>
      <c r="F192" s="227"/>
      <c r="G192" s="227"/>
      <c r="H192" s="231" t="s">
        <v>2509</v>
      </c>
      <c r="I192" s="220" t="s">
        <v>2432</v>
      </c>
      <c r="J192" s="231">
        <v>304235</v>
      </c>
      <c r="K192" s="228"/>
    </row>
    <row r="193" spans="1:11">
      <c r="A193" s="214"/>
      <c r="B193" s="214"/>
      <c r="C193" s="214"/>
      <c r="D193" s="226"/>
      <c r="E193" s="227"/>
      <c r="F193" s="227"/>
      <c r="G193" s="227"/>
      <c r="H193" s="231" t="s">
        <v>2512</v>
      </c>
      <c r="I193" s="220" t="s">
        <v>2513</v>
      </c>
      <c r="J193" s="231">
        <v>304252</v>
      </c>
      <c r="K193" s="228"/>
    </row>
    <row r="194" spans="1:11">
      <c r="A194" s="214"/>
      <c r="B194" s="214"/>
      <c r="C194" s="214"/>
      <c r="D194" s="226"/>
      <c r="E194" s="227"/>
      <c r="F194" s="227"/>
      <c r="G194" s="227"/>
      <c r="H194" s="231" t="s">
        <v>2507</v>
      </c>
      <c r="I194" s="220" t="s">
        <v>2508</v>
      </c>
      <c r="J194" s="231">
        <v>304215</v>
      </c>
      <c r="K194" s="228"/>
    </row>
    <row r="195" spans="1:11">
      <c r="A195" s="214"/>
      <c r="B195" s="214"/>
      <c r="C195" s="214"/>
      <c r="D195" s="226"/>
      <c r="E195" s="227"/>
      <c r="F195" s="227"/>
      <c r="G195" s="227"/>
      <c r="H195" s="231" t="s">
        <v>2510</v>
      </c>
      <c r="I195" s="220" t="s">
        <v>2511</v>
      </c>
      <c r="J195" s="231">
        <v>304240</v>
      </c>
      <c r="K195" s="228"/>
    </row>
    <row r="196" spans="1:11">
      <c r="A196" s="214"/>
      <c r="B196" s="214"/>
      <c r="C196" s="214"/>
      <c r="D196" s="226"/>
      <c r="E196" s="227"/>
      <c r="F196" s="227"/>
      <c r="G196" s="227"/>
      <c r="H196" s="231" t="s">
        <v>2505</v>
      </c>
      <c r="I196" s="220" t="s">
        <v>2506</v>
      </c>
      <c r="J196" s="231">
        <v>304210</v>
      </c>
      <c r="K196" s="228"/>
    </row>
    <row r="197" spans="1:11">
      <c r="A197" s="214"/>
      <c r="B197" s="214"/>
      <c r="C197" s="214"/>
      <c r="D197" s="226"/>
      <c r="E197" s="227"/>
      <c r="F197" s="227"/>
      <c r="G197" s="227"/>
      <c r="H197" s="231" t="s">
        <v>2435</v>
      </c>
      <c r="I197" s="220" t="s">
        <v>2436</v>
      </c>
      <c r="J197" s="231">
        <v>304220</v>
      </c>
      <c r="K197" s="228"/>
    </row>
    <row r="198" spans="1:11">
      <c r="A198" s="214"/>
      <c r="B198" s="214"/>
      <c r="C198" s="214"/>
      <c r="D198" s="226"/>
      <c r="E198" s="227"/>
      <c r="F198" s="227"/>
      <c r="G198" s="227"/>
      <c r="H198" s="227" t="s">
        <v>2629</v>
      </c>
      <c r="I198" s="220" t="s">
        <v>2630</v>
      </c>
      <c r="J198" s="227">
        <v>510005</v>
      </c>
      <c r="K198" s="228"/>
    </row>
    <row r="199" spans="1:11">
      <c r="A199" s="214"/>
      <c r="B199" s="214"/>
      <c r="C199" s="214"/>
      <c r="D199" s="226"/>
      <c r="E199" s="227"/>
      <c r="F199" s="227"/>
      <c r="G199" s="227"/>
      <c r="H199" s="227" t="s">
        <v>2933</v>
      </c>
      <c r="I199" s="220" t="s">
        <v>2934</v>
      </c>
      <c r="J199" s="227">
        <v>822005</v>
      </c>
      <c r="K199" s="228"/>
    </row>
    <row r="200" spans="1:11">
      <c r="A200" s="214"/>
      <c r="B200" s="214"/>
      <c r="C200" s="214"/>
      <c r="D200" s="226"/>
      <c r="E200" s="227"/>
      <c r="F200" s="227"/>
      <c r="G200" s="227"/>
      <c r="H200" s="227" t="s">
        <v>2937</v>
      </c>
      <c r="I200" s="220" t="s">
        <v>2938</v>
      </c>
      <c r="J200" s="227">
        <v>822105</v>
      </c>
      <c r="K200" s="228"/>
    </row>
    <row r="201" spans="1:11">
      <c r="A201" s="214"/>
      <c r="B201" s="214"/>
      <c r="C201" s="214"/>
      <c r="D201" s="226"/>
      <c r="E201" s="227"/>
      <c r="F201" s="227"/>
      <c r="G201" s="227"/>
      <c r="H201" s="227" t="s">
        <v>2939</v>
      </c>
      <c r="I201" s="220" t="s">
        <v>2496</v>
      </c>
      <c r="J201" s="227">
        <v>822130</v>
      </c>
      <c r="K201" s="228"/>
    </row>
    <row r="202" spans="1:11">
      <c r="A202" s="214"/>
      <c r="B202" s="214"/>
      <c r="C202" s="214"/>
      <c r="D202" s="226"/>
      <c r="E202" s="227"/>
      <c r="F202" s="227"/>
      <c r="G202" s="227"/>
      <c r="H202" s="227" t="s">
        <v>2940</v>
      </c>
      <c r="I202" s="220" t="s">
        <v>2941</v>
      </c>
      <c r="J202" s="227">
        <v>822135</v>
      </c>
      <c r="K202" s="228"/>
    </row>
    <row r="203" spans="1:11">
      <c r="A203" s="214"/>
      <c r="B203" s="214"/>
      <c r="C203" s="214"/>
      <c r="D203" s="226"/>
      <c r="E203" s="227"/>
      <c r="F203" s="227"/>
      <c r="G203" s="227"/>
      <c r="H203" s="227" t="s">
        <v>2948</v>
      </c>
      <c r="I203" s="220" t="s">
        <v>2949</v>
      </c>
      <c r="J203" s="227">
        <v>822610</v>
      </c>
      <c r="K203" s="228"/>
    </row>
    <row r="204" spans="1:11">
      <c r="A204" s="214"/>
      <c r="B204" s="214"/>
      <c r="C204" s="214"/>
      <c r="D204" s="226"/>
      <c r="E204" s="227"/>
      <c r="F204" s="227"/>
      <c r="G204" s="227"/>
      <c r="H204" s="227" t="s">
        <v>2639</v>
      </c>
      <c r="I204" s="220" t="s">
        <v>2640</v>
      </c>
      <c r="J204" s="227">
        <v>510607</v>
      </c>
      <c r="K204" s="228"/>
    </row>
    <row r="205" spans="1:11">
      <c r="A205" s="214"/>
      <c r="B205" s="214"/>
      <c r="C205" s="214"/>
      <c r="D205" s="226"/>
      <c r="E205" s="227"/>
      <c r="F205" s="227"/>
      <c r="G205" s="227"/>
      <c r="H205" s="227" t="s">
        <v>2643</v>
      </c>
      <c r="I205" s="220" t="s">
        <v>2644</v>
      </c>
      <c r="J205" s="227">
        <v>510612</v>
      </c>
      <c r="K205" s="228"/>
    </row>
    <row r="206" spans="1:11">
      <c r="A206" s="214"/>
      <c r="B206" s="214"/>
      <c r="C206" s="214"/>
      <c r="D206" s="226"/>
      <c r="E206" s="227"/>
      <c r="F206" s="227"/>
      <c r="G206" s="227"/>
      <c r="H206" s="227" t="s">
        <v>2641</v>
      </c>
      <c r="I206" s="220" t="s">
        <v>2642</v>
      </c>
      <c r="J206" s="227">
        <v>510610</v>
      </c>
      <c r="K206" s="228"/>
    </row>
    <row r="207" spans="1:11">
      <c r="A207" s="214"/>
      <c r="B207" s="214"/>
      <c r="C207" s="214"/>
      <c r="D207" s="226"/>
      <c r="E207" s="227"/>
      <c r="F207" s="227"/>
      <c r="G207" s="227"/>
      <c r="H207" s="231" t="s">
        <v>2377</v>
      </c>
      <c r="I207" s="220" t="s">
        <v>2378</v>
      </c>
      <c r="J207" s="231">
        <v>100410</v>
      </c>
      <c r="K207" s="228"/>
    </row>
    <row r="208" spans="1:11">
      <c r="A208" s="214"/>
      <c r="B208" s="214"/>
      <c r="C208" s="214"/>
      <c r="D208" s="226"/>
      <c r="E208" s="227"/>
      <c r="F208" s="227"/>
      <c r="G208" s="227"/>
      <c r="H208" s="231" t="s">
        <v>2381</v>
      </c>
      <c r="I208" s="220" t="s">
        <v>2382</v>
      </c>
      <c r="J208" s="231">
        <v>100431</v>
      </c>
      <c r="K208" s="228"/>
    </row>
    <row r="209" spans="1:11">
      <c r="A209" s="214"/>
      <c r="B209" s="214"/>
      <c r="C209" s="214"/>
      <c r="D209" s="226"/>
      <c r="E209" s="227"/>
      <c r="F209" s="227"/>
      <c r="G209" s="227"/>
      <c r="H209" s="231" t="s">
        <v>2387</v>
      </c>
      <c r="I209" s="220" t="s">
        <v>2388</v>
      </c>
      <c r="J209" s="231">
        <v>100440</v>
      </c>
      <c r="K209" s="228"/>
    </row>
    <row r="210" spans="1:11">
      <c r="A210" s="214"/>
      <c r="B210" s="214"/>
      <c r="C210" s="214"/>
      <c r="D210" s="226"/>
      <c r="E210" s="227"/>
      <c r="F210" s="227"/>
      <c r="G210" s="227"/>
      <c r="H210" s="231" t="s">
        <v>2390</v>
      </c>
      <c r="I210" s="220" t="s">
        <v>2391</v>
      </c>
      <c r="J210" s="231">
        <v>100455</v>
      </c>
      <c r="K210" s="228"/>
    </row>
    <row r="211" spans="1:11">
      <c r="A211" s="214"/>
      <c r="B211" s="214"/>
      <c r="C211" s="214"/>
      <c r="D211" s="226"/>
      <c r="E211" s="227"/>
      <c r="F211" s="227"/>
      <c r="G211" s="227"/>
      <c r="H211" s="227" t="s">
        <v>2649</v>
      </c>
      <c r="I211" s="220" t="s">
        <v>2650</v>
      </c>
      <c r="J211" s="227">
        <v>511030</v>
      </c>
      <c r="K211" s="228"/>
    </row>
    <row r="212" spans="1:11">
      <c r="A212" s="214"/>
      <c r="B212" s="214"/>
      <c r="C212" s="214"/>
      <c r="D212" s="226"/>
      <c r="E212" s="227"/>
      <c r="F212" s="227"/>
      <c r="G212" s="227"/>
      <c r="H212" s="227" t="s">
        <v>2647</v>
      </c>
      <c r="I212" s="220" t="s">
        <v>2648</v>
      </c>
      <c r="J212" s="227">
        <v>511025</v>
      </c>
      <c r="K212" s="228"/>
    </row>
    <row r="213" spans="1:11">
      <c r="A213" s="214"/>
      <c r="B213" s="214"/>
      <c r="C213" s="214"/>
      <c r="D213" s="226"/>
      <c r="E213" s="227"/>
      <c r="F213" s="227"/>
      <c r="G213" s="227"/>
      <c r="H213" s="227" t="s">
        <v>2645</v>
      </c>
      <c r="I213" s="220" t="s">
        <v>2646</v>
      </c>
      <c r="J213" s="227">
        <v>510705</v>
      </c>
      <c r="K213" s="228"/>
    </row>
    <row r="214" spans="1:11">
      <c r="A214" s="214"/>
      <c r="B214" s="214"/>
      <c r="C214" s="214"/>
      <c r="D214" s="226"/>
      <c r="E214" s="227"/>
      <c r="F214" s="227"/>
      <c r="G214" s="227"/>
      <c r="H214" s="227" t="s">
        <v>2651</v>
      </c>
      <c r="I214" s="220" t="s">
        <v>2652</v>
      </c>
      <c r="J214" s="227">
        <v>511200</v>
      </c>
      <c r="K214" s="228"/>
    </row>
    <row r="215" spans="1:11">
      <c r="A215" s="214"/>
      <c r="B215" s="214"/>
      <c r="C215" s="214"/>
      <c r="D215" s="226"/>
      <c r="E215" s="227"/>
      <c r="F215" s="227"/>
      <c r="G215" s="227"/>
      <c r="H215" s="227" t="s">
        <v>2946</v>
      </c>
      <c r="I215" s="220" t="s">
        <v>2947</v>
      </c>
      <c r="J215" s="227">
        <v>822505</v>
      </c>
      <c r="K215" s="228"/>
    </row>
    <row r="216" spans="1:11">
      <c r="A216" s="214"/>
      <c r="B216" s="214"/>
      <c r="C216" s="214"/>
      <c r="D216" s="226"/>
      <c r="E216" s="227"/>
      <c r="F216" s="227"/>
      <c r="G216" s="227"/>
      <c r="H216" s="227" t="s">
        <v>2944</v>
      </c>
      <c r="I216" s="220" t="s">
        <v>2945</v>
      </c>
      <c r="J216" s="227">
        <v>822420</v>
      </c>
      <c r="K216" s="228"/>
    </row>
    <row r="217" spans="1:11">
      <c r="A217" s="214"/>
      <c r="B217" s="214"/>
      <c r="C217" s="214"/>
      <c r="D217" s="226"/>
      <c r="E217" s="227"/>
      <c r="F217" s="227"/>
      <c r="G217" s="227"/>
      <c r="H217" s="227" t="s">
        <v>2942</v>
      </c>
      <c r="I217" s="220" t="s">
        <v>2943</v>
      </c>
      <c r="J217" s="227">
        <v>822415</v>
      </c>
      <c r="K217" s="228"/>
    </row>
    <row r="218" spans="1:11">
      <c r="A218" s="214"/>
      <c r="B218" s="214"/>
      <c r="C218" s="214"/>
      <c r="D218" s="226"/>
      <c r="E218" s="227"/>
      <c r="F218" s="227"/>
      <c r="G218" s="227"/>
      <c r="H218" s="227" t="s">
        <v>2960</v>
      </c>
      <c r="I218" s="220" t="s">
        <v>2961</v>
      </c>
      <c r="J218" s="227">
        <v>823906</v>
      </c>
      <c r="K218" s="228"/>
    </row>
    <row r="219" spans="1:11">
      <c r="A219" s="214"/>
      <c r="B219" s="214"/>
      <c r="C219" s="214"/>
      <c r="D219" s="226"/>
      <c r="E219" s="227"/>
      <c r="F219" s="227"/>
      <c r="G219" s="227"/>
      <c r="H219" s="227" t="s">
        <v>2964</v>
      </c>
      <c r="I219" s="220" t="s">
        <v>2965</v>
      </c>
      <c r="J219" s="227">
        <v>823915</v>
      </c>
      <c r="K219" s="228"/>
    </row>
    <row r="220" spans="1:11">
      <c r="A220" s="214"/>
      <c r="B220" s="214"/>
      <c r="C220" s="214"/>
      <c r="D220" s="226"/>
      <c r="E220" s="227"/>
      <c r="F220" s="227"/>
      <c r="G220" s="227"/>
      <c r="H220" s="227" t="s">
        <v>2962</v>
      </c>
      <c r="I220" s="220" t="s">
        <v>2963</v>
      </c>
      <c r="J220" s="227">
        <v>823910</v>
      </c>
      <c r="K220" s="228"/>
    </row>
    <row r="221" spans="1:11">
      <c r="A221" s="214"/>
      <c r="B221" s="214"/>
      <c r="C221" s="214"/>
      <c r="D221" s="226"/>
      <c r="E221" s="227"/>
      <c r="F221" s="227"/>
      <c r="G221" s="227"/>
      <c r="H221" s="227" t="s">
        <v>2950</v>
      </c>
      <c r="I221" s="220" t="s">
        <v>2951</v>
      </c>
      <c r="J221" s="227">
        <v>823105</v>
      </c>
      <c r="K221" s="228"/>
    </row>
    <row r="222" spans="1:11">
      <c r="A222" s="214"/>
      <c r="B222" s="214"/>
      <c r="C222" s="214"/>
      <c r="D222" s="226"/>
      <c r="E222" s="227"/>
      <c r="F222" s="227"/>
      <c r="G222" s="227"/>
      <c r="H222" s="227" t="s">
        <v>2855</v>
      </c>
      <c r="I222" s="220" t="s">
        <v>2856</v>
      </c>
      <c r="J222" s="227">
        <v>820103</v>
      </c>
      <c r="K222" s="228"/>
    </row>
    <row r="223" spans="1:11">
      <c r="A223" s="214"/>
      <c r="B223" s="214"/>
      <c r="C223" s="214"/>
      <c r="D223" s="226"/>
      <c r="E223" s="227"/>
      <c r="F223" s="227"/>
      <c r="G223" s="227"/>
      <c r="H223" s="227" t="s">
        <v>2859</v>
      </c>
      <c r="I223" s="220" t="s">
        <v>2860</v>
      </c>
      <c r="J223" s="227">
        <v>820120</v>
      </c>
      <c r="K223" s="228"/>
    </row>
    <row r="224" spans="1:11">
      <c r="A224" s="214"/>
      <c r="B224" s="214"/>
      <c r="C224" s="214"/>
      <c r="D224" s="226"/>
      <c r="E224" s="227"/>
      <c r="F224" s="227"/>
      <c r="G224" s="227"/>
      <c r="H224" s="227" t="s">
        <v>2857</v>
      </c>
      <c r="I224" s="220" t="s">
        <v>2858</v>
      </c>
      <c r="J224" s="227">
        <v>820110</v>
      </c>
      <c r="K224" s="228"/>
    </row>
    <row r="225" spans="1:11">
      <c r="A225" s="214"/>
      <c r="B225" s="214"/>
      <c r="C225" s="214"/>
      <c r="D225" s="226"/>
      <c r="E225" s="227"/>
      <c r="F225" s="227"/>
      <c r="G225" s="227"/>
      <c r="H225" s="227" t="s">
        <v>2861</v>
      </c>
      <c r="I225" s="220" t="s">
        <v>2862</v>
      </c>
      <c r="J225" s="227">
        <v>820125</v>
      </c>
      <c r="K225" s="228"/>
    </row>
    <row r="226" spans="1:11">
      <c r="A226" s="214"/>
      <c r="B226" s="214"/>
      <c r="C226" s="214"/>
      <c r="D226" s="226"/>
      <c r="E226" s="227"/>
      <c r="F226" s="227"/>
      <c r="G226" s="227"/>
      <c r="H226" s="227" t="s">
        <v>2863</v>
      </c>
      <c r="I226" s="220" t="s">
        <v>2864</v>
      </c>
      <c r="J226" s="227">
        <v>820133</v>
      </c>
      <c r="K226" s="228"/>
    </row>
    <row r="227" spans="1:11">
      <c r="A227" s="214"/>
      <c r="B227" s="214"/>
      <c r="C227" s="214"/>
      <c r="D227" s="226"/>
      <c r="E227" s="227"/>
      <c r="F227" s="227"/>
      <c r="G227" s="227"/>
      <c r="H227" s="227" t="s">
        <v>2865</v>
      </c>
      <c r="I227" s="220" t="s">
        <v>2866</v>
      </c>
      <c r="J227" s="227">
        <v>820138</v>
      </c>
      <c r="K227" s="228"/>
    </row>
    <row r="228" spans="1:11">
      <c r="A228" s="214"/>
      <c r="B228" s="214"/>
      <c r="C228" s="214"/>
      <c r="D228" s="226"/>
      <c r="E228" s="227"/>
      <c r="F228" s="227"/>
      <c r="G228" s="227"/>
      <c r="H228" s="231" t="s">
        <v>2355</v>
      </c>
      <c r="I228" s="220" t="s">
        <v>2445</v>
      </c>
      <c r="J228" s="231">
        <v>304000</v>
      </c>
      <c r="K228" s="228"/>
    </row>
    <row r="229" spans="1:11">
      <c r="A229" s="214"/>
      <c r="B229" s="214"/>
      <c r="C229" s="214"/>
      <c r="D229" s="226"/>
      <c r="E229" s="227"/>
      <c r="F229" s="227"/>
      <c r="G229" s="227"/>
      <c r="H229" s="227" t="s">
        <v>2661</v>
      </c>
      <c r="I229" s="220" t="s">
        <v>2662</v>
      </c>
      <c r="J229" s="227">
        <v>511605</v>
      </c>
      <c r="K229" s="228"/>
    </row>
    <row r="230" spans="1:11">
      <c r="A230" s="214"/>
      <c r="B230" s="214"/>
      <c r="C230" s="214"/>
      <c r="D230" s="226"/>
      <c r="E230" s="227"/>
      <c r="F230" s="227"/>
      <c r="G230" s="227"/>
      <c r="H230" s="227" t="s">
        <v>2564</v>
      </c>
      <c r="I230" s="220" t="s">
        <v>2565</v>
      </c>
      <c r="J230" s="227">
        <v>406405</v>
      </c>
      <c r="K230" s="228"/>
    </row>
    <row r="231" spans="1:11">
      <c r="A231" s="214"/>
      <c r="B231" s="214"/>
      <c r="C231" s="214"/>
      <c r="D231" s="226"/>
      <c r="E231" s="227"/>
      <c r="F231" s="227"/>
      <c r="G231" s="227"/>
      <c r="H231" s="227" t="s">
        <v>2667</v>
      </c>
      <c r="I231" s="220" t="s">
        <v>2668</v>
      </c>
      <c r="J231" s="227">
        <v>511710</v>
      </c>
      <c r="K231" s="228"/>
    </row>
    <row r="232" spans="1:11">
      <c r="A232" s="214"/>
      <c r="B232" s="214"/>
      <c r="C232" s="214"/>
      <c r="D232" s="226"/>
      <c r="E232" s="227"/>
      <c r="F232" s="227"/>
      <c r="G232" s="227"/>
      <c r="H232" s="227" t="s">
        <v>2665</v>
      </c>
      <c r="I232" s="220" t="s">
        <v>2666</v>
      </c>
      <c r="J232" s="227">
        <v>511705</v>
      </c>
      <c r="K232" s="228"/>
    </row>
    <row r="233" spans="1:11">
      <c r="A233" s="214"/>
      <c r="B233" s="214"/>
      <c r="C233" s="214"/>
      <c r="D233" s="226"/>
      <c r="E233" s="227"/>
      <c r="F233" s="227"/>
      <c r="G233" s="227"/>
      <c r="H233" s="227" t="s">
        <v>2841</v>
      </c>
      <c r="I233" s="220" t="s">
        <v>2842</v>
      </c>
      <c r="J233" s="227">
        <v>819605</v>
      </c>
      <c r="K233" s="228"/>
    </row>
    <row r="234" spans="1:11">
      <c r="A234" s="214"/>
      <c r="B234" s="214"/>
      <c r="C234" s="214"/>
      <c r="D234" s="226"/>
      <c r="E234" s="227"/>
      <c r="F234" s="227"/>
      <c r="G234" s="227"/>
      <c r="H234" s="227" t="s">
        <v>2663</v>
      </c>
      <c r="I234" s="220" t="s">
        <v>2664</v>
      </c>
      <c r="J234" s="227">
        <v>511625</v>
      </c>
      <c r="K234" s="228"/>
    </row>
    <row r="235" spans="1:11">
      <c r="A235" s="214"/>
      <c r="B235" s="214"/>
      <c r="C235" s="214"/>
      <c r="D235" s="226"/>
      <c r="E235" s="227"/>
      <c r="F235" s="227"/>
      <c r="G235" s="227"/>
      <c r="H235" s="227" t="s">
        <v>2956</v>
      </c>
      <c r="I235" s="220" t="s">
        <v>2957</v>
      </c>
      <c r="J235" s="227">
        <v>823705</v>
      </c>
      <c r="K235" s="228"/>
    </row>
    <row r="236" spans="1:11">
      <c r="A236" s="214"/>
      <c r="B236" s="214"/>
      <c r="C236" s="214"/>
      <c r="D236" s="226"/>
      <c r="E236" s="227"/>
      <c r="F236" s="227"/>
      <c r="G236" s="227"/>
      <c r="H236" s="227" t="s">
        <v>2958</v>
      </c>
      <c r="I236" s="220" t="s">
        <v>2959</v>
      </c>
      <c r="J236" s="227">
        <v>823810</v>
      </c>
      <c r="K236" s="228"/>
    </row>
    <row r="237" spans="1:11">
      <c r="A237" s="214"/>
      <c r="B237" s="214"/>
      <c r="C237" s="214"/>
      <c r="D237" s="226"/>
      <c r="E237" s="227"/>
      <c r="F237" s="227"/>
      <c r="G237" s="227"/>
      <c r="H237" s="227" t="s">
        <v>2954</v>
      </c>
      <c r="I237" s="220" t="s">
        <v>2955</v>
      </c>
      <c r="J237" s="227">
        <v>823420</v>
      </c>
      <c r="K237" s="228"/>
    </row>
    <row r="238" spans="1:11">
      <c r="A238" s="214"/>
      <c r="B238" s="214"/>
      <c r="C238" s="214"/>
      <c r="D238" s="226"/>
      <c r="E238" s="227"/>
      <c r="F238" s="227"/>
      <c r="G238" s="227"/>
      <c r="H238" s="227" t="s">
        <v>2952</v>
      </c>
      <c r="I238" s="220" t="s">
        <v>2953</v>
      </c>
      <c r="J238" s="227">
        <v>823415</v>
      </c>
      <c r="K238" s="228"/>
    </row>
    <row r="239" spans="1:11">
      <c r="A239" s="214"/>
      <c r="B239" s="214"/>
      <c r="C239" s="214"/>
      <c r="D239" s="226"/>
      <c r="E239" s="227"/>
      <c r="F239" s="227"/>
      <c r="G239" s="227"/>
      <c r="H239" s="227" t="s">
        <v>2982</v>
      </c>
      <c r="I239" s="220" t="s">
        <v>2983</v>
      </c>
      <c r="J239" s="227">
        <v>824110</v>
      </c>
      <c r="K239" s="228"/>
    </row>
    <row r="240" spans="1:11">
      <c r="A240" s="214"/>
      <c r="B240" s="214"/>
      <c r="C240" s="214"/>
      <c r="D240" s="226"/>
      <c r="E240" s="227"/>
      <c r="F240" s="227"/>
      <c r="G240" s="227"/>
      <c r="H240" s="227" t="s">
        <v>2984</v>
      </c>
      <c r="I240" s="220" t="s">
        <v>2985</v>
      </c>
      <c r="J240" s="227">
        <v>824148</v>
      </c>
      <c r="K240" s="228"/>
    </row>
    <row r="241" spans="1:11">
      <c r="A241" s="214"/>
      <c r="B241" s="214"/>
      <c r="C241" s="214"/>
      <c r="D241" s="226"/>
      <c r="E241" s="227"/>
      <c r="F241" s="227"/>
      <c r="G241" s="227"/>
      <c r="H241" s="227" t="s">
        <v>2555</v>
      </c>
      <c r="I241" s="220" t="s">
        <v>2556</v>
      </c>
      <c r="J241" s="227">
        <v>400705</v>
      </c>
      <c r="K241" s="228"/>
    </row>
    <row r="242" spans="1:11">
      <c r="A242" s="214"/>
      <c r="B242" s="214"/>
      <c r="C242" s="214"/>
      <c r="D242" s="226"/>
      <c r="E242" s="227"/>
      <c r="F242" s="227"/>
      <c r="G242" s="227"/>
      <c r="H242" s="227" t="s">
        <v>2891</v>
      </c>
      <c r="I242" s="220" t="s">
        <v>2892</v>
      </c>
      <c r="J242" s="227">
        <v>820620</v>
      </c>
      <c r="K242" s="228"/>
    </row>
    <row r="243" spans="1:11">
      <c r="A243" s="214"/>
      <c r="B243" s="214"/>
      <c r="C243" s="214"/>
      <c r="D243" s="226"/>
      <c r="E243" s="227"/>
      <c r="F243" s="227"/>
      <c r="G243" s="227"/>
      <c r="H243" s="227" t="s">
        <v>2889</v>
      </c>
      <c r="I243" s="220" t="s">
        <v>2890</v>
      </c>
      <c r="J243" s="227">
        <v>820615</v>
      </c>
      <c r="K243" s="228"/>
    </row>
    <row r="244" spans="1:11">
      <c r="A244" s="214"/>
      <c r="B244" s="214"/>
      <c r="C244" s="214"/>
      <c r="D244" s="226"/>
      <c r="E244" s="227"/>
      <c r="F244" s="227"/>
      <c r="G244" s="227"/>
      <c r="H244" s="231" t="s">
        <v>2348</v>
      </c>
      <c r="I244" s="220" t="s">
        <v>2349</v>
      </c>
      <c r="J244" s="231">
        <v>100170</v>
      </c>
      <c r="K244" s="228"/>
    </row>
    <row r="245" spans="1:11">
      <c r="A245" s="214"/>
      <c r="B245" s="214"/>
      <c r="C245" s="214"/>
      <c r="D245" s="226"/>
      <c r="E245" s="227"/>
      <c r="F245" s="227"/>
      <c r="G245" s="227"/>
      <c r="H245" s="230" t="s">
        <v>2307</v>
      </c>
      <c r="I245" s="220" t="s">
        <v>2308</v>
      </c>
      <c r="J245" s="230">
        <v>100105</v>
      </c>
      <c r="K245" s="228"/>
    </row>
    <row r="246" spans="1:11">
      <c r="A246" s="214"/>
      <c r="B246" s="214"/>
      <c r="C246" s="214"/>
      <c r="D246" s="226"/>
      <c r="E246" s="227"/>
      <c r="F246" s="227"/>
      <c r="G246" s="227"/>
      <c r="H246" s="227" t="s">
        <v>2843</v>
      </c>
      <c r="I246" s="220" t="s">
        <v>2844</v>
      </c>
      <c r="J246" s="227">
        <v>819705</v>
      </c>
      <c r="K246" s="228"/>
    </row>
    <row r="247" spans="1:11">
      <c r="A247" s="214"/>
      <c r="B247" s="214"/>
      <c r="C247" s="214"/>
      <c r="D247" s="226"/>
      <c r="E247" s="227"/>
      <c r="F247" s="227"/>
      <c r="G247" s="227"/>
      <c r="H247" s="230" t="s">
        <v>2309</v>
      </c>
      <c r="I247" s="220" t="s">
        <v>2310</v>
      </c>
      <c r="J247" s="230">
        <v>100110</v>
      </c>
      <c r="K247" s="228"/>
    </row>
    <row r="248" spans="1:11">
      <c r="A248" s="214"/>
      <c r="B248" s="214"/>
      <c r="C248" s="214"/>
      <c r="D248" s="226"/>
      <c r="E248" s="227"/>
      <c r="F248" s="227"/>
      <c r="G248" s="227"/>
      <c r="H248" s="227" t="s">
        <v>2847</v>
      </c>
      <c r="I248" s="220" t="s">
        <v>2848</v>
      </c>
      <c r="J248" s="227">
        <v>819725</v>
      </c>
      <c r="K248" s="228"/>
    </row>
    <row r="249" spans="1:11">
      <c r="A249" s="214"/>
      <c r="B249" s="214"/>
      <c r="C249" s="214"/>
      <c r="D249" s="226"/>
      <c r="E249" s="227"/>
      <c r="F249" s="227"/>
      <c r="G249" s="227"/>
      <c r="H249" s="227" t="s">
        <v>2845</v>
      </c>
      <c r="I249" s="220" t="s">
        <v>2846</v>
      </c>
      <c r="J249" s="227">
        <v>819710</v>
      </c>
      <c r="K249" s="228"/>
    </row>
    <row r="250" spans="1:11">
      <c r="A250" s="214"/>
      <c r="B250" s="214"/>
      <c r="C250" s="214"/>
      <c r="D250" s="226"/>
      <c r="E250" s="227"/>
      <c r="F250" s="227"/>
      <c r="G250" s="227"/>
      <c r="H250" s="227" t="s">
        <v>2851</v>
      </c>
      <c r="I250" s="220" t="s">
        <v>2852</v>
      </c>
      <c r="J250" s="227">
        <v>819750</v>
      </c>
      <c r="K250" s="228"/>
    </row>
    <row r="251" spans="1:11">
      <c r="A251" s="214"/>
      <c r="B251" s="214"/>
      <c r="C251" s="214"/>
      <c r="D251" s="226"/>
      <c r="E251" s="227"/>
      <c r="F251" s="227"/>
      <c r="G251" s="227"/>
      <c r="H251" s="227" t="s">
        <v>2710</v>
      </c>
      <c r="I251" s="220" t="s">
        <v>2711</v>
      </c>
      <c r="J251" s="227">
        <v>700175</v>
      </c>
      <c r="K251" s="228"/>
    </row>
    <row r="252" spans="1:11">
      <c r="A252" s="214"/>
      <c r="B252" s="214"/>
      <c r="C252" s="214"/>
      <c r="D252" s="226"/>
      <c r="E252" s="227"/>
      <c r="F252" s="227"/>
      <c r="G252" s="227"/>
      <c r="H252" s="227" t="s">
        <v>2572</v>
      </c>
      <c r="I252" s="220" t="s">
        <v>2573</v>
      </c>
      <c r="J252" s="227">
        <v>406600</v>
      </c>
      <c r="K252" s="228"/>
    </row>
    <row r="253" spans="1:11">
      <c r="A253" s="214"/>
      <c r="B253" s="214"/>
      <c r="C253" s="214"/>
      <c r="D253" s="226"/>
      <c r="E253" s="227"/>
      <c r="F253" s="227"/>
      <c r="G253" s="227"/>
      <c r="H253" s="227" t="s">
        <v>2574</v>
      </c>
      <c r="I253" s="220" t="s">
        <v>2575</v>
      </c>
      <c r="J253" s="227">
        <v>406605</v>
      </c>
      <c r="K253" s="228"/>
    </row>
    <row r="254" spans="1:11">
      <c r="A254" s="214"/>
      <c r="B254" s="214"/>
      <c r="C254" s="214"/>
      <c r="D254" s="226"/>
      <c r="E254" s="227"/>
      <c r="F254" s="227"/>
      <c r="G254" s="227"/>
      <c r="H254" s="227" t="s">
        <v>2568</v>
      </c>
      <c r="I254" s="220" t="s">
        <v>2569</v>
      </c>
      <c r="J254" s="227">
        <v>406500</v>
      </c>
      <c r="K254" s="228"/>
    </row>
    <row r="255" spans="1:11">
      <c r="A255" s="214"/>
      <c r="B255" s="214"/>
      <c r="C255" s="214"/>
      <c r="D255" s="226"/>
      <c r="E255" s="227"/>
      <c r="F255" s="227"/>
      <c r="G255" s="227"/>
      <c r="H255" s="227" t="s">
        <v>2570</v>
      </c>
      <c r="I255" s="220" t="s">
        <v>2571</v>
      </c>
      <c r="J255" s="227">
        <v>406505</v>
      </c>
      <c r="K255" s="228"/>
    </row>
    <row r="256" spans="1:11">
      <c r="A256" s="214"/>
      <c r="B256" s="214"/>
      <c r="C256" s="214"/>
      <c r="D256" s="226"/>
      <c r="E256" s="227"/>
      <c r="F256" s="227"/>
      <c r="G256" s="227"/>
      <c r="H256" s="227" t="s">
        <v>3080</v>
      </c>
      <c r="I256" s="220" t="s">
        <v>3081</v>
      </c>
      <c r="J256" s="227">
        <v>826505</v>
      </c>
      <c r="K256" s="228"/>
    </row>
    <row r="257" spans="1:11">
      <c r="A257" s="214"/>
      <c r="B257" s="214"/>
      <c r="C257" s="214"/>
      <c r="D257" s="226"/>
      <c r="E257" s="227"/>
      <c r="F257" s="227"/>
      <c r="G257" s="227"/>
      <c r="H257" s="227" t="s">
        <v>3082</v>
      </c>
      <c r="I257" s="220" t="s">
        <v>3083</v>
      </c>
      <c r="J257" s="227">
        <v>826508</v>
      </c>
      <c r="K257" s="228"/>
    </row>
    <row r="258" spans="1:11">
      <c r="A258" s="214"/>
      <c r="B258" s="214"/>
      <c r="C258" s="214"/>
      <c r="D258" s="226"/>
      <c r="E258" s="227"/>
      <c r="F258" s="227"/>
      <c r="G258" s="227"/>
      <c r="H258" s="230" t="s">
        <v>2312</v>
      </c>
      <c r="I258" s="220" t="s">
        <v>2313</v>
      </c>
      <c r="J258" s="230">
        <v>100115</v>
      </c>
      <c r="K258" s="228"/>
    </row>
    <row r="259" spans="1:11">
      <c r="A259" s="214"/>
      <c r="B259" s="214"/>
      <c r="C259" s="214"/>
      <c r="D259" s="226"/>
      <c r="E259" s="227"/>
      <c r="F259" s="227"/>
      <c r="G259" s="227"/>
      <c r="H259" s="231" t="s">
        <v>2311</v>
      </c>
      <c r="I259" s="220" t="s">
        <v>2331</v>
      </c>
      <c r="J259" s="231">
        <v>100150</v>
      </c>
      <c r="K259" s="228"/>
    </row>
    <row r="260" spans="1:11">
      <c r="A260" s="214"/>
      <c r="B260" s="214"/>
      <c r="C260" s="214"/>
      <c r="D260" s="226"/>
      <c r="E260" s="227"/>
      <c r="F260" s="227"/>
      <c r="G260" s="227"/>
      <c r="H260" s="231" t="s">
        <v>2335</v>
      </c>
      <c r="I260" s="220" t="s">
        <v>2336</v>
      </c>
      <c r="J260" s="231">
        <v>100151</v>
      </c>
      <c r="K260" s="228"/>
    </row>
    <row r="261" spans="1:11">
      <c r="A261" s="214"/>
      <c r="B261" s="214"/>
      <c r="C261" s="214"/>
      <c r="D261" s="226"/>
      <c r="E261" s="227"/>
      <c r="F261" s="227"/>
      <c r="G261" s="227"/>
      <c r="H261" s="230" t="s">
        <v>2314</v>
      </c>
      <c r="I261" s="220" t="s">
        <v>2315</v>
      </c>
      <c r="J261" s="230">
        <v>100120</v>
      </c>
      <c r="K261" s="228"/>
    </row>
    <row r="262" spans="1:11">
      <c r="A262" s="214"/>
      <c r="B262" s="214"/>
      <c r="C262" s="214"/>
      <c r="D262" s="226"/>
      <c r="E262" s="227"/>
      <c r="F262" s="227"/>
      <c r="G262" s="227"/>
      <c r="H262" s="231" t="s">
        <v>2535</v>
      </c>
      <c r="I262" s="220" t="s">
        <v>2536</v>
      </c>
      <c r="J262" s="231">
        <v>400503</v>
      </c>
      <c r="K262" s="228"/>
    </row>
    <row r="263" spans="1:11">
      <c r="A263" s="214"/>
      <c r="B263" s="214"/>
      <c r="C263" s="214"/>
      <c r="D263" s="226"/>
      <c r="E263" s="227"/>
      <c r="F263" s="227"/>
      <c r="G263" s="227"/>
      <c r="H263" s="231" t="s">
        <v>2537</v>
      </c>
      <c r="I263" s="220" t="s">
        <v>2538</v>
      </c>
      <c r="J263" s="231">
        <v>400505</v>
      </c>
      <c r="K263" s="228"/>
    </row>
    <row r="264" spans="1:11">
      <c r="A264" s="214"/>
      <c r="B264" s="214"/>
      <c r="C264" s="214"/>
      <c r="D264" s="226"/>
      <c r="E264" s="227"/>
      <c r="F264" s="227"/>
      <c r="G264" s="227"/>
      <c r="H264" s="231" t="s">
        <v>2539</v>
      </c>
      <c r="I264" s="220" t="s">
        <v>2540</v>
      </c>
      <c r="J264" s="231">
        <v>400508</v>
      </c>
      <c r="K264" s="228"/>
    </row>
    <row r="265" spans="1:11">
      <c r="A265" s="214"/>
      <c r="B265" s="214"/>
      <c r="C265" s="214"/>
      <c r="D265" s="226"/>
      <c r="E265" s="227"/>
      <c r="F265" s="227"/>
      <c r="G265" s="227"/>
      <c r="H265" s="227" t="s">
        <v>3030</v>
      </c>
      <c r="I265" s="220" t="s">
        <v>3031</v>
      </c>
      <c r="J265" s="227">
        <v>825005</v>
      </c>
      <c r="K265" s="228"/>
    </row>
    <row r="266" spans="1:11">
      <c r="A266" s="214"/>
      <c r="B266" s="214"/>
      <c r="C266" s="214"/>
      <c r="D266" s="226"/>
      <c r="E266" s="227"/>
      <c r="F266" s="227"/>
      <c r="G266" s="227"/>
      <c r="H266" s="230" t="s">
        <v>2322</v>
      </c>
      <c r="I266" s="220" t="s">
        <v>2323</v>
      </c>
      <c r="J266" s="230">
        <v>100140</v>
      </c>
      <c r="K266" s="228"/>
    </row>
    <row r="267" spans="1:11">
      <c r="A267" s="214"/>
      <c r="B267" s="214"/>
      <c r="C267" s="214"/>
      <c r="D267" s="226"/>
      <c r="E267" s="227"/>
      <c r="F267" s="227"/>
      <c r="G267" s="227"/>
      <c r="H267" s="230" t="s">
        <v>2319</v>
      </c>
      <c r="I267" s="220" t="s">
        <v>2320</v>
      </c>
      <c r="J267" s="230">
        <v>100135</v>
      </c>
      <c r="K267" s="228"/>
    </row>
    <row r="268" spans="1:11">
      <c r="A268" s="214"/>
      <c r="B268" s="214"/>
      <c r="C268" s="214"/>
      <c r="D268" s="226"/>
      <c r="E268" s="227"/>
      <c r="F268" s="227"/>
      <c r="G268" s="227"/>
      <c r="H268" s="230" t="s">
        <v>2327</v>
      </c>
      <c r="I268" s="220" t="s">
        <v>2328</v>
      </c>
      <c r="J268" s="230">
        <v>100145</v>
      </c>
      <c r="K268" s="228"/>
    </row>
    <row r="269" spans="1:11">
      <c r="A269" s="214"/>
      <c r="B269" s="214"/>
      <c r="C269" s="214"/>
      <c r="D269" s="226"/>
      <c r="E269" s="227"/>
      <c r="F269" s="227"/>
      <c r="G269" s="227"/>
      <c r="H269" s="227" t="s">
        <v>2677</v>
      </c>
      <c r="I269" s="220" t="s">
        <v>2404</v>
      </c>
      <c r="J269" s="227">
        <v>512105</v>
      </c>
      <c r="K269" s="228"/>
    </row>
    <row r="270" spans="1:11">
      <c r="A270" s="214"/>
      <c r="B270" s="214"/>
      <c r="C270" s="214"/>
      <c r="D270" s="226"/>
      <c r="E270" s="227"/>
      <c r="F270" s="227"/>
      <c r="G270" s="227"/>
      <c r="H270" s="227" t="s">
        <v>3032</v>
      </c>
      <c r="I270" s="220" t="s">
        <v>3033</v>
      </c>
      <c r="J270" s="227">
        <v>825103</v>
      </c>
      <c r="K270" s="228"/>
    </row>
    <row r="271" spans="1:11">
      <c r="A271" s="214"/>
      <c r="B271" s="214"/>
      <c r="C271" s="214"/>
      <c r="D271" s="226"/>
      <c r="E271" s="227"/>
      <c r="F271" s="227"/>
      <c r="G271" s="227"/>
      <c r="H271" s="227" t="s">
        <v>3036</v>
      </c>
      <c r="I271" s="220" t="s">
        <v>3037</v>
      </c>
      <c r="J271" s="227">
        <v>825118</v>
      </c>
      <c r="K271" s="228"/>
    </row>
    <row r="272" spans="1:11">
      <c r="A272" s="214"/>
      <c r="B272" s="214"/>
      <c r="C272" s="214"/>
      <c r="D272" s="226"/>
      <c r="E272" s="227"/>
      <c r="F272" s="227"/>
      <c r="G272" s="227"/>
      <c r="H272" s="227" t="s">
        <v>3034</v>
      </c>
      <c r="I272" s="220" t="s">
        <v>3035</v>
      </c>
      <c r="J272" s="227">
        <v>825116</v>
      </c>
      <c r="K272" s="228"/>
    </row>
    <row r="273" spans="1:11">
      <c r="A273" s="214"/>
      <c r="B273" s="214"/>
      <c r="C273" s="214"/>
      <c r="D273" s="226"/>
      <c r="E273" s="227"/>
      <c r="F273" s="227"/>
      <c r="G273" s="227"/>
      <c r="H273" s="227" t="s">
        <v>3038</v>
      </c>
      <c r="I273" s="220" t="s">
        <v>3039</v>
      </c>
      <c r="J273" s="227">
        <v>825119</v>
      </c>
      <c r="K273" s="228"/>
    </row>
    <row r="274" spans="1:11">
      <c r="A274" s="214"/>
      <c r="B274" s="214"/>
      <c r="C274" s="214"/>
      <c r="D274" s="226"/>
      <c r="E274" s="227"/>
      <c r="F274" s="227"/>
      <c r="G274" s="227"/>
      <c r="H274" s="227" t="s">
        <v>3042</v>
      </c>
      <c r="I274" s="220" t="s">
        <v>3043</v>
      </c>
      <c r="J274" s="227">
        <v>825143</v>
      </c>
      <c r="K274" s="228"/>
    </row>
    <row r="275" spans="1:11">
      <c r="A275" s="214"/>
      <c r="B275" s="214"/>
      <c r="C275" s="214"/>
      <c r="D275" s="226"/>
      <c r="E275" s="227"/>
      <c r="F275" s="227"/>
      <c r="G275" s="227"/>
      <c r="H275" s="227" t="s">
        <v>3040</v>
      </c>
      <c r="I275" s="220" t="s">
        <v>3041</v>
      </c>
      <c r="J275" s="227">
        <v>825123</v>
      </c>
      <c r="K275" s="228"/>
    </row>
    <row r="276" spans="1:11">
      <c r="A276" s="214"/>
      <c r="B276" s="214"/>
      <c r="C276" s="214"/>
      <c r="D276" s="226"/>
      <c r="E276" s="227"/>
      <c r="F276" s="227"/>
      <c r="G276" s="227"/>
      <c r="H276" s="227" t="s">
        <v>3044</v>
      </c>
      <c r="I276" s="220" t="s">
        <v>3045</v>
      </c>
      <c r="J276" s="227">
        <v>825153</v>
      </c>
      <c r="K276" s="228"/>
    </row>
    <row r="277" spans="1:11">
      <c r="A277" s="214"/>
      <c r="B277" s="214"/>
      <c r="C277" s="214"/>
      <c r="D277" s="226"/>
      <c r="E277" s="227"/>
      <c r="F277" s="227"/>
      <c r="G277" s="227"/>
      <c r="H277" s="227" t="s">
        <v>2609</v>
      </c>
      <c r="I277" s="220" t="s">
        <v>2610</v>
      </c>
      <c r="J277" s="227">
        <v>509305</v>
      </c>
      <c r="K277" s="228"/>
    </row>
    <row r="278" spans="1:11">
      <c r="A278" s="214"/>
      <c r="B278" s="214"/>
      <c r="C278" s="214"/>
      <c r="D278" s="226"/>
      <c r="E278" s="227"/>
      <c r="F278" s="227"/>
      <c r="G278" s="227"/>
      <c r="H278" s="227" t="s">
        <v>2611</v>
      </c>
      <c r="I278" s="220" t="s">
        <v>2612</v>
      </c>
      <c r="J278" s="227">
        <v>509405</v>
      </c>
      <c r="K278" s="228"/>
    </row>
    <row r="279" spans="1:11">
      <c r="A279" s="214"/>
      <c r="B279" s="214"/>
      <c r="C279" s="214"/>
      <c r="D279" s="226"/>
      <c r="E279" s="227"/>
      <c r="F279" s="227"/>
      <c r="G279" s="227"/>
      <c r="H279" s="231" t="s">
        <v>2339</v>
      </c>
      <c r="I279" s="220" t="s">
        <v>2340</v>
      </c>
      <c r="J279" s="231">
        <v>100155</v>
      </c>
      <c r="K279" s="228"/>
    </row>
    <row r="280" spans="1:11">
      <c r="A280" s="214"/>
      <c r="B280" s="214"/>
      <c r="C280" s="214"/>
      <c r="D280" s="226"/>
      <c r="E280" s="227"/>
      <c r="F280" s="227"/>
      <c r="G280" s="227"/>
      <c r="H280" s="231" t="s">
        <v>2343</v>
      </c>
      <c r="I280" s="220" t="s">
        <v>2344</v>
      </c>
      <c r="J280" s="231">
        <v>100165</v>
      </c>
      <c r="K280" s="228"/>
    </row>
    <row r="281" spans="1:11">
      <c r="A281" s="214"/>
      <c r="B281" s="214"/>
      <c r="C281" s="214"/>
      <c r="D281" s="226"/>
      <c r="E281" s="227"/>
      <c r="F281" s="227"/>
      <c r="G281" s="227"/>
      <c r="H281" s="227" t="s">
        <v>3022</v>
      </c>
      <c r="I281" s="220" t="s">
        <v>3023</v>
      </c>
      <c r="J281" s="227">
        <v>824705</v>
      </c>
      <c r="K281" s="228"/>
    </row>
    <row r="282" spans="1:11">
      <c r="A282" s="214"/>
      <c r="B282" s="214"/>
      <c r="C282" s="214"/>
      <c r="D282" s="226"/>
      <c r="E282" s="227"/>
      <c r="F282" s="227"/>
      <c r="G282" s="227"/>
      <c r="H282" s="227" t="s">
        <v>2685</v>
      </c>
      <c r="I282" s="220" t="s">
        <v>2686</v>
      </c>
      <c r="J282" s="227">
        <v>512205</v>
      </c>
      <c r="K282" s="228"/>
    </row>
    <row r="283" spans="1:11">
      <c r="A283" s="214"/>
      <c r="B283" s="214"/>
      <c r="C283" s="214"/>
      <c r="D283" s="226"/>
      <c r="E283" s="227"/>
      <c r="F283" s="227"/>
      <c r="G283" s="227"/>
      <c r="H283" s="227" t="s">
        <v>3048</v>
      </c>
      <c r="I283" s="220" t="s">
        <v>3049</v>
      </c>
      <c r="J283" s="227">
        <v>825415</v>
      </c>
      <c r="K283" s="228"/>
    </row>
    <row r="284" spans="1:11">
      <c r="A284" s="214"/>
      <c r="B284" s="214"/>
      <c r="C284" s="214"/>
      <c r="D284" s="226"/>
      <c r="E284" s="227"/>
      <c r="F284" s="227"/>
      <c r="G284" s="227"/>
      <c r="H284" s="227" t="s">
        <v>3050</v>
      </c>
      <c r="I284" s="220" t="s">
        <v>3051</v>
      </c>
      <c r="J284" s="227">
        <v>825430</v>
      </c>
      <c r="K284" s="228"/>
    </row>
    <row r="285" spans="1:11">
      <c r="A285" s="214"/>
      <c r="B285" s="214"/>
      <c r="C285" s="214"/>
      <c r="D285" s="226"/>
      <c r="E285" s="227"/>
      <c r="F285" s="227"/>
      <c r="G285" s="227"/>
      <c r="H285" s="227" t="s">
        <v>2675</v>
      </c>
      <c r="I285" s="220" t="s">
        <v>2676</v>
      </c>
      <c r="J285" s="227">
        <v>512005</v>
      </c>
      <c r="K285" s="228"/>
    </row>
    <row r="286" spans="1:11">
      <c r="A286" s="214"/>
      <c r="B286" s="214"/>
      <c r="C286" s="214"/>
      <c r="D286" s="226"/>
      <c r="E286" s="227"/>
      <c r="F286" s="227"/>
      <c r="G286" s="227"/>
      <c r="H286" s="227" t="s">
        <v>3046</v>
      </c>
      <c r="I286" s="220" t="s">
        <v>3047</v>
      </c>
      <c r="J286" s="227">
        <v>825205</v>
      </c>
      <c r="K286" s="228"/>
    </row>
    <row r="287" spans="1:11">
      <c r="A287" s="214"/>
      <c r="B287" s="214"/>
      <c r="C287" s="214"/>
      <c r="D287" s="226"/>
      <c r="E287" s="227"/>
      <c r="F287" s="227"/>
      <c r="G287" s="227"/>
      <c r="H287" s="231" t="s">
        <v>2330</v>
      </c>
      <c r="I287" s="220" t="s">
        <v>2448</v>
      </c>
      <c r="J287" s="231">
        <v>304305</v>
      </c>
      <c r="K287" s="228"/>
    </row>
    <row r="288" spans="1:11">
      <c r="A288" s="214"/>
      <c r="B288" s="214"/>
      <c r="C288" s="214"/>
      <c r="D288" s="226"/>
      <c r="E288" s="227"/>
      <c r="F288" s="227"/>
      <c r="G288" s="227"/>
      <c r="H288" s="231" t="s">
        <v>2514</v>
      </c>
      <c r="I288" s="220" t="s">
        <v>2452</v>
      </c>
      <c r="J288" s="231">
        <v>304303</v>
      </c>
      <c r="K288" s="228"/>
    </row>
    <row r="289" spans="1:11">
      <c r="A289" s="214"/>
      <c r="B289" s="214"/>
      <c r="C289" s="214"/>
      <c r="D289" s="226"/>
      <c r="E289" s="227"/>
      <c r="F289" s="227"/>
      <c r="G289" s="227"/>
      <c r="H289" s="231" t="s">
        <v>2517</v>
      </c>
      <c r="I289" s="220" t="s">
        <v>2518</v>
      </c>
      <c r="J289" s="231">
        <v>304310</v>
      </c>
      <c r="K289" s="228"/>
    </row>
    <row r="290" spans="1:11">
      <c r="A290" s="214"/>
      <c r="B290" s="214"/>
      <c r="C290" s="214"/>
      <c r="D290" s="226"/>
      <c r="E290" s="227"/>
      <c r="F290" s="227"/>
      <c r="G290" s="227"/>
      <c r="H290" s="231" t="s">
        <v>2515</v>
      </c>
      <c r="I290" s="220" t="s">
        <v>2516</v>
      </c>
      <c r="J290" s="231">
        <v>304308</v>
      </c>
      <c r="K290" s="228"/>
    </row>
    <row r="291" spans="1:11">
      <c r="A291" s="214"/>
      <c r="B291" s="214"/>
      <c r="C291" s="214"/>
      <c r="D291" s="226"/>
      <c r="E291" s="227"/>
      <c r="F291" s="227"/>
      <c r="G291" s="227"/>
      <c r="H291" s="227" t="s">
        <v>3052</v>
      </c>
      <c r="I291" s="220" t="s">
        <v>3053</v>
      </c>
      <c r="J291" s="227">
        <v>825507</v>
      </c>
      <c r="K291" s="228"/>
    </row>
    <row r="292" spans="1:11">
      <c r="A292" s="214"/>
      <c r="B292" s="214"/>
      <c r="C292" s="214"/>
      <c r="D292" s="226"/>
      <c r="E292" s="227"/>
      <c r="F292" s="227"/>
      <c r="G292" s="227"/>
      <c r="H292" s="227" t="s">
        <v>3054</v>
      </c>
      <c r="I292" s="220" t="s">
        <v>3055</v>
      </c>
      <c r="J292" s="227">
        <v>825519</v>
      </c>
      <c r="K292" s="228"/>
    </row>
    <row r="293" spans="1:11">
      <c r="A293" s="214"/>
      <c r="B293" s="214"/>
      <c r="C293" s="214"/>
      <c r="D293" s="226"/>
      <c r="E293" s="227"/>
      <c r="F293" s="227"/>
      <c r="G293" s="227"/>
      <c r="H293" s="227" t="s">
        <v>3062</v>
      </c>
      <c r="I293" s="220" t="s">
        <v>3063</v>
      </c>
      <c r="J293" s="227">
        <v>825530</v>
      </c>
      <c r="K293" s="228"/>
    </row>
    <row r="294" spans="1:11">
      <c r="A294" s="214"/>
      <c r="B294" s="214"/>
      <c r="C294" s="214"/>
      <c r="D294" s="226"/>
      <c r="E294" s="227"/>
      <c r="F294" s="227"/>
      <c r="G294" s="227"/>
      <c r="H294" s="227" t="s">
        <v>3056</v>
      </c>
      <c r="I294" s="220" t="s">
        <v>3057</v>
      </c>
      <c r="J294" s="227">
        <v>825520</v>
      </c>
      <c r="K294" s="228"/>
    </row>
    <row r="295" spans="1:11">
      <c r="A295" s="214"/>
      <c r="B295" s="214"/>
      <c r="C295" s="214"/>
      <c r="D295" s="226"/>
      <c r="E295" s="227"/>
      <c r="F295" s="227"/>
      <c r="G295" s="227"/>
      <c r="H295" s="227" t="s">
        <v>3060</v>
      </c>
      <c r="I295" s="220" t="s">
        <v>3061</v>
      </c>
      <c r="J295" s="227">
        <v>825528</v>
      </c>
      <c r="K295" s="228"/>
    </row>
    <row r="296" spans="1:11">
      <c r="A296" s="214"/>
      <c r="B296" s="214"/>
      <c r="C296" s="214"/>
      <c r="D296" s="226"/>
      <c r="E296" s="227"/>
      <c r="F296" s="227"/>
      <c r="G296" s="227"/>
      <c r="H296" s="227" t="s">
        <v>3064</v>
      </c>
      <c r="I296" s="220" t="s">
        <v>3065</v>
      </c>
      <c r="J296" s="227">
        <v>825550</v>
      </c>
      <c r="K296" s="228"/>
    </row>
    <row r="297" spans="1:11">
      <c r="A297" s="214"/>
      <c r="B297" s="214"/>
      <c r="C297" s="214"/>
      <c r="D297" s="226"/>
      <c r="E297" s="227"/>
      <c r="F297" s="227"/>
      <c r="G297" s="227"/>
      <c r="H297" s="227" t="s">
        <v>3058</v>
      </c>
      <c r="I297" s="220" t="s">
        <v>3059</v>
      </c>
      <c r="J297" s="227">
        <v>825523</v>
      </c>
      <c r="K297" s="228"/>
    </row>
    <row r="298" spans="1:11">
      <c r="A298" s="214"/>
      <c r="B298" s="214"/>
      <c r="C298" s="214"/>
      <c r="D298" s="226"/>
      <c r="E298" s="227"/>
      <c r="F298" s="227"/>
      <c r="G298" s="227"/>
      <c r="H298" s="227" t="s">
        <v>3066</v>
      </c>
      <c r="I298" s="220" t="s">
        <v>3067</v>
      </c>
      <c r="J298" s="227">
        <v>825563</v>
      </c>
      <c r="K298" s="228"/>
    </row>
    <row r="299" spans="1:11">
      <c r="A299" s="214"/>
      <c r="B299" s="214"/>
      <c r="C299" s="214"/>
      <c r="D299" s="226"/>
      <c r="E299" s="227"/>
      <c r="F299" s="227"/>
      <c r="G299" s="227"/>
      <c r="H299" s="231" t="s">
        <v>2519</v>
      </c>
      <c r="I299" s="220" t="s">
        <v>2520</v>
      </c>
      <c r="J299" s="231">
        <v>304315</v>
      </c>
      <c r="K299" s="228"/>
    </row>
    <row r="300" spans="1:11">
      <c r="A300" s="214"/>
      <c r="B300" s="214"/>
      <c r="C300" s="214"/>
      <c r="D300" s="226"/>
      <c r="E300" s="227"/>
      <c r="F300" s="227"/>
      <c r="G300" s="227"/>
      <c r="H300" s="231" t="s">
        <v>2449</v>
      </c>
      <c r="I300" s="220" t="s">
        <v>2455</v>
      </c>
      <c r="J300" s="231">
        <v>304318</v>
      </c>
      <c r="K300" s="228"/>
    </row>
    <row r="301" spans="1:11">
      <c r="A301" s="214"/>
      <c r="B301" s="214"/>
      <c r="C301" s="214"/>
      <c r="D301" s="226"/>
      <c r="E301" s="227"/>
      <c r="F301" s="227"/>
      <c r="G301" s="227"/>
      <c r="H301" s="231" t="s">
        <v>2525</v>
      </c>
      <c r="I301" s="220" t="s">
        <v>2526</v>
      </c>
      <c r="J301" s="231">
        <v>304343</v>
      </c>
      <c r="K301" s="228"/>
    </row>
    <row r="302" spans="1:11">
      <c r="A302" s="214"/>
      <c r="B302" s="214"/>
      <c r="C302" s="214"/>
      <c r="D302" s="226"/>
      <c r="E302" s="227"/>
      <c r="F302" s="227"/>
      <c r="G302" s="227"/>
      <c r="H302" s="231" t="s">
        <v>2521</v>
      </c>
      <c r="I302" s="220" t="s">
        <v>2522</v>
      </c>
      <c r="J302" s="231">
        <v>304323</v>
      </c>
      <c r="K302" s="228"/>
    </row>
    <row r="303" spans="1:11">
      <c r="A303" s="214"/>
      <c r="B303" s="214"/>
      <c r="C303" s="214"/>
      <c r="D303" s="226"/>
      <c r="E303" s="227"/>
      <c r="F303" s="227"/>
      <c r="G303" s="227"/>
      <c r="H303" s="227" t="s">
        <v>2827</v>
      </c>
      <c r="I303" s="220" t="s">
        <v>2828</v>
      </c>
      <c r="J303" s="227">
        <v>819305</v>
      </c>
      <c r="K303" s="228"/>
    </row>
    <row r="304" spans="1:11">
      <c r="A304" s="214"/>
      <c r="B304" s="214"/>
      <c r="C304" s="214"/>
      <c r="D304" s="226"/>
      <c r="E304" s="227"/>
      <c r="F304" s="227"/>
      <c r="G304" s="227"/>
      <c r="H304" s="227" t="s">
        <v>2829</v>
      </c>
      <c r="I304" s="220" t="s">
        <v>2830</v>
      </c>
      <c r="J304" s="227">
        <v>819310</v>
      </c>
      <c r="K304" s="228"/>
    </row>
    <row r="305" spans="1:11">
      <c r="A305" s="214"/>
      <c r="B305" s="214"/>
      <c r="C305" s="214"/>
      <c r="D305" s="226"/>
      <c r="E305" s="227"/>
      <c r="F305" s="227"/>
      <c r="G305" s="227"/>
      <c r="H305" s="227" t="s">
        <v>2831</v>
      </c>
      <c r="I305" s="220" t="s">
        <v>2832</v>
      </c>
      <c r="J305" s="227">
        <v>819315</v>
      </c>
      <c r="K305" s="228"/>
    </row>
    <row r="306" spans="1:11">
      <c r="A306" s="214"/>
      <c r="B306" s="214"/>
      <c r="C306" s="214"/>
      <c r="D306" s="226"/>
      <c r="E306" s="227"/>
      <c r="F306" s="227"/>
      <c r="G306" s="227"/>
      <c r="H306" s="227" t="s">
        <v>2833</v>
      </c>
      <c r="I306" s="220" t="s">
        <v>2834</v>
      </c>
      <c r="J306" s="227">
        <v>819345</v>
      </c>
      <c r="K306" s="228"/>
    </row>
    <row r="307" spans="1:11">
      <c r="A307" s="214"/>
      <c r="B307" s="214"/>
      <c r="C307" s="214"/>
      <c r="D307" s="226"/>
      <c r="E307" s="227"/>
      <c r="F307" s="227"/>
      <c r="G307" s="227"/>
      <c r="H307" s="231" t="s">
        <v>2457</v>
      </c>
      <c r="I307" s="220" t="s">
        <v>2458</v>
      </c>
      <c r="J307" s="231">
        <v>304335</v>
      </c>
      <c r="K307" s="228"/>
    </row>
    <row r="308" spans="1:11">
      <c r="A308" s="214"/>
      <c r="B308" s="214"/>
      <c r="C308" s="214"/>
      <c r="D308" s="226"/>
      <c r="E308" s="227"/>
      <c r="F308" s="227"/>
      <c r="G308" s="227"/>
      <c r="H308" s="227" t="s">
        <v>2678</v>
      </c>
      <c r="I308" s="220" t="s">
        <v>2679</v>
      </c>
      <c r="J308" s="227">
        <v>512110</v>
      </c>
      <c r="K308" s="228"/>
    </row>
    <row r="309" spans="1:11">
      <c r="A309" s="214"/>
      <c r="B309" s="214"/>
      <c r="C309" s="214"/>
      <c r="D309" s="226"/>
      <c r="E309" s="227"/>
      <c r="F309" s="227"/>
      <c r="G309" s="227"/>
      <c r="H309" s="227" t="s">
        <v>2680</v>
      </c>
      <c r="I309" s="220" t="s">
        <v>2681</v>
      </c>
      <c r="J309" s="227">
        <v>512111</v>
      </c>
      <c r="K309" s="228"/>
    </row>
    <row r="310" spans="1:11">
      <c r="A310" s="214"/>
      <c r="B310" s="214"/>
      <c r="C310" s="214"/>
      <c r="D310" s="226"/>
      <c r="E310" s="227"/>
      <c r="F310" s="227"/>
      <c r="G310" s="227"/>
      <c r="H310" s="227" t="s">
        <v>2682</v>
      </c>
      <c r="I310" s="220" t="s">
        <v>2683</v>
      </c>
      <c r="J310" s="227">
        <v>512112</v>
      </c>
      <c r="K310" s="228"/>
    </row>
    <row r="311" spans="1:11">
      <c r="A311" s="214"/>
      <c r="B311" s="214"/>
      <c r="C311" s="214"/>
      <c r="D311" s="226"/>
      <c r="E311" s="227"/>
      <c r="F311" s="227"/>
      <c r="G311" s="227"/>
      <c r="H311" s="231" t="s">
        <v>2523</v>
      </c>
      <c r="I311" s="220" t="s">
        <v>2524</v>
      </c>
      <c r="J311" s="231">
        <v>304338</v>
      </c>
      <c r="K311" s="228"/>
    </row>
    <row r="312" spans="1:11">
      <c r="A312" s="214"/>
      <c r="B312" s="214"/>
      <c r="C312" s="214"/>
      <c r="D312" s="226"/>
      <c r="E312" s="227"/>
      <c r="F312" s="227"/>
      <c r="G312" s="227"/>
      <c r="H312" s="227" t="s">
        <v>2576</v>
      </c>
      <c r="I312" s="220" t="s">
        <v>2577</v>
      </c>
      <c r="J312" s="227">
        <v>406710</v>
      </c>
      <c r="K312" s="228"/>
    </row>
    <row r="313" spans="1:11">
      <c r="A313" s="214"/>
      <c r="B313" s="214"/>
      <c r="C313" s="214"/>
      <c r="D313" s="226"/>
      <c r="E313" s="227"/>
      <c r="F313" s="227"/>
      <c r="G313" s="227"/>
      <c r="H313" s="231" t="s">
        <v>2527</v>
      </c>
      <c r="I313" s="220" t="s">
        <v>2528</v>
      </c>
      <c r="J313" s="231">
        <v>304344</v>
      </c>
      <c r="K313" s="228"/>
    </row>
    <row r="314" spans="1:11">
      <c r="A314" s="214"/>
      <c r="B314" s="214"/>
      <c r="C314" s="214"/>
      <c r="D314" s="226"/>
      <c r="E314" s="227"/>
      <c r="F314" s="227"/>
      <c r="G314" s="227"/>
      <c r="H314" s="227" t="s">
        <v>2578</v>
      </c>
      <c r="I314" s="220" t="s">
        <v>2579</v>
      </c>
      <c r="J314" s="227">
        <v>406803</v>
      </c>
      <c r="K314" s="228"/>
    </row>
    <row r="315" spans="1:11">
      <c r="G315" s="227"/>
      <c r="H315" s="227" t="s">
        <v>2580</v>
      </c>
      <c r="I315" s="220" t="s">
        <v>2581</v>
      </c>
      <c r="J315" s="227">
        <v>406810</v>
      </c>
      <c r="K315" s="228"/>
    </row>
    <row r="316" spans="1:11">
      <c r="G316" s="227"/>
      <c r="H316" s="231" t="s">
        <v>2318</v>
      </c>
      <c r="I316" s="220" t="s">
        <v>2451</v>
      </c>
      <c r="J316" s="231">
        <v>304345</v>
      </c>
      <c r="K316" s="228"/>
    </row>
    <row r="317" spans="1:11">
      <c r="G317" s="227"/>
      <c r="H317" s="227" t="s">
        <v>3068</v>
      </c>
      <c r="I317" s="220" t="s">
        <v>3069</v>
      </c>
      <c r="J317" s="227">
        <v>825803</v>
      </c>
      <c r="K317" s="228"/>
    </row>
    <row r="318" spans="1:11">
      <c r="G318" s="227"/>
      <c r="H318" s="227" t="s">
        <v>3070</v>
      </c>
      <c r="I318" s="220" t="s">
        <v>3071</v>
      </c>
      <c r="J318" s="227">
        <v>825805</v>
      </c>
      <c r="K318" s="228"/>
    </row>
    <row r="319" spans="1:11">
      <c r="G319" s="227"/>
      <c r="H319" s="227" t="s">
        <v>2687</v>
      </c>
      <c r="I319" s="220" t="s">
        <v>2688</v>
      </c>
      <c r="J319" s="227">
        <v>512405</v>
      </c>
      <c r="K319" s="228"/>
    </row>
    <row r="320" spans="1:11">
      <c r="G320" s="227"/>
      <c r="H320" s="227" t="s">
        <v>2689</v>
      </c>
      <c r="I320" s="220" t="s">
        <v>2690</v>
      </c>
      <c r="J320" s="227">
        <v>512410</v>
      </c>
      <c r="K320" s="228"/>
    </row>
    <row r="321" spans="7:11">
      <c r="G321" s="227"/>
      <c r="H321" s="227" t="s">
        <v>2935</v>
      </c>
      <c r="I321" s="220" t="s">
        <v>2936</v>
      </c>
      <c r="J321" s="227">
        <v>822103</v>
      </c>
      <c r="K321" s="228"/>
    </row>
    <row r="322" spans="7:11">
      <c r="G322" s="227"/>
      <c r="H322" s="227" t="s">
        <v>2691</v>
      </c>
      <c r="I322" s="220" t="s">
        <v>2692</v>
      </c>
      <c r="J322" s="227">
        <v>512605</v>
      </c>
      <c r="K322" s="228"/>
    </row>
    <row r="323" spans="7:11">
      <c r="G323" s="227"/>
      <c r="H323" s="227" t="s">
        <v>3072</v>
      </c>
      <c r="I323" s="220" t="s">
        <v>3073</v>
      </c>
      <c r="J323" s="227">
        <v>826010</v>
      </c>
      <c r="K323" s="228"/>
    </row>
    <row r="324" spans="7:11">
      <c r="G324" s="227"/>
      <c r="H324" s="227" t="s">
        <v>3074</v>
      </c>
      <c r="I324" s="220" t="s">
        <v>3075</v>
      </c>
      <c r="J324" s="227">
        <v>826210</v>
      </c>
      <c r="K324" s="228"/>
    </row>
    <row r="325" spans="7:11">
      <c r="G325" s="227"/>
      <c r="H325" s="227" t="s">
        <v>3076</v>
      </c>
      <c r="I325" s="220" t="s">
        <v>3077</v>
      </c>
      <c r="J325" s="227">
        <v>826305</v>
      </c>
      <c r="K325" s="228"/>
    </row>
    <row r="326" spans="7:11">
      <c r="G326" s="227"/>
      <c r="H326" s="227" t="s">
        <v>3078</v>
      </c>
      <c r="I326" s="220" t="s">
        <v>3079</v>
      </c>
      <c r="J326" s="227">
        <v>826405</v>
      </c>
      <c r="K326" s="228"/>
    </row>
    <row r="327" spans="7:11">
      <c r="G327" s="227"/>
      <c r="H327" s="227" t="s">
        <v>2693</v>
      </c>
      <c r="I327" s="220" t="s">
        <v>2694</v>
      </c>
      <c r="J327" s="227">
        <v>512820</v>
      </c>
      <c r="K327" s="228"/>
    </row>
    <row r="328" spans="7:11">
      <c r="G328" s="227"/>
      <c r="H328" s="227" t="s">
        <v>2695</v>
      </c>
      <c r="I328" s="220" t="s">
        <v>2423</v>
      </c>
      <c r="J328" s="227">
        <v>512825</v>
      </c>
      <c r="K328" s="228"/>
    </row>
    <row r="329" spans="7:11">
      <c r="G329" s="227"/>
      <c r="H329" s="227" t="s">
        <v>2696</v>
      </c>
      <c r="I329" s="220" t="s">
        <v>2697</v>
      </c>
      <c r="J329" s="227">
        <v>512850</v>
      </c>
      <c r="K329" s="228"/>
    </row>
    <row r="330" spans="7:11">
      <c r="G330" s="227"/>
      <c r="H330" s="227" t="s">
        <v>2379</v>
      </c>
      <c r="I330" s="220" t="s">
        <v>2380</v>
      </c>
      <c r="J330" s="227">
        <v>508760</v>
      </c>
      <c r="K330" s="228"/>
    </row>
    <row r="331" spans="7:11">
      <c r="G331" s="227"/>
      <c r="H331" s="227" t="s">
        <v>2698</v>
      </c>
      <c r="I331" s="220" t="s">
        <v>2398</v>
      </c>
      <c r="J331" s="227">
        <v>513005</v>
      </c>
      <c r="K331" s="228"/>
    </row>
    <row r="332" spans="7:11">
      <c r="G332" s="227"/>
      <c r="H332" s="227" t="s">
        <v>2582</v>
      </c>
      <c r="I332" s="220" t="s">
        <v>2583</v>
      </c>
      <c r="J332" s="227">
        <v>407005</v>
      </c>
      <c r="K332" s="228"/>
    </row>
    <row r="333" spans="7:11">
      <c r="G333" s="227"/>
      <c r="H333" s="227" t="s">
        <v>2729</v>
      </c>
      <c r="I333" s="220" t="s">
        <v>2730</v>
      </c>
      <c r="J333" s="227">
        <v>804335</v>
      </c>
      <c r="K333" s="228"/>
    </row>
    <row r="334" spans="7:11">
      <c r="G334" s="227"/>
      <c r="H334" s="227" t="s">
        <v>2986</v>
      </c>
      <c r="I334" s="220" t="s">
        <v>2987</v>
      </c>
      <c r="J334" s="227">
        <v>824203</v>
      </c>
      <c r="K334" s="228"/>
    </row>
    <row r="335" spans="7:11">
      <c r="G335" s="227"/>
      <c r="H335" s="227" t="s">
        <v>2988</v>
      </c>
      <c r="I335" s="220" t="s">
        <v>2989</v>
      </c>
      <c r="J335" s="227">
        <v>824207</v>
      </c>
      <c r="K335" s="228"/>
    </row>
    <row r="336" spans="7:11">
      <c r="G336" s="227"/>
      <c r="H336" s="227" t="s">
        <v>2990</v>
      </c>
      <c r="I336" s="220" t="s">
        <v>2991</v>
      </c>
      <c r="J336" s="227">
        <v>824208</v>
      </c>
      <c r="K336" s="228"/>
    </row>
    <row r="337" spans="7:11">
      <c r="G337" s="227"/>
      <c r="H337" s="227" t="s">
        <v>2992</v>
      </c>
      <c r="I337" s="220" t="s">
        <v>2993</v>
      </c>
      <c r="J337" s="227">
        <v>824209</v>
      </c>
      <c r="K337" s="228"/>
    </row>
    <row r="338" spans="7:11">
      <c r="G338" s="227"/>
      <c r="H338" s="227" t="s">
        <v>2994</v>
      </c>
      <c r="I338" s="220" t="s">
        <v>2995</v>
      </c>
      <c r="J338" s="227">
        <v>824221</v>
      </c>
      <c r="K338" s="228"/>
    </row>
    <row r="339" spans="7:11">
      <c r="G339" s="227"/>
      <c r="H339" s="227" t="s">
        <v>2998</v>
      </c>
      <c r="I339" s="220" t="s">
        <v>2999</v>
      </c>
      <c r="J339" s="227">
        <v>824238</v>
      </c>
      <c r="K339" s="228"/>
    </row>
    <row r="340" spans="7:11">
      <c r="G340" s="227"/>
      <c r="H340" s="227" t="s">
        <v>2996</v>
      </c>
      <c r="I340" s="220" t="s">
        <v>2997</v>
      </c>
      <c r="J340" s="227">
        <v>824225</v>
      </c>
      <c r="K340" s="228"/>
    </row>
    <row r="341" spans="7:11">
      <c r="G341" s="227"/>
      <c r="H341" s="227" t="s">
        <v>3000</v>
      </c>
      <c r="I341" s="220" t="s">
        <v>3001</v>
      </c>
      <c r="J341" s="227">
        <v>824239</v>
      </c>
      <c r="K341" s="228"/>
    </row>
    <row r="342" spans="7:11">
      <c r="G342" s="227"/>
      <c r="H342" s="227" t="s">
        <v>3006</v>
      </c>
      <c r="I342" s="220" t="s">
        <v>3007</v>
      </c>
      <c r="J342" s="227">
        <v>824252</v>
      </c>
      <c r="K342" s="228"/>
    </row>
    <row r="343" spans="7:11">
      <c r="G343" s="227"/>
      <c r="H343" s="227" t="s">
        <v>3004</v>
      </c>
      <c r="I343" s="220" t="s">
        <v>3005</v>
      </c>
      <c r="J343" s="227">
        <v>824251</v>
      </c>
      <c r="K343" s="228"/>
    </row>
    <row r="344" spans="7:11">
      <c r="G344" s="227"/>
      <c r="H344" s="227" t="s">
        <v>3010</v>
      </c>
      <c r="I344" s="220" t="s">
        <v>3011</v>
      </c>
      <c r="J344" s="227">
        <v>824257</v>
      </c>
      <c r="K344" s="228"/>
    </row>
    <row r="345" spans="7:11">
      <c r="G345" s="227"/>
      <c r="H345" s="227" t="s">
        <v>3008</v>
      </c>
      <c r="I345" s="220" t="s">
        <v>3009</v>
      </c>
      <c r="J345" s="227">
        <v>824254</v>
      </c>
      <c r="K345" s="228"/>
    </row>
    <row r="346" spans="7:11">
      <c r="G346" s="227"/>
      <c r="H346" s="227" t="s">
        <v>3002</v>
      </c>
      <c r="I346" s="220" t="s">
        <v>3003</v>
      </c>
      <c r="J346" s="227">
        <v>824250</v>
      </c>
      <c r="K346" s="228"/>
    </row>
    <row r="347" spans="7:11">
      <c r="G347" s="227"/>
      <c r="H347" s="227" t="s">
        <v>3012</v>
      </c>
      <c r="I347" s="220" t="s">
        <v>3013</v>
      </c>
      <c r="J347" s="227">
        <v>824262</v>
      </c>
      <c r="K347" s="228"/>
    </row>
    <row r="348" spans="7:11">
      <c r="G348" s="227"/>
      <c r="H348" s="227" t="s">
        <v>3016</v>
      </c>
      <c r="I348" s="220" t="s">
        <v>3017</v>
      </c>
      <c r="J348" s="227">
        <v>824267</v>
      </c>
      <c r="K348" s="228"/>
    </row>
    <row r="349" spans="7:11">
      <c r="G349" s="227"/>
      <c r="H349" s="227" t="s">
        <v>3014</v>
      </c>
      <c r="I349" s="220" t="s">
        <v>3015</v>
      </c>
      <c r="J349" s="227">
        <v>824265</v>
      </c>
      <c r="K349" s="228"/>
    </row>
    <row r="350" spans="7:11">
      <c r="G350" s="227"/>
      <c r="H350" s="227" t="s">
        <v>3018</v>
      </c>
      <c r="I350" s="220" t="s">
        <v>3019</v>
      </c>
      <c r="J350" s="227">
        <v>824268</v>
      </c>
      <c r="K350" s="228"/>
    </row>
    <row r="351" spans="7:11">
      <c r="G351" s="227"/>
      <c r="H351" s="227" t="s">
        <v>3084</v>
      </c>
      <c r="I351" s="220" t="s">
        <v>3085</v>
      </c>
      <c r="J351" s="227">
        <v>826605</v>
      </c>
      <c r="K351" s="228"/>
    </row>
    <row r="352" spans="7:11">
      <c r="G352" s="227"/>
      <c r="H352" s="227" t="s">
        <v>2699</v>
      </c>
      <c r="I352" s="220" t="s">
        <v>2401</v>
      </c>
      <c r="J352" s="227">
        <v>513010</v>
      </c>
      <c r="K352" s="228"/>
    </row>
    <row r="353" spans="7:11">
      <c r="G353" s="227"/>
      <c r="H353" s="231" t="s">
        <v>2426</v>
      </c>
      <c r="I353" s="220" t="s">
        <v>2427</v>
      </c>
      <c r="J353" s="231">
        <v>202305</v>
      </c>
      <c r="K353" s="228"/>
    </row>
    <row r="354" spans="7:11">
      <c r="G354" s="227"/>
      <c r="H354" s="227" t="s">
        <v>2704</v>
      </c>
      <c r="I354" s="220" t="s">
        <v>2705</v>
      </c>
      <c r="J354" s="227">
        <v>513415</v>
      </c>
      <c r="K354" s="228"/>
    </row>
    <row r="355" spans="7:11">
      <c r="G355" s="227"/>
      <c r="H355" s="227" t="s">
        <v>2708</v>
      </c>
      <c r="I355" s="220" t="s">
        <v>2709</v>
      </c>
      <c r="J355" s="227">
        <v>513455</v>
      </c>
      <c r="K355" s="228"/>
    </row>
    <row r="356" spans="7:11">
      <c r="G356" s="227"/>
      <c r="H356" s="227" t="s">
        <v>2702</v>
      </c>
      <c r="I356" s="220" t="s">
        <v>2703</v>
      </c>
      <c r="J356" s="227">
        <v>513410</v>
      </c>
      <c r="K356" s="228"/>
    </row>
    <row r="357" spans="7:11">
      <c r="G357" s="227"/>
      <c r="H357" s="227" t="s">
        <v>2706</v>
      </c>
      <c r="I357" s="220" t="s">
        <v>2707</v>
      </c>
      <c r="J357" s="227">
        <v>513440</v>
      </c>
      <c r="K357" s="228"/>
    </row>
    <row r="358" spans="7:11">
      <c r="G358" s="227"/>
      <c r="H358" s="227" t="s">
        <v>2586</v>
      </c>
      <c r="I358" s="220" t="s">
        <v>2587</v>
      </c>
      <c r="J358" s="227">
        <v>502307</v>
      </c>
      <c r="K358" s="228"/>
    </row>
    <row r="359" spans="7:11">
      <c r="G359" s="227"/>
      <c r="H359" s="231" t="s">
        <v>2341</v>
      </c>
      <c r="I359" s="220" t="s">
        <v>2462</v>
      </c>
      <c r="J359" s="231">
        <v>202449</v>
      </c>
      <c r="K359" s="228"/>
    </row>
    <row r="360" spans="7:11">
      <c r="G360" s="227"/>
      <c r="H360" s="227" t="s">
        <v>2588</v>
      </c>
      <c r="I360" s="220" t="s">
        <v>2329</v>
      </c>
      <c r="J360" s="227">
        <v>502355</v>
      </c>
      <c r="K360" s="228"/>
    </row>
    <row r="361" spans="7:11">
      <c r="G361" s="227"/>
      <c r="H361" s="231" t="s">
        <v>2433</v>
      </c>
      <c r="I361" s="220" t="s">
        <v>2434</v>
      </c>
      <c r="J361" s="231">
        <v>202330</v>
      </c>
      <c r="K361" s="228"/>
    </row>
    <row r="362" spans="7:11">
      <c r="G362" s="227"/>
      <c r="H362" s="231" t="s">
        <v>2316</v>
      </c>
      <c r="I362" s="220" t="s">
        <v>2317</v>
      </c>
      <c r="J362" s="231">
        <v>202325</v>
      </c>
      <c r="K362" s="228"/>
    </row>
    <row r="363" spans="7:11">
      <c r="G363" s="227"/>
      <c r="H363" s="231" t="s">
        <v>2324</v>
      </c>
      <c r="I363" s="220" t="s">
        <v>2325</v>
      </c>
      <c r="J363" s="231">
        <v>202310</v>
      </c>
      <c r="K363" s="228"/>
    </row>
    <row r="364" spans="7:11">
      <c r="G364" s="227"/>
      <c r="H364" s="231" t="s">
        <v>2351</v>
      </c>
      <c r="I364" s="220" t="s">
        <v>2352</v>
      </c>
      <c r="J364" s="231">
        <v>100215</v>
      </c>
      <c r="K364" s="228"/>
    </row>
    <row r="365" spans="7:11">
      <c r="G365" s="227"/>
      <c r="H365" s="231" t="s">
        <v>2363</v>
      </c>
      <c r="I365" s="220" t="s">
        <v>2364</v>
      </c>
      <c r="J365" s="231">
        <v>100250</v>
      </c>
      <c r="K365" s="228"/>
    </row>
    <row r="366" spans="7:11">
      <c r="G366" s="227"/>
      <c r="H366" s="231" t="s">
        <v>2359</v>
      </c>
      <c r="I366" s="220" t="s">
        <v>2360</v>
      </c>
      <c r="J366" s="231">
        <v>100230</v>
      </c>
      <c r="K366" s="228"/>
    </row>
    <row r="367" spans="7:11">
      <c r="G367" s="227"/>
      <c r="H367" s="231" t="s">
        <v>2356</v>
      </c>
      <c r="I367" s="220" t="s">
        <v>2357</v>
      </c>
      <c r="J367" s="231">
        <v>100225</v>
      </c>
      <c r="K367" s="228"/>
    </row>
    <row r="368" spans="7:11">
      <c r="G368" s="227"/>
      <c r="H368" s="231" t="s">
        <v>2552</v>
      </c>
      <c r="I368" s="220" t="s">
        <v>2553</v>
      </c>
      <c r="J368" s="231">
        <v>400605</v>
      </c>
      <c r="K368" s="228"/>
    </row>
    <row r="369" spans="7:11">
      <c r="G369" s="227"/>
      <c r="H369" s="231" t="s">
        <v>2549</v>
      </c>
      <c r="I369" s="220" t="s">
        <v>2550</v>
      </c>
      <c r="J369" s="231">
        <v>400603</v>
      </c>
      <c r="K369" s="228"/>
    </row>
    <row r="370" spans="7:11">
      <c r="G370" s="227"/>
      <c r="H370" s="227" t="s">
        <v>2712</v>
      </c>
      <c r="I370" s="220" t="s">
        <v>2713</v>
      </c>
      <c r="J370" s="227">
        <v>700625</v>
      </c>
      <c r="K370" s="228"/>
    </row>
    <row r="371" spans="7:11">
      <c r="G371" s="227"/>
      <c r="H371" s="227" t="s">
        <v>2720</v>
      </c>
      <c r="I371" s="220" t="s">
        <v>2721</v>
      </c>
      <c r="J371" s="227">
        <v>700660</v>
      </c>
      <c r="K371" s="228"/>
    </row>
    <row r="372" spans="7:11">
      <c r="G372" s="227"/>
      <c r="H372" s="227" t="s">
        <v>2716</v>
      </c>
      <c r="I372" s="220" t="s">
        <v>2717</v>
      </c>
      <c r="J372" s="227">
        <v>700650</v>
      </c>
      <c r="K372" s="228"/>
    </row>
    <row r="373" spans="7:11">
      <c r="G373" s="227"/>
      <c r="H373" s="227" t="s">
        <v>2718</v>
      </c>
      <c r="I373" s="220" t="s">
        <v>2719</v>
      </c>
      <c r="J373" s="227">
        <v>700652</v>
      </c>
      <c r="K373" s="228"/>
    </row>
    <row r="374" spans="7:11">
      <c r="G374" s="227"/>
      <c r="H374" s="227" t="s">
        <v>2722</v>
      </c>
      <c r="I374" s="220" t="s">
        <v>2723</v>
      </c>
      <c r="J374" s="227">
        <v>700680</v>
      </c>
      <c r="K374" s="228"/>
    </row>
    <row r="375" spans="7:11">
      <c r="G375" s="227"/>
      <c r="H375" s="227" t="s">
        <v>2714</v>
      </c>
      <c r="I375" s="220" t="s">
        <v>2715</v>
      </c>
      <c r="J375" s="227">
        <v>700645</v>
      </c>
      <c r="K375" s="228"/>
    </row>
    <row r="376" spans="7:11">
      <c r="G376" s="227"/>
      <c r="H376" s="231" t="s">
        <v>2437</v>
      </c>
      <c r="I376" s="220" t="s">
        <v>2438</v>
      </c>
      <c r="J376" s="231">
        <v>202335</v>
      </c>
      <c r="K376" s="228"/>
    </row>
    <row r="377" spans="7:11">
      <c r="G377" s="227"/>
      <c r="H377" s="231" t="s">
        <v>2443</v>
      </c>
      <c r="I377" s="220" t="s">
        <v>2444</v>
      </c>
      <c r="J377" s="231">
        <v>202350</v>
      </c>
      <c r="K377" s="228"/>
    </row>
    <row r="378" spans="7:11">
      <c r="G378" s="227"/>
      <c r="H378" s="231" t="s">
        <v>2371</v>
      </c>
      <c r="I378" s="220" t="s">
        <v>2372</v>
      </c>
      <c r="J378" s="231">
        <v>100310</v>
      </c>
      <c r="K378" s="228"/>
    </row>
    <row r="379" spans="7:11">
      <c r="G379" s="227"/>
      <c r="H379" s="231" t="s">
        <v>2366</v>
      </c>
      <c r="I379" s="220" t="s">
        <v>2367</v>
      </c>
      <c r="J379" s="231">
        <v>100305</v>
      </c>
      <c r="K379" s="228"/>
    </row>
    <row r="380" spans="7:11">
      <c r="G380" s="227"/>
      <c r="H380" s="231" t="s">
        <v>2533</v>
      </c>
      <c r="I380" s="220" t="s">
        <v>2534</v>
      </c>
      <c r="J380" s="231">
        <v>400355</v>
      </c>
      <c r="K380" s="228"/>
    </row>
    <row r="381" spans="7:11">
      <c r="G381" s="227"/>
      <c r="H381" s="231" t="s">
        <v>2373</v>
      </c>
      <c r="I381" s="220" t="s">
        <v>2374</v>
      </c>
      <c r="J381" s="231">
        <v>100320</v>
      </c>
      <c r="K381" s="228"/>
    </row>
    <row r="382" spans="7:11">
      <c r="H382" s="231" t="s">
        <v>2375</v>
      </c>
      <c r="I382" s="221" t="s">
        <v>2376</v>
      </c>
      <c r="J382" s="231">
        <v>100345</v>
      </c>
    </row>
    <row r="383" spans="7:11">
      <c r="H383" s="230"/>
      <c r="I383" s="221"/>
      <c r="J383" s="230"/>
    </row>
  </sheetData>
  <dataValidations count="2">
    <dataValidation type="list" allowBlank="1" showInputMessage="1" showErrorMessage="1" sqref="E2:E34">
      <formula1>INDIRECT("Вид_Породи[Вид_Породи]")</formula1>
    </dataValidation>
    <dataValidation type="list" allowBlank="1" showInputMessage="1" showErrorMessage="1" sqref="E36">
      <formula1>INDIRECT("ПородиИГруппи[список без груп порід]")</formula1>
    </dataValidation>
  </dataValidation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9"/>
  <dimension ref="A1:AQ64"/>
  <sheetViews>
    <sheetView workbookViewId="0">
      <selection activeCell="G24" sqref="G24"/>
    </sheetView>
  </sheetViews>
  <sheetFormatPr defaultRowHeight="15"/>
  <cols>
    <col min="1" max="1" width="15.28515625" style="172" customWidth="1"/>
    <col min="2" max="2" width="18.140625" style="172" customWidth="1"/>
    <col min="3" max="3" width="14.85546875" style="172" customWidth="1"/>
    <col min="4" max="5" width="9.140625" style="172"/>
    <col min="6" max="6" width="19.7109375" style="172" customWidth="1"/>
    <col min="7" max="8" width="21" style="172" customWidth="1"/>
    <col min="9" max="9" width="21.7109375" style="172" customWidth="1"/>
    <col min="10" max="10" width="26" style="172" customWidth="1"/>
    <col min="11" max="11" width="11.42578125" style="172" customWidth="1"/>
    <col min="12" max="12" width="6.28515625" style="172" customWidth="1"/>
    <col min="13" max="13" width="23.28515625" style="172" customWidth="1"/>
    <col min="14" max="14" width="14.42578125" style="172" bestFit="1" customWidth="1"/>
    <col min="15" max="15" width="9.140625" style="172"/>
    <col min="16" max="16" width="15" style="172" customWidth="1"/>
    <col min="17" max="22" width="9.140625" style="172"/>
    <col min="23" max="24" width="16.28515625" style="172" customWidth="1"/>
    <col min="25" max="29" width="9.140625" style="172"/>
    <col min="30" max="30" width="52.7109375" style="420" customWidth="1"/>
    <col min="31" max="31" width="9.140625" style="172"/>
    <col min="32" max="32" width="18.85546875" style="172" customWidth="1"/>
    <col min="33" max="33" width="47" style="172" bestFit="1" customWidth="1"/>
    <col min="34" max="34" width="30" style="172" bestFit="1" customWidth="1"/>
    <col min="35" max="35" width="9.140625" style="172"/>
    <col min="36" max="36" width="18.5703125" style="172" bestFit="1" customWidth="1"/>
    <col min="37" max="37" width="15.85546875" style="172" bestFit="1" customWidth="1"/>
    <col min="38" max="41" width="9.140625" style="172"/>
    <col min="42" max="42" width="27.85546875" style="172" customWidth="1"/>
    <col min="43" max="16384" width="9.140625" style="172"/>
  </cols>
  <sheetData>
    <row r="1" spans="1:43">
      <c r="A1" s="172" t="s">
        <v>2178</v>
      </c>
      <c r="B1" s="173" t="s">
        <v>2167</v>
      </c>
      <c r="C1" s="173" t="s">
        <v>2177</v>
      </c>
      <c r="D1" s="173"/>
      <c r="F1" s="172" t="s">
        <v>2179</v>
      </c>
      <c r="G1" s="172" t="s">
        <v>2180</v>
      </c>
      <c r="I1" s="172" t="s">
        <v>3341</v>
      </c>
      <c r="K1" s="172" t="s">
        <v>2181</v>
      </c>
      <c r="M1" s="172" t="s">
        <v>2182</v>
      </c>
      <c r="P1" s="172" t="s">
        <v>2178</v>
      </c>
      <c r="R1" t="s">
        <v>2161</v>
      </c>
      <c r="S1" t="s">
        <v>2162</v>
      </c>
      <c r="T1" t="s">
        <v>2163</v>
      </c>
      <c r="U1" t="s">
        <v>2164</v>
      </c>
      <c r="V1" t="s">
        <v>2176</v>
      </c>
      <c r="W1" t="s">
        <v>3400</v>
      </c>
      <c r="X1" s="172" t="s">
        <v>3401</v>
      </c>
      <c r="Z1" s="172" t="s">
        <v>3155</v>
      </c>
      <c r="AD1" s="418" t="s">
        <v>3309</v>
      </c>
      <c r="AM1" s="608" t="s">
        <v>2231</v>
      </c>
      <c r="AP1" s="172" t="s">
        <v>3846</v>
      </c>
      <c r="AQ1" s="442" t="s">
        <v>3845</v>
      </c>
    </row>
    <row r="2" spans="1:43">
      <c r="A2" s="172">
        <v>1</v>
      </c>
      <c r="B2" s="172" t="s">
        <v>105</v>
      </c>
      <c r="C2" s="172">
        <v>1.2</v>
      </c>
      <c r="F2" s="172">
        <v>0</v>
      </c>
      <c r="G2" s="172">
        <v>1</v>
      </c>
      <c r="I2" s="172">
        <v>0.1</v>
      </c>
      <c r="K2" s="172">
        <v>1</v>
      </c>
      <c r="M2" s="172">
        <v>1</v>
      </c>
      <c r="P2" s="172">
        <v>1</v>
      </c>
      <c r="R2" t="s">
        <v>104</v>
      </c>
      <c r="S2" t="s">
        <v>2146</v>
      </c>
      <c r="T2">
        <v>39</v>
      </c>
      <c r="U2" t="s">
        <v>2148</v>
      </c>
      <c r="V2" t="s">
        <v>2172</v>
      </c>
      <c r="W2">
        <v>74</v>
      </c>
      <c r="X2">
        <v>76</v>
      </c>
      <c r="Z2" s="172">
        <v>1</v>
      </c>
      <c r="AB2" s="172" t="s">
        <v>3307</v>
      </c>
      <c r="AD2" s="419" t="s">
        <v>3310</v>
      </c>
      <c r="AF2" s="418" t="s">
        <v>3309</v>
      </c>
      <c r="AG2" s="418" t="s">
        <v>3336</v>
      </c>
      <c r="AH2" s="418" t="s">
        <v>3322</v>
      </c>
      <c r="AI2" s="418" t="s">
        <v>3324</v>
      </c>
      <c r="AJ2" s="418" t="s">
        <v>3328</v>
      </c>
      <c r="AK2" s="418" t="s">
        <v>3331</v>
      </c>
      <c r="AM2" s="606" t="s">
        <v>104</v>
      </c>
      <c r="AP2" s="39" t="s">
        <v>71</v>
      </c>
      <c r="AQ2" s="684">
        <v>7</v>
      </c>
    </row>
    <row r="3" spans="1:43">
      <c r="A3" s="172">
        <v>2</v>
      </c>
      <c r="B3" s="172" t="s">
        <v>105</v>
      </c>
      <c r="C3" s="172">
        <v>1.1000000000000001</v>
      </c>
      <c r="F3" s="172">
        <v>1</v>
      </c>
      <c r="G3" s="172">
        <v>1</v>
      </c>
      <c r="I3" s="172">
        <v>0.2</v>
      </c>
      <c r="K3" s="172">
        <v>2</v>
      </c>
      <c r="M3" s="172">
        <v>0.85</v>
      </c>
      <c r="P3" s="172">
        <v>2</v>
      </c>
      <c r="R3" t="s">
        <v>105</v>
      </c>
      <c r="S3" t="s">
        <v>2146</v>
      </c>
      <c r="T3">
        <v>28</v>
      </c>
      <c r="U3" t="s">
        <v>2148</v>
      </c>
      <c r="V3" t="s">
        <v>2174</v>
      </c>
      <c r="W3">
        <v>67</v>
      </c>
      <c r="X3">
        <v>76</v>
      </c>
      <c r="Z3" s="172">
        <v>2</v>
      </c>
      <c r="AB3" s="172" t="s">
        <v>3308</v>
      </c>
      <c r="AF3" s="419" t="s">
        <v>3310</v>
      </c>
      <c r="AG3" s="425" t="b">
        <v>1</v>
      </c>
      <c r="AH3" s="425" t="b">
        <v>0</v>
      </c>
      <c r="AI3" s="419" t="s">
        <v>3325</v>
      </c>
      <c r="AJ3" s="419" t="s">
        <v>3329</v>
      </c>
      <c r="AK3" s="419">
        <v>210</v>
      </c>
      <c r="AM3" s="607" t="s">
        <v>140</v>
      </c>
      <c r="AP3" s="137" t="s">
        <v>72</v>
      </c>
      <c r="AQ3" s="685">
        <v>7.7</v>
      </c>
    </row>
    <row r="4" spans="1:43">
      <c r="A4" s="172">
        <v>3</v>
      </c>
      <c r="B4" s="172" t="s">
        <v>105</v>
      </c>
      <c r="C4" s="172">
        <v>1</v>
      </c>
      <c r="F4" s="172">
        <v>2</v>
      </c>
      <c r="G4" s="172">
        <v>1</v>
      </c>
      <c r="I4" s="172">
        <v>0.3</v>
      </c>
      <c r="P4" s="172">
        <v>3</v>
      </c>
      <c r="R4" t="s">
        <v>3896</v>
      </c>
      <c r="S4" t="s">
        <v>2147</v>
      </c>
      <c r="T4">
        <v>19</v>
      </c>
      <c r="U4" t="s">
        <v>2148</v>
      </c>
      <c r="V4" t="s">
        <v>2175</v>
      </c>
      <c r="W4">
        <v>40</v>
      </c>
      <c r="X4">
        <v>76</v>
      </c>
      <c r="Z4" s="172">
        <v>3</v>
      </c>
      <c r="AD4" s="420" t="s">
        <v>3311</v>
      </c>
      <c r="AM4" s="606" t="s">
        <v>124</v>
      </c>
    </row>
    <row r="5" spans="1:43">
      <c r="A5" s="172">
        <v>4</v>
      </c>
      <c r="B5" s="172" t="s">
        <v>105</v>
      </c>
      <c r="C5" s="172">
        <v>0.9</v>
      </c>
      <c r="F5" s="172">
        <v>3</v>
      </c>
      <c r="G5" s="172">
        <v>0.79</v>
      </c>
      <c r="I5" s="172">
        <v>0.4</v>
      </c>
      <c r="P5" s="172">
        <v>4</v>
      </c>
      <c r="Z5" s="172">
        <v>4</v>
      </c>
      <c r="AM5" s="607" t="s">
        <v>134</v>
      </c>
    </row>
    <row r="6" spans="1:43">
      <c r="A6" s="172">
        <v>5</v>
      </c>
      <c r="B6" s="172" t="s">
        <v>105</v>
      </c>
      <c r="C6" s="172">
        <v>0.8</v>
      </c>
      <c r="F6" s="172">
        <v>4</v>
      </c>
      <c r="G6" s="172">
        <v>0.9</v>
      </c>
      <c r="I6" s="172">
        <v>0.5</v>
      </c>
      <c r="P6" s="172">
        <v>5</v>
      </c>
      <c r="Z6" s="172">
        <v>5</v>
      </c>
      <c r="AD6" s="421" t="s">
        <v>3312</v>
      </c>
      <c r="AM6" s="606" t="s">
        <v>126</v>
      </c>
    </row>
    <row r="7" spans="1:43">
      <c r="A7" s="172">
        <v>1</v>
      </c>
      <c r="B7" s="172" t="s">
        <v>104</v>
      </c>
      <c r="C7" s="172">
        <v>1.2</v>
      </c>
      <c r="I7" s="172">
        <v>0.6</v>
      </c>
      <c r="U7" s="172" t="s">
        <v>2170</v>
      </c>
      <c r="Z7" s="172">
        <v>6</v>
      </c>
      <c r="AD7" s="422" t="s">
        <v>3313</v>
      </c>
      <c r="AF7" s="172" t="s">
        <v>3309</v>
      </c>
      <c r="AG7" s="172" t="s">
        <v>3317</v>
      </c>
      <c r="AH7" s="172" t="s">
        <v>3322</v>
      </c>
      <c r="AM7" s="607" t="s">
        <v>478</v>
      </c>
    </row>
    <row r="8" spans="1:43">
      <c r="A8" s="172">
        <v>2</v>
      </c>
      <c r="B8" s="172" t="s">
        <v>104</v>
      </c>
      <c r="C8" s="172">
        <v>1.1000000000000001</v>
      </c>
      <c r="I8" s="172">
        <v>0.7</v>
      </c>
      <c r="K8" s="172" t="e">
        <f ca="1">INDIRECT("тЧернобыльскийКоэф[ЧернобыльскаЗона]")</f>
        <v>#VALUE!</v>
      </c>
      <c r="M8" s="172" t="e">
        <f ca="1">INDIRECT("тКоэфициентСхилу[КоэфициентСхилу]")</f>
        <v>#VALUE!</v>
      </c>
      <c r="U8" s="172" t="s">
        <v>104</v>
      </c>
      <c r="Z8" s="172">
        <v>7</v>
      </c>
      <c r="AD8" s="423" t="s">
        <v>3314</v>
      </c>
      <c r="AM8" s="606" t="s">
        <v>3842</v>
      </c>
      <c r="AP8" s="172" t="e">
        <f>СортуванняТаШтабелювання[]</f>
        <v>#VALUE!</v>
      </c>
    </row>
    <row r="9" spans="1:43">
      <c r="A9" s="172">
        <v>3</v>
      </c>
      <c r="B9" s="172" t="s">
        <v>104</v>
      </c>
      <c r="C9" s="172">
        <v>1</v>
      </c>
      <c r="I9" s="172">
        <v>0.8</v>
      </c>
      <c r="U9" s="172" t="str">
        <f ca="1">VLOOKUP(U8,INDIRECT("Шаблон"),MATCH("Имя",INDIRECT("Шаблон[#Заголовки]"),0),FALSE)</f>
        <v>g</v>
      </c>
      <c r="Z9" s="172">
        <v>8</v>
      </c>
      <c r="AM9" s="607" t="s">
        <v>3843</v>
      </c>
    </row>
    <row r="10" spans="1:43" ht="12.75">
      <c r="A10" s="172">
        <v>4</v>
      </c>
      <c r="B10" s="172" t="s">
        <v>104</v>
      </c>
      <c r="C10" s="172">
        <v>0.9</v>
      </c>
      <c r="F10" s="172" t="s">
        <v>2167</v>
      </c>
      <c r="G10" s="172" t="s">
        <v>105</v>
      </c>
      <c r="I10" s="172">
        <v>0.9</v>
      </c>
      <c r="P10" s="172" t="e">
        <f ca="1">INDIRECT("РозрядВысот[РозрядВысот]")</f>
        <v>#VALUE!</v>
      </c>
      <c r="R10" s="172" t="e">
        <f ca="1">INDIRECT("Шаблон[Наименование]")</f>
        <v>#VALUE!</v>
      </c>
      <c r="Z10" s="172">
        <v>9</v>
      </c>
      <c r="AD10" s="424" t="s">
        <v>3315</v>
      </c>
      <c r="AM10" s="606" t="s">
        <v>3587</v>
      </c>
    </row>
    <row r="11" spans="1:43" ht="12.75">
      <c r="A11" s="172">
        <v>5</v>
      </c>
      <c r="B11" s="172" t="s">
        <v>104</v>
      </c>
      <c r="C11" s="172">
        <v>0.8</v>
      </c>
      <c r="F11" s="172" t="s">
        <v>3</v>
      </c>
      <c r="G11" s="172">
        <v>1</v>
      </c>
      <c r="I11" s="172">
        <v>1</v>
      </c>
      <c r="U11" s="172" t="str">
        <f>Шаблон[#Headers]</f>
        <v>Подпись</v>
      </c>
      <c r="Z11" s="172">
        <v>10</v>
      </c>
      <c r="AD11" s="424" t="s">
        <v>3316</v>
      </c>
      <c r="AM11" s="607" t="s">
        <v>3844</v>
      </c>
    </row>
    <row r="12" spans="1:43">
      <c r="A12" s="172">
        <v>1</v>
      </c>
      <c r="B12" s="172" t="s">
        <v>140</v>
      </c>
      <c r="C12" s="172">
        <v>1.2</v>
      </c>
      <c r="F12" s="172" t="s">
        <v>4</v>
      </c>
      <c r="G12" s="172">
        <v>4</v>
      </c>
      <c r="U12" s="172">
        <f ca="1">MATCH("Имя",INDIRECT("Шаблон[#Заголовки]"),0)</f>
        <v>5</v>
      </c>
      <c r="Z12" s="172">
        <v>11</v>
      </c>
      <c r="AM12" s="606" t="s">
        <v>3588</v>
      </c>
    </row>
    <row r="13" spans="1:43">
      <c r="A13" s="172">
        <v>2</v>
      </c>
      <c r="B13" s="172" t="s">
        <v>140</v>
      </c>
      <c r="C13" s="172">
        <v>1.1000000000000001</v>
      </c>
      <c r="Z13" s="172">
        <v>12</v>
      </c>
      <c r="AM13" s="609" t="s">
        <v>152</v>
      </c>
    </row>
    <row r="14" spans="1:43">
      <c r="A14" s="172">
        <v>3</v>
      </c>
      <c r="B14" s="172" t="s">
        <v>140</v>
      </c>
      <c r="C14" s="172">
        <v>1</v>
      </c>
    </row>
    <row r="15" spans="1:43">
      <c r="A15" s="172">
        <v>4</v>
      </c>
      <c r="B15" s="172" t="s">
        <v>140</v>
      </c>
      <c r="C15" s="172">
        <v>0.9</v>
      </c>
      <c r="F15" s="172">
        <f ca="1">VLOOKUP(G12,INDIRECT("табКоефЧерн"),2,FALSE)*SUMPRODUCT((табРозВисот=G11)*(табНормаВироб=G10)*(табКоефРоз))</f>
        <v>1.08</v>
      </c>
      <c r="J15" s="172" t="e">
        <f ca="1">INDIRECT("табКоефЧерн")</f>
        <v>#VALUE!</v>
      </c>
    </row>
    <row r="16" spans="1:43" ht="12.75">
      <c r="A16" s="172">
        <v>5</v>
      </c>
      <c r="B16" s="172" t="s">
        <v>140</v>
      </c>
      <c r="C16" s="172">
        <v>0.8</v>
      </c>
      <c r="H16" s="172" t="s">
        <v>3786</v>
      </c>
      <c r="I16" s="172" t="s">
        <v>3785</v>
      </c>
      <c r="J16" s="172">
        <f ca="1">VLOOKUP(G12,INDIRECT("табКоефЧерн"),2,FALSE)</f>
        <v>0.9</v>
      </c>
      <c r="Z16" s="172" t="e">
        <f ca="1">INDIRECT("Месяц[Месяц]")</f>
        <v>#REF!</v>
      </c>
      <c r="AD16" s="418" t="s">
        <v>3317</v>
      </c>
    </row>
    <row r="17" spans="1:39">
      <c r="H17" s="172" t="s">
        <v>3783</v>
      </c>
      <c r="I17" s="172">
        <v>0</v>
      </c>
      <c r="AD17" s="425" t="b">
        <v>1</v>
      </c>
      <c r="AM17" s="172" t="e">
        <f ca="1">INDIRECT("ВідРубкиРД[6]")</f>
        <v>#VALUE!</v>
      </c>
    </row>
    <row r="18" spans="1:39">
      <c r="A18" s="172" t="e">
        <f ca="1">INDIRECT("тРозрядВысот[РозрядВысот]")</f>
        <v>#VALUE!</v>
      </c>
      <c r="B18" s="172" t="e">
        <f ca="1">INDIRECT("тРозрядВысот[Норма Вироботку]")</f>
        <v>#REF!</v>
      </c>
      <c r="C18" s="172" t="e">
        <f ca="1">INDIRECT("тРозрядВысот[Коэфициент]")</f>
        <v>#VALUE!</v>
      </c>
      <c r="H18" s="172" t="s">
        <v>3784</v>
      </c>
      <c r="I18" s="172">
        <v>1</v>
      </c>
    </row>
    <row r="19" spans="1:39">
      <c r="AD19" s="421" t="s">
        <v>3318</v>
      </c>
    </row>
    <row r="20" spans="1:39">
      <c r="A20" s="172">
        <f ca="1">VLOOKUP(G12,INDIRECT("табКоефЧерн"),2,FALSE)*SUMPRODUCT((INDIRECT("тРозрядВысот[РозрядВысот]")=G11)*(INDIRECT("тРозрядВысот[Рубка]")=G10)*(INDIRECT("тРозрядВысот[Коэфициент]")))</f>
        <v>1.08</v>
      </c>
      <c r="AD20" s="423" t="s">
        <v>3319</v>
      </c>
    </row>
    <row r="21" spans="1:39">
      <c r="I21" s="172" t="e">
        <f ca="1">INDIRECT("Логика[Текст]")</f>
        <v>#VALUE!</v>
      </c>
    </row>
    <row r="22" spans="1:39" ht="12.75">
      <c r="AD22" s="424" t="s">
        <v>3320</v>
      </c>
    </row>
    <row r="23" spans="1:39" ht="12.75">
      <c r="I23" s="172" t="s">
        <v>3787</v>
      </c>
      <c r="AD23" s="424" t="s">
        <v>3321</v>
      </c>
    </row>
    <row r="28" spans="1:39" ht="12.75">
      <c r="AD28" s="418" t="s">
        <v>3322</v>
      </c>
    </row>
    <row r="29" spans="1:39">
      <c r="AD29" s="425" t="b">
        <v>0</v>
      </c>
    </row>
    <row r="31" spans="1:39">
      <c r="AD31" s="421" t="s">
        <v>3318</v>
      </c>
    </row>
    <row r="32" spans="1:39">
      <c r="AD32" s="423" t="s">
        <v>3319</v>
      </c>
    </row>
    <row r="34" spans="30:30" ht="12.75">
      <c r="AD34" s="424" t="s">
        <v>3320</v>
      </c>
    </row>
    <row r="35" spans="30:30" ht="12.75">
      <c r="AD35" s="424" t="s">
        <v>3323</v>
      </c>
    </row>
    <row r="40" spans="30:30" ht="12.75">
      <c r="AD40" s="418" t="s">
        <v>3324</v>
      </c>
    </row>
    <row r="41" spans="30:30">
      <c r="AD41" s="419" t="s">
        <v>3325</v>
      </c>
    </row>
    <row r="43" spans="30:30" ht="12.75">
      <c r="AD43" s="424" t="s">
        <v>3326</v>
      </c>
    </row>
    <row r="44" spans="30:30" ht="12.75">
      <c r="AD44" s="424" t="s">
        <v>3327</v>
      </c>
    </row>
    <row r="49" spans="30:30" ht="12.75">
      <c r="AD49" s="418" t="s">
        <v>3328</v>
      </c>
    </row>
    <row r="50" spans="30:30">
      <c r="AD50" s="419" t="s">
        <v>3329</v>
      </c>
    </row>
    <row r="52" spans="30:30" ht="12.75">
      <c r="AD52" s="424" t="s">
        <v>3326</v>
      </c>
    </row>
    <row r="53" spans="30:30" ht="12.75">
      <c r="AD53" s="424" t="s">
        <v>3330</v>
      </c>
    </row>
    <row r="58" spans="30:30" ht="12.75">
      <c r="AD58" s="418" t="s">
        <v>3331</v>
      </c>
    </row>
    <row r="59" spans="30:30">
      <c r="AD59" s="419">
        <v>210</v>
      </c>
    </row>
    <row r="61" spans="30:30" ht="12.75">
      <c r="AD61" s="424" t="s">
        <v>3332</v>
      </c>
    </row>
    <row r="62" spans="30:30" ht="12.75">
      <c r="AD62" s="424" t="s">
        <v>3333</v>
      </c>
    </row>
    <row r="63" spans="30:30" ht="12.75">
      <c r="AD63" s="424" t="s">
        <v>3334</v>
      </c>
    </row>
    <row r="64" spans="30:30" ht="12.75">
      <c r="AD64" s="424" t="s">
        <v>3335</v>
      </c>
    </row>
  </sheetData>
  <dataValidations count="3">
    <dataValidation type="list" allowBlank="1" showInputMessage="1" showErrorMessage="1" sqref="G11:H11">
      <formula1>INDIRECT("РозрядВысот[РозрядВысот]")</formula1>
    </dataValidation>
    <dataValidation type="list" allowBlank="1" showInputMessage="1" showErrorMessage="1" sqref="U8 G10:H10">
      <formula1>INDIRECT("Шаблон[Наименование]")</formula1>
    </dataValidation>
    <dataValidation type="list" allowBlank="1" showInputMessage="1" showErrorMessage="1" sqref="G12:H12">
      <formula1>INDIRECT("тЧернобыльскийКоэф[ЧернобыльскаЗона]")</formula1>
    </dataValidation>
  </dataValidations>
  <pageMargins left="0.75" right="0.75" top="1" bottom="1" header="0.5" footer="0.5"/>
  <pageSetup paperSize="9" orientation="portrait" horizontalDpi="0" verticalDpi="0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/>
  <dimension ref="A1:I12"/>
  <sheetViews>
    <sheetView workbookViewId="0">
      <selection activeCell="J21" sqref="J21"/>
    </sheetView>
  </sheetViews>
  <sheetFormatPr defaultRowHeight="15"/>
  <cols>
    <col min="1" max="1" width="34.5703125" bestFit="1" customWidth="1"/>
    <col min="2" max="2" width="29.7109375" bestFit="1" customWidth="1"/>
    <col min="3" max="3" width="22.42578125" bestFit="1" customWidth="1"/>
    <col min="4" max="4" width="26.85546875" bestFit="1" customWidth="1"/>
    <col min="5" max="5" width="31.28515625" bestFit="1" customWidth="1"/>
    <col min="6" max="6" width="48.28515625" bestFit="1" customWidth="1"/>
    <col min="7" max="7" width="15" bestFit="1" customWidth="1"/>
    <col min="8" max="8" width="35.7109375" bestFit="1" customWidth="1"/>
    <col min="9" max="9" width="64.7109375" bestFit="1" customWidth="1"/>
  </cols>
  <sheetData>
    <row r="1" spans="1:9" ht="15.75">
      <c r="A1" s="172" t="s">
        <v>3350</v>
      </c>
      <c r="B1" s="172" t="s">
        <v>2225</v>
      </c>
      <c r="C1" s="441" t="s">
        <v>3354</v>
      </c>
      <c r="D1" s="441" t="s">
        <v>3352</v>
      </c>
      <c r="E1" s="441" t="s">
        <v>3353</v>
      </c>
      <c r="F1" s="458" t="s">
        <v>3420</v>
      </c>
      <c r="G1" s="460" t="s">
        <v>3421</v>
      </c>
      <c r="H1" s="460" t="s">
        <v>3422</v>
      </c>
      <c r="I1" s="460" t="s">
        <v>3423</v>
      </c>
    </row>
    <row r="2" spans="1:9">
      <c r="A2" s="172" t="s">
        <v>3351</v>
      </c>
      <c r="B2" s="172" t="s">
        <v>3348</v>
      </c>
      <c r="C2" s="440" t="e">
        <f t="shared" ref="C2:E4" si="0">DataCreatedFile($A2  &amp;  "\" &amp; $B2,C$1)</f>
        <v>#VALUE!</v>
      </c>
      <c r="D2" s="440" t="e">
        <f t="shared" si="0"/>
        <v>#VALUE!</v>
      </c>
      <c r="E2" s="440" t="e">
        <f t="shared" si="0"/>
        <v>#VALUE!</v>
      </c>
      <c r="F2" s="443" t="str">
        <f ca="1">MID(CELL("filename",Коєфициент!A1),1,SEARCH("[",CELL("filename",Коєфициент!A1))-1)</f>
        <v>D:\prj\</v>
      </c>
      <c r="G2" s="459">
        <v>1</v>
      </c>
      <c r="H2" s="459" t="str">
        <f ca="1">SubstringPath(Путь[[#This Row],[Путь к этой книге]],"\",Путь[[#This Row],[Смещение]])</f>
        <v>D:\</v>
      </c>
      <c r="I2" s="443" t="str">
        <f ca="1">SubstringPath(Путь[[#This Row],[Путь к этой книге]],"\",Путь[[#This Row],[Смещение]])&amp;Путь[[#This Row],[Назва]]</f>
        <v>D:\Реєстр лісорубних квитків.xls</v>
      </c>
    </row>
    <row r="3" spans="1:9">
      <c r="A3" s="172" t="s">
        <v>3351</v>
      </c>
      <c r="B3" s="172" t="s">
        <v>3349</v>
      </c>
      <c r="C3" s="440" t="e">
        <f t="shared" si="0"/>
        <v>#VALUE!</v>
      </c>
      <c r="D3" s="440" t="e">
        <f t="shared" si="0"/>
        <v>#VALUE!</v>
      </c>
      <c r="E3" s="440" t="e">
        <f t="shared" si="0"/>
        <v>#VALUE!</v>
      </c>
      <c r="F3" s="443" t="str">
        <f ca="1">MID(CELL("filename",Коєфициент!A2),1,SEARCH("[",CELL("filename",Коєфициент!A2))-1)</f>
        <v>D:\prj\</v>
      </c>
      <c r="G3" s="461">
        <v>1</v>
      </c>
      <c r="H3" s="459" t="str">
        <f ca="1">SubstringPath(Путь[[#This Row],[Путь к этой книге]],"\",Путь[[#This Row],[Смещение]])</f>
        <v>D:\</v>
      </c>
      <c r="I3" s="443" t="str">
        <f ca="1">SubstringPath(Путь[[#This Row],[Путь к этой книге]],"\",Путь[[#This Row],[Смещение]])&amp;Путь[[#This Row],[Назва]]</f>
        <v>D:\Отчет по договорам подряда.xls</v>
      </c>
    </row>
    <row r="4" spans="1:9">
      <c r="A4" s="172" t="s">
        <v>3351</v>
      </c>
      <c r="B4" s="442" t="s">
        <v>3355</v>
      </c>
      <c r="C4" s="443" t="e">
        <f>DataCreatedFile($A4  &amp;  "\" &amp; $B4,C$1)</f>
        <v>#VALUE!</v>
      </c>
      <c r="D4" s="443" t="e">
        <f t="shared" si="0"/>
        <v>#VALUE!</v>
      </c>
      <c r="E4" s="443" t="e">
        <f t="shared" si="0"/>
        <v>#VALUE!</v>
      </c>
      <c r="F4" s="443" t="str">
        <f ca="1">MID(CELL("filename",Коєфициент!A3),1,SEARCH("[",CELL("filename",Коєфициент!A3))-1)</f>
        <v>D:\prj\</v>
      </c>
      <c r="G4" s="461">
        <v>1</v>
      </c>
      <c r="H4" s="459" t="str">
        <f ca="1">SubstringPath(Путь[[#This Row],[Путь к этой книге]],"\",Путь[[#This Row],[Смещение]])</f>
        <v>D:\</v>
      </c>
      <c r="I4" s="443" t="str">
        <f ca="1">SubstringPath(Путь[[#This Row],[Путь к этой книге]],"\",Путь[[#This Row],[Смещение]])&amp;Путь[[#This Row],[Назва]]</f>
        <v>D:\Информация для техкарт.xlsm</v>
      </c>
    </row>
    <row r="5" spans="1:9">
      <c r="A5" s="442" t="s">
        <v>3835</v>
      </c>
      <c r="B5" s="442" t="s">
        <v>3836</v>
      </c>
      <c r="C5" s="443" t="e">
        <f>DataCreatedFile($A5  &amp;  "\" &amp; $B5,C$1)</f>
        <v>#VALUE!</v>
      </c>
      <c r="D5" s="443" t="e">
        <f>DataCreatedFile($A5  &amp;  "\" &amp; $B5,D$1)</f>
        <v>#VALUE!</v>
      </c>
      <c r="E5" s="443" t="e">
        <f>DataCreatedFile($A5  &amp;  "\" &amp; $B5,E$1)</f>
        <v>#VALUE!</v>
      </c>
      <c r="F5" s="443" t="str">
        <f ca="1">MID(CELL("filename",Коєфициент!A4),1,SEARCH("[",CELL("filename",Коєфициент!A4))-1)</f>
        <v>D:\prj\</v>
      </c>
      <c r="G5" s="443"/>
      <c r="H5" s="459" t="str">
        <f ca="1">SubstringPath(Путь[[#This Row],[Путь к этой книге]],"\",Путь[[#This Row],[Смещение]])</f>
        <v>D:\prj\</v>
      </c>
      <c r="I5" s="443" t="str">
        <f ca="1">SubstringPath(Путь[[#This Row],[Путь к этой книге]],"\",Путь[[#This Row],[Смещение]])&amp;Путь[[#This Row],[Назва]]</f>
        <v>D:\prj\Комплект.xlsm</v>
      </c>
    </row>
    <row r="12" spans="1:9">
      <c r="D12" t="s">
        <v>3837</v>
      </c>
      <c r="E12" t="s">
        <v>3836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3"/>
  <dimension ref="A1:J53"/>
  <sheetViews>
    <sheetView workbookViewId="0">
      <selection activeCell="O43" sqref="O43"/>
    </sheetView>
  </sheetViews>
  <sheetFormatPr defaultRowHeight="12.75"/>
  <cols>
    <col min="1" max="1" width="19.5703125" style="187" bestFit="1" customWidth="1"/>
    <col min="2" max="2" width="20.5703125" style="187" customWidth="1"/>
    <col min="3" max="3" width="17.85546875" style="187" customWidth="1"/>
    <col min="4" max="4" width="14.5703125" style="187" customWidth="1"/>
    <col min="5" max="5" width="14.28515625" style="187" customWidth="1"/>
    <col min="6" max="6" width="19" style="187" customWidth="1"/>
    <col min="7" max="9" width="9.140625" style="187"/>
    <col min="10" max="10" width="16" style="187" customWidth="1"/>
    <col min="11" max="16384" width="9.140625" style="187"/>
  </cols>
  <sheetData>
    <row r="1" spans="1:10" ht="13.5" thickBot="1">
      <c r="A1" s="466" t="s">
        <v>2139</v>
      </c>
      <c r="B1" s="467" t="s">
        <v>2142</v>
      </c>
      <c r="C1" s="467" t="s">
        <v>2143</v>
      </c>
      <c r="D1" s="467" t="s">
        <v>2140</v>
      </c>
      <c r="E1" s="467" t="s">
        <v>107</v>
      </c>
      <c r="F1" s="468" t="s">
        <v>2141</v>
      </c>
    </row>
    <row r="2" spans="1:10" ht="15.75" thickBot="1">
      <c r="A2" s="469" t="s">
        <v>3433</v>
      </c>
      <c r="B2" s="469" t="s">
        <v>3434</v>
      </c>
      <c r="C2" s="469" t="s">
        <v>3435</v>
      </c>
      <c r="D2" s="469" t="s">
        <v>3436</v>
      </c>
      <c r="E2" s="469" t="s">
        <v>3437</v>
      </c>
      <c r="F2" s="470" t="s">
        <v>3438</v>
      </c>
      <c r="I2" s="187" t="s">
        <v>2322</v>
      </c>
      <c r="J2" s="187" t="s">
        <v>3484</v>
      </c>
    </row>
    <row r="3" spans="1:10" ht="30.75" thickBot="1">
      <c r="A3" s="469" t="s">
        <v>3439</v>
      </c>
      <c r="B3" s="469" t="s">
        <v>3440</v>
      </c>
      <c r="C3" s="469" t="s">
        <v>3441</v>
      </c>
      <c r="D3" s="469" t="s">
        <v>3442</v>
      </c>
      <c r="E3" s="469" t="s">
        <v>3443</v>
      </c>
      <c r="F3" s="470" t="s">
        <v>3444</v>
      </c>
      <c r="I3" s="466" t="s">
        <v>2139</v>
      </c>
      <c r="J3" s="469" t="s">
        <v>3433</v>
      </c>
    </row>
    <row r="4" spans="1:10" ht="30.75" thickBot="1">
      <c r="A4" s="469" t="s">
        <v>3445</v>
      </c>
      <c r="B4" s="469" t="s">
        <v>3446</v>
      </c>
      <c r="C4" s="469" t="s">
        <v>3447</v>
      </c>
      <c r="D4" s="469" t="s">
        <v>3448</v>
      </c>
      <c r="E4" s="469" t="s">
        <v>3449</v>
      </c>
      <c r="F4" s="470" t="s">
        <v>3450</v>
      </c>
      <c r="I4" s="466" t="s">
        <v>2139</v>
      </c>
      <c r="J4" s="469" t="s">
        <v>3439</v>
      </c>
    </row>
    <row r="5" spans="1:10" ht="30.75" thickBot="1">
      <c r="A5" s="469" t="s">
        <v>3451</v>
      </c>
      <c r="B5" s="469" t="s">
        <v>3452</v>
      </c>
      <c r="C5" s="469" t="s">
        <v>3453</v>
      </c>
      <c r="D5" s="469" t="s">
        <v>3454</v>
      </c>
      <c r="E5" s="469" t="s">
        <v>3455</v>
      </c>
      <c r="F5" s="470" t="s">
        <v>3456</v>
      </c>
      <c r="I5" s="466" t="s">
        <v>2139</v>
      </c>
      <c r="J5" s="469" t="s">
        <v>3445</v>
      </c>
    </row>
    <row r="6" spans="1:10" ht="15.75" thickBot="1">
      <c r="A6" s="469" t="s">
        <v>3457</v>
      </c>
      <c r="B6" s="469" t="s">
        <v>3458</v>
      </c>
      <c r="C6" s="469" t="s">
        <v>3459</v>
      </c>
      <c r="D6" s="471"/>
      <c r="E6" s="469" t="s">
        <v>3460</v>
      </c>
      <c r="F6" s="470" t="s">
        <v>3461</v>
      </c>
      <c r="I6" s="466" t="s">
        <v>2139</v>
      </c>
      <c r="J6" s="469" t="s">
        <v>3451</v>
      </c>
    </row>
    <row r="7" spans="1:10" ht="30.75" thickBot="1">
      <c r="A7" s="469" t="s">
        <v>3462</v>
      </c>
      <c r="B7" s="469" t="s">
        <v>3463</v>
      </c>
      <c r="C7" s="469" t="s">
        <v>3464</v>
      </c>
      <c r="D7" s="189"/>
      <c r="E7" s="469" t="s">
        <v>3465</v>
      </c>
      <c r="F7" s="470" t="s">
        <v>3466</v>
      </c>
      <c r="I7" s="466" t="s">
        <v>2139</v>
      </c>
      <c r="J7" s="469" t="s">
        <v>3457</v>
      </c>
    </row>
    <row r="8" spans="1:10" ht="30.75" thickBot="1">
      <c r="A8" s="469" t="s">
        <v>3467</v>
      </c>
      <c r="B8" s="469" t="s">
        <v>3468</v>
      </c>
      <c r="C8" s="469" t="s">
        <v>3469</v>
      </c>
      <c r="D8" s="189"/>
      <c r="E8" s="469" t="s">
        <v>3470</v>
      </c>
      <c r="F8" s="470" t="s">
        <v>3471</v>
      </c>
      <c r="I8" s="466" t="s">
        <v>2139</v>
      </c>
      <c r="J8" s="469" t="s">
        <v>3462</v>
      </c>
    </row>
    <row r="9" spans="1:10" ht="30.75" thickBot="1">
      <c r="A9" s="469" t="s">
        <v>3472</v>
      </c>
      <c r="B9" s="472" t="s">
        <v>3473</v>
      </c>
      <c r="C9" s="469" t="s">
        <v>3474</v>
      </c>
      <c r="D9" s="189"/>
      <c r="E9" s="469" t="s">
        <v>3475</v>
      </c>
      <c r="F9" s="470" t="s">
        <v>3476</v>
      </c>
      <c r="I9" s="466" t="s">
        <v>2139</v>
      </c>
      <c r="J9" s="469" t="s">
        <v>3467</v>
      </c>
    </row>
    <row r="10" spans="1:10" ht="15">
      <c r="A10" s="472"/>
      <c r="B10" s="189"/>
      <c r="C10" s="189"/>
      <c r="D10" s="189"/>
      <c r="E10" s="469" t="s">
        <v>3477</v>
      </c>
      <c r="F10" s="470" t="s">
        <v>4516</v>
      </c>
      <c r="I10" s="466" t="s">
        <v>2139</v>
      </c>
      <c r="J10" s="469" t="s">
        <v>3472</v>
      </c>
    </row>
    <row r="11" spans="1:10" ht="30">
      <c r="A11" s="189"/>
      <c r="B11" s="189"/>
      <c r="C11" s="189"/>
      <c r="D11" s="189"/>
      <c r="E11" s="469" t="s">
        <v>3479</v>
      </c>
      <c r="F11" s="470" t="s">
        <v>3480</v>
      </c>
      <c r="I11" s="467" t="s">
        <v>2142</v>
      </c>
      <c r="J11" s="469" t="s">
        <v>3434</v>
      </c>
    </row>
    <row r="12" spans="1:10" ht="15">
      <c r="A12" s="189"/>
      <c r="B12" s="189"/>
      <c r="C12" s="189"/>
      <c r="D12" s="189"/>
      <c r="E12" s="189" t="s">
        <v>4009</v>
      </c>
      <c r="F12" s="470" t="s">
        <v>3481</v>
      </c>
      <c r="I12" s="467" t="s">
        <v>2142</v>
      </c>
      <c r="J12" s="469" t="s">
        <v>3440</v>
      </c>
    </row>
    <row r="13" spans="1:10" ht="15">
      <c r="B13" s="189"/>
      <c r="C13" s="189"/>
      <c r="D13" s="189"/>
      <c r="E13" s="189"/>
      <c r="F13" s="470" t="s">
        <v>3482</v>
      </c>
      <c r="I13" s="467" t="s">
        <v>2142</v>
      </c>
      <c r="J13" s="469" t="s">
        <v>3446</v>
      </c>
    </row>
    <row r="14" spans="1:10" ht="15">
      <c r="F14" s="473" t="s">
        <v>3483</v>
      </c>
      <c r="I14" s="467" t="s">
        <v>2142</v>
      </c>
      <c r="J14" s="469" t="s">
        <v>3452</v>
      </c>
    </row>
    <row r="15" spans="1:10" ht="15">
      <c r="I15" s="467" t="s">
        <v>2142</v>
      </c>
      <c r="J15" s="469" t="s">
        <v>3458</v>
      </c>
    </row>
    <row r="16" spans="1:10" ht="15">
      <c r="I16" s="467" t="s">
        <v>2142</v>
      </c>
      <c r="J16" s="469" t="s">
        <v>3463</v>
      </c>
    </row>
    <row r="17" spans="9:10" ht="15">
      <c r="I17" s="467" t="s">
        <v>2142</v>
      </c>
      <c r="J17" s="469" t="s">
        <v>3468</v>
      </c>
    </row>
    <row r="18" spans="9:10" ht="15">
      <c r="I18" s="467" t="s">
        <v>2142</v>
      </c>
      <c r="J18" s="472" t="s">
        <v>3473</v>
      </c>
    </row>
    <row r="19" spans="9:10" ht="15">
      <c r="I19" s="467" t="s">
        <v>2143</v>
      </c>
      <c r="J19" s="469" t="s">
        <v>3435</v>
      </c>
    </row>
    <row r="20" spans="9:10" ht="15">
      <c r="I20" s="467" t="s">
        <v>2143</v>
      </c>
      <c r="J20" s="469" t="s">
        <v>3441</v>
      </c>
    </row>
    <row r="21" spans="9:10" ht="30">
      <c r="I21" s="467" t="s">
        <v>2143</v>
      </c>
      <c r="J21" s="469" t="s">
        <v>3447</v>
      </c>
    </row>
    <row r="22" spans="9:10" ht="15">
      <c r="I22" s="467" t="s">
        <v>2143</v>
      </c>
      <c r="J22" s="469" t="s">
        <v>3453</v>
      </c>
    </row>
    <row r="23" spans="9:10" ht="15">
      <c r="I23" s="467" t="s">
        <v>2143</v>
      </c>
      <c r="J23" s="469" t="s">
        <v>3459</v>
      </c>
    </row>
    <row r="24" spans="9:10" ht="15">
      <c r="I24" s="467" t="s">
        <v>2143</v>
      </c>
      <c r="J24" s="469" t="s">
        <v>3464</v>
      </c>
    </row>
    <row r="25" spans="9:10" ht="15">
      <c r="I25" s="467" t="s">
        <v>2143</v>
      </c>
      <c r="J25" s="469" t="s">
        <v>3469</v>
      </c>
    </row>
    <row r="26" spans="9:10" ht="15">
      <c r="I26" s="467" t="s">
        <v>2143</v>
      </c>
      <c r="J26" s="469" t="s">
        <v>3474</v>
      </c>
    </row>
    <row r="27" spans="9:10" ht="15">
      <c r="I27" s="467" t="s">
        <v>2140</v>
      </c>
      <c r="J27" s="469" t="s">
        <v>3436</v>
      </c>
    </row>
    <row r="28" spans="9:10" ht="30">
      <c r="I28" s="467" t="s">
        <v>2140</v>
      </c>
      <c r="J28" s="469" t="s">
        <v>3442</v>
      </c>
    </row>
    <row r="29" spans="9:10" ht="15">
      <c r="I29" s="467" t="s">
        <v>2140</v>
      </c>
      <c r="J29" s="469" t="s">
        <v>3448</v>
      </c>
    </row>
    <row r="30" spans="9:10" ht="15">
      <c r="I30" s="467" t="s">
        <v>2140</v>
      </c>
      <c r="J30" s="469" t="s">
        <v>3454</v>
      </c>
    </row>
    <row r="31" spans="9:10" ht="15">
      <c r="I31" s="467" t="s">
        <v>107</v>
      </c>
      <c r="J31" s="469" t="s">
        <v>3437</v>
      </c>
    </row>
    <row r="32" spans="9:10" ht="15">
      <c r="I32" s="467" t="s">
        <v>107</v>
      </c>
      <c r="J32" s="469" t="s">
        <v>3443</v>
      </c>
    </row>
    <row r="33" spans="9:10" ht="30">
      <c r="I33" s="467" t="s">
        <v>107</v>
      </c>
      <c r="J33" s="469" t="s">
        <v>3449</v>
      </c>
    </row>
    <row r="34" spans="9:10" ht="15">
      <c r="I34" s="467" t="s">
        <v>107</v>
      </c>
      <c r="J34" s="469" t="s">
        <v>3455</v>
      </c>
    </row>
    <row r="35" spans="9:10" ht="15">
      <c r="I35" s="467" t="s">
        <v>107</v>
      </c>
      <c r="J35" s="469" t="s">
        <v>3460</v>
      </c>
    </row>
    <row r="36" spans="9:10" ht="15">
      <c r="I36" s="467" t="s">
        <v>107</v>
      </c>
      <c r="J36" s="469" t="s">
        <v>3465</v>
      </c>
    </row>
    <row r="37" spans="9:10" ht="15">
      <c r="I37" s="467" t="s">
        <v>107</v>
      </c>
      <c r="J37" s="469" t="s">
        <v>3470</v>
      </c>
    </row>
    <row r="38" spans="9:10" ht="15">
      <c r="I38" s="467" t="s">
        <v>107</v>
      </c>
      <c r="J38" s="469" t="s">
        <v>3475</v>
      </c>
    </row>
    <row r="39" spans="9:10" ht="15">
      <c r="I39" s="467" t="s">
        <v>107</v>
      </c>
      <c r="J39" s="469" t="s">
        <v>3477</v>
      </c>
    </row>
    <row r="40" spans="9:10" ht="15">
      <c r="I40" s="467" t="s">
        <v>107</v>
      </c>
      <c r="J40" s="469" t="s">
        <v>3479</v>
      </c>
    </row>
    <row r="41" spans="9:10" ht="15.75" thickBot="1">
      <c r="I41" s="468" t="s">
        <v>2141</v>
      </c>
      <c r="J41" s="470" t="s">
        <v>3438</v>
      </c>
    </row>
    <row r="42" spans="9:10" ht="15.75" thickBot="1">
      <c r="I42" s="468" t="s">
        <v>2141</v>
      </c>
      <c r="J42" s="470" t="s">
        <v>3444</v>
      </c>
    </row>
    <row r="43" spans="9:10" ht="15.75" thickBot="1">
      <c r="I43" s="468" t="s">
        <v>2141</v>
      </c>
      <c r="J43" s="470" t="s">
        <v>3450</v>
      </c>
    </row>
    <row r="44" spans="9:10" ht="15.75" thickBot="1">
      <c r="I44" s="468" t="s">
        <v>2141</v>
      </c>
      <c r="J44" s="470" t="s">
        <v>3456</v>
      </c>
    </row>
    <row r="45" spans="9:10" ht="30.75" thickBot="1">
      <c r="I45" s="468" t="s">
        <v>2141</v>
      </c>
      <c r="J45" s="470" t="s">
        <v>3461</v>
      </c>
    </row>
    <row r="46" spans="9:10" ht="15.75" thickBot="1">
      <c r="I46" s="468" t="s">
        <v>2141</v>
      </c>
      <c r="J46" s="470" t="s">
        <v>3466</v>
      </c>
    </row>
    <row r="47" spans="9:10" ht="15.75" thickBot="1">
      <c r="I47" s="468" t="s">
        <v>2141</v>
      </c>
      <c r="J47" s="470" t="s">
        <v>3471</v>
      </c>
    </row>
    <row r="48" spans="9:10" ht="15.75" thickBot="1">
      <c r="I48" s="468" t="s">
        <v>2141</v>
      </c>
      <c r="J48" s="470" t="s">
        <v>3834</v>
      </c>
    </row>
    <row r="49" spans="9:10" ht="15.75" thickBot="1">
      <c r="I49" s="468" t="s">
        <v>2141</v>
      </c>
      <c r="J49" s="470" t="s">
        <v>4516</v>
      </c>
    </row>
    <row r="50" spans="9:10" ht="15.75" thickBot="1">
      <c r="I50" s="468" t="s">
        <v>2141</v>
      </c>
      <c r="J50" s="470" t="s">
        <v>3480</v>
      </c>
    </row>
    <row r="51" spans="9:10" ht="15.75" thickBot="1">
      <c r="I51" s="468" t="s">
        <v>2141</v>
      </c>
      <c r="J51" s="470" t="s">
        <v>3481</v>
      </c>
    </row>
    <row r="52" spans="9:10" ht="15.75" thickBot="1">
      <c r="I52" s="468" t="s">
        <v>2141</v>
      </c>
      <c r="J52" s="470" t="s">
        <v>3482</v>
      </c>
    </row>
    <row r="53" spans="9:10" ht="15.75" thickBot="1">
      <c r="I53" s="468" t="s">
        <v>2141</v>
      </c>
      <c r="J53" s="473" t="s">
        <v>3483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4"/>
  <dimension ref="A1:E252"/>
  <sheetViews>
    <sheetView topLeftCell="A10" workbookViewId="0">
      <selection activeCell="C25" sqref="C24:C25"/>
    </sheetView>
  </sheetViews>
  <sheetFormatPr defaultRowHeight="15"/>
  <cols>
    <col min="1" max="1" width="77" customWidth="1"/>
  </cols>
  <sheetData>
    <row r="1" spans="1:5">
      <c r="A1" t="s">
        <v>5113</v>
      </c>
      <c r="B1" t="s">
        <v>5114</v>
      </c>
      <c r="C1" t="s">
        <v>5115</v>
      </c>
      <c r="D1" t="s">
        <v>5116</v>
      </c>
      <c r="E1" t="s">
        <v>5117</v>
      </c>
    </row>
    <row r="2" spans="1:5">
      <c r="A2" t="s">
        <v>5118</v>
      </c>
      <c r="B2" t="s">
        <v>5119</v>
      </c>
      <c r="C2" t="s">
        <v>5120</v>
      </c>
    </row>
    <row r="3" spans="1:5">
      <c r="A3" t="s">
        <v>862</v>
      </c>
      <c r="B3" t="s">
        <v>5121</v>
      </c>
      <c r="C3" t="s">
        <v>5122</v>
      </c>
    </row>
    <row r="4" spans="1:5">
      <c r="A4" t="s">
        <v>862</v>
      </c>
      <c r="B4" t="s">
        <v>3150</v>
      </c>
      <c r="C4" t="s">
        <v>5120</v>
      </c>
    </row>
    <row r="5" spans="1:5">
      <c r="A5" t="s">
        <v>862</v>
      </c>
      <c r="B5" t="s">
        <v>5123</v>
      </c>
      <c r="C5" t="s">
        <v>5124</v>
      </c>
    </row>
    <row r="6" spans="1:5">
      <c r="A6" t="s">
        <v>862</v>
      </c>
      <c r="B6" t="s">
        <v>5125</v>
      </c>
      <c r="C6" t="s">
        <v>5124</v>
      </c>
    </row>
    <row r="7" spans="1:5">
      <c r="A7" t="s">
        <v>862</v>
      </c>
      <c r="B7" t="s">
        <v>3149</v>
      </c>
      <c r="C7" t="s">
        <v>5120</v>
      </c>
    </row>
    <row r="8" spans="1:5">
      <c r="A8" t="s">
        <v>862</v>
      </c>
      <c r="B8" t="s">
        <v>5126</v>
      </c>
      <c r="C8" t="s">
        <v>5124</v>
      </c>
    </row>
    <row r="9" spans="1:5">
      <c r="A9" t="s">
        <v>862</v>
      </c>
      <c r="B9" t="s">
        <v>3151</v>
      </c>
      <c r="C9" t="s">
        <v>5120</v>
      </c>
    </row>
    <row r="10" spans="1:5">
      <c r="A10" t="s">
        <v>862</v>
      </c>
      <c r="B10" t="s">
        <v>3153</v>
      </c>
      <c r="C10" t="s">
        <v>5127</v>
      </c>
    </row>
    <row r="11" spans="1:5">
      <c r="A11" t="s">
        <v>862</v>
      </c>
      <c r="B11" t="s">
        <v>5128</v>
      </c>
      <c r="C11" t="s">
        <v>5124</v>
      </c>
    </row>
    <row r="12" spans="1:5">
      <c r="A12" t="s">
        <v>862</v>
      </c>
      <c r="B12" t="s">
        <v>5129</v>
      </c>
      <c r="C12" t="s">
        <v>5124</v>
      </c>
    </row>
    <row r="13" spans="1:5">
      <c r="A13" t="s">
        <v>862</v>
      </c>
      <c r="B13" t="s">
        <v>3152</v>
      </c>
      <c r="C13" t="s">
        <v>5127</v>
      </c>
    </row>
    <row r="14" spans="1:5">
      <c r="A14" t="s">
        <v>862</v>
      </c>
      <c r="B14" t="s">
        <v>5130</v>
      </c>
      <c r="C14" t="s">
        <v>5127</v>
      </c>
    </row>
    <row r="15" spans="1:5">
      <c r="A15" t="s">
        <v>862</v>
      </c>
      <c r="B15" t="s">
        <v>5131</v>
      </c>
      <c r="C15" t="s">
        <v>5124</v>
      </c>
    </row>
    <row r="16" spans="1:5">
      <c r="A16" t="s">
        <v>862</v>
      </c>
      <c r="B16" t="s">
        <v>5132</v>
      </c>
      <c r="C16" t="s">
        <v>5127</v>
      </c>
    </row>
    <row r="17" spans="1:4">
      <c r="A17" t="s">
        <v>862</v>
      </c>
      <c r="B17" t="s">
        <v>5133</v>
      </c>
      <c r="C17" t="s">
        <v>5124</v>
      </c>
    </row>
    <row r="18" spans="1:4">
      <c r="A18" t="s">
        <v>862</v>
      </c>
      <c r="B18" t="s">
        <v>5134</v>
      </c>
      <c r="C18" t="s">
        <v>5127</v>
      </c>
    </row>
    <row r="19" spans="1:4">
      <c r="A19" t="s">
        <v>862</v>
      </c>
      <c r="B19" t="s">
        <v>5135</v>
      </c>
      <c r="C19" t="s">
        <v>5124</v>
      </c>
    </row>
    <row r="20" spans="1:4">
      <c r="A20" t="s">
        <v>862</v>
      </c>
      <c r="B20" t="s">
        <v>5136</v>
      </c>
      <c r="C20" t="s">
        <v>5137</v>
      </c>
    </row>
    <row r="21" spans="1:4">
      <c r="A21" t="s">
        <v>862</v>
      </c>
      <c r="B21" t="s">
        <v>5138</v>
      </c>
      <c r="C21" t="s">
        <v>5124</v>
      </c>
    </row>
    <row r="22" spans="1:4">
      <c r="A22" t="s">
        <v>862</v>
      </c>
      <c r="B22" t="s">
        <v>5139</v>
      </c>
      <c r="C22" t="s">
        <v>5127</v>
      </c>
    </row>
    <row r="23" spans="1:4">
      <c r="A23" t="s">
        <v>862</v>
      </c>
      <c r="B23" t="s">
        <v>3381</v>
      </c>
      <c r="C23" t="s">
        <v>5120</v>
      </c>
    </row>
    <row r="24" spans="1:4">
      <c r="A24" t="s">
        <v>862</v>
      </c>
      <c r="B24" t="s">
        <v>5140</v>
      </c>
      <c r="C24" t="s">
        <v>5124</v>
      </c>
      <c r="D24" t="s">
        <v>5141</v>
      </c>
    </row>
    <row r="25" spans="1:4">
      <c r="A25" t="s">
        <v>862</v>
      </c>
      <c r="B25" t="s">
        <v>3380</v>
      </c>
      <c r="C25" t="s">
        <v>5120</v>
      </c>
    </row>
    <row r="26" spans="1:4">
      <c r="A26" t="s">
        <v>862</v>
      </c>
      <c r="B26" t="s">
        <v>5142</v>
      </c>
      <c r="C26" t="s">
        <v>5124</v>
      </c>
    </row>
    <row r="27" spans="1:4">
      <c r="A27" t="s">
        <v>862</v>
      </c>
      <c r="B27" t="s">
        <v>5143</v>
      </c>
      <c r="C27" t="s">
        <v>5124</v>
      </c>
    </row>
    <row r="28" spans="1:4">
      <c r="A28" t="s">
        <v>862</v>
      </c>
      <c r="B28" t="s">
        <v>3290</v>
      </c>
      <c r="C28" t="s">
        <v>5120</v>
      </c>
    </row>
    <row r="29" spans="1:4">
      <c r="A29" t="s">
        <v>862</v>
      </c>
      <c r="B29" t="s">
        <v>3344</v>
      </c>
      <c r="C29" t="s">
        <v>5120</v>
      </c>
    </row>
    <row r="30" spans="1:4">
      <c r="A30" t="s">
        <v>862</v>
      </c>
      <c r="B30" t="s">
        <v>5144</v>
      </c>
      <c r="C30" t="s">
        <v>5124</v>
      </c>
    </row>
    <row r="31" spans="1:4">
      <c r="A31" t="s">
        <v>862</v>
      </c>
      <c r="B31" t="s">
        <v>3342</v>
      </c>
      <c r="C31" t="s">
        <v>5120</v>
      </c>
    </row>
    <row r="32" spans="1:4">
      <c r="A32" t="s">
        <v>862</v>
      </c>
      <c r="B32" t="s">
        <v>5145</v>
      </c>
      <c r="C32" t="s">
        <v>5124</v>
      </c>
    </row>
    <row r="33" spans="1:3">
      <c r="A33" t="s">
        <v>862</v>
      </c>
      <c r="B33" t="s">
        <v>5146</v>
      </c>
      <c r="C33" t="s">
        <v>5124</v>
      </c>
    </row>
    <row r="34" spans="1:3">
      <c r="A34" t="s">
        <v>862</v>
      </c>
      <c r="B34" t="s">
        <v>5147</v>
      </c>
      <c r="C34" t="s">
        <v>5124</v>
      </c>
    </row>
    <row r="35" spans="1:3">
      <c r="A35" t="s">
        <v>862</v>
      </c>
      <c r="B35" t="s">
        <v>3368</v>
      </c>
      <c r="C35" t="s">
        <v>5120</v>
      </c>
    </row>
    <row r="36" spans="1:3">
      <c r="A36" t="s">
        <v>862</v>
      </c>
      <c r="B36" t="s">
        <v>3412</v>
      </c>
      <c r="C36" t="s">
        <v>5120</v>
      </c>
    </row>
    <row r="37" spans="1:3">
      <c r="A37" t="s">
        <v>862</v>
      </c>
      <c r="B37" t="s">
        <v>5148</v>
      </c>
      <c r="C37" t="s">
        <v>5124</v>
      </c>
    </row>
    <row r="38" spans="1:3">
      <c r="A38" t="s">
        <v>862</v>
      </c>
      <c r="B38" t="s">
        <v>3413</v>
      </c>
      <c r="C38" t="s">
        <v>5120</v>
      </c>
    </row>
    <row r="39" spans="1:3">
      <c r="A39" t="s">
        <v>862</v>
      </c>
      <c r="B39" t="s">
        <v>5149</v>
      </c>
      <c r="C39" t="s">
        <v>5124</v>
      </c>
    </row>
    <row r="40" spans="1:3">
      <c r="A40" t="s">
        <v>862</v>
      </c>
      <c r="B40" t="s">
        <v>5150</v>
      </c>
      <c r="C40" t="s">
        <v>5137</v>
      </c>
    </row>
    <row r="41" spans="1:3">
      <c r="A41" t="s">
        <v>862</v>
      </c>
      <c r="B41" t="s">
        <v>5151</v>
      </c>
      <c r="C41" t="s">
        <v>5152</v>
      </c>
    </row>
    <row r="42" spans="1:3">
      <c r="A42" t="s">
        <v>862</v>
      </c>
      <c r="B42" t="s">
        <v>3386</v>
      </c>
      <c r="C42" t="s">
        <v>5127</v>
      </c>
    </row>
    <row r="43" spans="1:3">
      <c r="A43" t="s">
        <v>862</v>
      </c>
      <c r="B43" t="s">
        <v>3387</v>
      </c>
      <c r="C43" t="s">
        <v>5127</v>
      </c>
    </row>
    <row r="44" spans="1:3">
      <c r="A44" t="s">
        <v>862</v>
      </c>
      <c r="B44" t="s">
        <v>3388</v>
      </c>
      <c r="C44" t="s">
        <v>5127</v>
      </c>
    </row>
    <row r="45" spans="1:3">
      <c r="A45" t="s">
        <v>862</v>
      </c>
      <c r="B45" t="s">
        <v>3202</v>
      </c>
      <c r="C45" t="s">
        <v>5124</v>
      </c>
    </row>
    <row r="46" spans="1:3">
      <c r="A46" t="s">
        <v>862</v>
      </c>
      <c r="B46" t="s">
        <v>3389</v>
      </c>
      <c r="C46" t="s">
        <v>5127</v>
      </c>
    </row>
    <row r="47" spans="1:3">
      <c r="A47" t="s">
        <v>862</v>
      </c>
      <c r="B47" t="s">
        <v>3390</v>
      </c>
      <c r="C47" t="s">
        <v>5127</v>
      </c>
    </row>
    <row r="48" spans="1:3">
      <c r="A48" t="s">
        <v>862</v>
      </c>
      <c r="B48" t="s">
        <v>3391</v>
      </c>
      <c r="C48" t="s">
        <v>5127</v>
      </c>
    </row>
    <row r="49" spans="1:3">
      <c r="A49" t="s">
        <v>862</v>
      </c>
      <c r="B49" t="s">
        <v>3203</v>
      </c>
      <c r="C49" t="s">
        <v>5124</v>
      </c>
    </row>
    <row r="50" spans="1:3">
      <c r="A50" t="s">
        <v>862</v>
      </c>
      <c r="B50" t="s">
        <v>3392</v>
      </c>
      <c r="C50" t="s">
        <v>5127</v>
      </c>
    </row>
    <row r="51" spans="1:3">
      <c r="A51" t="s">
        <v>862</v>
      </c>
      <c r="B51" t="s">
        <v>3393</v>
      </c>
      <c r="C51" t="s">
        <v>5127</v>
      </c>
    </row>
    <row r="52" spans="1:3">
      <c r="A52" t="s">
        <v>862</v>
      </c>
      <c r="B52" t="s">
        <v>3394</v>
      </c>
      <c r="C52" t="s">
        <v>5127</v>
      </c>
    </row>
    <row r="53" spans="1:3">
      <c r="A53" t="s">
        <v>862</v>
      </c>
      <c r="B53" t="s">
        <v>3204</v>
      </c>
      <c r="C53" t="s">
        <v>5124</v>
      </c>
    </row>
    <row r="54" spans="1:3">
      <c r="A54" t="s">
        <v>862</v>
      </c>
      <c r="B54" t="s">
        <v>3395</v>
      </c>
      <c r="C54" t="s">
        <v>5127</v>
      </c>
    </row>
    <row r="55" spans="1:3">
      <c r="A55" t="s">
        <v>862</v>
      </c>
      <c r="B55" t="s">
        <v>3396</v>
      </c>
      <c r="C55" t="s">
        <v>5127</v>
      </c>
    </row>
    <row r="56" spans="1:3">
      <c r="A56" t="s">
        <v>862</v>
      </c>
      <c r="B56" t="s">
        <v>3397</v>
      </c>
      <c r="C56" t="s">
        <v>5127</v>
      </c>
    </row>
    <row r="57" spans="1:3">
      <c r="A57" t="s">
        <v>862</v>
      </c>
      <c r="B57" t="s">
        <v>3205</v>
      </c>
      <c r="C57" t="s">
        <v>5124</v>
      </c>
    </row>
    <row r="58" spans="1:3">
      <c r="A58" t="s">
        <v>862</v>
      </c>
      <c r="B58" t="s">
        <v>3187</v>
      </c>
      <c r="C58" t="s">
        <v>5124</v>
      </c>
    </row>
    <row r="59" spans="1:3">
      <c r="A59" t="s">
        <v>862</v>
      </c>
      <c r="B59" t="s">
        <v>3188</v>
      </c>
      <c r="C59" t="s">
        <v>5124</v>
      </c>
    </row>
    <row r="60" spans="1:3">
      <c r="A60" t="s">
        <v>862</v>
      </c>
      <c r="B60" t="s">
        <v>3190</v>
      </c>
      <c r="C60" t="s">
        <v>5124</v>
      </c>
    </row>
    <row r="61" spans="1:3">
      <c r="A61" t="s">
        <v>862</v>
      </c>
      <c r="B61" t="s">
        <v>3191</v>
      </c>
      <c r="C61" t="s">
        <v>5124</v>
      </c>
    </row>
    <row r="62" spans="1:3">
      <c r="A62" t="s">
        <v>862</v>
      </c>
      <c r="B62" t="s">
        <v>3193</v>
      </c>
      <c r="C62" t="s">
        <v>5124</v>
      </c>
    </row>
    <row r="63" spans="1:3">
      <c r="A63" t="s">
        <v>862</v>
      </c>
      <c r="B63" t="s">
        <v>3196</v>
      </c>
      <c r="C63" t="s">
        <v>5124</v>
      </c>
    </row>
    <row r="64" spans="1:3">
      <c r="A64" t="s">
        <v>862</v>
      </c>
      <c r="B64" t="s">
        <v>3189</v>
      </c>
      <c r="C64" t="s">
        <v>5124</v>
      </c>
    </row>
    <row r="65" spans="1:3">
      <c r="A65" t="s">
        <v>862</v>
      </c>
      <c r="B65" t="s">
        <v>3192</v>
      </c>
      <c r="C65" t="s">
        <v>5124</v>
      </c>
    </row>
    <row r="66" spans="1:3">
      <c r="A66" t="s">
        <v>862</v>
      </c>
      <c r="B66" t="s">
        <v>3194</v>
      </c>
      <c r="C66" t="s">
        <v>5124</v>
      </c>
    </row>
    <row r="67" spans="1:3">
      <c r="A67" t="s">
        <v>862</v>
      </c>
      <c r="B67" t="s">
        <v>3195</v>
      </c>
      <c r="C67" t="s">
        <v>5124</v>
      </c>
    </row>
    <row r="68" spans="1:3">
      <c r="A68" t="s">
        <v>862</v>
      </c>
      <c r="B68" t="s">
        <v>3198</v>
      </c>
      <c r="C68" t="s">
        <v>5124</v>
      </c>
    </row>
    <row r="69" spans="1:3">
      <c r="A69" t="s">
        <v>862</v>
      </c>
      <c r="B69" t="s">
        <v>3197</v>
      </c>
      <c r="C69" t="s">
        <v>5124</v>
      </c>
    </row>
    <row r="70" spans="1:3">
      <c r="A70" t="s">
        <v>862</v>
      </c>
      <c r="B70" t="s">
        <v>3374</v>
      </c>
      <c r="C70" t="s">
        <v>5127</v>
      </c>
    </row>
    <row r="71" spans="1:3">
      <c r="A71" t="s">
        <v>862</v>
      </c>
      <c r="B71" t="s">
        <v>5153</v>
      </c>
      <c r="C71" t="s">
        <v>5124</v>
      </c>
    </row>
    <row r="72" spans="1:3">
      <c r="A72" t="s">
        <v>862</v>
      </c>
      <c r="B72" t="s">
        <v>5154</v>
      </c>
      <c r="C72" t="s">
        <v>5124</v>
      </c>
    </row>
    <row r="73" spans="1:3">
      <c r="A73" t="s">
        <v>862</v>
      </c>
      <c r="B73" t="s">
        <v>5155</v>
      </c>
      <c r="C73" t="s">
        <v>5137</v>
      </c>
    </row>
    <row r="74" spans="1:3">
      <c r="A74" t="s">
        <v>862</v>
      </c>
      <c r="B74" t="s">
        <v>5156</v>
      </c>
      <c r="C74" t="s">
        <v>5152</v>
      </c>
    </row>
    <row r="75" spans="1:3">
      <c r="A75" t="s">
        <v>862</v>
      </c>
      <c r="B75" t="s">
        <v>5157</v>
      </c>
      <c r="C75" t="s">
        <v>5124</v>
      </c>
    </row>
    <row r="76" spans="1:3">
      <c r="A76" t="s">
        <v>862</v>
      </c>
      <c r="B76" t="s">
        <v>3402</v>
      </c>
      <c r="C76" t="s">
        <v>5127</v>
      </c>
    </row>
    <row r="77" spans="1:3">
      <c r="A77" t="s">
        <v>862</v>
      </c>
      <c r="B77" t="s">
        <v>3403</v>
      </c>
      <c r="C77" t="s">
        <v>5127</v>
      </c>
    </row>
    <row r="78" spans="1:3">
      <c r="A78" t="s">
        <v>862</v>
      </c>
      <c r="B78" t="s">
        <v>5158</v>
      </c>
      <c r="C78" t="s">
        <v>5124</v>
      </c>
    </row>
    <row r="79" spans="1:3">
      <c r="A79" t="s">
        <v>862</v>
      </c>
      <c r="B79" t="s">
        <v>5159</v>
      </c>
      <c r="C79" t="s">
        <v>5127</v>
      </c>
    </row>
    <row r="80" spans="1:3">
      <c r="A80" t="s">
        <v>862</v>
      </c>
      <c r="B80" t="s">
        <v>5160</v>
      </c>
      <c r="C80" t="s">
        <v>5124</v>
      </c>
    </row>
    <row r="81" spans="1:3">
      <c r="A81" t="s">
        <v>862</v>
      </c>
      <c r="B81" t="s">
        <v>5161</v>
      </c>
      <c r="C81" t="s">
        <v>5127</v>
      </c>
    </row>
    <row r="82" spans="1:3">
      <c r="A82" t="s">
        <v>862</v>
      </c>
      <c r="B82" t="s">
        <v>5162</v>
      </c>
      <c r="C82" t="s">
        <v>5124</v>
      </c>
    </row>
    <row r="83" spans="1:3">
      <c r="A83" t="s">
        <v>862</v>
      </c>
      <c r="B83" t="s">
        <v>5163</v>
      </c>
      <c r="C83" t="s">
        <v>5124</v>
      </c>
    </row>
    <row r="84" spans="1:3">
      <c r="A84" t="s">
        <v>862</v>
      </c>
      <c r="B84" t="s">
        <v>5164</v>
      </c>
      <c r="C84" t="s">
        <v>5127</v>
      </c>
    </row>
    <row r="85" spans="1:3">
      <c r="A85" t="s">
        <v>862</v>
      </c>
      <c r="B85" t="s">
        <v>5165</v>
      </c>
      <c r="C85" t="s">
        <v>5124</v>
      </c>
    </row>
    <row r="86" spans="1:3">
      <c r="A86" t="s">
        <v>862</v>
      </c>
      <c r="B86" t="s">
        <v>5166</v>
      </c>
      <c r="C86" t="s">
        <v>5127</v>
      </c>
    </row>
    <row r="87" spans="1:3">
      <c r="A87" t="s">
        <v>862</v>
      </c>
      <c r="B87" t="s">
        <v>5167</v>
      </c>
      <c r="C87" t="s">
        <v>5137</v>
      </c>
    </row>
    <row r="88" spans="1:3">
      <c r="A88" t="s">
        <v>862</v>
      </c>
      <c r="B88" t="s">
        <v>5168</v>
      </c>
      <c r="C88" t="s">
        <v>5137</v>
      </c>
    </row>
    <row r="89" spans="1:3">
      <c r="A89" t="s">
        <v>862</v>
      </c>
      <c r="B89" t="s">
        <v>5119</v>
      </c>
      <c r="C89" t="s">
        <v>5120</v>
      </c>
    </row>
    <row r="90" spans="1:3">
      <c r="A90" t="s">
        <v>862</v>
      </c>
      <c r="B90" t="s">
        <v>5169</v>
      </c>
      <c r="C90" t="s">
        <v>5137</v>
      </c>
    </row>
    <row r="91" spans="1:3">
      <c r="A91" t="s">
        <v>862</v>
      </c>
      <c r="B91" t="s">
        <v>5170</v>
      </c>
      <c r="C91" t="s">
        <v>5120</v>
      </c>
    </row>
    <row r="92" spans="1:3">
      <c r="A92" t="s">
        <v>862</v>
      </c>
      <c r="B92" t="s">
        <v>5171</v>
      </c>
      <c r="C92" t="s">
        <v>5124</v>
      </c>
    </row>
    <row r="93" spans="1:3">
      <c r="A93" t="s">
        <v>862</v>
      </c>
      <c r="B93" t="s">
        <v>3382</v>
      </c>
      <c r="C93" t="s">
        <v>5120</v>
      </c>
    </row>
    <row r="94" spans="1:3">
      <c r="A94" t="s">
        <v>862</v>
      </c>
      <c r="B94" t="s">
        <v>3291</v>
      </c>
      <c r="C94" t="s">
        <v>5120</v>
      </c>
    </row>
    <row r="95" spans="1:3">
      <c r="A95" t="s">
        <v>862</v>
      </c>
      <c r="B95" t="s">
        <v>5172</v>
      </c>
      <c r="C95" t="s">
        <v>5137</v>
      </c>
    </row>
    <row r="96" spans="1:3">
      <c r="A96" t="s">
        <v>862</v>
      </c>
      <c r="B96" t="s">
        <v>5173</v>
      </c>
      <c r="C96" t="s">
        <v>5137</v>
      </c>
    </row>
    <row r="97" spans="1:4">
      <c r="A97" t="s">
        <v>862</v>
      </c>
      <c r="B97" t="s">
        <v>5174</v>
      </c>
      <c r="C97" t="s">
        <v>5137</v>
      </c>
    </row>
    <row r="98" spans="1:4">
      <c r="A98" t="s">
        <v>862</v>
      </c>
      <c r="B98" t="s">
        <v>5175</v>
      </c>
      <c r="C98" t="s">
        <v>5137</v>
      </c>
      <c r="D98" t="s">
        <v>5176</v>
      </c>
    </row>
    <row r="99" spans="1:4">
      <c r="A99" t="s">
        <v>862</v>
      </c>
      <c r="B99" t="s">
        <v>5177</v>
      </c>
      <c r="C99" t="s">
        <v>5152</v>
      </c>
    </row>
    <row r="100" spans="1:4">
      <c r="A100" t="s">
        <v>862</v>
      </c>
      <c r="B100" t="s">
        <v>5178</v>
      </c>
      <c r="C100" t="s">
        <v>5137</v>
      </c>
      <c r="D100" t="s">
        <v>5176</v>
      </c>
    </row>
    <row r="101" spans="1:4">
      <c r="A101" t="s">
        <v>862</v>
      </c>
      <c r="B101" t="s">
        <v>5179</v>
      </c>
      <c r="C101" t="s">
        <v>5124</v>
      </c>
    </row>
    <row r="102" spans="1:4">
      <c r="A102" t="s">
        <v>862</v>
      </c>
      <c r="B102" t="s">
        <v>3383</v>
      </c>
      <c r="C102" t="s">
        <v>5120</v>
      </c>
      <c r="D102" t="s">
        <v>5180</v>
      </c>
    </row>
    <row r="103" spans="1:4">
      <c r="A103" t="s">
        <v>862</v>
      </c>
      <c r="B103" t="s">
        <v>5181</v>
      </c>
      <c r="C103" t="s">
        <v>5124</v>
      </c>
    </row>
    <row r="104" spans="1:4">
      <c r="A104" t="s">
        <v>862</v>
      </c>
      <c r="B104" t="s">
        <v>3361</v>
      </c>
      <c r="C104" t="s">
        <v>5120</v>
      </c>
    </row>
    <row r="105" spans="1:4">
      <c r="A105" t="s">
        <v>862</v>
      </c>
      <c r="B105" t="s">
        <v>5182</v>
      </c>
      <c r="C105" t="s">
        <v>5152</v>
      </c>
    </row>
    <row r="106" spans="1:4">
      <c r="A106" t="s">
        <v>862</v>
      </c>
      <c r="B106" t="s">
        <v>5183</v>
      </c>
      <c r="C106" t="s">
        <v>5124</v>
      </c>
    </row>
    <row r="107" spans="1:4">
      <c r="A107" t="s">
        <v>862</v>
      </c>
      <c r="B107" t="s">
        <v>5184</v>
      </c>
      <c r="C107" t="s">
        <v>5127</v>
      </c>
    </row>
    <row r="108" spans="1:4">
      <c r="A108" t="s">
        <v>862</v>
      </c>
      <c r="B108" t="s">
        <v>3367</v>
      </c>
      <c r="C108" t="s">
        <v>5127</v>
      </c>
    </row>
    <row r="109" spans="1:4">
      <c r="A109" t="s">
        <v>862</v>
      </c>
      <c r="B109" t="s">
        <v>5185</v>
      </c>
      <c r="C109" t="s">
        <v>5124</v>
      </c>
    </row>
    <row r="110" spans="1:4">
      <c r="A110" t="s">
        <v>862</v>
      </c>
      <c r="B110" t="s">
        <v>5186</v>
      </c>
      <c r="C110" t="s">
        <v>5124</v>
      </c>
    </row>
    <row r="111" spans="1:4">
      <c r="A111" t="s">
        <v>862</v>
      </c>
      <c r="B111" t="s">
        <v>3366</v>
      </c>
      <c r="C111" t="s">
        <v>5127</v>
      </c>
    </row>
    <row r="112" spans="1:4">
      <c r="A112" t="s">
        <v>862</v>
      </c>
      <c r="B112" t="s">
        <v>5187</v>
      </c>
      <c r="C112" t="s">
        <v>5152</v>
      </c>
    </row>
    <row r="113" spans="1:3">
      <c r="A113" t="s">
        <v>862</v>
      </c>
      <c r="B113" t="s">
        <v>5188</v>
      </c>
      <c r="C113" t="s">
        <v>5124</v>
      </c>
    </row>
    <row r="114" spans="1:3">
      <c r="A114" t="s">
        <v>862</v>
      </c>
      <c r="B114" t="s">
        <v>3369</v>
      </c>
      <c r="C114" t="s">
        <v>5127</v>
      </c>
    </row>
    <row r="115" spans="1:3">
      <c r="A115" t="s">
        <v>862</v>
      </c>
      <c r="B115" t="s">
        <v>3377</v>
      </c>
      <c r="C115" t="s">
        <v>5127</v>
      </c>
    </row>
    <row r="116" spans="1:3">
      <c r="A116" t="s">
        <v>862</v>
      </c>
      <c r="B116" t="s">
        <v>5189</v>
      </c>
      <c r="C116" t="s">
        <v>5124</v>
      </c>
    </row>
    <row r="117" spans="1:3">
      <c r="A117" t="s">
        <v>862</v>
      </c>
      <c r="B117" t="s">
        <v>3370</v>
      </c>
      <c r="C117" t="s">
        <v>5127</v>
      </c>
    </row>
    <row r="118" spans="1:3">
      <c r="A118" t="s">
        <v>862</v>
      </c>
      <c r="B118" t="s">
        <v>5190</v>
      </c>
      <c r="C118" t="s">
        <v>5124</v>
      </c>
    </row>
    <row r="119" spans="1:3">
      <c r="A119" t="s">
        <v>862</v>
      </c>
      <c r="B119" t="s">
        <v>5191</v>
      </c>
      <c r="C119" t="s">
        <v>5127</v>
      </c>
    </row>
    <row r="120" spans="1:3">
      <c r="A120" t="s">
        <v>862</v>
      </c>
      <c r="B120" t="s">
        <v>5192</v>
      </c>
      <c r="C120" t="s">
        <v>5120</v>
      </c>
    </row>
    <row r="121" spans="1:3">
      <c r="A121" t="s">
        <v>862</v>
      </c>
      <c r="B121" t="s">
        <v>5193</v>
      </c>
      <c r="C121" t="s">
        <v>5127</v>
      </c>
    </row>
    <row r="122" spans="1:3">
      <c r="A122" t="s">
        <v>862</v>
      </c>
      <c r="B122" t="s">
        <v>5194</v>
      </c>
      <c r="C122" t="s">
        <v>5124</v>
      </c>
    </row>
    <row r="123" spans="1:3">
      <c r="A123" t="s">
        <v>862</v>
      </c>
      <c r="B123" t="s">
        <v>3373</v>
      </c>
      <c r="C123" t="s">
        <v>5127</v>
      </c>
    </row>
    <row r="124" spans="1:3">
      <c r="A124" t="s">
        <v>862</v>
      </c>
      <c r="B124" t="s">
        <v>5195</v>
      </c>
      <c r="C124" t="s">
        <v>5124</v>
      </c>
    </row>
    <row r="125" spans="1:3">
      <c r="A125" t="s">
        <v>862</v>
      </c>
      <c r="B125" t="s">
        <v>5196</v>
      </c>
      <c r="C125" t="s">
        <v>5124</v>
      </c>
    </row>
    <row r="126" spans="1:3">
      <c r="A126" t="s">
        <v>862</v>
      </c>
      <c r="B126" t="s">
        <v>3301</v>
      </c>
      <c r="C126" t="s">
        <v>5120</v>
      </c>
    </row>
    <row r="127" spans="1:3">
      <c r="A127" t="s">
        <v>862</v>
      </c>
      <c r="B127" t="s">
        <v>5197</v>
      </c>
      <c r="C127" t="s">
        <v>5124</v>
      </c>
    </row>
    <row r="128" spans="1:3">
      <c r="A128" t="s">
        <v>862</v>
      </c>
      <c r="B128" t="s">
        <v>3300</v>
      </c>
      <c r="C128" t="s">
        <v>5120</v>
      </c>
    </row>
    <row r="129" spans="1:3">
      <c r="A129" t="s">
        <v>862</v>
      </c>
      <c r="B129" t="s">
        <v>3375</v>
      </c>
      <c r="C129" t="s">
        <v>5127</v>
      </c>
    </row>
    <row r="130" spans="1:3">
      <c r="A130" t="s">
        <v>862</v>
      </c>
      <c r="B130" t="s">
        <v>3376</v>
      </c>
      <c r="C130" t="s">
        <v>5120</v>
      </c>
    </row>
    <row r="131" spans="1:3">
      <c r="A131" t="s">
        <v>862</v>
      </c>
      <c r="B131" t="s">
        <v>5198</v>
      </c>
      <c r="C131" t="s">
        <v>5124</v>
      </c>
    </row>
    <row r="132" spans="1:3">
      <c r="A132" t="s">
        <v>862</v>
      </c>
      <c r="B132" t="s">
        <v>5199</v>
      </c>
      <c r="C132" t="s">
        <v>5124</v>
      </c>
    </row>
    <row r="133" spans="1:3">
      <c r="A133" t="s">
        <v>862</v>
      </c>
      <c r="B133" t="s">
        <v>3304</v>
      </c>
      <c r="C133" t="s">
        <v>5120</v>
      </c>
    </row>
    <row r="134" spans="1:3">
      <c r="A134" t="s">
        <v>862</v>
      </c>
      <c r="B134" t="s">
        <v>3379</v>
      </c>
      <c r="C134" t="s">
        <v>5127</v>
      </c>
    </row>
    <row r="135" spans="1:3">
      <c r="A135" t="s">
        <v>862</v>
      </c>
      <c r="B135" t="s">
        <v>5200</v>
      </c>
      <c r="C135" t="s">
        <v>5124</v>
      </c>
    </row>
    <row r="136" spans="1:3">
      <c r="A136" t="s">
        <v>862</v>
      </c>
      <c r="B136" t="s">
        <v>3372</v>
      </c>
      <c r="C136" t="s">
        <v>5127</v>
      </c>
    </row>
    <row r="137" spans="1:3">
      <c r="A137" t="s">
        <v>862</v>
      </c>
      <c r="B137" t="s">
        <v>5201</v>
      </c>
      <c r="C137" t="s">
        <v>5124</v>
      </c>
    </row>
    <row r="138" spans="1:3">
      <c r="A138" t="s">
        <v>862</v>
      </c>
      <c r="B138" t="s">
        <v>5202</v>
      </c>
      <c r="C138" t="s">
        <v>5152</v>
      </c>
    </row>
    <row r="139" spans="1:3">
      <c r="A139" t="s">
        <v>862</v>
      </c>
      <c r="B139" t="s">
        <v>5203</v>
      </c>
      <c r="C139" t="s">
        <v>5124</v>
      </c>
    </row>
    <row r="140" spans="1:3">
      <c r="A140" t="s">
        <v>862</v>
      </c>
      <c r="B140" t="s">
        <v>3345</v>
      </c>
      <c r="C140" t="s">
        <v>5120</v>
      </c>
    </row>
    <row r="141" spans="1:3">
      <c r="A141" t="s">
        <v>862</v>
      </c>
      <c r="B141" t="s">
        <v>5204</v>
      </c>
      <c r="C141" t="s">
        <v>5124</v>
      </c>
    </row>
    <row r="142" spans="1:3">
      <c r="A142" t="s">
        <v>862</v>
      </c>
      <c r="B142" t="s">
        <v>3306</v>
      </c>
      <c r="C142" t="s">
        <v>5120</v>
      </c>
    </row>
    <row r="143" spans="1:3">
      <c r="A143" t="s">
        <v>862</v>
      </c>
      <c r="B143" t="s">
        <v>5205</v>
      </c>
      <c r="C143" t="s">
        <v>5124</v>
      </c>
    </row>
    <row r="144" spans="1:3">
      <c r="A144" t="s">
        <v>862</v>
      </c>
      <c r="B144" t="s">
        <v>3346</v>
      </c>
      <c r="C144" t="s">
        <v>5120</v>
      </c>
    </row>
    <row r="145" spans="1:3">
      <c r="A145" t="s">
        <v>862</v>
      </c>
      <c r="B145" t="s">
        <v>5206</v>
      </c>
      <c r="C145" t="s">
        <v>5124</v>
      </c>
    </row>
    <row r="146" spans="1:3">
      <c r="A146" t="s">
        <v>862</v>
      </c>
      <c r="B146" t="s">
        <v>3338</v>
      </c>
      <c r="C146" t="s">
        <v>5120</v>
      </c>
    </row>
    <row r="147" spans="1:3">
      <c r="A147" t="s">
        <v>862</v>
      </c>
      <c r="B147" t="s">
        <v>5207</v>
      </c>
      <c r="C147" t="s">
        <v>5124</v>
      </c>
    </row>
    <row r="148" spans="1:3">
      <c r="A148" t="s">
        <v>862</v>
      </c>
      <c r="B148" t="s">
        <v>3378</v>
      </c>
      <c r="C148" t="s">
        <v>5127</v>
      </c>
    </row>
    <row r="149" spans="1:3">
      <c r="A149" t="s">
        <v>862</v>
      </c>
      <c r="B149" t="s">
        <v>5208</v>
      </c>
      <c r="C149" t="s">
        <v>5124</v>
      </c>
    </row>
    <row r="150" spans="1:3">
      <c r="A150" t="s">
        <v>862</v>
      </c>
      <c r="B150" t="s">
        <v>3384</v>
      </c>
      <c r="C150" t="s">
        <v>5120</v>
      </c>
    </row>
    <row r="151" spans="1:3">
      <c r="A151" t="s">
        <v>862</v>
      </c>
      <c r="B151" t="s">
        <v>5209</v>
      </c>
      <c r="C151" t="s">
        <v>5124</v>
      </c>
    </row>
    <row r="152" spans="1:3">
      <c r="A152" t="s">
        <v>862</v>
      </c>
      <c r="B152" t="s">
        <v>5210</v>
      </c>
      <c r="C152" t="s">
        <v>5152</v>
      </c>
    </row>
    <row r="153" spans="1:3">
      <c r="A153" t="s">
        <v>862</v>
      </c>
      <c r="B153" t="s">
        <v>3416</v>
      </c>
      <c r="C153" t="s">
        <v>5127</v>
      </c>
    </row>
    <row r="154" spans="1:3">
      <c r="A154" t="s">
        <v>862</v>
      </c>
      <c r="B154" t="s">
        <v>5211</v>
      </c>
      <c r="C154" t="s">
        <v>5124</v>
      </c>
    </row>
    <row r="155" spans="1:3">
      <c r="A155" t="s">
        <v>862</v>
      </c>
      <c r="B155" t="s">
        <v>5212</v>
      </c>
      <c r="C155" t="s">
        <v>5124</v>
      </c>
    </row>
    <row r="156" spans="1:3">
      <c r="A156" t="s">
        <v>862</v>
      </c>
      <c r="B156" t="s">
        <v>3406</v>
      </c>
      <c r="C156" t="s">
        <v>5127</v>
      </c>
    </row>
    <row r="157" spans="1:3">
      <c r="A157" t="s">
        <v>862</v>
      </c>
      <c r="B157" t="s">
        <v>5213</v>
      </c>
      <c r="C157" t="s">
        <v>5124</v>
      </c>
    </row>
    <row r="158" spans="1:3">
      <c r="A158" t="s">
        <v>862</v>
      </c>
      <c r="B158" t="s">
        <v>3415</v>
      </c>
      <c r="C158" t="s">
        <v>5127</v>
      </c>
    </row>
    <row r="159" spans="1:3">
      <c r="A159" t="s">
        <v>862</v>
      </c>
      <c r="B159" t="s">
        <v>5214</v>
      </c>
      <c r="C159" t="s">
        <v>5124</v>
      </c>
    </row>
    <row r="160" spans="1:3">
      <c r="A160" t="s">
        <v>862</v>
      </c>
      <c r="B160" t="s">
        <v>3419</v>
      </c>
      <c r="C160" t="s">
        <v>5120</v>
      </c>
    </row>
    <row r="161" spans="1:3">
      <c r="A161" t="s">
        <v>862</v>
      </c>
      <c r="B161" t="s">
        <v>5215</v>
      </c>
      <c r="C161" t="s">
        <v>5124</v>
      </c>
    </row>
    <row r="162" spans="1:3">
      <c r="A162" t="s">
        <v>862</v>
      </c>
      <c r="B162" t="s">
        <v>5216</v>
      </c>
      <c r="C162" t="s">
        <v>5120</v>
      </c>
    </row>
    <row r="163" spans="1:3">
      <c r="A163" t="s">
        <v>862</v>
      </c>
      <c r="B163" t="s">
        <v>5217</v>
      </c>
      <c r="C163" t="s">
        <v>5137</v>
      </c>
    </row>
    <row r="164" spans="1:3">
      <c r="A164" t="s">
        <v>862</v>
      </c>
      <c r="B164" t="s">
        <v>5218</v>
      </c>
      <c r="C164" t="s">
        <v>5137</v>
      </c>
    </row>
    <row r="165" spans="1:3">
      <c r="A165" t="s">
        <v>862</v>
      </c>
      <c r="B165" t="s">
        <v>5219</v>
      </c>
      <c r="C165" t="s">
        <v>5124</v>
      </c>
    </row>
    <row r="166" spans="1:3">
      <c r="A166" t="s">
        <v>862</v>
      </c>
      <c r="B166" t="s">
        <v>5220</v>
      </c>
      <c r="C166" t="s">
        <v>5120</v>
      </c>
    </row>
    <row r="167" spans="1:3">
      <c r="A167" t="s">
        <v>862</v>
      </c>
      <c r="B167" t="s">
        <v>5221</v>
      </c>
      <c r="C167" t="s">
        <v>5137</v>
      </c>
    </row>
    <row r="168" spans="1:3">
      <c r="A168" t="s">
        <v>862</v>
      </c>
      <c r="B168" t="s">
        <v>5222</v>
      </c>
      <c r="C168" t="s">
        <v>5137</v>
      </c>
    </row>
    <row r="169" spans="1:3">
      <c r="A169" t="s">
        <v>5223</v>
      </c>
      <c r="B169" t="s">
        <v>5136</v>
      </c>
      <c r="C169" t="s">
        <v>5137</v>
      </c>
    </row>
    <row r="170" spans="1:3">
      <c r="A170" t="s">
        <v>5224</v>
      </c>
      <c r="B170" t="s">
        <v>5123</v>
      </c>
      <c r="C170" t="s">
        <v>5124</v>
      </c>
    </row>
    <row r="171" spans="1:3">
      <c r="A171" t="s">
        <v>5224</v>
      </c>
      <c r="B171" t="s">
        <v>5119</v>
      </c>
      <c r="C171" t="s">
        <v>5120</v>
      </c>
    </row>
    <row r="172" spans="1:3">
      <c r="A172" t="s">
        <v>5224</v>
      </c>
      <c r="B172" t="s">
        <v>5125</v>
      </c>
      <c r="C172" t="s">
        <v>5124</v>
      </c>
    </row>
    <row r="173" spans="1:3">
      <c r="A173" t="s">
        <v>5224</v>
      </c>
      <c r="B173" t="s">
        <v>5225</v>
      </c>
      <c r="C173" t="s">
        <v>5120</v>
      </c>
    </row>
    <row r="174" spans="1:3">
      <c r="A174" t="s">
        <v>5224</v>
      </c>
      <c r="B174" t="s">
        <v>5126</v>
      </c>
      <c r="C174" t="s">
        <v>5124</v>
      </c>
    </row>
    <row r="175" spans="1:3">
      <c r="A175" t="s">
        <v>5224</v>
      </c>
      <c r="B175" t="s">
        <v>5226</v>
      </c>
      <c r="C175" t="s">
        <v>5120</v>
      </c>
    </row>
    <row r="176" spans="1:3">
      <c r="A176" t="s">
        <v>5224</v>
      </c>
      <c r="B176" t="s">
        <v>5129</v>
      </c>
      <c r="C176" t="s">
        <v>5124</v>
      </c>
    </row>
    <row r="177" spans="1:3">
      <c r="A177" t="s">
        <v>5224</v>
      </c>
      <c r="B177" t="s">
        <v>5227</v>
      </c>
      <c r="C177" t="s">
        <v>5120</v>
      </c>
    </row>
    <row r="178" spans="1:3">
      <c r="A178" t="s">
        <v>5224</v>
      </c>
      <c r="B178" t="s">
        <v>5131</v>
      </c>
      <c r="C178" t="s">
        <v>5124</v>
      </c>
    </row>
    <row r="179" spans="1:3">
      <c r="A179" t="s">
        <v>5228</v>
      </c>
      <c r="B179" t="s">
        <v>5229</v>
      </c>
      <c r="C179" t="s">
        <v>5230</v>
      </c>
    </row>
    <row r="180" spans="1:3">
      <c r="A180" t="s">
        <v>5228</v>
      </c>
      <c r="B180" t="s">
        <v>5231</v>
      </c>
      <c r="C180" t="s">
        <v>5124</v>
      </c>
    </row>
    <row r="181" spans="1:3">
      <c r="A181" t="s">
        <v>5228</v>
      </c>
      <c r="B181" t="s">
        <v>5232</v>
      </c>
      <c r="C181" t="s">
        <v>5124</v>
      </c>
    </row>
    <row r="182" spans="1:3">
      <c r="A182" t="s">
        <v>5228</v>
      </c>
      <c r="B182" t="s">
        <v>5233</v>
      </c>
      <c r="C182" t="s">
        <v>5124</v>
      </c>
    </row>
    <row r="183" spans="1:3">
      <c r="A183" t="s">
        <v>5228</v>
      </c>
      <c r="B183" t="s">
        <v>5234</v>
      </c>
      <c r="C183" t="s">
        <v>5124</v>
      </c>
    </row>
    <row r="184" spans="1:3">
      <c r="A184" t="s">
        <v>5228</v>
      </c>
      <c r="B184" t="s">
        <v>5235</v>
      </c>
      <c r="C184" t="s">
        <v>5124</v>
      </c>
    </row>
    <row r="185" spans="1:3">
      <c r="A185" t="s">
        <v>5228</v>
      </c>
      <c r="B185" t="s">
        <v>5236</v>
      </c>
      <c r="C185" t="s">
        <v>5124</v>
      </c>
    </row>
    <row r="186" spans="1:3">
      <c r="A186" t="s">
        <v>5228</v>
      </c>
      <c r="B186" t="s">
        <v>5237</v>
      </c>
      <c r="C186" t="s">
        <v>5124</v>
      </c>
    </row>
    <row r="187" spans="1:3">
      <c r="A187" t="s">
        <v>5228</v>
      </c>
      <c r="B187" t="s">
        <v>5238</v>
      </c>
      <c r="C187" t="s">
        <v>5124</v>
      </c>
    </row>
    <row r="188" spans="1:3">
      <c r="A188" t="s">
        <v>5228</v>
      </c>
      <c r="B188" t="s">
        <v>5239</v>
      </c>
      <c r="C188" t="s">
        <v>5124</v>
      </c>
    </row>
    <row r="189" spans="1:3">
      <c r="A189" t="s">
        <v>5228</v>
      </c>
      <c r="B189" t="s">
        <v>5240</v>
      </c>
      <c r="C189" t="s">
        <v>5124</v>
      </c>
    </row>
    <row r="190" spans="1:3">
      <c r="A190" t="s">
        <v>5228</v>
      </c>
      <c r="B190" t="s">
        <v>5241</v>
      </c>
      <c r="C190" t="s">
        <v>5124</v>
      </c>
    </row>
    <row r="191" spans="1:3">
      <c r="A191" t="s">
        <v>5228</v>
      </c>
      <c r="B191" t="s">
        <v>5242</v>
      </c>
      <c r="C191" t="s">
        <v>5124</v>
      </c>
    </row>
    <row r="192" spans="1:3">
      <c r="A192" t="s">
        <v>5228</v>
      </c>
      <c r="B192" t="s">
        <v>5243</v>
      </c>
      <c r="C192" t="s">
        <v>5124</v>
      </c>
    </row>
    <row r="193" spans="1:3">
      <c r="A193" t="s">
        <v>5228</v>
      </c>
      <c r="B193" t="s">
        <v>5244</v>
      </c>
      <c r="C193" t="s">
        <v>5124</v>
      </c>
    </row>
    <row r="194" spans="1:3">
      <c r="A194" t="s">
        <v>5228</v>
      </c>
      <c r="B194" t="s">
        <v>5245</v>
      </c>
      <c r="C194" t="s">
        <v>5124</v>
      </c>
    </row>
    <row r="195" spans="1:3">
      <c r="A195" t="s">
        <v>5228</v>
      </c>
      <c r="B195" t="s">
        <v>5246</v>
      </c>
      <c r="C195" t="s">
        <v>5124</v>
      </c>
    </row>
    <row r="196" spans="1:3">
      <c r="A196" t="s">
        <v>5228</v>
      </c>
      <c r="B196" t="s">
        <v>5247</v>
      </c>
      <c r="C196" t="s">
        <v>5124</v>
      </c>
    </row>
    <row r="197" spans="1:3">
      <c r="A197" t="s">
        <v>5228</v>
      </c>
      <c r="B197" t="s">
        <v>5248</v>
      </c>
      <c r="C197" t="s">
        <v>5124</v>
      </c>
    </row>
    <row r="198" spans="1:3">
      <c r="A198" t="s">
        <v>5228</v>
      </c>
      <c r="B198" t="s">
        <v>5249</v>
      </c>
      <c r="C198" t="s">
        <v>5124</v>
      </c>
    </row>
    <row r="199" spans="1:3">
      <c r="A199" t="s">
        <v>5228</v>
      </c>
      <c r="B199" t="s">
        <v>5250</v>
      </c>
      <c r="C199" t="s">
        <v>5124</v>
      </c>
    </row>
    <row r="200" spans="1:3">
      <c r="A200" t="s">
        <v>5228</v>
      </c>
      <c r="B200" t="s">
        <v>5251</v>
      </c>
      <c r="C200" t="s">
        <v>5124</v>
      </c>
    </row>
    <row r="201" spans="1:3">
      <c r="A201" t="s">
        <v>5228</v>
      </c>
      <c r="B201" t="s">
        <v>5252</v>
      </c>
      <c r="C201" t="s">
        <v>5124</v>
      </c>
    </row>
    <row r="202" spans="1:3">
      <c r="A202" t="s">
        <v>5228</v>
      </c>
      <c r="B202" t="s">
        <v>5253</v>
      </c>
      <c r="C202" t="s">
        <v>5124</v>
      </c>
    </row>
    <row r="203" spans="1:3">
      <c r="A203" t="s">
        <v>5228</v>
      </c>
      <c r="B203" t="s">
        <v>5254</v>
      </c>
      <c r="C203" t="s">
        <v>5124</v>
      </c>
    </row>
    <row r="204" spans="1:3">
      <c r="A204" t="s">
        <v>5228</v>
      </c>
      <c r="B204" t="s">
        <v>5255</v>
      </c>
      <c r="C204" t="s">
        <v>5124</v>
      </c>
    </row>
    <row r="205" spans="1:3">
      <c r="A205" t="s">
        <v>5228</v>
      </c>
      <c r="B205" t="s">
        <v>5256</v>
      </c>
      <c r="C205" t="s">
        <v>5124</v>
      </c>
    </row>
    <row r="206" spans="1:3">
      <c r="A206" t="s">
        <v>5228</v>
      </c>
      <c r="B206" t="s">
        <v>5257</v>
      </c>
      <c r="C206" t="s">
        <v>5124</v>
      </c>
    </row>
    <row r="207" spans="1:3">
      <c r="A207" t="s">
        <v>5228</v>
      </c>
      <c r="B207" t="s">
        <v>5258</v>
      </c>
      <c r="C207" t="s">
        <v>5124</v>
      </c>
    </row>
    <row r="208" spans="1:3">
      <c r="A208" t="s">
        <v>5228</v>
      </c>
      <c r="B208" t="s">
        <v>5259</v>
      </c>
      <c r="C208" t="s">
        <v>5124</v>
      </c>
    </row>
    <row r="209" spans="1:4">
      <c r="A209" t="s">
        <v>5228</v>
      </c>
      <c r="B209" t="s">
        <v>5260</v>
      </c>
      <c r="C209" t="s">
        <v>5124</v>
      </c>
    </row>
    <row r="210" spans="1:4">
      <c r="A210" t="s">
        <v>5228</v>
      </c>
      <c r="B210" t="s">
        <v>5261</v>
      </c>
      <c r="C210" t="s">
        <v>5124</v>
      </c>
    </row>
    <row r="211" spans="1:4">
      <c r="A211" t="s">
        <v>5228</v>
      </c>
      <c r="B211" t="s">
        <v>5262</v>
      </c>
      <c r="C211" t="s">
        <v>5124</v>
      </c>
    </row>
    <row r="212" spans="1:4">
      <c r="A212" t="s">
        <v>5228</v>
      </c>
      <c r="B212" t="s">
        <v>5263</v>
      </c>
      <c r="C212" t="s">
        <v>5124</v>
      </c>
    </row>
    <row r="213" spans="1:4">
      <c r="A213" t="s">
        <v>5228</v>
      </c>
      <c r="B213" t="s">
        <v>5264</v>
      </c>
      <c r="C213" t="s">
        <v>5124</v>
      </c>
    </row>
    <row r="214" spans="1:4">
      <c r="A214" t="s">
        <v>5228</v>
      </c>
      <c r="B214" t="s">
        <v>5265</v>
      </c>
      <c r="C214" t="s">
        <v>5124</v>
      </c>
    </row>
    <row r="215" spans="1:4">
      <c r="A215" t="s">
        <v>5228</v>
      </c>
      <c r="B215" t="s">
        <v>5266</v>
      </c>
      <c r="C215" t="s">
        <v>5124</v>
      </c>
    </row>
    <row r="216" spans="1:4">
      <c r="A216" t="s">
        <v>5228</v>
      </c>
      <c r="B216" t="s">
        <v>5267</v>
      </c>
      <c r="C216" t="s">
        <v>5124</v>
      </c>
    </row>
    <row r="217" spans="1:4">
      <c r="A217" t="s">
        <v>5228</v>
      </c>
      <c r="B217" t="s">
        <v>5268</v>
      </c>
      <c r="C217" t="s">
        <v>5124</v>
      </c>
    </row>
    <row r="218" spans="1:4">
      <c r="A218" t="s">
        <v>5228</v>
      </c>
      <c r="B218" t="s">
        <v>5269</v>
      </c>
      <c r="C218" t="s">
        <v>5124</v>
      </c>
    </row>
    <row r="219" spans="1:4">
      <c r="A219" t="s">
        <v>5228</v>
      </c>
      <c r="B219" t="s">
        <v>5270</v>
      </c>
      <c r="C219" t="s">
        <v>5124</v>
      </c>
    </row>
    <row r="220" spans="1:4">
      <c r="A220" t="s">
        <v>5228</v>
      </c>
      <c r="B220" t="s">
        <v>5271</v>
      </c>
      <c r="C220" t="s">
        <v>5124</v>
      </c>
    </row>
    <row r="221" spans="1:4">
      <c r="A221" t="s">
        <v>5228</v>
      </c>
      <c r="B221" t="s">
        <v>5272</v>
      </c>
      <c r="C221" t="s">
        <v>5124</v>
      </c>
    </row>
    <row r="222" spans="1:4">
      <c r="A222" t="s">
        <v>5228</v>
      </c>
      <c r="B222" t="s">
        <v>5273</v>
      </c>
      <c r="C222" t="s">
        <v>5137</v>
      </c>
      <c r="D222" t="s">
        <v>5274</v>
      </c>
    </row>
    <row r="223" spans="1:4">
      <c r="A223" t="s">
        <v>5228</v>
      </c>
      <c r="B223" t="s">
        <v>5275</v>
      </c>
      <c r="C223" t="s">
        <v>5137</v>
      </c>
      <c r="D223" t="s">
        <v>5276</v>
      </c>
    </row>
    <row r="224" spans="1:4">
      <c r="A224" t="s">
        <v>5228</v>
      </c>
      <c r="B224" t="s">
        <v>5277</v>
      </c>
      <c r="C224" t="s">
        <v>5124</v>
      </c>
    </row>
    <row r="225" spans="1:4">
      <c r="A225" t="s">
        <v>5228</v>
      </c>
      <c r="B225" t="s">
        <v>5278</v>
      </c>
      <c r="C225" t="s">
        <v>5124</v>
      </c>
    </row>
    <row r="226" spans="1:4">
      <c r="A226" t="s">
        <v>5228</v>
      </c>
      <c r="B226" t="s">
        <v>5279</v>
      </c>
      <c r="C226" t="s">
        <v>5124</v>
      </c>
    </row>
    <row r="227" spans="1:4">
      <c r="A227" t="s">
        <v>5228</v>
      </c>
      <c r="B227" t="s">
        <v>5280</v>
      </c>
      <c r="C227" t="s">
        <v>5120</v>
      </c>
    </row>
    <row r="228" spans="1:4">
      <c r="A228" t="s">
        <v>5228</v>
      </c>
      <c r="B228" t="s">
        <v>5281</v>
      </c>
      <c r="C228" t="s">
        <v>5127</v>
      </c>
    </row>
    <row r="229" spans="1:4">
      <c r="A229" t="s">
        <v>5228</v>
      </c>
      <c r="B229" t="s">
        <v>5282</v>
      </c>
      <c r="C229" t="s">
        <v>5283</v>
      </c>
    </row>
    <row r="230" spans="1:4">
      <c r="A230" t="s">
        <v>5228</v>
      </c>
      <c r="B230" t="s">
        <v>5284</v>
      </c>
      <c r="C230" t="s">
        <v>5137</v>
      </c>
    </row>
    <row r="231" spans="1:4">
      <c r="A231" t="s">
        <v>5228</v>
      </c>
      <c r="B231" t="s">
        <v>5285</v>
      </c>
      <c r="C231" t="s">
        <v>5230</v>
      </c>
    </row>
    <row r="232" spans="1:4">
      <c r="A232" t="s">
        <v>5228</v>
      </c>
      <c r="B232" t="s">
        <v>5286</v>
      </c>
      <c r="C232" t="s">
        <v>5230</v>
      </c>
    </row>
    <row r="233" spans="1:4">
      <c r="A233" t="s">
        <v>5228</v>
      </c>
      <c r="B233" t="s">
        <v>5287</v>
      </c>
      <c r="C233" t="s">
        <v>5137</v>
      </c>
      <c r="D233" t="s">
        <v>5288</v>
      </c>
    </row>
    <row r="234" spans="1:4">
      <c r="A234" t="s">
        <v>5228</v>
      </c>
      <c r="B234" t="s">
        <v>5289</v>
      </c>
      <c r="C234" t="s">
        <v>5230</v>
      </c>
    </row>
    <row r="235" spans="1:4">
      <c r="A235" t="s">
        <v>5228</v>
      </c>
      <c r="B235" t="s">
        <v>5290</v>
      </c>
      <c r="C235" t="s">
        <v>5127</v>
      </c>
    </row>
    <row r="236" spans="1:4">
      <c r="A236" t="s">
        <v>5228</v>
      </c>
      <c r="B236" t="s">
        <v>5291</v>
      </c>
      <c r="C236" t="s">
        <v>5124</v>
      </c>
    </row>
    <row r="237" spans="1:4">
      <c r="A237" t="s">
        <v>5228</v>
      </c>
      <c r="B237" t="s">
        <v>5292</v>
      </c>
      <c r="C237" t="s">
        <v>5230</v>
      </c>
    </row>
    <row r="238" spans="1:4">
      <c r="A238" t="s">
        <v>5228</v>
      </c>
      <c r="B238" t="s">
        <v>5293</v>
      </c>
      <c r="C238" t="s">
        <v>5124</v>
      </c>
    </row>
    <row r="239" spans="1:4">
      <c r="A239" t="s">
        <v>5228</v>
      </c>
      <c r="B239" t="s">
        <v>5294</v>
      </c>
      <c r="C239" t="s">
        <v>5124</v>
      </c>
    </row>
    <row r="240" spans="1:4">
      <c r="A240" t="s">
        <v>5228</v>
      </c>
      <c r="B240" t="s">
        <v>5295</v>
      </c>
      <c r="C240" t="s">
        <v>5120</v>
      </c>
    </row>
    <row r="241" spans="1:4">
      <c r="A241" t="s">
        <v>5228</v>
      </c>
      <c r="B241" t="s">
        <v>5296</v>
      </c>
      <c r="C241" t="s">
        <v>5120</v>
      </c>
    </row>
    <row r="242" spans="1:4">
      <c r="A242" t="s">
        <v>5228</v>
      </c>
      <c r="B242" t="s">
        <v>5297</v>
      </c>
      <c r="C242" t="s">
        <v>5120</v>
      </c>
    </row>
    <row r="243" spans="1:4">
      <c r="A243" t="s">
        <v>5228</v>
      </c>
      <c r="B243" t="s">
        <v>5298</v>
      </c>
      <c r="C243" t="s">
        <v>5299</v>
      </c>
      <c r="D243" t="s">
        <v>5300</v>
      </c>
    </row>
    <row r="244" spans="1:4">
      <c r="A244" t="s">
        <v>5228</v>
      </c>
      <c r="B244" t="s">
        <v>5301</v>
      </c>
      <c r="C244" t="s">
        <v>5299</v>
      </c>
      <c r="D244" t="s">
        <v>5302</v>
      </c>
    </row>
    <row r="245" spans="1:4">
      <c r="A245" t="s">
        <v>5228</v>
      </c>
      <c r="B245" t="s">
        <v>5303</v>
      </c>
      <c r="C245" t="s">
        <v>5230</v>
      </c>
    </row>
    <row r="246" spans="1:4">
      <c r="A246" t="s">
        <v>5228</v>
      </c>
      <c r="B246" t="s">
        <v>5304</v>
      </c>
      <c r="C246" t="s">
        <v>5137</v>
      </c>
    </row>
    <row r="247" spans="1:4">
      <c r="A247" t="s">
        <v>5228</v>
      </c>
      <c r="B247" t="s">
        <v>5305</v>
      </c>
      <c r="C247" t="s">
        <v>5152</v>
      </c>
    </row>
    <row r="248" spans="1:4">
      <c r="A248" t="s">
        <v>5228</v>
      </c>
      <c r="B248" t="s">
        <v>5306</v>
      </c>
      <c r="C248" t="s">
        <v>5307</v>
      </c>
    </row>
    <row r="249" spans="1:4">
      <c r="A249" t="s">
        <v>5308</v>
      </c>
      <c r="B249" t="s">
        <v>3202</v>
      </c>
      <c r="C249" t="s">
        <v>5124</v>
      </c>
    </row>
    <row r="250" spans="1:4">
      <c r="A250" t="s">
        <v>5308</v>
      </c>
      <c r="B250" t="s">
        <v>5309</v>
      </c>
      <c r="C250" t="s">
        <v>5137</v>
      </c>
    </row>
    <row r="251" spans="1:4">
      <c r="A251" t="s">
        <v>5308</v>
      </c>
      <c r="B251" t="s">
        <v>3203</v>
      </c>
      <c r="C251" t="s">
        <v>5124</v>
      </c>
    </row>
    <row r="252" spans="1:4">
      <c r="A252" t="s">
        <v>5308</v>
      </c>
      <c r="B252" t="s">
        <v>3204</v>
      </c>
      <c r="C252" t="s">
        <v>5124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7030A0"/>
  </sheetPr>
  <dimension ref="A1:Y829"/>
  <sheetViews>
    <sheetView topLeftCell="N4" workbookViewId="0">
      <selection activeCell="Q65" sqref="Q65"/>
    </sheetView>
  </sheetViews>
  <sheetFormatPr defaultRowHeight="15"/>
  <cols>
    <col min="1" max="1" width="17.85546875" bestFit="1" customWidth="1"/>
    <col min="2" max="2" width="13.7109375" customWidth="1"/>
    <col min="3" max="3" width="19.5703125" customWidth="1"/>
    <col min="4" max="4" width="9.5703125" customWidth="1"/>
    <col min="5" max="5" width="15.140625" customWidth="1"/>
    <col min="6" max="6" width="18.140625" customWidth="1"/>
    <col min="7" max="8" width="9.5703125" customWidth="1"/>
    <col min="9" max="9" width="11.7109375" customWidth="1"/>
    <col min="10" max="10" width="16.140625" customWidth="1"/>
    <col min="11" max="11" width="26.28515625" customWidth="1"/>
    <col min="12" max="12" width="37.140625" customWidth="1"/>
    <col min="13" max="13" width="23.42578125" customWidth="1"/>
    <col min="14" max="14" width="18.42578125" customWidth="1"/>
    <col min="15" max="15" width="6.7109375" customWidth="1"/>
    <col min="16" max="16" width="24" customWidth="1"/>
    <col min="17" max="17" width="12.140625" customWidth="1"/>
    <col min="18" max="18" width="11" customWidth="1"/>
    <col min="19" max="20" width="64.140625" customWidth="1"/>
    <col min="21" max="21" width="15" customWidth="1"/>
    <col min="22" max="22" width="35.5703125" customWidth="1"/>
    <col min="25" max="25" width="15.28515625" bestFit="1" customWidth="1"/>
  </cols>
  <sheetData>
    <row r="1" spans="1:25">
      <c r="A1" s="150" t="s">
        <v>54</v>
      </c>
      <c r="B1" s="151" t="s">
        <v>58</v>
      </c>
      <c r="C1" s="151" t="s">
        <v>117</v>
      </c>
      <c r="D1" s="151" t="s">
        <v>118</v>
      </c>
      <c r="E1" s="151" t="s">
        <v>119</v>
      </c>
      <c r="F1" s="151" t="s">
        <v>120</v>
      </c>
      <c r="G1" s="151" t="s">
        <v>57</v>
      </c>
      <c r="H1" s="151" t="s">
        <v>121</v>
      </c>
      <c r="I1" s="151" t="s">
        <v>122</v>
      </c>
      <c r="J1" s="152" t="s">
        <v>123</v>
      </c>
      <c r="K1" s="151" t="s">
        <v>868</v>
      </c>
      <c r="L1" s="151" t="s">
        <v>68</v>
      </c>
      <c r="M1" s="151" t="s">
        <v>867</v>
      </c>
      <c r="N1" s="151" t="s">
        <v>2134</v>
      </c>
      <c r="O1" s="151" t="s">
        <v>2135</v>
      </c>
      <c r="P1" s="151" t="s">
        <v>2136</v>
      </c>
      <c r="Q1" s="151" t="s">
        <v>2137</v>
      </c>
      <c r="R1" s="152" t="s">
        <v>2138</v>
      </c>
    </row>
    <row r="2" spans="1:25">
      <c r="A2" s="691" t="s">
        <v>113</v>
      </c>
      <c r="D2" s="153" t="s">
        <v>617</v>
      </c>
    </row>
    <row r="4" spans="1:25">
      <c r="A4" s="149" t="s">
        <v>54</v>
      </c>
      <c r="B4" s="149" t="s">
        <v>58</v>
      </c>
      <c r="C4" s="149" t="s">
        <v>117</v>
      </c>
      <c r="D4" s="149" t="s">
        <v>118</v>
      </c>
      <c r="E4" s="149" t="s">
        <v>119</v>
      </c>
      <c r="F4" s="149" t="s">
        <v>120</v>
      </c>
      <c r="G4" s="149" t="s">
        <v>57</v>
      </c>
      <c r="H4" s="149" t="s">
        <v>121</v>
      </c>
      <c r="I4" s="149" t="s">
        <v>122</v>
      </c>
      <c r="J4" s="149" t="s">
        <v>123</v>
      </c>
      <c r="K4" s="149" t="s">
        <v>868</v>
      </c>
      <c r="L4" s="149" t="s">
        <v>68</v>
      </c>
      <c r="M4" s="149" t="s">
        <v>867</v>
      </c>
      <c r="N4" s="149" t="s">
        <v>2134</v>
      </c>
      <c r="O4" s="149" t="s">
        <v>2135</v>
      </c>
      <c r="P4" s="149" t="s">
        <v>2136</v>
      </c>
      <c r="Q4" s="149" t="s">
        <v>2137</v>
      </c>
      <c r="R4" s="149" t="s">
        <v>2138</v>
      </c>
      <c r="S4" t="s">
        <v>3894</v>
      </c>
      <c r="T4" t="s">
        <v>2173</v>
      </c>
      <c r="U4" t="s">
        <v>862</v>
      </c>
      <c r="V4" s="150" t="s">
        <v>54</v>
      </c>
      <c r="W4" t="s">
        <v>3150</v>
      </c>
    </row>
    <row r="5" spans="1:25" ht="15.75">
      <c r="A5" s="149" t="s">
        <v>113</v>
      </c>
      <c r="B5" s="149" t="s">
        <v>128</v>
      </c>
      <c r="C5" s="149" t="s">
        <v>3653</v>
      </c>
      <c r="D5" s="149">
        <v>556620</v>
      </c>
      <c r="E5" s="281" t="s">
        <v>3723</v>
      </c>
      <c r="F5" s="281" t="s">
        <v>3855</v>
      </c>
      <c r="G5" s="149">
        <v>3</v>
      </c>
      <c r="H5" s="149">
        <v>300</v>
      </c>
      <c r="I5" s="149">
        <v>422</v>
      </c>
      <c r="J5" s="149">
        <v>836</v>
      </c>
      <c r="K5" s="149" t="str">
        <f>РеестрЛКЕОД[[#This Row],[Ділянка]] &amp;" "&amp;РеестрЛКЕОД[[#This Row],[Номер]]</f>
        <v>100 кв (2 вид) 1 діл. 556620</v>
      </c>
      <c r="L5" s="149" t="str">
        <f>РеестрЛКЕОД[[#This Row],[Лісництво]] &amp;" "&amp;РеестрЛКЕОД[[#This Row],[Номер]]</f>
        <v>Вільхівецьке 556620</v>
      </c>
      <c r="M5" s="149"/>
      <c r="N5" s="149"/>
      <c r="O5" s="149"/>
      <c r="P5" s="149"/>
      <c r="Q5" s="149"/>
      <c r="R5" s="149"/>
      <c r="S5" s="149"/>
      <c r="T5" s="149" t="str">
        <f t="shared" ref="T5:T68" si="0">L5:L212</f>
        <v>Вільхівецьке 556620</v>
      </c>
      <c r="V5" s="151"/>
      <c r="Y5" s="692" t="str">
        <f>IF(MAX(РеестрЛКЕОД[n])&lt;ROW(РеестрЛКЕОД[[#This Row],[n]]),"",VLOOKUP(ROW(РеестрЛКЕОД[[#This Row],[n]]),РеестрЛКЕОД[Столбец1],1))</f>
        <v/>
      </c>
    </row>
    <row r="6" spans="1:25" hidden="1">
      <c r="A6" s="149" t="s">
        <v>113</v>
      </c>
      <c r="B6" s="149" t="s">
        <v>128</v>
      </c>
      <c r="C6" s="149" t="s">
        <v>3657</v>
      </c>
      <c r="D6" s="149">
        <v>556620</v>
      </c>
      <c r="E6" s="281" t="s">
        <v>3723</v>
      </c>
      <c r="F6" s="281" t="s">
        <v>3855</v>
      </c>
      <c r="G6" s="149">
        <v>0.9</v>
      </c>
      <c r="H6" s="149">
        <v>80</v>
      </c>
      <c r="I6" s="149">
        <v>154</v>
      </c>
      <c r="J6" s="149">
        <v>270</v>
      </c>
      <c r="K6" s="149" t="str">
        <f>РеестрЛКЕОД[[#This Row],[Ділянка]] &amp;" "&amp;РеестрЛКЕОД[[#This Row],[Номер]]</f>
        <v>113 кв (11 вид) 0 діл. 556620</v>
      </c>
      <c r="L6" s="149" t="str">
        <f>РеестрЛКЕОД[[#This Row],[Лісництво]] &amp;" "&amp;РеестрЛКЕОД[[#This Row],[Номер]]</f>
        <v>Вільхівецьке 556620</v>
      </c>
      <c r="M6" s="149"/>
      <c r="N6" s="149"/>
      <c r="O6" s="149"/>
      <c r="P6" s="149"/>
      <c r="Q6" s="149"/>
      <c r="R6" s="149"/>
      <c r="S6" s="149" t="str">
        <f>IF(COUNTIF(L$5:L6,L6)=1,MAX(S$5:S6)+1,"")</f>
        <v/>
      </c>
      <c r="T6" s="149" t="str">
        <f t="shared" si="0"/>
        <v>Вільхівецьке 556620</v>
      </c>
      <c r="V6" s="151"/>
    </row>
    <row r="7" spans="1:25" hidden="1">
      <c r="A7" s="149" t="s">
        <v>113</v>
      </c>
      <c r="B7" s="149" t="s">
        <v>128</v>
      </c>
      <c r="C7" s="149" t="s">
        <v>3663</v>
      </c>
      <c r="D7" s="149">
        <v>556620</v>
      </c>
      <c r="E7" s="281" t="s">
        <v>3723</v>
      </c>
      <c r="F7" s="281" t="s">
        <v>3855</v>
      </c>
      <c r="G7" s="149">
        <v>0.3</v>
      </c>
      <c r="H7" s="149">
        <v>19</v>
      </c>
      <c r="I7" s="149">
        <v>63</v>
      </c>
      <c r="J7" s="149">
        <v>96</v>
      </c>
      <c r="K7" s="149" t="str">
        <f>РеестрЛКЕОД[[#This Row],[Ділянка]] &amp;" "&amp;РеестрЛКЕОД[[#This Row],[Номер]]</f>
        <v>115 кв (6 вид) 0 діл. 556620</v>
      </c>
      <c r="L7" s="149" t="str">
        <f>РеестрЛКЕОД[[#This Row],[Лісництво]] &amp;" "&amp;РеестрЛКЕОД[[#This Row],[Номер]]</f>
        <v>Вільхівецьке 556620</v>
      </c>
      <c r="M7" s="149"/>
      <c r="N7" s="149"/>
      <c r="O7" s="149"/>
      <c r="P7" s="149"/>
      <c r="Q7" s="149"/>
      <c r="R7" s="149"/>
      <c r="S7" s="149" t="str">
        <f>IF(COUNTIF(L$5:L7,L7)=1,MAX(S$5:S7)+1,"")</f>
        <v/>
      </c>
      <c r="T7" s="149" t="str">
        <f t="shared" si="0"/>
        <v>Вільхівецьке 556620</v>
      </c>
      <c r="V7" s="151"/>
    </row>
    <row r="8" spans="1:25" hidden="1">
      <c r="A8" s="149" t="s">
        <v>113</v>
      </c>
      <c r="B8" s="149" t="s">
        <v>128</v>
      </c>
      <c r="C8" s="149" t="s">
        <v>3659</v>
      </c>
      <c r="D8" s="149">
        <v>556620</v>
      </c>
      <c r="E8" s="281" t="s">
        <v>3723</v>
      </c>
      <c r="F8" s="281" t="s">
        <v>3855</v>
      </c>
      <c r="G8" s="149">
        <v>0.8</v>
      </c>
      <c r="H8" s="149">
        <v>1</v>
      </c>
      <c r="I8" s="149">
        <v>151</v>
      </c>
      <c r="J8" s="149">
        <v>183</v>
      </c>
      <c r="K8" s="149" t="str">
        <f>РеестрЛКЕОД[[#This Row],[Ділянка]] &amp;" "&amp;РеестрЛКЕОД[[#This Row],[Номер]]</f>
        <v>121 кв (4 вид) 0 діл. 556620</v>
      </c>
      <c r="L8" s="149" t="str">
        <f>РеестрЛКЕОД[[#This Row],[Лісництво]] &amp;" "&amp;РеестрЛКЕОД[[#This Row],[Номер]]</f>
        <v>Вільхівецьке 556620</v>
      </c>
      <c r="M8" s="149"/>
      <c r="N8" s="149"/>
      <c r="O8" s="149"/>
      <c r="P8" s="149"/>
      <c r="Q8" s="149"/>
      <c r="R8" s="149"/>
      <c r="S8" s="149" t="str">
        <f>IF(COUNTIF(L$5:L8,L8)=1,MAX(S$5:S8)+1,"")</f>
        <v/>
      </c>
      <c r="T8" s="149" t="str">
        <f t="shared" si="0"/>
        <v>Вільхівецьке 556620</v>
      </c>
      <c r="V8" s="151"/>
    </row>
    <row r="9" spans="1:25" hidden="1">
      <c r="A9" s="149" t="s">
        <v>113</v>
      </c>
      <c r="B9" s="149" t="s">
        <v>128</v>
      </c>
      <c r="C9" s="149" t="s">
        <v>174</v>
      </c>
      <c r="D9" s="149">
        <v>556620</v>
      </c>
      <c r="E9" s="281" t="s">
        <v>3723</v>
      </c>
      <c r="F9" s="281" t="s">
        <v>3855</v>
      </c>
      <c r="G9" s="149">
        <v>2.8</v>
      </c>
      <c r="H9" s="149"/>
      <c r="I9" s="149">
        <v>309</v>
      </c>
      <c r="J9" s="149">
        <v>370</v>
      </c>
      <c r="K9" s="149" t="str">
        <f>РеестрЛКЕОД[[#This Row],[Ділянка]] &amp;" "&amp;РеестрЛКЕОД[[#This Row],[Номер]]</f>
        <v>137 кв (14 вид) 1 діл. 556620</v>
      </c>
      <c r="L9" s="149" t="str">
        <f>РеестрЛКЕОД[[#This Row],[Лісництво]] &amp;" "&amp;РеестрЛКЕОД[[#This Row],[Номер]]</f>
        <v>Вільхівецьке 556620</v>
      </c>
      <c r="M9" s="149"/>
      <c r="N9" s="149"/>
      <c r="O9" s="149"/>
      <c r="P9" s="149"/>
      <c r="Q9" s="149"/>
      <c r="R9" s="149"/>
      <c r="S9" s="149" t="str">
        <f>IF(COUNTIF(L$5:L9,L9)=1,MAX(S$5:S9)+1,"")</f>
        <v/>
      </c>
      <c r="T9" s="149" t="str">
        <f t="shared" si="0"/>
        <v>Вільхівецьке 556620</v>
      </c>
      <c r="V9" s="151"/>
    </row>
    <row r="10" spans="1:25" hidden="1">
      <c r="A10" s="149" t="s">
        <v>113</v>
      </c>
      <c r="B10" s="149" t="s">
        <v>128</v>
      </c>
      <c r="C10" s="149" t="s">
        <v>3660</v>
      </c>
      <c r="D10" s="149">
        <v>556620</v>
      </c>
      <c r="E10" s="281" t="s">
        <v>3723</v>
      </c>
      <c r="F10" s="281" t="s">
        <v>3855</v>
      </c>
      <c r="G10" s="149">
        <v>2.8</v>
      </c>
      <c r="H10" s="149">
        <v>203</v>
      </c>
      <c r="I10" s="149">
        <v>526</v>
      </c>
      <c r="J10" s="149">
        <v>840</v>
      </c>
      <c r="K10" s="149" t="str">
        <f>РеестрЛКЕОД[[#This Row],[Ділянка]] &amp;" "&amp;РеестрЛКЕОД[[#This Row],[Номер]]</f>
        <v>20 кв (3 вид) 0 діл. 556620</v>
      </c>
      <c r="L10" s="149" t="str">
        <f>РеестрЛКЕОД[[#This Row],[Лісництво]] &amp;" "&amp;РеестрЛКЕОД[[#This Row],[Номер]]</f>
        <v>Вільхівецьке 556620</v>
      </c>
      <c r="M10" s="149"/>
      <c r="N10" s="149"/>
      <c r="O10" s="149"/>
      <c r="P10" s="149"/>
      <c r="Q10" s="149"/>
      <c r="R10" s="149"/>
      <c r="S10" s="149" t="str">
        <f>IF(COUNTIF(L$5:L10,L10)=1,MAX(S$5:S10)+1,"")</f>
        <v/>
      </c>
      <c r="T10" s="149" t="str">
        <f t="shared" si="0"/>
        <v>Вільхівецьке 556620</v>
      </c>
      <c r="V10" s="151"/>
    </row>
    <row r="11" spans="1:25" hidden="1">
      <c r="A11" s="149" t="s">
        <v>113</v>
      </c>
      <c r="B11" s="149" t="s">
        <v>128</v>
      </c>
      <c r="C11" s="149" t="s">
        <v>638</v>
      </c>
      <c r="D11" s="149">
        <v>556620</v>
      </c>
      <c r="E11" s="281" t="s">
        <v>3723</v>
      </c>
      <c r="F11" s="281" t="s">
        <v>3855</v>
      </c>
      <c r="G11" s="149">
        <v>1</v>
      </c>
      <c r="H11" s="149">
        <v>170</v>
      </c>
      <c r="I11" s="149">
        <v>209</v>
      </c>
      <c r="J11" s="149">
        <v>439</v>
      </c>
      <c r="K11" s="149" t="str">
        <f>РеестрЛКЕОД[[#This Row],[Ділянка]] &amp;" "&amp;РеестрЛКЕОД[[#This Row],[Номер]]</f>
        <v>21 кв (2 вид) 0 діл. 556620</v>
      </c>
      <c r="L11" s="149" t="str">
        <f>РеестрЛКЕОД[[#This Row],[Лісництво]] &amp;" "&amp;РеестрЛКЕОД[[#This Row],[Номер]]</f>
        <v>Вільхівецьке 556620</v>
      </c>
      <c r="M11" s="149"/>
      <c r="N11" s="149"/>
      <c r="O11" s="149"/>
      <c r="P11" s="149"/>
      <c r="Q11" s="149"/>
      <c r="R11" s="149"/>
      <c r="S11" s="149" t="str">
        <f>IF(COUNTIF(L$5:L11,L11)=1,MAX(S$5:S11)+1,"")</f>
        <v/>
      </c>
      <c r="T11" s="149" t="str">
        <f t="shared" si="0"/>
        <v>Вільхівецьке 556620</v>
      </c>
      <c r="V11" s="151"/>
    </row>
    <row r="12" spans="1:25" hidden="1">
      <c r="A12" s="149" t="s">
        <v>113</v>
      </c>
      <c r="B12" s="149" t="s">
        <v>128</v>
      </c>
      <c r="C12" s="149" t="s">
        <v>3661</v>
      </c>
      <c r="D12" s="149">
        <v>556620</v>
      </c>
      <c r="E12" s="281" t="s">
        <v>3723</v>
      </c>
      <c r="F12" s="281" t="s">
        <v>3855</v>
      </c>
      <c r="G12" s="149">
        <v>2.4</v>
      </c>
      <c r="H12" s="149">
        <v>119</v>
      </c>
      <c r="I12" s="149">
        <v>494</v>
      </c>
      <c r="J12" s="149">
        <v>706</v>
      </c>
      <c r="K12" s="149" t="str">
        <f>РеестрЛКЕОД[[#This Row],[Ділянка]] &amp;" "&amp;РеестрЛКЕОД[[#This Row],[Номер]]</f>
        <v>39 кв (5 вид) 0 діл. 556620</v>
      </c>
      <c r="L12" s="149" t="str">
        <f>РеестрЛКЕОД[[#This Row],[Лісництво]] &amp;" "&amp;РеестрЛКЕОД[[#This Row],[Номер]]</f>
        <v>Вільхівецьке 556620</v>
      </c>
      <c r="M12" s="149"/>
      <c r="N12" s="149"/>
      <c r="O12" s="149"/>
      <c r="P12" s="149"/>
      <c r="Q12" s="149"/>
      <c r="R12" s="149"/>
      <c r="S12" s="149" t="str">
        <f>IF(COUNTIF(L$5:L12,L12)=1,MAX(S$5:S12)+1,"")</f>
        <v/>
      </c>
      <c r="T12" s="149" t="str">
        <f t="shared" si="0"/>
        <v>Вільхівецьке 556620</v>
      </c>
      <c r="V12" s="151"/>
    </row>
    <row r="13" spans="1:25" hidden="1">
      <c r="A13" s="149" t="s">
        <v>113</v>
      </c>
      <c r="B13" s="149" t="s">
        <v>128</v>
      </c>
      <c r="C13" s="149" t="s">
        <v>379</v>
      </c>
      <c r="D13" s="149">
        <v>556620</v>
      </c>
      <c r="E13" s="281" t="s">
        <v>3723</v>
      </c>
      <c r="F13" s="281" t="s">
        <v>3855</v>
      </c>
      <c r="G13" s="149">
        <v>1.3</v>
      </c>
      <c r="H13" s="149">
        <v>50</v>
      </c>
      <c r="I13" s="149">
        <v>255</v>
      </c>
      <c r="J13" s="149">
        <v>352</v>
      </c>
      <c r="K13" s="149" t="str">
        <f>РеестрЛКЕОД[[#This Row],[Ділянка]] &amp;" "&amp;РеестрЛКЕОД[[#This Row],[Номер]]</f>
        <v>43 кв (6 вид) 0 діл. 556620</v>
      </c>
      <c r="L13" s="149" t="str">
        <f>РеестрЛКЕОД[[#This Row],[Лісництво]] &amp;" "&amp;РеестрЛКЕОД[[#This Row],[Номер]]</f>
        <v>Вільхівецьке 556620</v>
      </c>
      <c r="M13" s="149"/>
      <c r="N13" s="149"/>
      <c r="O13" s="149"/>
      <c r="P13" s="149"/>
      <c r="Q13" s="149"/>
      <c r="R13" s="149"/>
      <c r="S13" s="149" t="str">
        <f>IF(COUNTIF(L$5:L13,L13)=1,MAX(S$5:S13)+1,"")</f>
        <v/>
      </c>
      <c r="T13" s="149" t="str">
        <f t="shared" si="0"/>
        <v>Вільхівецьке 556620</v>
      </c>
      <c r="V13" s="151"/>
    </row>
    <row r="14" spans="1:25" hidden="1">
      <c r="A14" s="149" t="s">
        <v>113</v>
      </c>
      <c r="B14" s="149" t="s">
        <v>128</v>
      </c>
      <c r="C14" s="149" t="s">
        <v>3655</v>
      </c>
      <c r="D14" s="149">
        <v>556620</v>
      </c>
      <c r="E14" s="281" t="s">
        <v>3723</v>
      </c>
      <c r="F14" s="281" t="s">
        <v>3855</v>
      </c>
      <c r="G14" s="149">
        <v>1.8</v>
      </c>
      <c r="H14" s="149">
        <v>112</v>
      </c>
      <c r="I14" s="149">
        <v>314</v>
      </c>
      <c r="J14" s="149">
        <v>492</v>
      </c>
      <c r="K14" s="149" t="str">
        <f>РеестрЛКЕОД[[#This Row],[Ділянка]] &amp;" "&amp;РеестрЛКЕОД[[#This Row],[Номер]]</f>
        <v>50 кв (2 вид) 0 діл. 556620</v>
      </c>
      <c r="L14" s="149" t="str">
        <f>РеестрЛКЕОД[[#This Row],[Лісництво]] &amp;" "&amp;РеестрЛКЕОД[[#This Row],[Номер]]</f>
        <v>Вільхівецьке 556620</v>
      </c>
      <c r="M14" s="149"/>
      <c r="N14" s="149"/>
      <c r="O14" s="149"/>
      <c r="P14" s="149"/>
      <c r="Q14" s="149"/>
      <c r="R14" s="149"/>
      <c r="S14" s="149" t="str">
        <f>IF(COUNTIF(L$5:L14,L14)=1,MAX(S$5:S14)+1,"")</f>
        <v/>
      </c>
      <c r="T14" s="149" t="str">
        <f t="shared" si="0"/>
        <v>Вільхівецьке 556620</v>
      </c>
      <c r="V14" s="151"/>
    </row>
    <row r="15" spans="1:25" hidden="1">
      <c r="A15" s="149" t="s">
        <v>113</v>
      </c>
      <c r="B15" s="149" t="s">
        <v>128</v>
      </c>
      <c r="C15" s="149" t="s">
        <v>3654</v>
      </c>
      <c r="D15" s="149">
        <v>556620</v>
      </c>
      <c r="E15" s="281" t="s">
        <v>3723</v>
      </c>
      <c r="F15" s="281" t="s">
        <v>3855</v>
      </c>
      <c r="G15" s="149">
        <v>0.3</v>
      </c>
      <c r="H15" s="149">
        <v>36</v>
      </c>
      <c r="I15" s="149">
        <v>41</v>
      </c>
      <c r="J15" s="149">
        <v>89</v>
      </c>
      <c r="K15" s="149" t="str">
        <f>РеестрЛКЕОД[[#This Row],[Ділянка]] &amp;" "&amp;РеестрЛКЕОД[[#This Row],[Номер]]</f>
        <v>52 кв (7 вид) 0 діл. 556620</v>
      </c>
      <c r="L15" s="149" t="str">
        <f>РеестрЛКЕОД[[#This Row],[Лісництво]] &amp;" "&amp;РеестрЛКЕОД[[#This Row],[Номер]]</f>
        <v>Вільхівецьке 556620</v>
      </c>
      <c r="M15" s="149"/>
      <c r="N15" s="149"/>
      <c r="O15" s="149"/>
      <c r="P15" s="149"/>
      <c r="Q15" s="149"/>
      <c r="R15" s="149"/>
      <c r="S15" s="149" t="str">
        <f>IF(COUNTIF(L$5:L15,L15)=1,MAX(S$5:S15)+1,"")</f>
        <v/>
      </c>
      <c r="T15" s="149" t="str">
        <f t="shared" si="0"/>
        <v>Вільхівецьке 556620</v>
      </c>
      <c r="V15" s="151"/>
    </row>
    <row r="16" spans="1:25" hidden="1">
      <c r="A16" s="149" t="s">
        <v>113</v>
      </c>
      <c r="B16" s="149" t="s">
        <v>128</v>
      </c>
      <c r="C16" s="149" t="s">
        <v>678</v>
      </c>
      <c r="D16" s="149">
        <v>556620</v>
      </c>
      <c r="E16" s="281" t="s">
        <v>3723</v>
      </c>
      <c r="F16" s="281" t="s">
        <v>3855</v>
      </c>
      <c r="G16" s="149">
        <v>0.3</v>
      </c>
      <c r="H16" s="149">
        <v>24</v>
      </c>
      <c r="I16" s="149">
        <v>46</v>
      </c>
      <c r="J16" s="149">
        <v>81</v>
      </c>
      <c r="K16" s="149" t="str">
        <f>РеестрЛКЕОД[[#This Row],[Ділянка]] &amp;" "&amp;РеестрЛКЕОД[[#This Row],[Номер]]</f>
        <v>55 кв (7 вид) 0 діл. 556620</v>
      </c>
      <c r="L16" s="149" t="str">
        <f>РеестрЛКЕОД[[#This Row],[Лісництво]] &amp;" "&amp;РеестрЛКЕОД[[#This Row],[Номер]]</f>
        <v>Вільхівецьке 556620</v>
      </c>
      <c r="M16" s="149"/>
      <c r="N16" s="149"/>
      <c r="O16" s="149"/>
      <c r="P16" s="149"/>
      <c r="Q16" s="149"/>
      <c r="R16" s="149"/>
      <c r="S16" s="149" t="str">
        <f>IF(COUNTIF(L$5:L16,L16)=1,MAX(S$5:S16)+1,"")</f>
        <v/>
      </c>
      <c r="T16" s="149" t="str">
        <f t="shared" si="0"/>
        <v>Вільхівецьке 556620</v>
      </c>
      <c r="V16" s="151"/>
    </row>
    <row r="17" spans="1:22" hidden="1">
      <c r="A17" s="149" t="s">
        <v>113</v>
      </c>
      <c r="B17" s="149" t="s">
        <v>128</v>
      </c>
      <c r="C17" s="149" t="s">
        <v>3656</v>
      </c>
      <c r="D17" s="149">
        <v>556620</v>
      </c>
      <c r="E17" s="281" t="s">
        <v>3723</v>
      </c>
      <c r="F17" s="281" t="s">
        <v>3855</v>
      </c>
      <c r="G17" s="149">
        <v>0.8</v>
      </c>
      <c r="H17" s="149">
        <v>122</v>
      </c>
      <c r="I17" s="149">
        <v>149</v>
      </c>
      <c r="J17" s="149">
        <v>313</v>
      </c>
      <c r="K17" s="149" t="str">
        <f>РеестрЛКЕОД[[#This Row],[Ділянка]] &amp;" "&amp;РеестрЛКЕОД[[#This Row],[Номер]]</f>
        <v>56 кв (13 вид) 0 діл. 556620</v>
      </c>
      <c r="L17" s="149" t="str">
        <f>РеестрЛКЕОД[[#This Row],[Лісництво]] &amp;" "&amp;РеестрЛКЕОД[[#This Row],[Номер]]</f>
        <v>Вільхівецьке 556620</v>
      </c>
      <c r="M17" s="149"/>
      <c r="N17" s="149"/>
      <c r="O17" s="149"/>
      <c r="P17" s="149"/>
      <c r="Q17" s="149"/>
      <c r="R17" s="149"/>
      <c r="S17" s="149" t="str">
        <f>IF(COUNTIF(L$5:L17,L17)=1,MAX(S$5:S17)+1,"")</f>
        <v/>
      </c>
      <c r="T17" s="149" t="str">
        <f t="shared" si="0"/>
        <v>Вільхівецьке 556620</v>
      </c>
      <c r="V17" s="151"/>
    </row>
    <row r="18" spans="1:22" hidden="1">
      <c r="A18" s="149" t="s">
        <v>113</v>
      </c>
      <c r="B18" s="149" t="s">
        <v>128</v>
      </c>
      <c r="C18" s="149" t="s">
        <v>3662</v>
      </c>
      <c r="D18" s="149">
        <v>556620</v>
      </c>
      <c r="E18" s="281" t="s">
        <v>3723</v>
      </c>
      <c r="F18" s="281" t="s">
        <v>3855</v>
      </c>
      <c r="G18" s="149">
        <v>1.8</v>
      </c>
      <c r="H18" s="149">
        <v>161</v>
      </c>
      <c r="I18" s="149">
        <v>353</v>
      </c>
      <c r="J18" s="149">
        <v>592</v>
      </c>
      <c r="K18" s="149" t="str">
        <f>РеестрЛКЕОД[[#This Row],[Ділянка]] &amp;" "&amp;РеестрЛКЕОД[[#This Row],[Номер]]</f>
        <v>59 кв (5 вид) 1 діл. 556620</v>
      </c>
      <c r="L18" s="149" t="str">
        <f>РеестрЛКЕОД[[#This Row],[Лісництво]] &amp;" "&amp;РеестрЛКЕОД[[#This Row],[Номер]]</f>
        <v>Вільхівецьке 556620</v>
      </c>
      <c r="M18" s="149"/>
      <c r="N18" s="149"/>
      <c r="O18" s="149"/>
      <c r="P18" s="149"/>
      <c r="Q18" s="149"/>
      <c r="R18" s="149"/>
      <c r="S18" s="149" t="str">
        <f>IF(COUNTIF(L$5:L18,L18)=1,MAX(S$5:S18)+1,"")</f>
        <v/>
      </c>
      <c r="T18" s="149" t="str">
        <f t="shared" si="0"/>
        <v>Вільхівецьке 556620</v>
      </c>
      <c r="V18" s="151"/>
    </row>
    <row r="19" spans="1:22" hidden="1">
      <c r="A19" s="149" t="s">
        <v>113</v>
      </c>
      <c r="B19" s="149" t="s">
        <v>128</v>
      </c>
      <c r="C19" s="149" t="s">
        <v>3658</v>
      </c>
      <c r="D19" s="149">
        <v>556620</v>
      </c>
      <c r="E19" s="281" t="s">
        <v>3723</v>
      </c>
      <c r="F19" s="281" t="s">
        <v>3855</v>
      </c>
      <c r="G19" s="149">
        <v>2.2999999999999998</v>
      </c>
      <c r="H19" s="149">
        <v>444</v>
      </c>
      <c r="I19" s="149">
        <v>297</v>
      </c>
      <c r="J19" s="149">
        <v>858</v>
      </c>
      <c r="K19" s="149" t="str">
        <f>РеестрЛКЕОД[[#This Row],[Ділянка]] &amp;" "&amp;РеестрЛКЕОД[[#This Row],[Номер]]</f>
        <v>69 кв (2 вид) 2 діл. 556620</v>
      </c>
      <c r="L19" s="149" t="str">
        <f>РеестрЛКЕОД[[#This Row],[Лісництво]] &amp;" "&amp;РеестрЛКЕОД[[#This Row],[Номер]]</f>
        <v>Вільхівецьке 556620</v>
      </c>
      <c r="M19" s="149"/>
      <c r="N19" s="149"/>
      <c r="O19" s="149"/>
      <c r="P19" s="149"/>
      <c r="Q19" s="149"/>
      <c r="R19" s="149"/>
      <c r="S19" s="149" t="str">
        <f>IF(COUNTIF(L$5:L19,L19)=1,MAX(S$5:S19)+1,"")</f>
        <v/>
      </c>
      <c r="T19" s="149" t="str">
        <f t="shared" si="0"/>
        <v>Вільхівецьке 556620</v>
      </c>
      <c r="V19" s="151"/>
    </row>
    <row r="20" spans="1:22" hidden="1">
      <c r="A20" s="149" t="s">
        <v>113</v>
      </c>
      <c r="B20" s="149" t="s">
        <v>128</v>
      </c>
      <c r="C20" s="149" t="s">
        <v>247</v>
      </c>
      <c r="D20" s="149">
        <v>556620</v>
      </c>
      <c r="E20" s="281" t="s">
        <v>3723</v>
      </c>
      <c r="F20" s="281" t="s">
        <v>3855</v>
      </c>
      <c r="G20" s="149">
        <v>2.6</v>
      </c>
      <c r="H20" s="149">
        <v>156</v>
      </c>
      <c r="I20" s="149">
        <v>464</v>
      </c>
      <c r="J20" s="149">
        <v>709</v>
      </c>
      <c r="K20" s="149" t="str">
        <f>РеестрЛКЕОД[[#This Row],[Ділянка]] &amp;" "&amp;РеестрЛКЕОД[[#This Row],[Номер]]</f>
        <v>90 кв (6 вид) 1 діл. 556620</v>
      </c>
      <c r="L20" s="149" t="str">
        <f>РеестрЛКЕОД[[#This Row],[Лісництво]] &amp;" "&amp;РеестрЛКЕОД[[#This Row],[Номер]]</f>
        <v>Вільхівецьке 556620</v>
      </c>
      <c r="M20" s="149"/>
      <c r="N20" s="149"/>
      <c r="O20" s="149"/>
      <c r="P20" s="149"/>
      <c r="Q20" s="149"/>
      <c r="R20" s="149"/>
      <c r="S20" s="149" t="str">
        <f>IF(COUNTIF(L$5:L20,L20)=1,MAX(S$5:S20)+1,"")</f>
        <v/>
      </c>
      <c r="T20" s="149" t="str">
        <f t="shared" si="0"/>
        <v>Вільхівецьке 556620</v>
      </c>
      <c r="V20" s="151"/>
    </row>
    <row r="21" spans="1:22">
      <c r="A21" s="149" t="s">
        <v>113</v>
      </c>
      <c r="B21" s="149" t="s">
        <v>134</v>
      </c>
      <c r="C21" s="149" t="s">
        <v>3801</v>
      </c>
      <c r="D21" s="149">
        <v>556639</v>
      </c>
      <c r="E21" s="281" t="s">
        <v>3856</v>
      </c>
      <c r="F21" s="281" t="s">
        <v>3855</v>
      </c>
      <c r="G21" s="149">
        <v>2.9</v>
      </c>
      <c r="H21" s="149"/>
      <c r="I21" s="149"/>
      <c r="J21" s="149">
        <v>33</v>
      </c>
      <c r="K21" s="149" t="str">
        <f>РеестрЛКЕОД[[#This Row],[Ділянка]] &amp;" "&amp;РеестрЛКЕОД[[#This Row],[Номер]]</f>
        <v>105 кв (6 вид) 0 діл. 556639</v>
      </c>
      <c r="L21" s="149" t="str">
        <f>РеестрЛКЕОД[[#This Row],[Лісництво]] &amp;" "&amp;РеестрЛКЕОД[[#This Row],[Номер]]</f>
        <v>Вільхівецьке 556639</v>
      </c>
      <c r="M21" s="149"/>
      <c r="N21" s="149"/>
      <c r="O21" s="149"/>
      <c r="P21" s="149"/>
      <c r="Q21" s="149"/>
      <c r="R21" s="149"/>
      <c r="S21" s="149"/>
      <c r="T21" s="149" t="str">
        <f t="shared" si="0"/>
        <v>Вільхівецьке 556639</v>
      </c>
      <c r="V21" s="152"/>
    </row>
    <row r="22" spans="1:22" hidden="1">
      <c r="A22" s="149" t="s">
        <v>113</v>
      </c>
      <c r="B22" s="149" t="s">
        <v>134</v>
      </c>
      <c r="C22" s="149" t="s">
        <v>3803</v>
      </c>
      <c r="D22" s="149">
        <v>556639</v>
      </c>
      <c r="E22" s="281" t="s">
        <v>3856</v>
      </c>
      <c r="F22" s="281" t="s">
        <v>3855</v>
      </c>
      <c r="G22" s="149">
        <v>3.7</v>
      </c>
      <c r="H22" s="149"/>
      <c r="I22" s="149"/>
      <c r="J22" s="149">
        <v>19</v>
      </c>
      <c r="K22" s="149" t="str">
        <f>РеестрЛКЕОД[[#This Row],[Ділянка]] &amp;" "&amp;РеестрЛКЕОД[[#This Row],[Номер]]</f>
        <v>108 кв (2 вид) 1 діл. 556639</v>
      </c>
      <c r="L22" s="149" t="str">
        <f>РеестрЛКЕОД[[#This Row],[Лісництво]] &amp;" "&amp;РеестрЛКЕОД[[#This Row],[Номер]]</f>
        <v>Вільхівецьке 556639</v>
      </c>
      <c r="M22" s="149"/>
      <c r="N22" s="149"/>
      <c r="O22" s="149"/>
      <c r="P22" s="149"/>
      <c r="Q22" s="149"/>
      <c r="R22" s="149"/>
      <c r="S22" s="149" t="str">
        <f>IF(COUNTIF(L$5:L22,L22)=1,MAX(S$5:S22)+1,"")</f>
        <v/>
      </c>
      <c r="T22" s="149" t="str">
        <f t="shared" si="0"/>
        <v>Вільхівецьке 556639</v>
      </c>
    </row>
    <row r="23" spans="1:22" hidden="1">
      <c r="A23" s="149" t="s">
        <v>113</v>
      </c>
      <c r="B23" s="149" t="s">
        <v>134</v>
      </c>
      <c r="C23" s="149" t="s">
        <v>3804</v>
      </c>
      <c r="D23" s="149">
        <v>556639</v>
      </c>
      <c r="E23" s="281" t="s">
        <v>3856</v>
      </c>
      <c r="F23" s="281" t="s">
        <v>3855</v>
      </c>
      <c r="G23" s="149">
        <v>4</v>
      </c>
      <c r="H23" s="149"/>
      <c r="I23" s="149"/>
      <c r="J23" s="149">
        <v>52</v>
      </c>
      <c r="K23" s="149" t="str">
        <f>РеестрЛКЕОД[[#This Row],[Ділянка]] &amp;" "&amp;РеестрЛКЕОД[[#This Row],[Номер]]</f>
        <v>110 кв (4 вид) 2 діл. 556639</v>
      </c>
      <c r="L23" s="149" t="str">
        <f>РеестрЛКЕОД[[#This Row],[Лісництво]] &amp;" "&amp;РеестрЛКЕОД[[#This Row],[Номер]]</f>
        <v>Вільхівецьке 556639</v>
      </c>
      <c r="M23" s="149"/>
      <c r="N23" s="149"/>
      <c r="O23" s="149"/>
      <c r="P23" s="149"/>
      <c r="Q23" s="149"/>
      <c r="R23" s="149"/>
      <c r="S23" s="149" t="str">
        <f>IF(COUNTIF(L$5:L23,L23)=1,MAX(S$5:S23)+1,"")</f>
        <v/>
      </c>
      <c r="T23" s="149" t="str">
        <f t="shared" si="0"/>
        <v>Вільхівецьке 556639</v>
      </c>
    </row>
    <row r="24" spans="1:22" hidden="1">
      <c r="A24" s="149" t="s">
        <v>113</v>
      </c>
      <c r="B24" s="149" t="s">
        <v>134</v>
      </c>
      <c r="C24" s="149" t="s">
        <v>3808</v>
      </c>
      <c r="D24" s="149">
        <v>556639</v>
      </c>
      <c r="E24" s="281" t="s">
        <v>3856</v>
      </c>
      <c r="F24" s="281" t="s">
        <v>3855</v>
      </c>
      <c r="G24" s="149">
        <v>2</v>
      </c>
      <c r="H24" s="149"/>
      <c r="I24" s="149"/>
      <c r="J24" s="149">
        <v>5</v>
      </c>
      <c r="K24" s="149" t="str">
        <f>РеестрЛКЕОД[[#This Row],[Ділянка]] &amp;" "&amp;РеестрЛКЕОД[[#This Row],[Номер]]</f>
        <v>128 кв (7 вид) 0 діл. 556639</v>
      </c>
      <c r="L24" s="149" t="str">
        <f>РеестрЛКЕОД[[#This Row],[Лісництво]] &amp;" "&amp;РеестрЛКЕОД[[#This Row],[Номер]]</f>
        <v>Вільхівецьке 556639</v>
      </c>
      <c r="M24" s="149"/>
      <c r="N24" s="149"/>
      <c r="O24" s="149"/>
      <c r="P24" s="149"/>
      <c r="Q24" s="149"/>
      <c r="R24" s="149"/>
      <c r="S24" s="149" t="str">
        <f>IF(COUNTIF(L$5:L24,L24)=1,MAX(S$5:S24)+1,"")</f>
        <v/>
      </c>
      <c r="T24" s="149" t="str">
        <f t="shared" si="0"/>
        <v>Вільхівецьке 556639</v>
      </c>
    </row>
    <row r="25" spans="1:22" hidden="1">
      <c r="A25" s="149" t="s">
        <v>113</v>
      </c>
      <c r="B25" s="149" t="s">
        <v>134</v>
      </c>
      <c r="C25" s="149" t="s">
        <v>3716</v>
      </c>
      <c r="D25" s="149">
        <v>556639</v>
      </c>
      <c r="E25" s="281" t="s">
        <v>3856</v>
      </c>
      <c r="F25" s="281" t="s">
        <v>3855</v>
      </c>
      <c r="G25" s="149">
        <v>1.2</v>
      </c>
      <c r="H25" s="149"/>
      <c r="I25" s="149"/>
      <c r="J25" s="149">
        <v>12</v>
      </c>
      <c r="K25" s="149" t="str">
        <f>РеестрЛКЕОД[[#This Row],[Ділянка]] &amp;" "&amp;РеестрЛКЕОД[[#This Row],[Номер]]</f>
        <v>19 кв (7 вид) 0 діл. 556639</v>
      </c>
      <c r="L25" s="149" t="str">
        <f>РеестрЛКЕОД[[#This Row],[Лісництво]] &amp;" "&amp;РеестрЛКЕОД[[#This Row],[Номер]]</f>
        <v>Вільхівецьке 556639</v>
      </c>
      <c r="M25" s="149"/>
      <c r="N25" s="149"/>
      <c r="O25" s="149"/>
      <c r="P25" s="149"/>
      <c r="Q25" s="149"/>
      <c r="R25" s="149"/>
      <c r="S25" s="149" t="str">
        <f>IF(COUNTIF(L$5:L25,L25)=1,MAX(S$5:S25)+1,"")</f>
        <v/>
      </c>
      <c r="T25" s="149" t="str">
        <f t="shared" si="0"/>
        <v>Вільхівецьке 556639</v>
      </c>
    </row>
    <row r="26" spans="1:22" hidden="1">
      <c r="A26" s="149" t="s">
        <v>113</v>
      </c>
      <c r="B26" s="149" t="s">
        <v>134</v>
      </c>
      <c r="C26" s="149" t="s">
        <v>680</v>
      </c>
      <c r="D26" s="149">
        <v>556639</v>
      </c>
      <c r="E26" s="281" t="s">
        <v>3856</v>
      </c>
      <c r="F26" s="281" t="s">
        <v>3855</v>
      </c>
      <c r="G26" s="149">
        <v>1.6</v>
      </c>
      <c r="H26" s="149"/>
      <c r="I26" s="149"/>
      <c r="J26" s="149">
        <v>36</v>
      </c>
      <c r="K26" s="149" t="str">
        <f>РеестрЛКЕОД[[#This Row],[Ділянка]] &amp;" "&amp;РеестрЛКЕОД[[#This Row],[Номер]]</f>
        <v>58 кв (1 вид) 0 діл. 556639</v>
      </c>
      <c r="L26" s="149" t="str">
        <f>РеестрЛКЕОД[[#This Row],[Лісництво]] &amp;" "&amp;РеестрЛКЕОД[[#This Row],[Номер]]</f>
        <v>Вільхівецьке 556639</v>
      </c>
      <c r="M26" s="149"/>
      <c r="N26" s="149"/>
      <c r="O26" s="149"/>
      <c r="P26" s="149"/>
      <c r="Q26" s="149"/>
      <c r="R26" s="149"/>
      <c r="S26" s="149" t="str">
        <f>IF(COUNTIF(L$5:L26,L26)=1,MAX(S$5:S26)+1,"")</f>
        <v/>
      </c>
      <c r="T26" s="149" t="str">
        <f t="shared" si="0"/>
        <v>Вільхівецьке 556639</v>
      </c>
    </row>
    <row r="27" spans="1:22" hidden="1">
      <c r="A27" s="149" t="s">
        <v>113</v>
      </c>
      <c r="B27" s="149" t="s">
        <v>134</v>
      </c>
      <c r="C27" s="149" t="s">
        <v>3826</v>
      </c>
      <c r="D27" s="149">
        <v>556639</v>
      </c>
      <c r="E27" s="281" t="s">
        <v>3856</v>
      </c>
      <c r="F27" s="281" t="s">
        <v>3855</v>
      </c>
      <c r="G27" s="149">
        <v>4.2</v>
      </c>
      <c r="H27" s="149"/>
      <c r="I27" s="149"/>
      <c r="J27" s="149">
        <v>40</v>
      </c>
      <c r="K27" s="149" t="str">
        <f>РеестрЛКЕОД[[#This Row],[Ділянка]] &amp;" "&amp;РеестрЛКЕОД[[#This Row],[Номер]]</f>
        <v>81 кв (5 вид) 0 діл. 556639</v>
      </c>
      <c r="L27" s="149" t="str">
        <f>РеестрЛКЕОД[[#This Row],[Лісництво]] &amp;" "&amp;РеестрЛКЕОД[[#This Row],[Номер]]</f>
        <v>Вільхівецьке 556639</v>
      </c>
      <c r="M27" s="149"/>
      <c r="N27" s="149"/>
      <c r="O27" s="149"/>
      <c r="P27" s="149"/>
      <c r="Q27" s="149"/>
      <c r="R27" s="149"/>
      <c r="S27" s="149" t="str">
        <f>IF(COUNTIF(L$5:L27,L27)=1,MAX(S$5:S27)+1,"")</f>
        <v/>
      </c>
      <c r="T27" s="149" t="str">
        <f t="shared" si="0"/>
        <v>Вільхівецьке 556639</v>
      </c>
    </row>
    <row r="28" spans="1:22" hidden="1">
      <c r="A28" s="149" t="s">
        <v>113</v>
      </c>
      <c r="B28" s="149" t="s">
        <v>134</v>
      </c>
      <c r="C28" s="149" t="s">
        <v>721</v>
      </c>
      <c r="D28" s="149">
        <v>556639</v>
      </c>
      <c r="E28" s="281" t="s">
        <v>3856</v>
      </c>
      <c r="F28" s="281" t="s">
        <v>3855</v>
      </c>
      <c r="G28" s="149">
        <v>3.5</v>
      </c>
      <c r="H28" s="149"/>
      <c r="I28" s="149"/>
      <c r="J28" s="149">
        <v>14</v>
      </c>
      <c r="K28" s="149" t="str">
        <f>РеестрЛКЕОД[[#This Row],[Ділянка]] &amp;" "&amp;РеестрЛКЕОД[[#This Row],[Номер]]</f>
        <v>90 кв (5 вид) 0 діл. 556639</v>
      </c>
      <c r="L28" s="149" t="str">
        <f>РеестрЛКЕОД[[#This Row],[Лісництво]] &amp;" "&amp;РеестрЛКЕОД[[#This Row],[Номер]]</f>
        <v>Вільхівецьке 556639</v>
      </c>
      <c r="M28" s="149"/>
      <c r="N28" s="149"/>
      <c r="O28" s="149"/>
      <c r="P28" s="149"/>
      <c r="Q28" s="149"/>
      <c r="R28" s="149"/>
      <c r="S28" s="149" t="str">
        <f>IF(COUNTIF(L$5:L28,L28)=1,MAX(S$5:S28)+1,"")</f>
        <v/>
      </c>
      <c r="T28" s="149" t="str">
        <f t="shared" si="0"/>
        <v>Вільхівецьке 556639</v>
      </c>
    </row>
    <row r="29" spans="1:22">
      <c r="A29" s="149" t="s">
        <v>113</v>
      </c>
      <c r="B29" s="149" t="s">
        <v>124</v>
      </c>
      <c r="C29" s="149" t="s">
        <v>3810</v>
      </c>
      <c r="D29" s="149">
        <v>556640</v>
      </c>
      <c r="E29" s="281" t="s">
        <v>3856</v>
      </c>
      <c r="F29" s="281" t="s">
        <v>3855</v>
      </c>
      <c r="G29" s="149">
        <v>7.2</v>
      </c>
      <c r="H29" s="149"/>
      <c r="I29" s="149">
        <v>81</v>
      </c>
      <c r="J29" s="149">
        <v>95</v>
      </c>
      <c r="K29" s="149" t="str">
        <f>РеестрЛКЕОД[[#This Row],[Ділянка]] &amp;" "&amp;РеестрЛКЕОД[[#This Row],[Номер]]</f>
        <v>133 кв (10 вид) 0 діл. 556640</v>
      </c>
      <c r="L29" s="149" t="str">
        <f>РеестрЛКЕОД[[#This Row],[Лісництво]] &amp;" "&amp;РеестрЛКЕОД[[#This Row],[Номер]]</f>
        <v>Вільхівецьке 556640</v>
      </c>
      <c r="M29" s="149"/>
      <c r="N29" s="149"/>
      <c r="O29" s="149"/>
      <c r="P29" s="149"/>
      <c r="Q29" s="149"/>
      <c r="R29" s="149"/>
      <c r="S29" s="149"/>
      <c r="T29" s="149" t="str">
        <f t="shared" si="0"/>
        <v>Вільхівецьке 556640</v>
      </c>
    </row>
    <row r="30" spans="1:22" hidden="1">
      <c r="A30" s="149" t="s">
        <v>113</v>
      </c>
      <c r="B30" s="149" t="s">
        <v>124</v>
      </c>
      <c r="C30" s="149" t="s">
        <v>3811</v>
      </c>
      <c r="D30" s="149">
        <v>556640</v>
      </c>
      <c r="E30" s="281" t="s">
        <v>3856</v>
      </c>
      <c r="F30" s="281" t="s">
        <v>3855</v>
      </c>
      <c r="G30" s="149">
        <v>3</v>
      </c>
      <c r="H30" s="149"/>
      <c r="I30" s="149">
        <v>19</v>
      </c>
      <c r="J30" s="149">
        <v>19</v>
      </c>
      <c r="K30" s="149" t="str">
        <f>РеестрЛКЕОД[[#This Row],[Ділянка]] &amp;" "&amp;РеестрЛКЕОД[[#This Row],[Номер]]</f>
        <v>134 кв (6 вид) 0 діл. 556640</v>
      </c>
      <c r="L30" s="149" t="str">
        <f>РеестрЛКЕОД[[#This Row],[Лісництво]] &amp;" "&amp;РеестрЛКЕОД[[#This Row],[Номер]]</f>
        <v>Вільхівецьке 556640</v>
      </c>
      <c r="M30" s="149"/>
      <c r="N30" s="149"/>
      <c r="O30" s="149"/>
      <c r="P30" s="149"/>
      <c r="Q30" s="149"/>
      <c r="R30" s="149"/>
      <c r="S30" s="149" t="str">
        <f>IF(COUNTIF(L$5:L30,L30)=1,MAX(S$5:S30)+1,"")</f>
        <v/>
      </c>
      <c r="T30" s="149" t="str">
        <f t="shared" si="0"/>
        <v>Вільхівецьке 556640</v>
      </c>
    </row>
    <row r="31" spans="1:22" hidden="1">
      <c r="A31" s="149" t="s">
        <v>113</v>
      </c>
      <c r="B31" s="149" t="s">
        <v>124</v>
      </c>
      <c r="C31" s="149" t="s">
        <v>3814</v>
      </c>
      <c r="D31" s="149">
        <v>556640</v>
      </c>
      <c r="E31" s="281" t="s">
        <v>3856</v>
      </c>
      <c r="F31" s="281" t="s">
        <v>3855</v>
      </c>
      <c r="G31" s="149">
        <v>6.2</v>
      </c>
      <c r="H31" s="149"/>
      <c r="I31" s="149">
        <v>43</v>
      </c>
      <c r="J31" s="149">
        <v>44</v>
      </c>
      <c r="K31" s="149" t="str">
        <f>РеестрЛКЕОД[[#This Row],[Ділянка]] &amp;" "&amp;РеестрЛКЕОД[[#This Row],[Номер]]</f>
        <v>28 кв (3 вид) 0 діл. 556640</v>
      </c>
      <c r="L31" s="149" t="str">
        <f>РеестрЛКЕОД[[#This Row],[Лісництво]] &amp;" "&amp;РеестрЛКЕОД[[#This Row],[Номер]]</f>
        <v>Вільхівецьке 556640</v>
      </c>
      <c r="M31" s="149"/>
      <c r="N31" s="149"/>
      <c r="O31" s="149"/>
      <c r="P31" s="149"/>
      <c r="Q31" s="149"/>
      <c r="R31" s="149"/>
      <c r="S31" s="149" t="str">
        <f>IF(COUNTIF(L$5:L31,L31)=1,MAX(S$5:S31)+1,"")</f>
        <v/>
      </c>
      <c r="T31" s="149" t="str">
        <f t="shared" si="0"/>
        <v>Вільхівецьке 556640</v>
      </c>
    </row>
    <row r="32" spans="1:22" hidden="1">
      <c r="A32" s="149" t="s">
        <v>113</v>
      </c>
      <c r="B32" s="149" t="s">
        <v>124</v>
      </c>
      <c r="C32" s="149" t="s">
        <v>3828</v>
      </c>
      <c r="D32" s="149">
        <v>556640</v>
      </c>
      <c r="E32" s="281" t="s">
        <v>3856</v>
      </c>
      <c r="F32" s="281" t="s">
        <v>3855</v>
      </c>
      <c r="G32" s="149">
        <v>3.6</v>
      </c>
      <c r="H32" s="149"/>
      <c r="I32" s="149">
        <v>23</v>
      </c>
      <c r="J32" s="149">
        <v>23</v>
      </c>
      <c r="K32" s="149" t="str">
        <f>РеестрЛКЕОД[[#This Row],[Ділянка]] &amp;" "&amp;РеестрЛКЕОД[[#This Row],[Номер]]</f>
        <v>98 кв (8 вид) 1 діл. 556640</v>
      </c>
      <c r="L32" s="149" t="str">
        <f>РеестрЛКЕОД[[#This Row],[Лісництво]] &amp;" "&amp;РеестрЛКЕОД[[#This Row],[Номер]]</f>
        <v>Вільхівецьке 556640</v>
      </c>
      <c r="M32" s="149"/>
      <c r="N32" s="149"/>
      <c r="O32" s="149"/>
      <c r="P32" s="149"/>
      <c r="Q32" s="149"/>
      <c r="R32" s="149"/>
      <c r="S32" s="149" t="str">
        <f>IF(COUNTIF(L$5:L32,L32)=1,MAX(S$5:S32)+1,"")</f>
        <v/>
      </c>
      <c r="T32" s="149" t="str">
        <f t="shared" si="0"/>
        <v>Вільхівецьке 556640</v>
      </c>
    </row>
    <row r="33" spans="1:20">
      <c r="A33" s="149" t="s">
        <v>113</v>
      </c>
      <c r="B33" s="149" t="s">
        <v>140</v>
      </c>
      <c r="C33" s="149" t="s">
        <v>3805</v>
      </c>
      <c r="D33" s="149">
        <v>556641</v>
      </c>
      <c r="E33" s="281" t="s">
        <v>3856</v>
      </c>
      <c r="F33" s="281" t="s">
        <v>3855</v>
      </c>
      <c r="G33" s="149">
        <v>8.3000000000000007</v>
      </c>
      <c r="H33" s="149">
        <v>26</v>
      </c>
      <c r="I33" s="149">
        <v>209</v>
      </c>
      <c r="J33" s="149">
        <v>275</v>
      </c>
      <c r="K33" s="149" t="str">
        <f>РеестрЛКЕОД[[#This Row],[Ділянка]] &amp;" "&amp;РеестрЛКЕОД[[#This Row],[Номер]]</f>
        <v>112 кв (5 вид) 0 діл. 556641</v>
      </c>
      <c r="L33" s="149" t="str">
        <f>РеестрЛКЕОД[[#This Row],[Лісництво]] &amp;" "&amp;РеестрЛКЕОД[[#This Row],[Номер]]</f>
        <v>Вільхівецьке 556641</v>
      </c>
      <c r="M33" s="149"/>
      <c r="N33" s="149"/>
      <c r="O33" s="149"/>
      <c r="P33" s="149"/>
      <c r="Q33" s="149"/>
      <c r="R33" s="149"/>
      <c r="S33" s="149"/>
      <c r="T33" s="149" t="str">
        <f t="shared" si="0"/>
        <v>Вільхівецьке 556641</v>
      </c>
    </row>
    <row r="34" spans="1:20" hidden="1">
      <c r="A34" s="149" t="s">
        <v>113</v>
      </c>
      <c r="B34" s="149" t="s">
        <v>140</v>
      </c>
      <c r="C34" s="149" t="s">
        <v>3807</v>
      </c>
      <c r="D34" s="149">
        <v>556641</v>
      </c>
      <c r="E34" s="281" t="s">
        <v>3856</v>
      </c>
      <c r="F34" s="281" t="s">
        <v>3855</v>
      </c>
      <c r="G34" s="149">
        <v>0.3</v>
      </c>
      <c r="H34" s="149"/>
      <c r="I34" s="149">
        <v>5</v>
      </c>
      <c r="J34" s="149">
        <v>6</v>
      </c>
      <c r="K34" s="149" t="str">
        <f>РеестрЛКЕОД[[#This Row],[Ділянка]] &amp;" "&amp;РеестрЛКЕОД[[#This Row],[Номер]]</f>
        <v>12 кв (5 вид) 0 діл. 556641</v>
      </c>
      <c r="L34" s="149" t="str">
        <f>РеестрЛКЕОД[[#This Row],[Лісництво]] &amp;" "&amp;РеестрЛКЕОД[[#This Row],[Номер]]</f>
        <v>Вільхівецьке 556641</v>
      </c>
      <c r="M34" s="149"/>
      <c r="N34" s="149"/>
      <c r="O34" s="149"/>
      <c r="P34" s="149"/>
      <c r="Q34" s="149"/>
      <c r="R34" s="149"/>
      <c r="S34" s="149" t="str">
        <f>IF(COUNTIF(L$5:L34,L34)=1,MAX(S$5:S34)+1,"")</f>
        <v/>
      </c>
      <c r="T34" s="149" t="str">
        <f t="shared" si="0"/>
        <v>Вільхівецьке 556641</v>
      </c>
    </row>
    <row r="35" spans="1:20" hidden="1">
      <c r="A35" s="149" t="s">
        <v>113</v>
      </c>
      <c r="B35" s="149" t="s">
        <v>140</v>
      </c>
      <c r="C35" s="149" t="s">
        <v>3812</v>
      </c>
      <c r="D35" s="149">
        <v>556641</v>
      </c>
      <c r="E35" s="281" t="s">
        <v>3856</v>
      </c>
      <c r="F35" s="281" t="s">
        <v>3855</v>
      </c>
      <c r="G35" s="149">
        <v>1.6</v>
      </c>
      <c r="H35" s="149">
        <v>20</v>
      </c>
      <c r="I35" s="149">
        <v>81</v>
      </c>
      <c r="J35" s="149">
        <v>117</v>
      </c>
      <c r="K35" s="149" t="str">
        <f>РеестрЛКЕОД[[#This Row],[Ділянка]] &amp;" "&amp;РеестрЛКЕОД[[#This Row],[Номер]]</f>
        <v>2 кв (2 вид) 0 діл. 556641</v>
      </c>
      <c r="L35" s="149" t="str">
        <f>РеестрЛКЕОД[[#This Row],[Лісництво]] &amp;" "&amp;РеестрЛКЕОД[[#This Row],[Номер]]</f>
        <v>Вільхівецьке 556641</v>
      </c>
      <c r="M35" s="149"/>
      <c r="N35" s="149"/>
      <c r="O35" s="149"/>
      <c r="P35" s="149"/>
      <c r="Q35" s="149"/>
      <c r="R35" s="149"/>
      <c r="S35" s="149" t="str">
        <f>IF(COUNTIF(L$5:L35,L35)=1,MAX(S$5:S35)+1,"")</f>
        <v/>
      </c>
      <c r="T35" s="149" t="str">
        <f t="shared" si="0"/>
        <v>Вільхівецьке 556641</v>
      </c>
    </row>
    <row r="36" spans="1:20" hidden="1">
      <c r="A36" s="149" t="s">
        <v>113</v>
      </c>
      <c r="B36" s="149" t="s">
        <v>140</v>
      </c>
      <c r="C36" s="149" t="s">
        <v>3824</v>
      </c>
      <c r="D36" s="149">
        <v>556641</v>
      </c>
      <c r="E36" s="281" t="s">
        <v>3856</v>
      </c>
      <c r="F36" s="281" t="s">
        <v>3855</v>
      </c>
      <c r="G36" s="149">
        <v>5.4</v>
      </c>
      <c r="H36" s="149">
        <v>5</v>
      </c>
      <c r="I36" s="149">
        <v>140</v>
      </c>
      <c r="J36" s="149">
        <v>168</v>
      </c>
      <c r="K36" s="149" t="str">
        <f>РеестрЛКЕОД[[#This Row],[Ділянка]] &amp;" "&amp;РеестрЛКЕОД[[#This Row],[Номер]]</f>
        <v>77 кв (7 вид) 0 діл. 556641</v>
      </c>
      <c r="L36" s="149" t="str">
        <f>РеестрЛКЕОД[[#This Row],[Лісництво]] &amp;" "&amp;РеестрЛКЕОД[[#This Row],[Номер]]</f>
        <v>Вільхівецьке 556641</v>
      </c>
      <c r="M36" s="149"/>
      <c r="N36" s="149"/>
      <c r="O36" s="149"/>
      <c r="P36" s="149"/>
      <c r="Q36" s="149"/>
      <c r="R36" s="149"/>
      <c r="S36" s="149" t="str">
        <f>IF(COUNTIF(L$5:L36,L36)=1,MAX(S$5:S36)+1,"")</f>
        <v/>
      </c>
      <c r="T36" s="149" t="str">
        <f t="shared" si="0"/>
        <v>Вільхівецьке 556641</v>
      </c>
    </row>
    <row r="37" spans="1:20" hidden="1">
      <c r="A37" s="149" t="s">
        <v>113</v>
      </c>
      <c r="B37" s="149" t="s">
        <v>140</v>
      </c>
      <c r="C37" s="149" t="s">
        <v>3827</v>
      </c>
      <c r="D37" s="149">
        <v>556641</v>
      </c>
      <c r="E37" s="281" t="s">
        <v>3856</v>
      </c>
      <c r="F37" s="281" t="s">
        <v>3855</v>
      </c>
      <c r="G37" s="149">
        <v>5</v>
      </c>
      <c r="H37" s="149">
        <v>1</v>
      </c>
      <c r="I37" s="149">
        <v>76</v>
      </c>
      <c r="J37" s="149">
        <v>89</v>
      </c>
      <c r="K37" s="149" t="str">
        <f>РеестрЛКЕОД[[#This Row],[Ділянка]] &amp;" "&amp;РеестрЛКЕОД[[#This Row],[Номер]]</f>
        <v>98 кв (6 вид) 0 діл. 556641</v>
      </c>
      <c r="L37" s="149" t="str">
        <f>РеестрЛКЕОД[[#This Row],[Лісництво]] &amp;" "&amp;РеестрЛКЕОД[[#This Row],[Номер]]</f>
        <v>Вільхівецьке 556641</v>
      </c>
      <c r="M37" s="149"/>
      <c r="N37" s="149"/>
      <c r="O37" s="149"/>
      <c r="P37" s="149"/>
      <c r="Q37" s="149"/>
      <c r="R37" s="149"/>
      <c r="S37" s="149" t="str">
        <f>IF(COUNTIF(L$5:L37,L37)=1,MAX(S$5:S37)+1,"")</f>
        <v/>
      </c>
      <c r="T37" s="149" t="str">
        <f t="shared" si="0"/>
        <v>Вільхівецьке 556641</v>
      </c>
    </row>
    <row r="38" spans="1:20">
      <c r="A38" s="149" t="s">
        <v>113</v>
      </c>
      <c r="B38" s="149" t="s">
        <v>126</v>
      </c>
      <c r="C38" s="149" t="s">
        <v>744</v>
      </c>
      <c r="D38" s="149">
        <v>556644</v>
      </c>
      <c r="E38" s="281" t="s">
        <v>3857</v>
      </c>
      <c r="F38" s="281" t="s">
        <v>3855</v>
      </c>
      <c r="G38" s="149">
        <v>4</v>
      </c>
      <c r="H38" s="149">
        <v>5</v>
      </c>
      <c r="I38" s="149">
        <v>61</v>
      </c>
      <c r="J38" s="149">
        <v>87</v>
      </c>
      <c r="K38" s="149" t="str">
        <f>РеестрЛКЕОД[[#This Row],[Ділянка]] &amp;" "&amp;РеестрЛКЕОД[[#This Row],[Номер]]</f>
        <v>109 кв (1 вид) 0 діл. 556644</v>
      </c>
      <c r="L38" s="149" t="str">
        <f>РеестрЛКЕОД[[#This Row],[Лісництво]] &amp;" "&amp;РеестрЛКЕОД[[#This Row],[Номер]]</f>
        <v>Вільхівецьке 556644</v>
      </c>
      <c r="M38" s="149"/>
      <c r="N38" s="149"/>
      <c r="O38" s="149"/>
      <c r="P38" s="149"/>
      <c r="Q38" s="149"/>
      <c r="R38" s="149"/>
      <c r="S38" s="149"/>
      <c r="T38" s="149" t="str">
        <f t="shared" si="0"/>
        <v>Вільхівецьке 556644</v>
      </c>
    </row>
    <row r="39" spans="1:20" hidden="1">
      <c r="A39" s="149" t="s">
        <v>113</v>
      </c>
      <c r="B39" s="149" t="s">
        <v>126</v>
      </c>
      <c r="C39" s="149" t="s">
        <v>634</v>
      </c>
      <c r="D39" s="149">
        <v>556644</v>
      </c>
      <c r="E39" s="281" t="s">
        <v>3857</v>
      </c>
      <c r="F39" s="281" t="s">
        <v>3855</v>
      </c>
      <c r="G39" s="149">
        <v>0.5</v>
      </c>
      <c r="H39" s="149">
        <v>1</v>
      </c>
      <c r="I39" s="149">
        <v>18</v>
      </c>
      <c r="J39" s="149">
        <v>23</v>
      </c>
      <c r="K39" s="149" t="str">
        <f>РеестрЛКЕОД[[#This Row],[Ділянка]] &amp;" "&amp;РеестрЛКЕОД[[#This Row],[Номер]]</f>
        <v>19 кв (2 вид) 0 діл. 556644</v>
      </c>
      <c r="L39" s="149" t="str">
        <f>РеестрЛКЕОД[[#This Row],[Лісництво]] &amp;" "&amp;РеестрЛКЕОД[[#This Row],[Номер]]</f>
        <v>Вільхівецьке 556644</v>
      </c>
      <c r="M39" s="149"/>
      <c r="N39" s="149"/>
      <c r="O39" s="149"/>
      <c r="P39" s="149"/>
      <c r="Q39" s="149"/>
      <c r="R39" s="149"/>
      <c r="S39" s="149" t="str">
        <f>IF(COUNTIF(L$5:L39,L39)=1,MAX(S$5:S39)+1,"")</f>
        <v/>
      </c>
      <c r="T39" s="149" t="str">
        <f t="shared" si="0"/>
        <v>Вільхівецьке 556644</v>
      </c>
    </row>
    <row r="40" spans="1:20" hidden="1">
      <c r="A40" s="149" t="s">
        <v>113</v>
      </c>
      <c r="B40" s="149" t="s">
        <v>126</v>
      </c>
      <c r="C40" s="149" t="s">
        <v>636</v>
      </c>
      <c r="D40" s="149">
        <v>556644</v>
      </c>
      <c r="E40" s="281" t="s">
        <v>3857</v>
      </c>
      <c r="F40" s="281" t="s">
        <v>3855</v>
      </c>
      <c r="G40" s="149">
        <v>4.0999999999999996</v>
      </c>
      <c r="H40" s="149"/>
      <c r="I40" s="149">
        <v>62</v>
      </c>
      <c r="J40" s="149">
        <v>81</v>
      </c>
      <c r="K40" s="149" t="str">
        <f>РеестрЛКЕОД[[#This Row],[Ділянка]] &amp;" "&amp;РеестрЛКЕОД[[#This Row],[Номер]]</f>
        <v>19 кв (5 вид) 0 діл. 556644</v>
      </c>
      <c r="L40" s="149" t="str">
        <f>РеестрЛКЕОД[[#This Row],[Лісництво]] &amp;" "&amp;РеестрЛКЕОД[[#This Row],[Номер]]</f>
        <v>Вільхівецьке 556644</v>
      </c>
      <c r="M40" s="149"/>
      <c r="N40" s="149"/>
      <c r="O40" s="149"/>
      <c r="P40" s="149"/>
      <c r="Q40" s="149"/>
      <c r="R40" s="149"/>
      <c r="S40" s="149" t="str">
        <f>IF(COUNTIF(L$5:L40,L40)=1,MAX(S$5:S40)+1,"")</f>
        <v/>
      </c>
      <c r="T40" s="149" t="str">
        <f t="shared" si="0"/>
        <v>Вільхівецьке 556644</v>
      </c>
    </row>
    <row r="41" spans="1:20" hidden="1">
      <c r="A41" s="149" t="s">
        <v>113</v>
      </c>
      <c r="B41" s="149" t="s">
        <v>126</v>
      </c>
      <c r="C41" s="149" t="s">
        <v>3858</v>
      </c>
      <c r="D41" s="149">
        <v>556644</v>
      </c>
      <c r="E41" s="281" t="s">
        <v>3857</v>
      </c>
      <c r="F41" s="281" t="s">
        <v>3855</v>
      </c>
      <c r="G41" s="149">
        <v>0.9</v>
      </c>
      <c r="H41" s="149">
        <v>3</v>
      </c>
      <c r="I41" s="149">
        <v>48</v>
      </c>
      <c r="J41" s="149">
        <v>60</v>
      </c>
      <c r="K41" s="149" t="str">
        <f>РеестрЛКЕОД[[#This Row],[Ділянка]] &amp;" "&amp;РеестрЛКЕОД[[#This Row],[Номер]]</f>
        <v>56 кв (3 вид) 0 діл. 556644</v>
      </c>
      <c r="L41" s="149" t="str">
        <f>РеестрЛКЕОД[[#This Row],[Лісництво]] &amp;" "&amp;РеестрЛКЕОД[[#This Row],[Номер]]</f>
        <v>Вільхівецьке 556644</v>
      </c>
      <c r="M41" s="149"/>
      <c r="N41" s="149"/>
      <c r="O41" s="149"/>
      <c r="P41" s="149"/>
      <c r="Q41" s="149"/>
      <c r="R41" s="149"/>
      <c r="S41" s="149" t="str">
        <f>IF(COUNTIF(L$5:L41,L41)=1,MAX(S$5:S41)+1,"")</f>
        <v/>
      </c>
      <c r="T41" s="149" t="str">
        <f t="shared" si="0"/>
        <v>Вільхівецьке 556644</v>
      </c>
    </row>
    <row r="42" spans="1:20" hidden="1">
      <c r="A42" s="149" t="s">
        <v>113</v>
      </c>
      <c r="B42" s="149" t="s">
        <v>126</v>
      </c>
      <c r="C42" s="149" t="s">
        <v>3859</v>
      </c>
      <c r="D42" s="149">
        <v>556644</v>
      </c>
      <c r="E42" s="281" t="s">
        <v>3857</v>
      </c>
      <c r="F42" s="281" t="s">
        <v>3855</v>
      </c>
      <c r="G42" s="149">
        <v>2.2999999999999998</v>
      </c>
      <c r="H42" s="149">
        <v>3</v>
      </c>
      <c r="I42" s="149">
        <v>47</v>
      </c>
      <c r="J42" s="149">
        <v>65</v>
      </c>
      <c r="K42" s="149" t="str">
        <f>РеестрЛКЕОД[[#This Row],[Ділянка]] &amp;" "&amp;РеестрЛКЕОД[[#This Row],[Номер]]</f>
        <v>60 кв (1 вид) 0 діл. 556644</v>
      </c>
      <c r="L42" s="149" t="str">
        <f>РеестрЛКЕОД[[#This Row],[Лісництво]] &amp;" "&amp;РеестрЛКЕОД[[#This Row],[Номер]]</f>
        <v>Вільхівецьке 556644</v>
      </c>
      <c r="M42" s="149"/>
      <c r="N42" s="149"/>
      <c r="O42" s="149"/>
      <c r="P42" s="149"/>
      <c r="Q42" s="149"/>
      <c r="R42" s="149"/>
      <c r="S42" s="149" t="str">
        <f>IF(COUNTIF(L$5:L42,L42)=1,MAX(S$5:S42)+1,"")</f>
        <v/>
      </c>
      <c r="T42" s="149" t="str">
        <f t="shared" si="0"/>
        <v>Вільхівецьке 556644</v>
      </c>
    </row>
    <row r="43" spans="1:20" hidden="1">
      <c r="A43" s="149" t="s">
        <v>113</v>
      </c>
      <c r="B43" s="149" t="s">
        <v>126</v>
      </c>
      <c r="C43" s="149" t="s">
        <v>848</v>
      </c>
      <c r="D43" s="149">
        <v>556644</v>
      </c>
      <c r="E43" s="281" t="s">
        <v>3857</v>
      </c>
      <c r="F43" s="281" t="s">
        <v>3855</v>
      </c>
      <c r="G43" s="149">
        <v>9.3000000000000007</v>
      </c>
      <c r="H43" s="149">
        <v>9</v>
      </c>
      <c r="I43" s="149">
        <v>131</v>
      </c>
      <c r="J43" s="149">
        <v>170</v>
      </c>
      <c r="K43" s="149" t="str">
        <f>РеестрЛКЕОД[[#This Row],[Ділянка]] &amp;" "&amp;РеестрЛКЕОД[[#This Row],[Номер]]</f>
        <v>73 кв (3 вид) 0 діл. 556644</v>
      </c>
      <c r="L43" s="149" t="str">
        <f>РеестрЛКЕОД[[#This Row],[Лісництво]] &amp;" "&amp;РеестрЛКЕОД[[#This Row],[Номер]]</f>
        <v>Вільхівецьке 556644</v>
      </c>
      <c r="M43" s="149"/>
      <c r="N43" s="149"/>
      <c r="O43" s="149"/>
      <c r="P43" s="149"/>
      <c r="Q43" s="149"/>
      <c r="R43" s="149"/>
      <c r="S43" s="149" t="str">
        <f>IF(COUNTIF(L$5:L43,L43)=1,MAX(S$5:S43)+1,"")</f>
        <v/>
      </c>
      <c r="T43" s="149" t="str">
        <f t="shared" si="0"/>
        <v>Вільхівецьке 556644</v>
      </c>
    </row>
    <row r="44" spans="1:20" hidden="1">
      <c r="A44" s="149" t="s">
        <v>113</v>
      </c>
      <c r="B44" s="149" t="s">
        <v>126</v>
      </c>
      <c r="C44" s="149" t="s">
        <v>3697</v>
      </c>
      <c r="D44" s="149">
        <v>556644</v>
      </c>
      <c r="E44" s="281" t="s">
        <v>3857</v>
      </c>
      <c r="F44" s="281" t="s">
        <v>3855</v>
      </c>
      <c r="G44" s="149">
        <v>6.4</v>
      </c>
      <c r="H44" s="149">
        <v>4</v>
      </c>
      <c r="I44" s="149">
        <v>86</v>
      </c>
      <c r="J44" s="149">
        <v>109</v>
      </c>
      <c r="K44" s="149" t="str">
        <f>РеестрЛКЕОД[[#This Row],[Ділянка]] &amp;" "&amp;РеестрЛКЕОД[[#This Row],[Номер]]</f>
        <v>77 кв (8 вид) 0 діл. 556644</v>
      </c>
      <c r="L44" s="149" t="str">
        <f>РеестрЛКЕОД[[#This Row],[Лісництво]] &amp;" "&amp;РеестрЛКЕОД[[#This Row],[Номер]]</f>
        <v>Вільхівецьке 556644</v>
      </c>
      <c r="M44" s="149"/>
      <c r="N44" s="149"/>
      <c r="O44" s="149"/>
      <c r="P44" s="149"/>
      <c r="Q44" s="149"/>
      <c r="R44" s="149"/>
      <c r="S44" s="149" t="str">
        <f>IF(COUNTIF(L$5:L44,L44)=1,MAX(S$5:S44)+1,"")</f>
        <v/>
      </c>
      <c r="T44" s="149" t="str">
        <f t="shared" si="0"/>
        <v>Вільхівецьке 556644</v>
      </c>
    </row>
    <row r="45" spans="1:20" hidden="1">
      <c r="A45" s="149" t="s">
        <v>113</v>
      </c>
      <c r="B45" s="149" t="s">
        <v>126</v>
      </c>
      <c r="C45" s="149" t="s">
        <v>702</v>
      </c>
      <c r="D45" s="149">
        <v>556644</v>
      </c>
      <c r="E45" s="281" t="s">
        <v>3857</v>
      </c>
      <c r="F45" s="281" t="s">
        <v>3855</v>
      </c>
      <c r="G45" s="149">
        <v>1.5</v>
      </c>
      <c r="H45" s="149"/>
      <c r="I45" s="149">
        <v>9</v>
      </c>
      <c r="J45" s="149">
        <v>10</v>
      </c>
      <c r="K45" s="149" t="str">
        <f>РеестрЛКЕОД[[#This Row],[Ділянка]] &amp;" "&amp;РеестрЛКЕОД[[#This Row],[Номер]]</f>
        <v>78 кв (7 вид) 0 діл. 556644</v>
      </c>
      <c r="L45" s="149" t="str">
        <f>РеестрЛКЕОД[[#This Row],[Лісництво]] &amp;" "&amp;РеестрЛКЕОД[[#This Row],[Номер]]</f>
        <v>Вільхівецьке 556644</v>
      </c>
      <c r="M45" s="149"/>
      <c r="N45" s="149"/>
      <c r="O45" s="149"/>
      <c r="P45" s="149"/>
      <c r="Q45" s="149"/>
      <c r="R45" s="149"/>
      <c r="S45" s="149" t="str">
        <f>IF(COUNTIF(L$5:L45,L45)=1,MAX(S$5:S45)+1,"")</f>
        <v/>
      </c>
      <c r="T45" s="149" t="str">
        <f t="shared" si="0"/>
        <v>Вільхівецьке 556644</v>
      </c>
    </row>
    <row r="46" spans="1:20" hidden="1">
      <c r="A46" s="149" t="s">
        <v>113</v>
      </c>
      <c r="B46" s="149" t="s">
        <v>126</v>
      </c>
      <c r="C46" s="149" t="s">
        <v>3860</v>
      </c>
      <c r="D46" s="149">
        <v>556644</v>
      </c>
      <c r="E46" s="281" t="s">
        <v>3857</v>
      </c>
      <c r="F46" s="281" t="s">
        <v>3855</v>
      </c>
      <c r="G46" s="149">
        <v>6</v>
      </c>
      <c r="H46" s="149">
        <v>3</v>
      </c>
      <c r="I46" s="149">
        <v>93</v>
      </c>
      <c r="J46" s="149">
        <v>113</v>
      </c>
      <c r="K46" s="149" t="str">
        <f>РеестрЛКЕОД[[#This Row],[Ділянка]] &amp;" "&amp;РеестрЛКЕОД[[#This Row],[Номер]]</f>
        <v>86 кв (13 вид) 0 діл. 556644</v>
      </c>
      <c r="L46" s="149" t="str">
        <f>РеестрЛКЕОД[[#This Row],[Лісництво]] &amp;" "&amp;РеестрЛКЕОД[[#This Row],[Номер]]</f>
        <v>Вільхівецьке 556644</v>
      </c>
      <c r="M46" s="149"/>
      <c r="N46" s="149"/>
      <c r="O46" s="149"/>
      <c r="P46" s="149"/>
      <c r="Q46" s="149"/>
      <c r="R46" s="149"/>
      <c r="S46" s="149" t="str">
        <f>IF(COUNTIF(L$5:L46,L46)=1,MAX(S$5:S46)+1,"")</f>
        <v/>
      </c>
      <c r="T46" s="149" t="str">
        <f t="shared" si="0"/>
        <v>Вільхівецьке 556644</v>
      </c>
    </row>
    <row r="47" spans="1:20">
      <c r="A47" s="149" t="s">
        <v>111</v>
      </c>
      <c r="B47" s="149" t="s">
        <v>128</v>
      </c>
      <c r="C47" s="149" t="s">
        <v>3665</v>
      </c>
      <c r="D47" s="149">
        <v>556621</v>
      </c>
      <c r="E47" s="281" t="s">
        <v>3723</v>
      </c>
      <c r="F47" s="281" t="s">
        <v>3855</v>
      </c>
      <c r="G47" s="149">
        <v>0.6</v>
      </c>
      <c r="H47" s="149">
        <v>23</v>
      </c>
      <c r="I47" s="149">
        <v>142</v>
      </c>
      <c r="J47" s="149">
        <v>196</v>
      </c>
      <c r="K47" s="149" t="str">
        <f>РеестрЛКЕОД[[#This Row],[Ділянка]] &amp;" "&amp;РеестрЛКЕОД[[#This Row],[Номер]]</f>
        <v>114 кв (1 вид) 2 діл. 556621</v>
      </c>
      <c r="L47" s="149" t="str">
        <f>РеестрЛКЕОД[[#This Row],[Лісництво]] &amp;" "&amp;РеестрЛКЕОД[[#This Row],[Номер]]</f>
        <v>Катеринопільське 556621</v>
      </c>
      <c r="M47" s="149"/>
      <c r="N47" s="149"/>
      <c r="O47" s="149"/>
      <c r="P47" s="149"/>
      <c r="Q47" s="149"/>
      <c r="R47" s="149"/>
      <c r="S47" s="149"/>
      <c r="T47" s="149" t="str">
        <f t="shared" si="0"/>
        <v>Катеринопільське 556621</v>
      </c>
    </row>
    <row r="48" spans="1:20" hidden="1">
      <c r="A48" s="149" t="s">
        <v>111</v>
      </c>
      <c r="B48" s="149" t="s">
        <v>128</v>
      </c>
      <c r="C48" s="149" t="s">
        <v>3644</v>
      </c>
      <c r="D48" s="149">
        <v>556621</v>
      </c>
      <c r="E48" s="281" t="s">
        <v>3723</v>
      </c>
      <c r="F48" s="281" t="s">
        <v>3855</v>
      </c>
      <c r="G48" s="149">
        <v>2.2000000000000002</v>
      </c>
      <c r="H48" s="149">
        <v>292</v>
      </c>
      <c r="I48" s="149">
        <v>211</v>
      </c>
      <c r="J48" s="149">
        <v>576</v>
      </c>
      <c r="K48" s="149" t="str">
        <f>РеестрЛКЕОД[[#This Row],[Ділянка]] &amp;" "&amp;РеестрЛКЕОД[[#This Row],[Номер]]</f>
        <v>20 кв (4 вид) 1 діл. 556621</v>
      </c>
      <c r="L48" s="149" t="str">
        <f>РеестрЛКЕОД[[#This Row],[Лісництво]] &amp;" "&amp;РеестрЛКЕОД[[#This Row],[Номер]]</f>
        <v>Катеринопільське 556621</v>
      </c>
      <c r="M48" s="149"/>
      <c r="N48" s="149"/>
      <c r="O48" s="149"/>
      <c r="P48" s="149"/>
      <c r="Q48" s="149"/>
      <c r="R48" s="149"/>
      <c r="S48" s="149" t="str">
        <f>IF(COUNTIF(L$5:L48,L48)=1,MAX(S$5:S48)+1,"")</f>
        <v/>
      </c>
      <c r="T48" s="149" t="str">
        <f t="shared" si="0"/>
        <v>Катеринопільське 556621</v>
      </c>
    </row>
    <row r="49" spans="1:20" hidden="1">
      <c r="A49" s="149" t="s">
        <v>111</v>
      </c>
      <c r="B49" s="149" t="s">
        <v>128</v>
      </c>
      <c r="C49" s="149" t="s">
        <v>186</v>
      </c>
      <c r="D49" s="149">
        <v>556621</v>
      </c>
      <c r="E49" s="281" t="s">
        <v>3723</v>
      </c>
      <c r="F49" s="281" t="s">
        <v>3855</v>
      </c>
      <c r="G49" s="149">
        <v>1</v>
      </c>
      <c r="H49" s="149">
        <v>110</v>
      </c>
      <c r="I49" s="149">
        <v>230</v>
      </c>
      <c r="J49" s="149">
        <v>388</v>
      </c>
      <c r="K49" s="149" t="str">
        <f>РеестрЛКЕОД[[#This Row],[Ділянка]] &amp;" "&amp;РеестрЛКЕОД[[#This Row],[Номер]]</f>
        <v>40 кв (2 вид) 0 діл. 556621</v>
      </c>
      <c r="L49" s="149" t="str">
        <f>РеестрЛКЕОД[[#This Row],[Лісництво]] &amp;" "&amp;РеестрЛКЕОД[[#This Row],[Номер]]</f>
        <v>Катеринопільське 556621</v>
      </c>
      <c r="M49" s="149"/>
      <c r="N49" s="149"/>
      <c r="O49" s="149"/>
      <c r="P49" s="149"/>
      <c r="Q49" s="149"/>
      <c r="R49" s="149"/>
      <c r="S49" s="149" t="str">
        <f>IF(COUNTIF(L$5:L49,L49)=1,MAX(S$5:S49)+1,"")</f>
        <v/>
      </c>
      <c r="T49" s="149" t="str">
        <f t="shared" si="0"/>
        <v>Катеринопільське 556621</v>
      </c>
    </row>
    <row r="50" spans="1:20" hidden="1">
      <c r="A50" s="149" t="s">
        <v>111</v>
      </c>
      <c r="B50" s="149" t="s">
        <v>128</v>
      </c>
      <c r="C50" s="149" t="s">
        <v>3666</v>
      </c>
      <c r="D50" s="149">
        <v>556621</v>
      </c>
      <c r="E50" s="281" t="s">
        <v>3723</v>
      </c>
      <c r="F50" s="281" t="s">
        <v>3855</v>
      </c>
      <c r="G50" s="149">
        <v>1.7</v>
      </c>
      <c r="H50" s="149">
        <v>260</v>
      </c>
      <c r="I50" s="149">
        <v>410</v>
      </c>
      <c r="J50" s="149">
        <v>760</v>
      </c>
      <c r="K50" s="149" t="str">
        <f>РеестрЛКЕОД[[#This Row],[Ділянка]] &amp;" "&amp;РеестрЛКЕОД[[#This Row],[Номер]]</f>
        <v>41 кв (10 вид) 0 діл. 556621</v>
      </c>
      <c r="L50" s="149" t="str">
        <f>РеестрЛКЕОД[[#This Row],[Лісництво]] &amp;" "&amp;РеестрЛКЕОД[[#This Row],[Номер]]</f>
        <v>Катеринопільське 556621</v>
      </c>
      <c r="M50" s="149"/>
      <c r="N50" s="149"/>
      <c r="O50" s="149"/>
      <c r="P50" s="149"/>
      <c r="Q50" s="149"/>
      <c r="R50" s="149"/>
      <c r="S50" s="149" t="str">
        <f>IF(COUNTIF(L$5:L50,L50)=1,MAX(S$5:S50)+1,"")</f>
        <v/>
      </c>
      <c r="T50" s="149" t="str">
        <f t="shared" si="0"/>
        <v>Катеринопільське 556621</v>
      </c>
    </row>
    <row r="51" spans="1:20" hidden="1">
      <c r="A51" s="149" t="s">
        <v>111</v>
      </c>
      <c r="B51" s="149" t="s">
        <v>128</v>
      </c>
      <c r="C51" s="149" t="s">
        <v>3667</v>
      </c>
      <c r="D51" s="149">
        <v>556621</v>
      </c>
      <c r="E51" s="281" t="s">
        <v>3723</v>
      </c>
      <c r="F51" s="281" t="s">
        <v>3855</v>
      </c>
      <c r="G51" s="149">
        <v>4.5999999999999996</v>
      </c>
      <c r="H51" s="149">
        <v>728</v>
      </c>
      <c r="I51" s="149">
        <v>905</v>
      </c>
      <c r="J51" s="149">
        <v>1898</v>
      </c>
      <c r="K51" s="149" t="str">
        <f>РеестрЛКЕОД[[#This Row],[Ділянка]] &amp;" "&amp;РеестрЛКЕОД[[#This Row],[Номер]]</f>
        <v>49 кв (1 вид) 2 діл. 556621</v>
      </c>
      <c r="L51" s="149" t="str">
        <f>РеестрЛКЕОД[[#This Row],[Лісництво]] &amp;" "&amp;РеестрЛКЕОД[[#This Row],[Номер]]</f>
        <v>Катеринопільське 556621</v>
      </c>
      <c r="M51" s="149"/>
      <c r="N51" s="149"/>
      <c r="O51" s="149"/>
      <c r="P51" s="149"/>
      <c r="Q51" s="149"/>
      <c r="R51" s="149"/>
      <c r="S51" s="149" t="str">
        <f>IF(COUNTIF(L$5:L51,L51)=1,MAX(S$5:S51)+1,"")</f>
        <v/>
      </c>
      <c r="T51" s="149" t="str">
        <f t="shared" si="0"/>
        <v>Катеринопільське 556621</v>
      </c>
    </row>
    <row r="52" spans="1:20" hidden="1">
      <c r="A52" s="149" t="s">
        <v>111</v>
      </c>
      <c r="B52" s="149" t="s">
        <v>128</v>
      </c>
      <c r="C52" s="149" t="s">
        <v>3664</v>
      </c>
      <c r="D52" s="149">
        <v>556621</v>
      </c>
      <c r="E52" s="281" t="s">
        <v>3723</v>
      </c>
      <c r="F52" s="281" t="s">
        <v>3855</v>
      </c>
      <c r="G52" s="149">
        <v>2.1</v>
      </c>
      <c r="H52" s="149">
        <v>338</v>
      </c>
      <c r="I52" s="149">
        <v>601</v>
      </c>
      <c r="J52" s="149">
        <v>1077</v>
      </c>
      <c r="K52" s="149" t="str">
        <f>РеестрЛКЕОД[[#This Row],[Ділянка]] &amp;" "&amp;РеестрЛКЕОД[[#This Row],[Номер]]</f>
        <v>84 кв (11 вид) 0 діл. 556621</v>
      </c>
      <c r="L52" s="149" t="str">
        <f>РеестрЛКЕОД[[#This Row],[Лісництво]] &amp;" "&amp;РеестрЛКЕОД[[#This Row],[Номер]]</f>
        <v>Катеринопільське 556621</v>
      </c>
      <c r="M52" s="149"/>
      <c r="N52" s="149"/>
      <c r="O52" s="149"/>
      <c r="P52" s="149"/>
      <c r="Q52" s="149"/>
      <c r="R52" s="149"/>
      <c r="S52" s="149" t="str">
        <f>IF(COUNTIF(L$5:L52,L52)=1,MAX(S$5:S52)+1,"")</f>
        <v/>
      </c>
      <c r="T52" s="149" t="str">
        <f t="shared" si="0"/>
        <v>Катеринопільське 556621</v>
      </c>
    </row>
    <row r="53" spans="1:20" hidden="1">
      <c r="A53" s="149" t="s">
        <v>111</v>
      </c>
      <c r="B53" s="149" t="s">
        <v>128</v>
      </c>
      <c r="C53" s="149" t="s">
        <v>711</v>
      </c>
      <c r="D53" s="149">
        <v>556621</v>
      </c>
      <c r="E53" s="281" t="s">
        <v>3723</v>
      </c>
      <c r="F53" s="281" t="s">
        <v>3855</v>
      </c>
      <c r="G53" s="149">
        <v>1.4</v>
      </c>
      <c r="H53" s="149">
        <v>65</v>
      </c>
      <c r="I53" s="149">
        <v>386</v>
      </c>
      <c r="J53" s="149">
        <v>517</v>
      </c>
      <c r="K53" s="149" t="str">
        <f>РеестрЛКЕОД[[#This Row],[Ділянка]] &amp;" "&amp;РеестрЛКЕОД[[#This Row],[Номер]]</f>
        <v>85 кв (7 вид) 0 діл. 556621</v>
      </c>
      <c r="L53" s="149" t="str">
        <f>РеестрЛКЕОД[[#This Row],[Лісництво]] &amp;" "&amp;РеестрЛКЕОД[[#This Row],[Номер]]</f>
        <v>Катеринопільське 556621</v>
      </c>
      <c r="M53" s="149"/>
      <c r="N53" s="149"/>
      <c r="O53" s="149"/>
      <c r="P53" s="149"/>
      <c r="Q53" s="149"/>
      <c r="R53" s="149"/>
      <c r="S53" s="149" t="str">
        <f>IF(COUNTIF(L$5:L53,L53)=1,MAX(S$5:S53)+1,"")</f>
        <v/>
      </c>
      <c r="T53" s="149" t="str">
        <f t="shared" si="0"/>
        <v>Катеринопільське 556621</v>
      </c>
    </row>
    <row r="54" spans="1:20">
      <c r="A54" s="149" t="s">
        <v>111</v>
      </c>
      <c r="B54" s="149" t="s">
        <v>134</v>
      </c>
      <c r="C54" s="149" t="s">
        <v>648</v>
      </c>
      <c r="D54" s="149">
        <v>556630</v>
      </c>
      <c r="E54" s="281" t="s">
        <v>3856</v>
      </c>
      <c r="F54" s="281" t="s">
        <v>3855</v>
      </c>
      <c r="G54" s="149">
        <v>8</v>
      </c>
      <c r="H54" s="149"/>
      <c r="I54" s="149"/>
      <c r="J54" s="149">
        <v>97</v>
      </c>
      <c r="K54" s="149" t="str">
        <f>РеестрЛКЕОД[[#This Row],[Ділянка]] &amp;" "&amp;РеестрЛКЕОД[[#This Row],[Номер]]</f>
        <v>32 кв (4 вид) 0 діл. 556630</v>
      </c>
      <c r="L54" s="149" t="str">
        <f>РеестрЛКЕОД[[#This Row],[Лісництво]] &amp;" "&amp;РеестрЛКЕОД[[#This Row],[Номер]]</f>
        <v>Катеринопільське 556630</v>
      </c>
      <c r="M54" s="149"/>
      <c r="N54" s="149"/>
      <c r="O54" s="149"/>
      <c r="P54" s="149"/>
      <c r="Q54" s="149"/>
      <c r="R54" s="149"/>
      <c r="S54" s="149"/>
      <c r="T54" s="149" t="str">
        <f t="shared" si="0"/>
        <v>Катеринопільське 556630</v>
      </c>
    </row>
    <row r="55" spans="1:20" hidden="1">
      <c r="A55" s="149" t="s">
        <v>111</v>
      </c>
      <c r="B55" s="149" t="s">
        <v>134</v>
      </c>
      <c r="C55" s="149" t="s">
        <v>3708</v>
      </c>
      <c r="D55" s="149">
        <v>556630</v>
      </c>
      <c r="E55" s="281" t="s">
        <v>3856</v>
      </c>
      <c r="F55" s="281" t="s">
        <v>3855</v>
      </c>
      <c r="G55" s="149">
        <v>6.1</v>
      </c>
      <c r="H55" s="149"/>
      <c r="I55" s="149">
        <v>3</v>
      </c>
      <c r="J55" s="149">
        <v>79</v>
      </c>
      <c r="K55" s="149" t="str">
        <f>РеестрЛКЕОД[[#This Row],[Ділянка]] &amp;" "&amp;РеестрЛКЕОД[[#This Row],[Номер]]</f>
        <v>48 кв (1 вид) 0 діл. 556630</v>
      </c>
      <c r="L55" s="149" t="str">
        <f>РеестрЛКЕОД[[#This Row],[Лісництво]] &amp;" "&amp;РеестрЛКЕОД[[#This Row],[Номер]]</f>
        <v>Катеринопільське 556630</v>
      </c>
      <c r="M55" s="149"/>
      <c r="N55" s="149"/>
      <c r="O55" s="149"/>
      <c r="P55" s="149"/>
      <c r="Q55" s="149"/>
      <c r="R55" s="149"/>
      <c r="S55" s="149" t="str">
        <f>IF(COUNTIF(L$5:L55,L55)=1,MAX(S$5:S55)+1,"")</f>
        <v/>
      </c>
      <c r="T55" s="149" t="str">
        <f t="shared" si="0"/>
        <v>Катеринопільське 556630</v>
      </c>
    </row>
    <row r="56" spans="1:20" hidden="1">
      <c r="A56" s="149" t="s">
        <v>111</v>
      </c>
      <c r="B56" s="149" t="s">
        <v>134</v>
      </c>
      <c r="C56" s="149" t="s">
        <v>3710</v>
      </c>
      <c r="D56" s="149">
        <v>556630</v>
      </c>
      <c r="E56" s="281" t="s">
        <v>3856</v>
      </c>
      <c r="F56" s="281" t="s">
        <v>3855</v>
      </c>
      <c r="G56" s="149">
        <v>2.4</v>
      </c>
      <c r="H56" s="149"/>
      <c r="I56" s="149"/>
      <c r="J56" s="149">
        <v>41</v>
      </c>
      <c r="K56" s="149" t="str">
        <f>РеестрЛКЕОД[[#This Row],[Ділянка]] &amp;" "&amp;РеестрЛКЕОД[[#This Row],[Номер]]</f>
        <v>66 кв (2 вид) 0 діл. 556630</v>
      </c>
      <c r="L56" s="149" t="str">
        <f>РеестрЛКЕОД[[#This Row],[Лісництво]] &amp;" "&amp;РеестрЛКЕОД[[#This Row],[Номер]]</f>
        <v>Катеринопільське 556630</v>
      </c>
      <c r="M56" s="149"/>
      <c r="N56" s="149"/>
      <c r="O56" s="149"/>
      <c r="P56" s="149"/>
      <c r="Q56" s="149"/>
      <c r="R56" s="149"/>
      <c r="S56" s="149" t="str">
        <f>IF(COUNTIF(L$5:L56,L56)=1,MAX(S$5:S56)+1,"")</f>
        <v/>
      </c>
      <c r="T56" s="149" t="str">
        <f t="shared" si="0"/>
        <v>Катеринопільське 556630</v>
      </c>
    </row>
    <row r="57" spans="1:20" hidden="1">
      <c r="A57" s="149" t="s">
        <v>111</v>
      </c>
      <c r="B57" s="149" t="s">
        <v>134</v>
      </c>
      <c r="C57" s="149" t="s">
        <v>3709</v>
      </c>
      <c r="D57" s="149">
        <v>556630</v>
      </c>
      <c r="E57" s="281" t="s">
        <v>3856</v>
      </c>
      <c r="F57" s="281" t="s">
        <v>3855</v>
      </c>
      <c r="G57" s="149">
        <v>1.4</v>
      </c>
      <c r="H57" s="149"/>
      <c r="I57" s="149"/>
      <c r="J57" s="149">
        <v>19</v>
      </c>
      <c r="K57" s="149" t="str">
        <f>РеестрЛКЕОД[[#This Row],[Ділянка]] &amp;" "&amp;РеестрЛКЕОД[[#This Row],[Номер]]</f>
        <v>67 кв (3 вид) 0 діл. 556630</v>
      </c>
      <c r="L57" s="149" t="str">
        <f>РеестрЛКЕОД[[#This Row],[Лісництво]] &amp;" "&amp;РеестрЛКЕОД[[#This Row],[Номер]]</f>
        <v>Катеринопільське 556630</v>
      </c>
      <c r="M57" s="149"/>
      <c r="N57" s="149"/>
      <c r="O57" s="149"/>
      <c r="P57" s="149"/>
      <c r="Q57" s="149"/>
      <c r="R57" s="149"/>
      <c r="S57" s="149" t="str">
        <f>IF(COUNTIF(L$5:L57,L57)=1,MAX(S$5:S57)+1,"")</f>
        <v/>
      </c>
      <c r="T57" s="149" t="str">
        <f t="shared" si="0"/>
        <v>Катеринопільське 556630</v>
      </c>
    </row>
    <row r="58" spans="1:20" hidden="1">
      <c r="A58" s="149" t="s">
        <v>111</v>
      </c>
      <c r="B58" s="149" t="s">
        <v>134</v>
      </c>
      <c r="C58" s="149" t="s">
        <v>543</v>
      </c>
      <c r="D58" s="149">
        <v>556630</v>
      </c>
      <c r="E58" s="281" t="s">
        <v>3856</v>
      </c>
      <c r="F58" s="281" t="s">
        <v>3855</v>
      </c>
      <c r="G58" s="149">
        <v>3.4</v>
      </c>
      <c r="H58" s="149"/>
      <c r="I58" s="149"/>
      <c r="J58" s="149">
        <v>52</v>
      </c>
      <c r="K58" s="149" t="str">
        <f>РеестрЛКЕОД[[#This Row],[Ділянка]] &amp;" "&amp;РеестрЛКЕОД[[#This Row],[Номер]]</f>
        <v>77 кв (1 вид) 0 діл. 556630</v>
      </c>
      <c r="L58" s="149" t="str">
        <f>РеестрЛКЕОД[[#This Row],[Лісництво]] &amp;" "&amp;РеестрЛКЕОД[[#This Row],[Номер]]</f>
        <v>Катеринопільське 556630</v>
      </c>
      <c r="M58" s="149"/>
      <c r="N58" s="149"/>
      <c r="O58" s="149"/>
      <c r="P58" s="149"/>
      <c r="Q58" s="149"/>
      <c r="R58" s="149"/>
      <c r="S58" s="149" t="str">
        <f>IF(COUNTIF(L$5:L58,L58)=1,MAX(S$5:S58)+1,"")</f>
        <v/>
      </c>
      <c r="T58" s="149" t="str">
        <f t="shared" si="0"/>
        <v>Катеринопільське 556630</v>
      </c>
    </row>
    <row r="59" spans="1:20" hidden="1">
      <c r="A59" s="149" t="s">
        <v>111</v>
      </c>
      <c r="B59" s="149" t="s">
        <v>134</v>
      </c>
      <c r="C59" s="149" t="s">
        <v>546</v>
      </c>
      <c r="D59" s="149">
        <v>556630</v>
      </c>
      <c r="E59" s="281" t="s">
        <v>3856</v>
      </c>
      <c r="F59" s="281" t="s">
        <v>3855</v>
      </c>
      <c r="G59" s="149">
        <v>3</v>
      </c>
      <c r="H59" s="149"/>
      <c r="I59" s="149">
        <v>2</v>
      </c>
      <c r="J59" s="149">
        <v>61</v>
      </c>
      <c r="K59" s="149" t="str">
        <f>РеестрЛКЕОД[[#This Row],[Ділянка]] &amp;" "&amp;РеестрЛКЕОД[[#This Row],[Номер]]</f>
        <v>78 кв (13 вид) 0 діл. 556630</v>
      </c>
      <c r="L59" s="149" t="str">
        <f>РеестрЛКЕОД[[#This Row],[Лісництво]] &amp;" "&amp;РеестрЛКЕОД[[#This Row],[Номер]]</f>
        <v>Катеринопільське 556630</v>
      </c>
      <c r="M59" s="149"/>
      <c r="N59" s="149"/>
      <c r="O59" s="149"/>
      <c r="P59" s="149"/>
      <c r="Q59" s="149"/>
      <c r="R59" s="149"/>
      <c r="S59" s="149" t="str">
        <f>IF(COUNTIF(L$5:L59,L59)=1,MAX(S$5:S59)+1,"")</f>
        <v/>
      </c>
      <c r="T59" s="149" t="str">
        <f t="shared" si="0"/>
        <v>Катеринопільське 556630</v>
      </c>
    </row>
    <row r="60" spans="1:20" hidden="1">
      <c r="A60" s="149" t="s">
        <v>111</v>
      </c>
      <c r="B60" s="149" t="s">
        <v>134</v>
      </c>
      <c r="C60" s="149" t="s">
        <v>3706</v>
      </c>
      <c r="D60" s="149">
        <v>556630</v>
      </c>
      <c r="E60" s="281" t="s">
        <v>3856</v>
      </c>
      <c r="F60" s="281" t="s">
        <v>3855</v>
      </c>
      <c r="G60" s="149">
        <v>1.7</v>
      </c>
      <c r="H60" s="149"/>
      <c r="I60" s="149"/>
      <c r="J60" s="149">
        <v>9</v>
      </c>
      <c r="K60" s="149" t="str">
        <f>РеестрЛКЕОД[[#This Row],[Ділянка]] &amp;" "&amp;РеестрЛКЕОД[[#This Row],[Номер]]</f>
        <v>93 кв (17 вид) 0 діл. 556630</v>
      </c>
      <c r="L60" s="149" t="str">
        <f>РеестрЛКЕОД[[#This Row],[Лісництво]] &amp;" "&amp;РеестрЛКЕОД[[#This Row],[Номер]]</f>
        <v>Катеринопільське 556630</v>
      </c>
      <c r="M60" s="149"/>
      <c r="N60" s="149"/>
      <c r="O60" s="149"/>
      <c r="P60" s="149"/>
      <c r="Q60" s="149"/>
      <c r="R60" s="149"/>
      <c r="S60" s="149" t="str">
        <f>IF(COUNTIF(L$5:L60,L60)=1,MAX(S$5:S60)+1,"")</f>
        <v/>
      </c>
      <c r="T60" s="149" t="str">
        <f t="shared" si="0"/>
        <v>Катеринопільське 556630</v>
      </c>
    </row>
    <row r="61" spans="1:20" hidden="1">
      <c r="A61" s="149" t="s">
        <v>111</v>
      </c>
      <c r="B61" s="149" t="s">
        <v>134</v>
      </c>
      <c r="C61" s="149" t="s">
        <v>3707</v>
      </c>
      <c r="D61" s="149">
        <v>556630</v>
      </c>
      <c r="E61" s="281" t="s">
        <v>3856</v>
      </c>
      <c r="F61" s="281" t="s">
        <v>3855</v>
      </c>
      <c r="G61" s="149">
        <v>1.5</v>
      </c>
      <c r="H61" s="149"/>
      <c r="I61" s="149"/>
      <c r="J61" s="149">
        <v>12</v>
      </c>
      <c r="K61" s="149" t="str">
        <f>РеестрЛКЕОД[[#This Row],[Ділянка]] &amp;" "&amp;РеестрЛКЕОД[[#This Row],[Номер]]</f>
        <v>93 кв (19 вид) 0 діл. 556630</v>
      </c>
      <c r="L61" s="149" t="str">
        <f>РеестрЛКЕОД[[#This Row],[Лісництво]] &amp;" "&amp;РеестрЛКЕОД[[#This Row],[Номер]]</f>
        <v>Катеринопільське 556630</v>
      </c>
      <c r="M61" s="149"/>
      <c r="N61" s="149"/>
      <c r="O61" s="149"/>
      <c r="P61" s="149"/>
      <c r="Q61" s="149"/>
      <c r="R61" s="149"/>
      <c r="S61" s="149" t="str">
        <f>IF(COUNTIF(L$5:L61,L61)=1,MAX(S$5:S61)+1,"")</f>
        <v/>
      </c>
      <c r="T61" s="149" t="str">
        <f t="shared" si="0"/>
        <v>Катеринопільське 556630</v>
      </c>
    </row>
    <row r="62" spans="1:20">
      <c r="A62" s="149" t="s">
        <v>111</v>
      </c>
      <c r="B62" s="149" t="s">
        <v>124</v>
      </c>
      <c r="C62" s="149" t="s">
        <v>3711</v>
      </c>
      <c r="D62" s="149">
        <v>556631</v>
      </c>
      <c r="E62" s="281" t="s">
        <v>3856</v>
      </c>
      <c r="F62" s="281" t="s">
        <v>3855</v>
      </c>
      <c r="G62" s="149">
        <v>6.3</v>
      </c>
      <c r="H62" s="149"/>
      <c r="I62" s="149">
        <v>156</v>
      </c>
      <c r="J62" s="149">
        <v>206</v>
      </c>
      <c r="K62" s="149" t="str">
        <f>РеестрЛКЕОД[[#This Row],[Ділянка]] &amp;" "&amp;РеестрЛКЕОД[[#This Row],[Номер]]</f>
        <v>55 кв (2 вид) 0 діл. 556631</v>
      </c>
      <c r="L62" s="149" t="str">
        <f>РеестрЛКЕОД[[#This Row],[Лісництво]] &amp;" "&amp;РеестрЛКЕОД[[#This Row],[Номер]]</f>
        <v>Катеринопільське 556631</v>
      </c>
      <c r="M62" s="149"/>
      <c r="N62" s="149"/>
      <c r="O62" s="149"/>
      <c r="P62" s="149"/>
      <c r="Q62" s="149"/>
      <c r="R62" s="149"/>
      <c r="S62" s="149"/>
      <c r="T62" s="149" t="str">
        <f t="shared" si="0"/>
        <v>Катеринопільське 556631</v>
      </c>
    </row>
    <row r="63" spans="1:20">
      <c r="A63" s="149" t="s">
        <v>111</v>
      </c>
      <c r="B63" s="149" t="s">
        <v>140</v>
      </c>
      <c r="C63" s="149" t="s">
        <v>3713</v>
      </c>
      <c r="D63" s="149">
        <v>556632</v>
      </c>
      <c r="E63" s="281" t="s">
        <v>3856</v>
      </c>
      <c r="F63" s="281" t="s">
        <v>3855</v>
      </c>
      <c r="G63" s="149">
        <v>10</v>
      </c>
      <c r="H63" s="149">
        <v>177</v>
      </c>
      <c r="I63" s="149">
        <v>954</v>
      </c>
      <c r="J63" s="149">
        <v>1309</v>
      </c>
      <c r="K63" s="149" t="str">
        <f>РеестрЛКЕОД[[#This Row],[Ділянка]] &amp;" "&amp;РеестрЛКЕОД[[#This Row],[Номер]]</f>
        <v>97 кв (10 вид) 0 діл. 556632</v>
      </c>
      <c r="L63" s="149" t="str">
        <f>РеестрЛКЕОД[[#This Row],[Лісництво]] &amp;" "&amp;РеестрЛКЕОД[[#This Row],[Номер]]</f>
        <v>Катеринопільське 556632</v>
      </c>
      <c r="M63" s="149"/>
      <c r="N63" s="149"/>
      <c r="O63" s="149"/>
      <c r="P63" s="149"/>
      <c r="Q63" s="149"/>
      <c r="R63" s="149"/>
      <c r="S63" s="149"/>
      <c r="T63" s="149" t="str">
        <f t="shared" si="0"/>
        <v>Катеринопільське 556632</v>
      </c>
    </row>
    <row r="64" spans="1:20" hidden="1">
      <c r="A64" s="149" t="s">
        <v>111</v>
      </c>
      <c r="B64" s="149" t="s">
        <v>140</v>
      </c>
      <c r="C64" s="149" t="s">
        <v>3712</v>
      </c>
      <c r="D64" s="149">
        <v>556632</v>
      </c>
      <c r="E64" s="281" t="s">
        <v>3856</v>
      </c>
      <c r="F64" s="281" t="s">
        <v>3855</v>
      </c>
      <c r="G64" s="149">
        <v>2.5</v>
      </c>
      <c r="H64" s="149">
        <v>38</v>
      </c>
      <c r="I64" s="149">
        <v>293</v>
      </c>
      <c r="J64" s="149">
        <v>382</v>
      </c>
      <c r="K64" s="149" t="str">
        <f>РеестрЛКЕОД[[#This Row],[Ділянка]] &amp;" "&amp;РеестрЛКЕОД[[#This Row],[Номер]]</f>
        <v>98 кв (10 вид) 0 діл. 556632</v>
      </c>
      <c r="L64" s="149" t="str">
        <f>РеестрЛКЕОД[[#This Row],[Лісництво]] &amp;" "&amp;РеестрЛКЕОД[[#This Row],[Номер]]</f>
        <v>Катеринопільське 556632</v>
      </c>
      <c r="M64" s="149"/>
      <c r="N64" s="149"/>
      <c r="O64" s="149"/>
      <c r="P64" s="149"/>
      <c r="Q64" s="149"/>
      <c r="R64" s="149"/>
      <c r="S64" s="149" t="str">
        <f>IF(COUNTIF(L$5:L64,L64)=1,MAX(S$5:S64)+1,"")</f>
        <v/>
      </c>
      <c r="T64" s="149" t="str">
        <f t="shared" si="0"/>
        <v>Катеринопільське 556632</v>
      </c>
    </row>
    <row r="65" spans="1:20">
      <c r="A65" s="149" t="s">
        <v>111</v>
      </c>
      <c r="B65" s="149" t="s">
        <v>126</v>
      </c>
      <c r="C65" s="149" t="s">
        <v>3802</v>
      </c>
      <c r="D65" s="149">
        <v>556642</v>
      </c>
      <c r="E65" s="281" t="s">
        <v>3861</v>
      </c>
      <c r="F65" s="281" t="s">
        <v>3855</v>
      </c>
      <c r="G65" s="149">
        <v>3.9</v>
      </c>
      <c r="H65" s="149">
        <v>11</v>
      </c>
      <c r="I65" s="149">
        <v>151</v>
      </c>
      <c r="J65" s="149">
        <v>188</v>
      </c>
      <c r="K65" s="149" t="str">
        <f>РеестрЛКЕОД[[#This Row],[Ділянка]] &amp;" "&amp;РеестрЛКЕОД[[#This Row],[Номер]]</f>
        <v>106 кв (11 вид) 0 діл. 556642</v>
      </c>
      <c r="L65" s="149" t="str">
        <f>РеестрЛКЕОД[[#This Row],[Лісництво]] &amp;" "&amp;РеестрЛКЕОД[[#This Row],[Номер]]</f>
        <v>Катеринопільське 556642</v>
      </c>
      <c r="M65" s="149"/>
      <c r="N65" s="149"/>
      <c r="O65" s="149"/>
      <c r="P65" s="149"/>
      <c r="Q65" s="149"/>
      <c r="R65" s="149"/>
      <c r="S65" s="149"/>
      <c r="T65" s="149" t="str">
        <f t="shared" si="0"/>
        <v>Катеринопільське 556642</v>
      </c>
    </row>
    <row r="66" spans="1:20" hidden="1">
      <c r="A66" s="149" t="s">
        <v>111</v>
      </c>
      <c r="B66" s="149" t="s">
        <v>126</v>
      </c>
      <c r="C66" s="149" t="s">
        <v>475</v>
      </c>
      <c r="D66" s="149">
        <v>556642</v>
      </c>
      <c r="E66" s="281" t="s">
        <v>3861</v>
      </c>
      <c r="F66" s="281" t="s">
        <v>3855</v>
      </c>
      <c r="G66" s="149">
        <v>0.5</v>
      </c>
      <c r="H66" s="149"/>
      <c r="I66" s="149">
        <v>17</v>
      </c>
      <c r="J66" s="149">
        <v>20</v>
      </c>
      <c r="K66" s="149" t="str">
        <f>РеестрЛКЕОД[[#This Row],[Ділянка]] &amp;" "&amp;РеестрЛКЕОД[[#This Row],[Номер]]</f>
        <v>38 кв (1 вид) 0 діл. 556642</v>
      </c>
      <c r="L66" s="149" t="str">
        <f>РеестрЛКЕОД[[#This Row],[Лісництво]] &amp;" "&amp;РеестрЛКЕОД[[#This Row],[Номер]]</f>
        <v>Катеринопільське 556642</v>
      </c>
      <c r="M66" s="149"/>
      <c r="N66" s="149"/>
      <c r="O66" s="149"/>
      <c r="P66" s="149"/>
      <c r="Q66" s="149"/>
      <c r="R66" s="149"/>
      <c r="S66" s="149" t="str">
        <f>IF(COUNTIF(L$5:L66,L66)=1,MAX(S$5:S66)+1,"")</f>
        <v/>
      </c>
      <c r="T66" s="149" t="str">
        <f t="shared" si="0"/>
        <v>Катеринопільське 556642</v>
      </c>
    </row>
    <row r="67" spans="1:20" hidden="1">
      <c r="A67" s="149" t="s">
        <v>111</v>
      </c>
      <c r="B67" s="149" t="s">
        <v>126</v>
      </c>
      <c r="C67" s="149" t="s">
        <v>654</v>
      </c>
      <c r="D67" s="149">
        <v>556642</v>
      </c>
      <c r="E67" s="281" t="s">
        <v>3861</v>
      </c>
      <c r="F67" s="281" t="s">
        <v>3855</v>
      </c>
      <c r="G67" s="149">
        <v>2.9</v>
      </c>
      <c r="H67" s="149">
        <v>4</v>
      </c>
      <c r="I67" s="149">
        <v>114</v>
      </c>
      <c r="J67" s="149">
        <v>135</v>
      </c>
      <c r="K67" s="149" t="str">
        <f>РеестрЛКЕОД[[#This Row],[Ділянка]] &amp;" "&amp;РеестрЛКЕОД[[#This Row],[Номер]]</f>
        <v>38 кв (2 вид) 0 діл. 556642</v>
      </c>
      <c r="L67" s="149" t="str">
        <f>РеестрЛКЕОД[[#This Row],[Лісництво]] &amp;" "&amp;РеестрЛКЕОД[[#This Row],[Номер]]</f>
        <v>Катеринопільське 556642</v>
      </c>
      <c r="M67" s="149"/>
      <c r="N67" s="149"/>
      <c r="O67" s="149"/>
      <c r="P67" s="149"/>
      <c r="Q67" s="149"/>
      <c r="R67" s="149"/>
      <c r="S67" s="149" t="str">
        <f>IF(COUNTIF(L$5:L67,L67)=1,MAX(S$5:S67)+1,"")</f>
        <v/>
      </c>
      <c r="T67" s="149" t="str">
        <f t="shared" si="0"/>
        <v>Катеринопільське 556642</v>
      </c>
    </row>
    <row r="68" spans="1:20" hidden="1">
      <c r="A68" s="149" t="s">
        <v>111</v>
      </c>
      <c r="B68" s="149" t="s">
        <v>126</v>
      </c>
      <c r="C68" s="149" t="s">
        <v>3815</v>
      </c>
      <c r="D68" s="149">
        <v>556642</v>
      </c>
      <c r="E68" s="281" t="s">
        <v>3861</v>
      </c>
      <c r="F68" s="281" t="s">
        <v>3855</v>
      </c>
      <c r="G68" s="149">
        <v>20.7</v>
      </c>
      <c r="H68" s="149">
        <v>16</v>
      </c>
      <c r="I68" s="149">
        <v>820</v>
      </c>
      <c r="J68" s="149">
        <v>951</v>
      </c>
      <c r="K68" s="149" t="str">
        <f>РеестрЛКЕОД[[#This Row],[Ділянка]] &amp;" "&amp;РеестрЛКЕОД[[#This Row],[Номер]]</f>
        <v>38 кв (3 вид) 0 діл. 556642</v>
      </c>
      <c r="L68" s="149" t="str">
        <f>РеестрЛКЕОД[[#This Row],[Лісництво]] &amp;" "&amp;РеестрЛКЕОД[[#This Row],[Номер]]</f>
        <v>Катеринопільське 556642</v>
      </c>
      <c r="M68" s="149"/>
      <c r="N68" s="149"/>
      <c r="O68" s="149"/>
      <c r="P68" s="149"/>
      <c r="Q68" s="149"/>
      <c r="R68" s="149"/>
      <c r="S68" s="149" t="str">
        <f>IF(COUNTIF(L$5:L68,L68)=1,MAX(S$5:S68)+1,"")</f>
        <v/>
      </c>
      <c r="T68" s="149" t="str">
        <f t="shared" si="0"/>
        <v>Катеринопільське 556642</v>
      </c>
    </row>
    <row r="69" spans="1:20" hidden="1">
      <c r="A69" s="149" t="s">
        <v>111</v>
      </c>
      <c r="B69" s="149" t="s">
        <v>126</v>
      </c>
      <c r="C69" s="149" t="s">
        <v>3816</v>
      </c>
      <c r="D69" s="149">
        <v>556642</v>
      </c>
      <c r="E69" s="281" t="s">
        <v>3861</v>
      </c>
      <c r="F69" s="281" t="s">
        <v>3855</v>
      </c>
      <c r="G69" s="149">
        <v>0.4</v>
      </c>
      <c r="H69" s="149"/>
      <c r="I69" s="149">
        <v>11</v>
      </c>
      <c r="J69" s="149">
        <v>13</v>
      </c>
      <c r="K69" s="149" t="str">
        <f>РеестрЛКЕОД[[#This Row],[Ділянка]] &amp;" "&amp;РеестрЛКЕОД[[#This Row],[Номер]]</f>
        <v>38 кв (4 вид) 0 діл. 556642</v>
      </c>
      <c r="L69" s="149" t="str">
        <f>РеестрЛКЕОД[[#This Row],[Лісництво]] &amp;" "&amp;РеестрЛКЕОД[[#This Row],[Номер]]</f>
        <v>Катеринопільське 556642</v>
      </c>
      <c r="M69" s="149"/>
      <c r="N69" s="149"/>
      <c r="O69" s="149"/>
      <c r="P69" s="149"/>
      <c r="Q69" s="149"/>
      <c r="R69" s="149"/>
      <c r="S69" s="149" t="str">
        <f>IF(COUNTIF(L$5:L69,L69)=1,MAX(S$5:S69)+1,"")</f>
        <v/>
      </c>
      <c r="T69" s="149" t="str">
        <f t="shared" ref="T69:T132" si="1">L69:L276</f>
        <v>Катеринопільське 556642</v>
      </c>
    </row>
    <row r="70" spans="1:20">
      <c r="A70" s="149" t="s">
        <v>111</v>
      </c>
      <c r="B70" s="149" t="s">
        <v>605</v>
      </c>
      <c r="C70" s="149" t="s">
        <v>3862</v>
      </c>
      <c r="D70" s="149">
        <v>556649</v>
      </c>
      <c r="E70" s="281" t="s">
        <v>3863</v>
      </c>
      <c r="F70" s="281" t="s">
        <v>3855</v>
      </c>
      <c r="G70" s="149">
        <v>0.6</v>
      </c>
      <c r="H70" s="149">
        <v>22</v>
      </c>
      <c r="I70" s="149">
        <v>24</v>
      </c>
      <c r="J70" s="149">
        <v>53</v>
      </c>
      <c r="K70" s="149" t="str">
        <f>РеестрЛКЕОД[[#This Row],[Ділянка]] &amp;" "&amp;РеестрЛКЕОД[[#This Row],[Номер]]</f>
        <v>125 кв (18 вид) 1 діл. 556649</v>
      </c>
      <c r="L70" s="149" t="str">
        <f>РеестрЛКЕОД[[#This Row],[Лісництво]] &amp;" "&amp;РеестрЛКЕОД[[#This Row],[Номер]]</f>
        <v>Катеринопільське 556649</v>
      </c>
      <c r="M70" s="149"/>
      <c r="N70" s="149"/>
      <c r="O70" s="149"/>
      <c r="P70" s="149"/>
      <c r="Q70" s="149"/>
      <c r="R70" s="149"/>
      <c r="S70" s="149"/>
      <c r="T70" s="149" t="str">
        <f t="shared" si="1"/>
        <v>Катеринопільське 556649</v>
      </c>
    </row>
    <row r="71" spans="1:20" hidden="1">
      <c r="A71" s="149" t="s">
        <v>111</v>
      </c>
      <c r="B71" s="149" t="s">
        <v>605</v>
      </c>
      <c r="C71" s="149" t="s">
        <v>3864</v>
      </c>
      <c r="D71" s="149">
        <v>556649</v>
      </c>
      <c r="E71" s="281" t="s">
        <v>3863</v>
      </c>
      <c r="F71" s="281" t="s">
        <v>3855</v>
      </c>
      <c r="G71" s="149">
        <v>0.6</v>
      </c>
      <c r="H71" s="149">
        <v>16</v>
      </c>
      <c r="I71" s="149">
        <v>40</v>
      </c>
      <c r="J71" s="149">
        <v>65</v>
      </c>
      <c r="K71" s="149" t="str">
        <f>РеестрЛКЕОД[[#This Row],[Ділянка]] &amp;" "&amp;РеестрЛКЕОД[[#This Row],[Номер]]</f>
        <v>125 кв (22 вид) 1 діл. 556649</v>
      </c>
      <c r="L71" s="149" t="str">
        <f>РеестрЛКЕОД[[#This Row],[Лісництво]] &amp;" "&amp;РеестрЛКЕОД[[#This Row],[Номер]]</f>
        <v>Катеринопільське 556649</v>
      </c>
      <c r="M71" s="149"/>
      <c r="N71" s="149"/>
      <c r="O71" s="149"/>
      <c r="P71" s="149"/>
      <c r="Q71" s="149"/>
      <c r="R71" s="149"/>
      <c r="S71" s="149" t="str">
        <f>IF(COUNTIF(L$5:L71,L71)=1,MAX(S$5:S71)+1,"")</f>
        <v/>
      </c>
      <c r="T71" s="149" t="str">
        <f t="shared" si="1"/>
        <v>Катеринопільське 556649</v>
      </c>
    </row>
    <row r="72" spans="1:20" hidden="1">
      <c r="A72" s="149" t="s">
        <v>111</v>
      </c>
      <c r="B72" s="149" t="s">
        <v>605</v>
      </c>
      <c r="C72" s="149" t="s">
        <v>3865</v>
      </c>
      <c r="D72" s="149">
        <v>556649</v>
      </c>
      <c r="E72" s="281" t="s">
        <v>3863</v>
      </c>
      <c r="F72" s="281" t="s">
        <v>3855</v>
      </c>
      <c r="G72" s="149">
        <v>0.5</v>
      </c>
      <c r="H72" s="149"/>
      <c r="I72" s="149">
        <v>42</v>
      </c>
      <c r="J72" s="149">
        <v>47</v>
      </c>
      <c r="K72" s="149" t="str">
        <f>РеестрЛКЕОД[[#This Row],[Ділянка]] &amp;" "&amp;РеестрЛКЕОД[[#This Row],[Номер]]</f>
        <v>125 кв (26 вид) 1 діл. 556649</v>
      </c>
      <c r="L72" s="149" t="str">
        <f>РеестрЛКЕОД[[#This Row],[Лісництво]] &amp;" "&amp;РеестрЛКЕОД[[#This Row],[Номер]]</f>
        <v>Катеринопільське 556649</v>
      </c>
      <c r="M72" s="149"/>
      <c r="N72" s="149"/>
      <c r="O72" s="149"/>
      <c r="P72" s="149"/>
      <c r="Q72" s="149"/>
      <c r="R72" s="149"/>
      <c r="S72" s="149" t="str">
        <f>IF(COUNTIF(L$5:L72,L72)=1,MAX(S$5:S72)+1,"")</f>
        <v/>
      </c>
      <c r="T72" s="149" t="str">
        <f t="shared" si="1"/>
        <v>Катеринопільське 556649</v>
      </c>
    </row>
    <row r="73" spans="1:20">
      <c r="A73" s="149" t="s">
        <v>112</v>
      </c>
      <c r="B73" s="149" t="s">
        <v>128</v>
      </c>
      <c r="C73" s="149" t="s">
        <v>631</v>
      </c>
      <c r="D73" s="149">
        <v>556617</v>
      </c>
      <c r="E73" s="281" t="s">
        <v>3723</v>
      </c>
      <c r="F73" s="281" t="s">
        <v>3855</v>
      </c>
      <c r="G73" s="149">
        <v>0.4</v>
      </c>
      <c r="H73" s="149">
        <v>46</v>
      </c>
      <c r="I73" s="149">
        <v>85</v>
      </c>
      <c r="J73" s="149">
        <v>148</v>
      </c>
      <c r="K73" s="149" t="str">
        <f>РеестрЛКЕОД[[#This Row],[Ділянка]] &amp;" "&amp;РеестрЛКЕОД[[#This Row],[Номер]]</f>
        <v>16 кв (5 вид) 0 діл. 556617</v>
      </c>
      <c r="L73" s="149" t="str">
        <f>РеестрЛКЕОД[[#This Row],[Лісництво]] &amp;" "&amp;РеестрЛКЕОД[[#This Row],[Номер]]</f>
        <v>Козачанське 556617</v>
      </c>
      <c r="M73" s="149"/>
      <c r="N73" s="149"/>
      <c r="O73" s="149"/>
      <c r="P73" s="149"/>
      <c r="Q73" s="149"/>
      <c r="R73" s="149"/>
      <c r="S73" s="149"/>
      <c r="T73" s="149" t="str">
        <f t="shared" si="1"/>
        <v>Козачанське 556617</v>
      </c>
    </row>
    <row r="74" spans="1:20" hidden="1">
      <c r="A74" s="149" t="s">
        <v>112</v>
      </c>
      <c r="B74" s="149" t="s">
        <v>128</v>
      </c>
      <c r="C74" s="149" t="s">
        <v>637</v>
      </c>
      <c r="D74" s="149">
        <v>556617</v>
      </c>
      <c r="E74" s="281" t="s">
        <v>3723</v>
      </c>
      <c r="F74" s="281" t="s">
        <v>3855</v>
      </c>
      <c r="G74" s="149">
        <v>1.6</v>
      </c>
      <c r="H74" s="149">
        <v>344</v>
      </c>
      <c r="I74" s="149">
        <v>369</v>
      </c>
      <c r="J74" s="149">
        <v>820</v>
      </c>
      <c r="K74" s="149" t="str">
        <f>РеестрЛКЕОД[[#This Row],[Ділянка]] &amp;" "&amp;РеестрЛКЕОД[[#This Row],[Номер]]</f>
        <v>2 кв (7 вид) 0 діл. 556617</v>
      </c>
      <c r="L74" s="149" t="str">
        <f>РеестрЛКЕОД[[#This Row],[Лісництво]] &amp;" "&amp;РеестрЛКЕОД[[#This Row],[Номер]]</f>
        <v>Козачанське 556617</v>
      </c>
      <c r="M74" s="149"/>
      <c r="N74" s="149"/>
      <c r="O74" s="149"/>
      <c r="P74" s="149"/>
      <c r="Q74" s="149"/>
      <c r="R74" s="149"/>
      <c r="S74" s="149" t="str">
        <f>IF(COUNTIF(L$5:L74,L74)=1,MAX(S$5:S74)+1,"")</f>
        <v/>
      </c>
      <c r="T74" s="149" t="str">
        <f t="shared" si="1"/>
        <v>Козачанське 556617</v>
      </c>
    </row>
    <row r="75" spans="1:20" hidden="1">
      <c r="A75" s="149" t="s">
        <v>112</v>
      </c>
      <c r="B75" s="149" t="s">
        <v>128</v>
      </c>
      <c r="C75" s="149" t="s">
        <v>3634</v>
      </c>
      <c r="D75" s="149">
        <v>556617</v>
      </c>
      <c r="E75" s="281" t="s">
        <v>3723</v>
      </c>
      <c r="F75" s="281" t="s">
        <v>3855</v>
      </c>
      <c r="G75" s="149">
        <v>1.1000000000000001</v>
      </c>
      <c r="H75" s="149">
        <v>237</v>
      </c>
      <c r="I75" s="149">
        <v>137</v>
      </c>
      <c r="J75" s="149">
        <v>434</v>
      </c>
      <c r="K75" s="149" t="str">
        <f>РеестрЛКЕОД[[#This Row],[Ділянка]] &amp;" "&amp;РеестрЛКЕОД[[#This Row],[Номер]]</f>
        <v>23 кв (13 вид) 0 діл. 556617</v>
      </c>
      <c r="L75" s="149" t="str">
        <f>РеестрЛКЕОД[[#This Row],[Лісництво]] &amp;" "&amp;РеестрЛКЕОД[[#This Row],[Номер]]</f>
        <v>Козачанське 556617</v>
      </c>
      <c r="M75" s="149"/>
      <c r="N75" s="149"/>
      <c r="O75" s="149"/>
      <c r="P75" s="149"/>
      <c r="Q75" s="149"/>
      <c r="R75" s="149"/>
      <c r="S75" s="149" t="str">
        <f>IF(COUNTIF(L$5:L75,L75)=1,MAX(S$5:S75)+1,"")</f>
        <v/>
      </c>
      <c r="T75" s="149" t="str">
        <f t="shared" si="1"/>
        <v>Козачанське 556617</v>
      </c>
    </row>
    <row r="76" spans="1:20" hidden="1">
      <c r="A76" s="149" t="s">
        <v>112</v>
      </c>
      <c r="B76" s="149" t="s">
        <v>128</v>
      </c>
      <c r="C76" s="149" t="s">
        <v>3628</v>
      </c>
      <c r="D76" s="149">
        <v>556617</v>
      </c>
      <c r="E76" s="281" t="s">
        <v>3723</v>
      </c>
      <c r="F76" s="281" t="s">
        <v>3855</v>
      </c>
      <c r="G76" s="149">
        <v>2.9</v>
      </c>
      <c r="H76" s="149">
        <v>436</v>
      </c>
      <c r="I76" s="149">
        <v>451</v>
      </c>
      <c r="J76" s="149">
        <v>1024</v>
      </c>
      <c r="K76" s="149" t="str">
        <f>РеестрЛКЕОД[[#This Row],[Ділянка]] &amp;" "&amp;РеестрЛКЕОД[[#This Row],[Номер]]</f>
        <v>24 кв (3 вид) 0 діл. 556617</v>
      </c>
      <c r="L76" s="149" t="str">
        <f>РеестрЛКЕОД[[#This Row],[Лісництво]] &amp;" "&amp;РеестрЛКЕОД[[#This Row],[Номер]]</f>
        <v>Козачанське 556617</v>
      </c>
      <c r="M76" s="149"/>
      <c r="N76" s="149"/>
      <c r="O76" s="149"/>
      <c r="P76" s="149"/>
      <c r="Q76" s="149"/>
      <c r="R76" s="149"/>
      <c r="S76" s="149" t="str">
        <f>IF(COUNTIF(L$5:L76,L76)=1,MAX(S$5:S76)+1,"")</f>
        <v/>
      </c>
      <c r="T76" s="149" t="str">
        <f t="shared" si="1"/>
        <v>Козачанське 556617</v>
      </c>
    </row>
    <row r="77" spans="1:20" hidden="1">
      <c r="A77" s="149" t="s">
        <v>112</v>
      </c>
      <c r="B77" s="149" t="s">
        <v>128</v>
      </c>
      <c r="C77" s="149" t="s">
        <v>3635</v>
      </c>
      <c r="D77" s="149">
        <v>556617</v>
      </c>
      <c r="E77" s="281" t="s">
        <v>3723</v>
      </c>
      <c r="F77" s="281" t="s">
        <v>3855</v>
      </c>
      <c r="G77" s="149">
        <v>1.9</v>
      </c>
      <c r="H77" s="149">
        <v>261</v>
      </c>
      <c r="I77" s="149">
        <v>314</v>
      </c>
      <c r="J77" s="149">
        <v>662</v>
      </c>
      <c r="K77" s="149" t="str">
        <f>РеестрЛКЕОД[[#This Row],[Ділянка]] &amp;" "&amp;РеестрЛКЕОД[[#This Row],[Номер]]</f>
        <v>27 кв (11 вид) 0 діл. 556617</v>
      </c>
      <c r="L77" s="149" t="str">
        <f>РеестрЛКЕОД[[#This Row],[Лісництво]] &amp;" "&amp;РеестрЛКЕОД[[#This Row],[Номер]]</f>
        <v>Козачанське 556617</v>
      </c>
      <c r="M77" s="149"/>
      <c r="N77" s="149"/>
      <c r="O77" s="149"/>
      <c r="P77" s="149"/>
      <c r="Q77" s="149"/>
      <c r="R77" s="149"/>
      <c r="S77" s="149" t="str">
        <f>IF(COUNTIF(L$5:L77,L77)=1,MAX(S$5:S77)+1,"")</f>
        <v/>
      </c>
      <c r="T77" s="149" t="str">
        <f t="shared" si="1"/>
        <v>Козачанське 556617</v>
      </c>
    </row>
    <row r="78" spans="1:20" hidden="1">
      <c r="A78" s="149" t="s">
        <v>112</v>
      </c>
      <c r="B78" s="149" t="s">
        <v>128</v>
      </c>
      <c r="C78" s="149" t="s">
        <v>3630</v>
      </c>
      <c r="D78" s="149">
        <v>556617</v>
      </c>
      <c r="E78" s="281" t="s">
        <v>3723</v>
      </c>
      <c r="F78" s="281" t="s">
        <v>3855</v>
      </c>
      <c r="G78" s="149">
        <v>4</v>
      </c>
      <c r="H78" s="149">
        <v>561</v>
      </c>
      <c r="I78" s="149">
        <v>738</v>
      </c>
      <c r="J78" s="149">
        <v>1497</v>
      </c>
      <c r="K78" s="149" t="str">
        <f>РеестрЛКЕОД[[#This Row],[Ділянка]] &amp;" "&amp;РеестрЛКЕОД[[#This Row],[Номер]]</f>
        <v>3 кв (3 вид) 1 діл. 556617</v>
      </c>
      <c r="L78" s="149" t="str">
        <f>РеестрЛКЕОД[[#This Row],[Лісництво]] &amp;" "&amp;РеестрЛКЕОД[[#This Row],[Номер]]</f>
        <v>Козачанське 556617</v>
      </c>
      <c r="M78" s="149"/>
      <c r="N78" s="149"/>
      <c r="O78" s="149"/>
      <c r="P78" s="149"/>
      <c r="Q78" s="149"/>
      <c r="R78" s="149"/>
      <c r="S78" s="149" t="str">
        <f>IF(COUNTIF(L$5:L78,L78)=1,MAX(S$5:S78)+1,"")</f>
        <v/>
      </c>
      <c r="T78" s="149" t="str">
        <f t="shared" si="1"/>
        <v>Козачанське 556617</v>
      </c>
    </row>
    <row r="79" spans="1:20" hidden="1">
      <c r="A79" s="149" t="s">
        <v>112</v>
      </c>
      <c r="B79" s="149" t="s">
        <v>128</v>
      </c>
      <c r="C79" s="149" t="s">
        <v>3631</v>
      </c>
      <c r="D79" s="149">
        <v>556617</v>
      </c>
      <c r="E79" s="281" t="s">
        <v>3723</v>
      </c>
      <c r="F79" s="281" t="s">
        <v>3855</v>
      </c>
      <c r="G79" s="149">
        <v>1.3</v>
      </c>
      <c r="H79" s="149">
        <v>203</v>
      </c>
      <c r="I79" s="149">
        <v>246</v>
      </c>
      <c r="J79" s="149">
        <v>516</v>
      </c>
      <c r="K79" s="149" t="str">
        <f>РеестрЛКЕОД[[#This Row],[Ділянка]] &amp;" "&amp;РеестрЛКЕОД[[#This Row],[Номер]]</f>
        <v>40 кв (7 вид) 0 діл. 556617</v>
      </c>
      <c r="L79" s="149" t="str">
        <f>РеестрЛКЕОД[[#This Row],[Лісництво]] &amp;" "&amp;РеестрЛКЕОД[[#This Row],[Номер]]</f>
        <v>Козачанське 556617</v>
      </c>
      <c r="M79" s="149"/>
      <c r="N79" s="149"/>
      <c r="O79" s="149"/>
      <c r="P79" s="149"/>
      <c r="Q79" s="149"/>
      <c r="R79" s="149"/>
      <c r="S79" s="149" t="str">
        <f>IF(COUNTIF(L$5:L79,L79)=1,MAX(S$5:S79)+1,"")</f>
        <v/>
      </c>
      <c r="T79" s="149" t="str">
        <f t="shared" si="1"/>
        <v>Козачанське 556617</v>
      </c>
    </row>
    <row r="80" spans="1:20" hidden="1">
      <c r="A80" s="149" t="s">
        <v>112</v>
      </c>
      <c r="B80" s="149" t="s">
        <v>128</v>
      </c>
      <c r="C80" s="149" t="s">
        <v>3637</v>
      </c>
      <c r="D80" s="149">
        <v>556617</v>
      </c>
      <c r="E80" s="281" t="s">
        <v>3723</v>
      </c>
      <c r="F80" s="281" t="s">
        <v>3855</v>
      </c>
      <c r="G80" s="149">
        <v>2.9</v>
      </c>
      <c r="H80" s="149">
        <v>453</v>
      </c>
      <c r="I80" s="149">
        <v>557</v>
      </c>
      <c r="J80" s="149">
        <v>1164</v>
      </c>
      <c r="K80" s="149" t="str">
        <f>РеестрЛКЕОД[[#This Row],[Ділянка]] &amp;" "&amp;РеестрЛКЕОД[[#This Row],[Номер]]</f>
        <v>45 кв (2 вид) 0 діл. 556617</v>
      </c>
      <c r="L80" s="149" t="str">
        <f>РеестрЛКЕОД[[#This Row],[Лісництво]] &amp;" "&amp;РеестрЛКЕОД[[#This Row],[Номер]]</f>
        <v>Козачанське 556617</v>
      </c>
      <c r="M80" s="149"/>
      <c r="N80" s="149"/>
      <c r="O80" s="149"/>
      <c r="P80" s="149"/>
      <c r="Q80" s="149"/>
      <c r="R80" s="149"/>
      <c r="S80" s="149" t="str">
        <f>IF(COUNTIF(L$5:L80,L80)=1,MAX(S$5:S80)+1,"")</f>
        <v/>
      </c>
      <c r="T80" s="149" t="str">
        <f t="shared" si="1"/>
        <v>Козачанське 556617</v>
      </c>
    </row>
    <row r="81" spans="1:20" hidden="1">
      <c r="A81" s="149" t="s">
        <v>112</v>
      </c>
      <c r="B81" s="149" t="s">
        <v>128</v>
      </c>
      <c r="C81" s="149" t="s">
        <v>3636</v>
      </c>
      <c r="D81" s="149">
        <v>556617</v>
      </c>
      <c r="E81" s="281" t="s">
        <v>3723</v>
      </c>
      <c r="F81" s="281" t="s">
        <v>3855</v>
      </c>
      <c r="G81" s="149">
        <v>3.7</v>
      </c>
      <c r="H81" s="149">
        <v>492</v>
      </c>
      <c r="I81" s="149">
        <v>489</v>
      </c>
      <c r="J81" s="149">
        <v>1130</v>
      </c>
      <c r="K81" s="149" t="str">
        <f>РеестрЛКЕОД[[#This Row],[Ділянка]] &amp;" "&amp;РеестрЛКЕОД[[#This Row],[Номер]]</f>
        <v>51 кв (2 вид) 0 діл. 556617</v>
      </c>
      <c r="L81" s="149" t="str">
        <f>РеестрЛКЕОД[[#This Row],[Лісництво]] &amp;" "&amp;РеестрЛКЕОД[[#This Row],[Номер]]</f>
        <v>Козачанське 556617</v>
      </c>
      <c r="M81" s="149"/>
      <c r="N81" s="149"/>
      <c r="O81" s="149"/>
      <c r="P81" s="149"/>
      <c r="Q81" s="149"/>
      <c r="R81" s="149"/>
      <c r="S81" s="149" t="str">
        <f>IF(COUNTIF(L$5:L81,L81)=1,MAX(S$5:S81)+1,"")</f>
        <v/>
      </c>
      <c r="T81" s="149" t="str">
        <f t="shared" si="1"/>
        <v>Козачанське 556617</v>
      </c>
    </row>
    <row r="82" spans="1:20" hidden="1">
      <c r="A82" s="149" t="s">
        <v>112</v>
      </c>
      <c r="B82" s="149" t="s">
        <v>128</v>
      </c>
      <c r="C82" s="149" t="s">
        <v>3632</v>
      </c>
      <c r="D82" s="149">
        <v>556617</v>
      </c>
      <c r="E82" s="281" t="s">
        <v>3723</v>
      </c>
      <c r="F82" s="281" t="s">
        <v>3855</v>
      </c>
      <c r="G82" s="149">
        <v>4.3</v>
      </c>
      <c r="H82" s="149">
        <v>733</v>
      </c>
      <c r="I82" s="149">
        <v>813</v>
      </c>
      <c r="J82" s="149">
        <v>1778</v>
      </c>
      <c r="K82" s="149" t="str">
        <f>РеестрЛКЕОД[[#This Row],[Ділянка]] &amp;" "&amp;РеестрЛКЕОД[[#This Row],[Номер]]</f>
        <v>54 кв (9 вид) 0 діл. 556617</v>
      </c>
      <c r="L82" s="149" t="str">
        <f>РеестрЛКЕОД[[#This Row],[Лісництво]] &amp;" "&amp;РеестрЛКЕОД[[#This Row],[Номер]]</f>
        <v>Козачанське 556617</v>
      </c>
      <c r="M82" s="149"/>
      <c r="N82" s="149"/>
      <c r="O82" s="149"/>
      <c r="P82" s="149"/>
      <c r="Q82" s="149"/>
      <c r="R82" s="149"/>
      <c r="S82" s="149" t="str">
        <f>IF(COUNTIF(L$5:L82,L82)=1,MAX(S$5:S82)+1,"")</f>
        <v/>
      </c>
      <c r="T82" s="149" t="str">
        <f t="shared" si="1"/>
        <v>Козачанське 556617</v>
      </c>
    </row>
    <row r="83" spans="1:20" hidden="1">
      <c r="A83" s="149" t="s">
        <v>112</v>
      </c>
      <c r="B83" s="149" t="s">
        <v>128</v>
      </c>
      <c r="C83" s="149" t="s">
        <v>3633</v>
      </c>
      <c r="D83" s="149">
        <v>556617</v>
      </c>
      <c r="E83" s="281" t="s">
        <v>3723</v>
      </c>
      <c r="F83" s="281" t="s">
        <v>3855</v>
      </c>
      <c r="G83" s="149">
        <v>1</v>
      </c>
      <c r="H83" s="149">
        <v>103</v>
      </c>
      <c r="I83" s="149">
        <v>220</v>
      </c>
      <c r="J83" s="149">
        <v>373</v>
      </c>
      <c r="K83" s="149" t="str">
        <f>РеестрЛКЕОД[[#This Row],[Ділянка]] &amp;" "&amp;РеестрЛКЕОД[[#This Row],[Номер]]</f>
        <v>76 кв (5 вид) 1 діл. 556617</v>
      </c>
      <c r="L83" s="149" t="str">
        <f>РеестрЛКЕОД[[#This Row],[Лісництво]] &amp;" "&amp;РеестрЛКЕОД[[#This Row],[Номер]]</f>
        <v>Козачанське 556617</v>
      </c>
      <c r="M83" s="149"/>
      <c r="N83" s="149"/>
      <c r="O83" s="149"/>
      <c r="P83" s="149"/>
      <c r="Q83" s="149"/>
      <c r="R83" s="149"/>
      <c r="S83" s="149" t="str">
        <f>IF(COUNTIF(L$5:L83,L83)=1,MAX(S$5:S83)+1,"")</f>
        <v/>
      </c>
      <c r="T83" s="149" t="str">
        <f t="shared" si="1"/>
        <v>Козачанське 556617</v>
      </c>
    </row>
    <row r="84" spans="1:20" hidden="1">
      <c r="A84" s="149" t="s">
        <v>112</v>
      </c>
      <c r="B84" s="149" t="s">
        <v>128</v>
      </c>
      <c r="C84" s="149" t="s">
        <v>3629</v>
      </c>
      <c r="D84" s="149">
        <v>556617</v>
      </c>
      <c r="E84" s="281" t="s">
        <v>3723</v>
      </c>
      <c r="F84" s="281" t="s">
        <v>3855</v>
      </c>
      <c r="G84" s="149">
        <v>2</v>
      </c>
      <c r="H84" s="149">
        <v>241</v>
      </c>
      <c r="I84" s="149">
        <v>407</v>
      </c>
      <c r="J84" s="149">
        <v>747</v>
      </c>
      <c r="K84" s="149" t="str">
        <f>РеестрЛКЕОД[[#This Row],[Ділянка]] &amp;" "&amp;РеестрЛКЕОД[[#This Row],[Номер]]</f>
        <v>78 кв (2 вид) 0 діл. 556617</v>
      </c>
      <c r="L84" s="149" t="str">
        <f>РеестрЛКЕОД[[#This Row],[Лісництво]] &amp;" "&amp;РеестрЛКЕОД[[#This Row],[Номер]]</f>
        <v>Козачанське 556617</v>
      </c>
      <c r="M84" s="149"/>
      <c r="N84" s="149"/>
      <c r="O84" s="149"/>
      <c r="P84" s="149"/>
      <c r="Q84" s="149"/>
      <c r="R84" s="149"/>
      <c r="S84" s="149" t="str">
        <f>IF(COUNTIF(L$5:L84,L84)=1,MAX(S$5:S84)+1,"")</f>
        <v/>
      </c>
      <c r="T84" s="149" t="str">
        <f t="shared" si="1"/>
        <v>Козачанське 556617</v>
      </c>
    </row>
    <row r="85" spans="1:20">
      <c r="A85" s="149" t="s">
        <v>112</v>
      </c>
      <c r="B85" s="149" t="s">
        <v>134</v>
      </c>
      <c r="C85" s="149" t="s">
        <v>3716</v>
      </c>
      <c r="D85" s="149">
        <v>556633</v>
      </c>
      <c r="E85" s="281" t="s">
        <v>3856</v>
      </c>
      <c r="F85" s="281" t="s">
        <v>3855</v>
      </c>
      <c r="G85" s="149">
        <v>0.7</v>
      </c>
      <c r="H85" s="149"/>
      <c r="I85" s="149"/>
      <c r="J85" s="149">
        <v>25</v>
      </c>
      <c r="K85" s="149" t="str">
        <f>РеестрЛКЕОД[[#This Row],[Ділянка]] &amp;" "&amp;РеестрЛКЕОД[[#This Row],[Номер]]</f>
        <v>19 кв (7 вид) 0 діл. 556633</v>
      </c>
      <c r="L85" s="149" t="str">
        <f>РеестрЛКЕОД[[#This Row],[Лісництво]] &amp;" "&amp;РеестрЛКЕОД[[#This Row],[Номер]]</f>
        <v>Козачанське 556633</v>
      </c>
      <c r="M85" s="149"/>
      <c r="N85" s="149"/>
      <c r="O85" s="149"/>
      <c r="P85" s="149"/>
      <c r="Q85" s="149"/>
      <c r="R85" s="149"/>
      <c r="S85" s="149"/>
      <c r="T85" s="149" t="str">
        <f t="shared" si="1"/>
        <v>Козачанське 556633</v>
      </c>
    </row>
    <row r="86" spans="1:20" hidden="1">
      <c r="A86" s="149" t="s">
        <v>112</v>
      </c>
      <c r="B86" s="149" t="s">
        <v>134</v>
      </c>
      <c r="C86" s="149" t="s">
        <v>3718</v>
      </c>
      <c r="D86" s="149">
        <v>556633</v>
      </c>
      <c r="E86" s="281" t="s">
        <v>3856</v>
      </c>
      <c r="F86" s="281" t="s">
        <v>3855</v>
      </c>
      <c r="G86" s="149">
        <v>1.2</v>
      </c>
      <c r="H86" s="149"/>
      <c r="I86" s="149"/>
      <c r="J86" s="149">
        <v>26</v>
      </c>
      <c r="K86" s="149" t="str">
        <f>РеестрЛКЕОД[[#This Row],[Ділянка]] &amp;" "&amp;РеестрЛКЕОД[[#This Row],[Номер]]</f>
        <v>26 кв (6 вид) 0 діл. 556633</v>
      </c>
      <c r="L86" s="149" t="str">
        <f>РеестрЛКЕОД[[#This Row],[Лісництво]] &amp;" "&amp;РеестрЛКЕОД[[#This Row],[Номер]]</f>
        <v>Козачанське 556633</v>
      </c>
      <c r="M86" s="149"/>
      <c r="N86" s="149"/>
      <c r="O86" s="149"/>
      <c r="P86" s="149"/>
      <c r="Q86" s="149"/>
      <c r="R86" s="149"/>
      <c r="S86" s="149" t="str">
        <f>IF(COUNTIF(L$5:L86,L86)=1,MAX(S$5:S86)+1,"")</f>
        <v/>
      </c>
      <c r="T86" s="149" t="str">
        <f t="shared" si="1"/>
        <v>Козачанське 556633</v>
      </c>
    </row>
    <row r="87" spans="1:20" hidden="1">
      <c r="A87" s="149" t="s">
        <v>112</v>
      </c>
      <c r="B87" s="149" t="s">
        <v>134</v>
      </c>
      <c r="C87" s="149" t="s">
        <v>3719</v>
      </c>
      <c r="D87" s="149">
        <v>556633</v>
      </c>
      <c r="E87" s="281" t="s">
        <v>3856</v>
      </c>
      <c r="F87" s="281" t="s">
        <v>3855</v>
      </c>
      <c r="G87" s="149">
        <v>0.3</v>
      </c>
      <c r="H87" s="149"/>
      <c r="I87" s="149"/>
      <c r="J87" s="149">
        <v>7</v>
      </c>
      <c r="K87" s="149" t="str">
        <f>РеестрЛКЕОД[[#This Row],[Ділянка]] &amp;" "&amp;РеестрЛКЕОД[[#This Row],[Номер]]</f>
        <v>28 кв (15 вид) 0 діл. 556633</v>
      </c>
      <c r="L87" s="149" t="str">
        <f>РеестрЛКЕОД[[#This Row],[Лісництво]] &amp;" "&amp;РеестрЛКЕОД[[#This Row],[Номер]]</f>
        <v>Козачанське 556633</v>
      </c>
      <c r="M87" s="149"/>
      <c r="N87" s="149"/>
      <c r="O87" s="149"/>
      <c r="P87" s="149"/>
      <c r="Q87" s="149"/>
      <c r="R87" s="149"/>
      <c r="S87" s="149" t="str">
        <f>IF(COUNTIF(L$5:L87,L87)=1,MAX(S$5:S87)+1,"")</f>
        <v/>
      </c>
      <c r="T87" s="149" t="str">
        <f t="shared" si="1"/>
        <v>Козачанське 556633</v>
      </c>
    </row>
    <row r="88" spans="1:20" hidden="1">
      <c r="A88" s="149" t="s">
        <v>112</v>
      </c>
      <c r="B88" s="149" t="s">
        <v>134</v>
      </c>
      <c r="C88" s="149" t="s">
        <v>3717</v>
      </c>
      <c r="D88" s="149">
        <v>556633</v>
      </c>
      <c r="E88" s="281" t="s">
        <v>3856</v>
      </c>
      <c r="F88" s="281" t="s">
        <v>3855</v>
      </c>
      <c r="G88" s="149">
        <v>2.1</v>
      </c>
      <c r="H88" s="149"/>
      <c r="I88" s="149">
        <v>13</v>
      </c>
      <c r="J88" s="149">
        <v>46</v>
      </c>
      <c r="K88" s="149" t="str">
        <f>РеестрЛКЕОД[[#This Row],[Ділянка]] &amp;" "&amp;РеестрЛКЕОД[[#This Row],[Номер]]</f>
        <v>35 кв (8 вид) 0 діл. 556633</v>
      </c>
      <c r="L88" s="149" t="str">
        <f>РеестрЛКЕОД[[#This Row],[Лісництво]] &amp;" "&amp;РеестрЛКЕОД[[#This Row],[Номер]]</f>
        <v>Козачанське 556633</v>
      </c>
      <c r="M88" s="149"/>
      <c r="N88" s="149"/>
      <c r="O88" s="149"/>
      <c r="P88" s="149"/>
      <c r="Q88" s="149"/>
      <c r="R88" s="149"/>
      <c r="S88" s="149" t="str">
        <f>IF(COUNTIF(L$5:L88,L88)=1,MAX(S$5:S88)+1,"")</f>
        <v/>
      </c>
      <c r="T88" s="149" t="str">
        <f t="shared" si="1"/>
        <v>Козачанське 556633</v>
      </c>
    </row>
    <row r="89" spans="1:20" hidden="1">
      <c r="A89" s="149" t="s">
        <v>112</v>
      </c>
      <c r="B89" s="149" t="s">
        <v>134</v>
      </c>
      <c r="C89" s="149" t="s">
        <v>3715</v>
      </c>
      <c r="D89" s="149">
        <v>556633</v>
      </c>
      <c r="E89" s="281" t="s">
        <v>3856</v>
      </c>
      <c r="F89" s="281" t="s">
        <v>3855</v>
      </c>
      <c r="G89" s="149">
        <v>5.6</v>
      </c>
      <c r="H89" s="149"/>
      <c r="I89" s="149">
        <v>13</v>
      </c>
      <c r="J89" s="149">
        <v>122</v>
      </c>
      <c r="K89" s="149" t="str">
        <f>РеестрЛКЕОД[[#This Row],[Ділянка]] &amp;" "&amp;РеестрЛКЕОД[[#This Row],[Номер]]</f>
        <v>39 кв (9 вид) 0 діл. 556633</v>
      </c>
      <c r="L89" s="149" t="str">
        <f>РеестрЛКЕОД[[#This Row],[Лісництво]] &amp;" "&amp;РеестрЛКЕОД[[#This Row],[Номер]]</f>
        <v>Козачанське 556633</v>
      </c>
      <c r="M89" s="149"/>
      <c r="N89" s="149"/>
      <c r="O89" s="149"/>
      <c r="P89" s="149"/>
      <c r="Q89" s="149"/>
      <c r="R89" s="149"/>
      <c r="S89" s="149" t="str">
        <f>IF(COUNTIF(L$5:L89,L89)=1,MAX(S$5:S89)+1,"")</f>
        <v/>
      </c>
      <c r="T89" s="149" t="str">
        <f t="shared" si="1"/>
        <v>Козачанське 556633</v>
      </c>
    </row>
    <row r="90" spans="1:20" hidden="1">
      <c r="A90" s="149" t="s">
        <v>112</v>
      </c>
      <c r="B90" s="149" t="s">
        <v>134</v>
      </c>
      <c r="C90" s="149" t="s">
        <v>3714</v>
      </c>
      <c r="D90" s="149">
        <v>556633</v>
      </c>
      <c r="E90" s="281" t="s">
        <v>3856</v>
      </c>
      <c r="F90" s="281" t="s">
        <v>3855</v>
      </c>
      <c r="G90" s="149">
        <v>2.4</v>
      </c>
      <c r="H90" s="149"/>
      <c r="I90" s="149"/>
      <c r="J90" s="149">
        <v>44</v>
      </c>
      <c r="K90" s="149" t="str">
        <f>РеестрЛКЕОД[[#This Row],[Ділянка]] &amp;" "&amp;РеестрЛКЕОД[[#This Row],[Номер]]</f>
        <v>44 кв (1 вид) 0 діл. 556633</v>
      </c>
      <c r="L90" s="149" t="str">
        <f>РеестрЛКЕОД[[#This Row],[Лісництво]] &amp;" "&amp;РеестрЛКЕОД[[#This Row],[Номер]]</f>
        <v>Козачанське 556633</v>
      </c>
      <c r="M90" s="149"/>
      <c r="N90" s="149"/>
      <c r="O90" s="149"/>
      <c r="P90" s="149"/>
      <c r="Q90" s="149"/>
      <c r="R90" s="149"/>
      <c r="S90" s="149" t="str">
        <f>IF(COUNTIF(L$5:L90,L90)=1,MAX(S$5:S90)+1,"")</f>
        <v/>
      </c>
      <c r="T90" s="149" t="str">
        <f t="shared" si="1"/>
        <v>Козачанське 556633</v>
      </c>
    </row>
    <row r="91" spans="1:20">
      <c r="A91" s="149" t="s">
        <v>112</v>
      </c>
      <c r="B91" s="149" t="s">
        <v>124</v>
      </c>
      <c r="C91" s="149" t="s">
        <v>3720</v>
      </c>
      <c r="D91" s="149">
        <v>556634</v>
      </c>
      <c r="E91" s="281" t="s">
        <v>3856</v>
      </c>
      <c r="F91" s="281" t="s">
        <v>3855</v>
      </c>
      <c r="G91" s="149">
        <v>3.1</v>
      </c>
      <c r="H91" s="149"/>
      <c r="I91" s="149">
        <v>17</v>
      </c>
      <c r="J91" s="149">
        <v>87</v>
      </c>
      <c r="K91" s="149" t="str">
        <f>РеестрЛКЕОД[[#This Row],[Ділянка]] &amp;" "&amp;РеестрЛКЕОД[[#This Row],[Номер]]</f>
        <v>18 кв (8 вид) 0 діл. 556634</v>
      </c>
      <c r="L91" s="149" t="str">
        <f>РеестрЛКЕОД[[#This Row],[Лісництво]] &amp;" "&amp;РеестрЛКЕОД[[#This Row],[Номер]]</f>
        <v>Козачанське 556634</v>
      </c>
      <c r="M91" s="149"/>
      <c r="N91" s="149"/>
      <c r="O91" s="149"/>
      <c r="P91" s="149"/>
      <c r="Q91" s="149"/>
      <c r="R91" s="149"/>
      <c r="S91" s="149"/>
      <c r="T91" s="149" t="str">
        <f t="shared" si="1"/>
        <v>Козачанське 556634</v>
      </c>
    </row>
    <row r="92" spans="1:20" hidden="1">
      <c r="A92" s="149" t="s">
        <v>112</v>
      </c>
      <c r="B92" s="149" t="s">
        <v>124</v>
      </c>
      <c r="C92" s="149" t="s">
        <v>3721</v>
      </c>
      <c r="D92" s="149">
        <v>556634</v>
      </c>
      <c r="E92" s="281" t="s">
        <v>3856</v>
      </c>
      <c r="F92" s="281" t="s">
        <v>3855</v>
      </c>
      <c r="G92" s="149">
        <v>5.9</v>
      </c>
      <c r="H92" s="149"/>
      <c r="I92" s="149">
        <v>28</v>
      </c>
      <c r="J92" s="149">
        <v>103</v>
      </c>
      <c r="K92" s="149" t="str">
        <f>РеестрЛКЕОД[[#This Row],[Ділянка]] &amp;" "&amp;РеестрЛКЕОД[[#This Row],[Номер]]</f>
        <v>36 кв (13 вид) 0 діл. 556634</v>
      </c>
      <c r="L92" s="149" t="str">
        <f>РеестрЛКЕОД[[#This Row],[Лісництво]] &amp;" "&amp;РеестрЛКЕОД[[#This Row],[Номер]]</f>
        <v>Козачанське 556634</v>
      </c>
      <c r="M92" s="149"/>
      <c r="N92" s="149"/>
      <c r="O92" s="149"/>
      <c r="P92" s="149"/>
      <c r="Q92" s="149"/>
      <c r="R92" s="149"/>
      <c r="S92" s="149" t="str">
        <f>IF(COUNTIF(L$5:L92,L92)=1,MAX(S$5:S92)+1,"")</f>
        <v/>
      </c>
      <c r="T92" s="149" t="str">
        <f t="shared" si="1"/>
        <v>Козачанське 556634</v>
      </c>
    </row>
    <row r="93" spans="1:20" hidden="1">
      <c r="A93" s="149" t="s">
        <v>112</v>
      </c>
      <c r="B93" s="149" t="s">
        <v>124</v>
      </c>
      <c r="C93" s="149" t="s">
        <v>3695</v>
      </c>
      <c r="D93" s="149">
        <v>556634</v>
      </c>
      <c r="E93" s="281" t="s">
        <v>3856</v>
      </c>
      <c r="F93" s="281" t="s">
        <v>3855</v>
      </c>
      <c r="G93" s="149">
        <v>2.5</v>
      </c>
      <c r="H93" s="149"/>
      <c r="I93" s="149">
        <v>28</v>
      </c>
      <c r="J93" s="149">
        <v>32</v>
      </c>
      <c r="K93" s="149" t="str">
        <f>РеестрЛКЕОД[[#This Row],[Ділянка]] &amp;" "&amp;РеестрЛКЕОД[[#This Row],[Номер]]</f>
        <v>79 кв (8 вид) 0 діл. 556634</v>
      </c>
      <c r="L93" s="149" t="str">
        <f>РеестрЛКЕОД[[#This Row],[Лісництво]] &amp;" "&amp;РеестрЛКЕОД[[#This Row],[Номер]]</f>
        <v>Козачанське 556634</v>
      </c>
      <c r="M93" s="149"/>
      <c r="N93" s="149"/>
      <c r="O93" s="149"/>
      <c r="P93" s="149"/>
      <c r="Q93" s="149"/>
      <c r="R93" s="149"/>
      <c r="S93" s="149" t="str">
        <f>IF(COUNTIF(L$5:L93,L93)=1,MAX(S$5:S93)+1,"")</f>
        <v/>
      </c>
      <c r="T93" s="149" t="str">
        <f t="shared" si="1"/>
        <v>Козачанське 556634</v>
      </c>
    </row>
    <row r="94" spans="1:20">
      <c r="A94" s="149" t="s">
        <v>112</v>
      </c>
      <c r="B94" s="149" t="s">
        <v>140</v>
      </c>
      <c r="C94" s="149" t="s">
        <v>193</v>
      </c>
      <c r="D94" s="149">
        <v>556635</v>
      </c>
      <c r="E94" s="281" t="s">
        <v>3856</v>
      </c>
      <c r="F94" s="281" t="s">
        <v>3855</v>
      </c>
      <c r="G94" s="149">
        <v>5.5</v>
      </c>
      <c r="H94" s="149">
        <v>68</v>
      </c>
      <c r="I94" s="149">
        <v>182</v>
      </c>
      <c r="J94" s="149">
        <v>289</v>
      </c>
      <c r="K94" s="149" t="str">
        <f>РеестрЛКЕОД[[#This Row],[Ділянка]] &amp;" "&amp;РеестрЛКЕОД[[#This Row],[Номер]]</f>
        <v>44 кв (5 вид) 0 діл. 556635</v>
      </c>
      <c r="L94" s="149" t="str">
        <f>РеестрЛКЕОД[[#This Row],[Лісництво]] &amp;" "&amp;РеестрЛКЕОД[[#This Row],[Номер]]</f>
        <v>Козачанське 556635</v>
      </c>
      <c r="M94" s="149"/>
      <c r="N94" s="149"/>
      <c r="O94" s="149"/>
      <c r="P94" s="149"/>
      <c r="Q94" s="149"/>
      <c r="R94" s="149"/>
      <c r="S94" s="149"/>
      <c r="T94" s="149" t="str">
        <f t="shared" si="1"/>
        <v>Козачанське 556635</v>
      </c>
    </row>
    <row r="95" spans="1:20" hidden="1">
      <c r="A95" s="149" t="s">
        <v>112</v>
      </c>
      <c r="B95" s="149" t="s">
        <v>140</v>
      </c>
      <c r="C95" s="149" t="s">
        <v>3722</v>
      </c>
      <c r="D95" s="149">
        <v>556635</v>
      </c>
      <c r="E95" s="281" t="s">
        <v>3856</v>
      </c>
      <c r="F95" s="281" t="s">
        <v>3855</v>
      </c>
      <c r="G95" s="149">
        <v>8.1</v>
      </c>
      <c r="H95" s="149">
        <v>73</v>
      </c>
      <c r="I95" s="149">
        <v>263</v>
      </c>
      <c r="J95" s="149">
        <v>389</v>
      </c>
      <c r="K95" s="149" t="str">
        <f>РеестрЛКЕОД[[#This Row],[Ділянка]] &amp;" "&amp;РеестрЛКЕОД[[#This Row],[Номер]]</f>
        <v>53 кв (1 вид) 2 діл. 556635</v>
      </c>
      <c r="L95" s="149" t="str">
        <f>РеестрЛКЕОД[[#This Row],[Лісництво]] &amp;" "&amp;РеестрЛКЕОД[[#This Row],[Номер]]</f>
        <v>Козачанське 556635</v>
      </c>
      <c r="M95" s="149"/>
      <c r="N95" s="149"/>
      <c r="O95" s="149"/>
      <c r="P95" s="149"/>
      <c r="Q95" s="149"/>
      <c r="R95" s="149"/>
      <c r="S95" s="149" t="str">
        <f>IF(COUNTIF(L$5:L95,L95)=1,MAX(S$5:S95)+1,"")</f>
        <v/>
      </c>
      <c r="T95" s="149" t="str">
        <f t="shared" si="1"/>
        <v>Козачанське 556635</v>
      </c>
    </row>
    <row r="96" spans="1:20">
      <c r="A96" s="149" t="s">
        <v>112</v>
      </c>
      <c r="B96" s="149" t="s">
        <v>126</v>
      </c>
      <c r="C96" s="149" t="s">
        <v>341</v>
      </c>
      <c r="D96" s="149">
        <v>556645</v>
      </c>
      <c r="E96" s="281" t="s">
        <v>3857</v>
      </c>
      <c r="F96" s="281" t="s">
        <v>3855</v>
      </c>
      <c r="G96" s="149">
        <v>19.2</v>
      </c>
      <c r="H96" s="149">
        <v>2</v>
      </c>
      <c r="I96" s="149">
        <v>313</v>
      </c>
      <c r="J96" s="149">
        <v>373</v>
      </c>
      <c r="K96" s="149" t="str">
        <f>РеестрЛКЕОД[[#This Row],[Ділянка]] &amp;" "&amp;РеестрЛКЕОД[[#This Row],[Номер]]</f>
        <v>20 кв (11 вид) 0 діл. 556645</v>
      </c>
      <c r="L96" s="149" t="str">
        <f>РеестрЛКЕОД[[#This Row],[Лісництво]] &amp;" "&amp;РеестрЛКЕОД[[#This Row],[Номер]]</f>
        <v>Козачанське 556645</v>
      </c>
      <c r="M96" s="149"/>
      <c r="N96" s="149"/>
      <c r="O96" s="149"/>
      <c r="P96" s="149"/>
      <c r="Q96" s="149"/>
      <c r="R96" s="149"/>
      <c r="S96" s="149"/>
      <c r="T96" s="149" t="str">
        <f t="shared" si="1"/>
        <v>Козачанське 556645</v>
      </c>
    </row>
    <row r="97" spans="1:20" hidden="1">
      <c r="A97" s="149" t="s">
        <v>112</v>
      </c>
      <c r="B97" s="149" t="s">
        <v>126</v>
      </c>
      <c r="C97" s="149" t="s">
        <v>3866</v>
      </c>
      <c r="D97" s="149">
        <v>556645</v>
      </c>
      <c r="E97" s="281" t="s">
        <v>3857</v>
      </c>
      <c r="F97" s="281" t="s">
        <v>3855</v>
      </c>
      <c r="G97" s="149">
        <v>1.6</v>
      </c>
      <c r="H97" s="149"/>
      <c r="I97" s="149">
        <v>26</v>
      </c>
      <c r="J97" s="149">
        <v>30</v>
      </c>
      <c r="K97" s="149" t="str">
        <f>РеестрЛКЕОД[[#This Row],[Ділянка]] &amp;" "&amp;РеестрЛКЕОД[[#This Row],[Номер]]</f>
        <v>4 кв (11 вид) 0 діл. 556645</v>
      </c>
      <c r="L97" s="149" t="str">
        <f>РеестрЛКЕОД[[#This Row],[Лісництво]] &amp;" "&amp;РеестрЛКЕОД[[#This Row],[Номер]]</f>
        <v>Козачанське 556645</v>
      </c>
      <c r="M97" s="149"/>
      <c r="N97" s="149"/>
      <c r="O97" s="149"/>
      <c r="P97" s="149"/>
      <c r="Q97" s="149"/>
      <c r="R97" s="149"/>
      <c r="S97" s="149" t="str">
        <f>IF(COUNTIF(L$5:L97,L97)=1,MAX(S$5:S97)+1,"")</f>
        <v/>
      </c>
      <c r="T97" s="149" t="str">
        <f t="shared" si="1"/>
        <v>Козачанське 556645</v>
      </c>
    </row>
    <row r="98" spans="1:20" hidden="1">
      <c r="A98" s="149" t="s">
        <v>112</v>
      </c>
      <c r="B98" s="149" t="s">
        <v>126</v>
      </c>
      <c r="C98" s="149" t="s">
        <v>657</v>
      </c>
      <c r="D98" s="149">
        <v>556645</v>
      </c>
      <c r="E98" s="281" t="s">
        <v>3857</v>
      </c>
      <c r="F98" s="281" t="s">
        <v>3855</v>
      </c>
      <c r="G98" s="149">
        <v>2</v>
      </c>
      <c r="H98" s="149">
        <v>1</v>
      </c>
      <c r="I98" s="149">
        <v>22</v>
      </c>
      <c r="J98" s="149">
        <v>26</v>
      </c>
      <c r="K98" s="149" t="str">
        <f>РеестрЛКЕОД[[#This Row],[Ділянка]] &amp;" "&amp;РеестрЛКЕОД[[#This Row],[Номер]]</f>
        <v>4 кв (9 вид) 0 діл. 556645</v>
      </c>
      <c r="L98" s="149" t="str">
        <f>РеестрЛКЕОД[[#This Row],[Лісництво]] &amp;" "&amp;РеестрЛКЕОД[[#This Row],[Номер]]</f>
        <v>Козачанське 556645</v>
      </c>
      <c r="M98" s="149"/>
      <c r="N98" s="149"/>
      <c r="O98" s="149"/>
      <c r="P98" s="149"/>
      <c r="Q98" s="149"/>
      <c r="R98" s="149"/>
      <c r="S98" s="149" t="str">
        <f>IF(COUNTIF(L$5:L98,L98)=1,MAX(S$5:S98)+1,"")</f>
        <v/>
      </c>
      <c r="T98" s="149" t="str">
        <f t="shared" si="1"/>
        <v>Козачанське 556645</v>
      </c>
    </row>
    <row r="99" spans="1:20" hidden="1">
      <c r="A99" s="149" t="s">
        <v>112</v>
      </c>
      <c r="B99" s="149" t="s">
        <v>126</v>
      </c>
      <c r="C99" s="149" t="s">
        <v>3867</v>
      </c>
      <c r="D99" s="149">
        <v>556645</v>
      </c>
      <c r="E99" s="281" t="s">
        <v>3857</v>
      </c>
      <c r="F99" s="281" t="s">
        <v>3855</v>
      </c>
      <c r="G99" s="149">
        <v>8.6999999999999993</v>
      </c>
      <c r="H99" s="149">
        <v>2</v>
      </c>
      <c r="I99" s="149">
        <v>133</v>
      </c>
      <c r="J99" s="149">
        <v>155</v>
      </c>
      <c r="K99" s="149" t="str">
        <f>РеестрЛКЕОД[[#This Row],[Ділянка]] &amp;" "&amp;РеестрЛКЕОД[[#This Row],[Номер]]</f>
        <v>6 кв (3 вид) 0 діл. 556645</v>
      </c>
      <c r="L99" s="149" t="str">
        <f>РеестрЛКЕОД[[#This Row],[Лісництво]] &amp;" "&amp;РеестрЛКЕОД[[#This Row],[Номер]]</f>
        <v>Козачанське 556645</v>
      </c>
      <c r="M99" s="149"/>
      <c r="N99" s="149"/>
      <c r="O99" s="149"/>
      <c r="P99" s="149"/>
      <c r="Q99" s="149"/>
      <c r="R99" s="149"/>
      <c r="S99" s="149" t="str">
        <f>IF(COUNTIF(L$5:L99,L99)=1,MAX(S$5:S99)+1,"")</f>
        <v/>
      </c>
      <c r="T99" s="149" t="str">
        <f t="shared" si="1"/>
        <v>Козачанське 556645</v>
      </c>
    </row>
    <row r="100" spans="1:20" hidden="1">
      <c r="A100" s="149" t="s">
        <v>112</v>
      </c>
      <c r="B100" s="149" t="s">
        <v>126</v>
      </c>
      <c r="C100" s="149" t="s">
        <v>3868</v>
      </c>
      <c r="D100" s="149">
        <v>556645</v>
      </c>
      <c r="E100" s="281" t="s">
        <v>3857</v>
      </c>
      <c r="F100" s="281" t="s">
        <v>3855</v>
      </c>
      <c r="G100" s="149">
        <v>0.7</v>
      </c>
      <c r="H100" s="149"/>
      <c r="I100" s="149">
        <v>20</v>
      </c>
      <c r="J100" s="149">
        <v>23</v>
      </c>
      <c r="K100" s="149" t="str">
        <f>РеестрЛКЕОД[[#This Row],[Ділянка]] &amp;" "&amp;РеестрЛКЕОД[[#This Row],[Номер]]</f>
        <v>6 кв (7 вид) 0 діл. 556645</v>
      </c>
      <c r="L100" s="149" t="str">
        <f>РеестрЛКЕОД[[#This Row],[Лісництво]] &amp;" "&amp;РеестрЛКЕОД[[#This Row],[Номер]]</f>
        <v>Козачанське 556645</v>
      </c>
      <c r="M100" s="149"/>
      <c r="N100" s="149"/>
      <c r="O100" s="149"/>
      <c r="P100" s="149"/>
      <c r="Q100" s="149"/>
      <c r="R100" s="149"/>
      <c r="S100" s="149" t="str">
        <f>IF(COUNTIF(L$5:L100,L100)=1,MAX(S$5:S100)+1,"")</f>
        <v/>
      </c>
      <c r="T100" s="149" t="str">
        <f t="shared" si="1"/>
        <v>Козачанське 556645</v>
      </c>
    </row>
    <row r="101" spans="1:20">
      <c r="A101" s="149" t="s">
        <v>114</v>
      </c>
      <c r="B101" s="149" t="s">
        <v>128</v>
      </c>
      <c r="C101" s="149" t="s">
        <v>3650</v>
      </c>
      <c r="D101" s="149">
        <v>556619</v>
      </c>
      <c r="E101" s="281" t="s">
        <v>3723</v>
      </c>
      <c r="F101" s="281" t="s">
        <v>3855</v>
      </c>
      <c r="G101" s="149">
        <v>4</v>
      </c>
      <c r="H101" s="149">
        <v>507</v>
      </c>
      <c r="I101" s="149">
        <v>565</v>
      </c>
      <c r="J101" s="149">
        <v>1236</v>
      </c>
      <c r="K101" s="149" t="str">
        <f>РеестрЛКЕОД[[#This Row],[Ділянка]] &amp;" "&amp;РеестрЛКЕОД[[#This Row],[Номер]]</f>
        <v>52 кв (3 вид) 0 діл. 556619</v>
      </c>
      <c r="L101" s="149" t="str">
        <f>РеестрЛКЕОД[[#This Row],[Лісництво]] &amp;" "&amp;РеестрЛКЕОД[[#This Row],[Номер]]</f>
        <v>Пехівське 556619</v>
      </c>
      <c r="M101" s="149"/>
      <c r="N101" s="149"/>
      <c r="O101" s="149"/>
      <c r="P101" s="149"/>
      <c r="Q101" s="149"/>
      <c r="R101" s="149"/>
      <c r="S101" s="149"/>
      <c r="T101" s="149" t="str">
        <f t="shared" si="1"/>
        <v>Пехівське 556619</v>
      </c>
    </row>
    <row r="102" spans="1:20" hidden="1">
      <c r="A102" s="149" t="s">
        <v>114</v>
      </c>
      <c r="B102" s="149" t="s">
        <v>128</v>
      </c>
      <c r="C102" s="149" t="s">
        <v>409</v>
      </c>
      <c r="D102" s="149">
        <v>556619</v>
      </c>
      <c r="E102" s="281" t="s">
        <v>3723</v>
      </c>
      <c r="F102" s="281" t="s">
        <v>3855</v>
      </c>
      <c r="G102" s="149">
        <v>3.5</v>
      </c>
      <c r="H102" s="149">
        <v>342</v>
      </c>
      <c r="I102" s="149">
        <v>351</v>
      </c>
      <c r="J102" s="149">
        <v>812</v>
      </c>
      <c r="K102" s="149" t="str">
        <f>РеестрЛКЕОД[[#This Row],[Ділянка]] &amp;" "&amp;РеестрЛКЕОД[[#This Row],[Номер]]</f>
        <v>65 кв (6 вид) 1 діл. 556619</v>
      </c>
      <c r="L102" s="149" t="str">
        <f>РеестрЛКЕОД[[#This Row],[Лісництво]] &amp;" "&amp;РеестрЛКЕОД[[#This Row],[Номер]]</f>
        <v>Пехівське 556619</v>
      </c>
      <c r="M102" s="149"/>
      <c r="N102" s="149"/>
      <c r="O102" s="149"/>
      <c r="P102" s="149"/>
      <c r="Q102" s="149"/>
      <c r="R102" s="149"/>
      <c r="S102" s="149" t="str">
        <f>IF(COUNTIF(L$5:L102,L102)=1,MAX(S$5:S102)+1,"")</f>
        <v/>
      </c>
      <c r="T102" s="149" t="str">
        <f t="shared" si="1"/>
        <v>Пехівське 556619</v>
      </c>
    </row>
    <row r="103" spans="1:20" hidden="1">
      <c r="A103" s="149" t="s">
        <v>114</v>
      </c>
      <c r="B103" s="149" t="s">
        <v>128</v>
      </c>
      <c r="C103" s="149" t="s">
        <v>3651</v>
      </c>
      <c r="D103" s="149">
        <v>556619</v>
      </c>
      <c r="E103" s="281" t="s">
        <v>3723</v>
      </c>
      <c r="F103" s="281" t="s">
        <v>3855</v>
      </c>
      <c r="G103" s="149">
        <v>0.7</v>
      </c>
      <c r="H103" s="149">
        <v>103</v>
      </c>
      <c r="I103" s="149">
        <v>153</v>
      </c>
      <c r="J103" s="149">
        <v>296</v>
      </c>
      <c r="K103" s="149" t="str">
        <f>РеестрЛКЕОД[[#This Row],[Ділянка]] &amp;" "&amp;РеестрЛКЕОД[[#This Row],[Номер]]</f>
        <v>75 кв (5 вид) 0 діл. 556619</v>
      </c>
      <c r="L103" s="149" t="str">
        <f>РеестрЛКЕОД[[#This Row],[Лісництво]] &amp;" "&amp;РеестрЛКЕОД[[#This Row],[Номер]]</f>
        <v>Пехівське 556619</v>
      </c>
      <c r="M103" s="149"/>
      <c r="N103" s="149"/>
      <c r="O103" s="149"/>
      <c r="P103" s="149"/>
      <c r="Q103" s="149"/>
      <c r="R103" s="149"/>
      <c r="S103" s="149" t="str">
        <f>IF(COUNTIF(L$5:L103,L103)=1,MAX(S$5:S103)+1,"")</f>
        <v/>
      </c>
      <c r="T103" s="149" t="str">
        <f t="shared" si="1"/>
        <v>Пехівське 556619</v>
      </c>
    </row>
    <row r="104" spans="1:20" hidden="1">
      <c r="A104" s="149" t="s">
        <v>114</v>
      </c>
      <c r="B104" s="149" t="s">
        <v>128</v>
      </c>
      <c r="C104" s="149" t="s">
        <v>3652</v>
      </c>
      <c r="D104" s="149">
        <v>556619</v>
      </c>
      <c r="E104" s="281" t="s">
        <v>3723</v>
      </c>
      <c r="F104" s="281" t="s">
        <v>3855</v>
      </c>
      <c r="G104" s="149">
        <v>3.3</v>
      </c>
      <c r="H104" s="149">
        <v>275</v>
      </c>
      <c r="I104" s="149">
        <v>362</v>
      </c>
      <c r="J104" s="149">
        <v>744</v>
      </c>
      <c r="K104" s="149" t="str">
        <f>РеестрЛКЕОД[[#This Row],[Ділянка]] &amp;" "&amp;РеестрЛКЕОД[[#This Row],[Номер]]</f>
        <v>76 кв (2 вид) 0 діл. 556619</v>
      </c>
      <c r="L104" s="149" t="str">
        <f>РеестрЛКЕОД[[#This Row],[Лісництво]] &amp;" "&amp;РеестрЛКЕОД[[#This Row],[Номер]]</f>
        <v>Пехівське 556619</v>
      </c>
      <c r="M104" s="149"/>
      <c r="N104" s="149"/>
      <c r="O104" s="149"/>
      <c r="P104" s="149"/>
      <c r="Q104" s="149"/>
      <c r="R104" s="149"/>
      <c r="S104" s="149" t="str">
        <f>IF(COUNTIF(L$5:L104,L104)=1,MAX(S$5:S104)+1,"")</f>
        <v/>
      </c>
      <c r="T104" s="149" t="str">
        <f t="shared" si="1"/>
        <v>Пехівське 556619</v>
      </c>
    </row>
    <row r="105" spans="1:20">
      <c r="A105" s="149" t="s">
        <v>114</v>
      </c>
      <c r="B105" s="149" t="s">
        <v>134</v>
      </c>
      <c r="C105" s="149" t="s">
        <v>666</v>
      </c>
      <c r="D105" s="149">
        <v>556636</v>
      </c>
      <c r="E105" s="281" t="s">
        <v>3856</v>
      </c>
      <c r="F105" s="281" t="s">
        <v>3855</v>
      </c>
      <c r="G105" s="149">
        <v>5.3</v>
      </c>
      <c r="H105" s="149"/>
      <c r="I105" s="149">
        <v>4</v>
      </c>
      <c r="J105" s="149">
        <v>82</v>
      </c>
      <c r="K105" s="149" t="str">
        <f>РеестрЛКЕОД[[#This Row],[Ділянка]] &amp;" "&amp;РеестрЛКЕОД[[#This Row],[Номер]]</f>
        <v>51 кв (7 вид) 0 діл. 556636</v>
      </c>
      <c r="L105" s="149" t="str">
        <f>РеестрЛКЕОД[[#This Row],[Лісництво]] &amp;" "&amp;РеестрЛКЕОД[[#This Row],[Номер]]</f>
        <v>Пехівське 556636</v>
      </c>
      <c r="M105" s="149"/>
      <c r="N105" s="149"/>
      <c r="O105" s="149"/>
      <c r="P105" s="149"/>
      <c r="Q105" s="149"/>
      <c r="R105" s="149"/>
      <c r="S105" s="149"/>
      <c r="T105" s="149" t="str">
        <f t="shared" si="1"/>
        <v>Пехівське 556636</v>
      </c>
    </row>
    <row r="106" spans="1:20" hidden="1">
      <c r="A106" s="149" t="s">
        <v>114</v>
      </c>
      <c r="B106" s="149" t="s">
        <v>134</v>
      </c>
      <c r="C106" s="149" t="s">
        <v>836</v>
      </c>
      <c r="D106" s="149">
        <v>556636</v>
      </c>
      <c r="E106" s="281" t="s">
        <v>3856</v>
      </c>
      <c r="F106" s="281" t="s">
        <v>3855</v>
      </c>
      <c r="G106" s="149">
        <v>1.4</v>
      </c>
      <c r="H106" s="149"/>
      <c r="I106" s="149">
        <v>3</v>
      </c>
      <c r="J106" s="149">
        <v>23</v>
      </c>
      <c r="K106" s="149" t="str">
        <f>РеестрЛКЕОД[[#This Row],[Ділянка]] &amp;" "&amp;РеестрЛКЕОД[[#This Row],[Номер]]</f>
        <v>59 кв (2 вид) 0 діл. 556636</v>
      </c>
      <c r="L106" s="149" t="str">
        <f>РеестрЛКЕОД[[#This Row],[Лісництво]] &amp;" "&amp;РеестрЛКЕОД[[#This Row],[Номер]]</f>
        <v>Пехівське 556636</v>
      </c>
      <c r="M106" s="149"/>
      <c r="N106" s="149"/>
      <c r="O106" s="149"/>
      <c r="P106" s="149"/>
      <c r="Q106" s="149"/>
      <c r="R106" s="149"/>
      <c r="S106" s="149" t="str">
        <f>IF(COUNTIF(L$5:L106,L106)=1,MAX(S$5:S106)+1,"")</f>
        <v/>
      </c>
      <c r="T106" s="149" t="str">
        <f t="shared" si="1"/>
        <v>Пехівське 556636</v>
      </c>
    </row>
    <row r="107" spans="1:20" hidden="1">
      <c r="A107" s="149" t="s">
        <v>114</v>
      </c>
      <c r="B107" s="149" t="s">
        <v>134</v>
      </c>
      <c r="C107" s="149" t="s">
        <v>3820</v>
      </c>
      <c r="D107" s="149">
        <v>556636</v>
      </c>
      <c r="E107" s="281" t="s">
        <v>3856</v>
      </c>
      <c r="F107" s="281" t="s">
        <v>3855</v>
      </c>
      <c r="G107" s="149">
        <v>7.4</v>
      </c>
      <c r="H107" s="149"/>
      <c r="I107" s="149"/>
      <c r="J107" s="149">
        <v>214</v>
      </c>
      <c r="K107" s="149" t="str">
        <f>РеестрЛКЕОД[[#This Row],[Ділянка]] &amp;" "&amp;РеестрЛКЕОД[[#This Row],[Номер]]</f>
        <v>60 кв (4 вид) 0 діл. 556636</v>
      </c>
      <c r="L107" s="149" t="str">
        <f>РеестрЛКЕОД[[#This Row],[Лісництво]] &amp;" "&amp;РеестрЛКЕОД[[#This Row],[Номер]]</f>
        <v>Пехівське 556636</v>
      </c>
      <c r="M107" s="149"/>
      <c r="N107" s="149"/>
      <c r="O107" s="149"/>
      <c r="P107" s="149"/>
      <c r="Q107" s="149"/>
      <c r="R107" s="149"/>
      <c r="S107" s="149" t="str">
        <f>IF(COUNTIF(L$5:L107,L107)=1,MAX(S$5:S107)+1,"")</f>
        <v/>
      </c>
      <c r="T107" s="149" t="str">
        <f t="shared" si="1"/>
        <v>Пехівське 556636</v>
      </c>
    </row>
    <row r="108" spans="1:20" hidden="1">
      <c r="A108" s="149" t="s">
        <v>114</v>
      </c>
      <c r="B108" s="149" t="s">
        <v>134</v>
      </c>
      <c r="C108" s="149" t="s">
        <v>3821</v>
      </c>
      <c r="D108" s="149">
        <v>556636</v>
      </c>
      <c r="E108" s="281" t="s">
        <v>3856</v>
      </c>
      <c r="F108" s="281" t="s">
        <v>3855</v>
      </c>
      <c r="G108" s="149">
        <v>1.8</v>
      </c>
      <c r="H108" s="149"/>
      <c r="I108" s="149"/>
      <c r="J108" s="149">
        <v>29</v>
      </c>
      <c r="K108" s="149" t="str">
        <f>РеестрЛКЕОД[[#This Row],[Ділянка]] &amp;" "&amp;РеестрЛКЕОД[[#This Row],[Номер]]</f>
        <v>61 кв (13 вид) 0 діл. 556636</v>
      </c>
      <c r="L108" s="149" t="str">
        <f>РеестрЛКЕОД[[#This Row],[Лісництво]] &amp;" "&amp;РеестрЛКЕОД[[#This Row],[Номер]]</f>
        <v>Пехівське 556636</v>
      </c>
      <c r="M108" s="149"/>
      <c r="N108" s="149"/>
      <c r="O108" s="149"/>
      <c r="P108" s="149"/>
      <c r="Q108" s="149"/>
      <c r="R108" s="149"/>
      <c r="S108" s="149" t="str">
        <f>IF(COUNTIF(L$5:L108,L108)=1,MAX(S$5:S108)+1,"")</f>
        <v/>
      </c>
      <c r="T108" s="149" t="str">
        <f t="shared" si="1"/>
        <v>Пехівське 556636</v>
      </c>
    </row>
    <row r="109" spans="1:20" hidden="1">
      <c r="A109" s="149" t="s">
        <v>114</v>
      </c>
      <c r="B109" s="149" t="s">
        <v>134</v>
      </c>
      <c r="C109" s="149" t="s">
        <v>3671</v>
      </c>
      <c r="D109" s="149">
        <v>556636</v>
      </c>
      <c r="E109" s="281" t="s">
        <v>3856</v>
      </c>
      <c r="F109" s="281" t="s">
        <v>3855</v>
      </c>
      <c r="G109" s="149">
        <v>1.8</v>
      </c>
      <c r="H109" s="149"/>
      <c r="I109" s="149"/>
      <c r="J109" s="149">
        <v>36</v>
      </c>
      <c r="K109" s="149" t="str">
        <f>РеестрЛКЕОД[[#This Row],[Ділянка]] &amp;" "&amp;РеестрЛКЕОД[[#This Row],[Номер]]</f>
        <v>68 кв (5 вид) 0 діл. 556636</v>
      </c>
      <c r="L109" s="149" t="str">
        <f>РеестрЛКЕОД[[#This Row],[Лісництво]] &amp;" "&amp;РеестрЛКЕОД[[#This Row],[Номер]]</f>
        <v>Пехівське 556636</v>
      </c>
      <c r="M109" s="149"/>
      <c r="N109" s="149"/>
      <c r="O109" s="149"/>
      <c r="P109" s="149"/>
      <c r="Q109" s="149"/>
      <c r="R109" s="149"/>
      <c r="S109" s="149" t="str">
        <f>IF(COUNTIF(L$5:L109,L109)=1,MAX(S$5:S109)+1,"")</f>
        <v/>
      </c>
      <c r="T109" s="149" t="str">
        <f t="shared" si="1"/>
        <v>Пехівське 556636</v>
      </c>
    </row>
    <row r="110" spans="1:20" hidden="1">
      <c r="A110" s="149" t="s">
        <v>114</v>
      </c>
      <c r="B110" s="149" t="s">
        <v>134</v>
      </c>
      <c r="C110" s="149" t="s">
        <v>3825</v>
      </c>
      <c r="D110" s="149">
        <v>556636</v>
      </c>
      <c r="E110" s="281" t="s">
        <v>3856</v>
      </c>
      <c r="F110" s="281" t="s">
        <v>3855</v>
      </c>
      <c r="G110" s="149">
        <v>3.6</v>
      </c>
      <c r="H110" s="149"/>
      <c r="I110" s="149">
        <v>6</v>
      </c>
      <c r="J110" s="149">
        <v>123</v>
      </c>
      <c r="K110" s="149" t="str">
        <f>РеестрЛКЕОД[[#This Row],[Ділянка]] &amp;" "&amp;РеестрЛКЕОД[[#This Row],[Номер]]</f>
        <v>78 кв (17 вид) 0 діл. 556636</v>
      </c>
      <c r="L110" s="149" t="str">
        <f>РеестрЛКЕОД[[#This Row],[Лісництво]] &amp;" "&amp;РеестрЛКЕОД[[#This Row],[Номер]]</f>
        <v>Пехівське 556636</v>
      </c>
      <c r="M110" s="149"/>
      <c r="N110" s="149"/>
      <c r="O110" s="149"/>
      <c r="P110" s="149"/>
      <c r="Q110" s="149"/>
      <c r="R110" s="149"/>
      <c r="S110" s="149" t="str">
        <f>IF(COUNTIF(L$5:L110,L110)=1,MAX(S$5:S110)+1,"")</f>
        <v/>
      </c>
      <c r="T110" s="149" t="str">
        <f t="shared" si="1"/>
        <v>Пехівське 556636</v>
      </c>
    </row>
    <row r="111" spans="1:20">
      <c r="A111" s="149" t="s">
        <v>114</v>
      </c>
      <c r="B111" s="149" t="s">
        <v>124</v>
      </c>
      <c r="C111" s="149" t="s">
        <v>344</v>
      </c>
      <c r="D111" s="149">
        <v>556637</v>
      </c>
      <c r="E111" s="281" t="s">
        <v>3856</v>
      </c>
      <c r="F111" s="281" t="s">
        <v>3855</v>
      </c>
      <c r="G111" s="149">
        <v>1.8</v>
      </c>
      <c r="H111" s="149"/>
      <c r="I111" s="149">
        <v>22</v>
      </c>
      <c r="J111" s="149">
        <v>22</v>
      </c>
      <c r="K111" s="149" t="str">
        <f>РеестрЛКЕОД[[#This Row],[Ділянка]] &amp;" "&amp;РеестрЛКЕОД[[#This Row],[Номер]]</f>
        <v>22 кв (10 вид) 0 діл. 556637</v>
      </c>
      <c r="L111" s="149" t="str">
        <f>РеестрЛКЕОД[[#This Row],[Лісництво]] &amp;" "&amp;РеестрЛКЕОД[[#This Row],[Номер]]</f>
        <v>Пехівське 556637</v>
      </c>
      <c r="M111" s="149"/>
      <c r="N111" s="149"/>
      <c r="O111" s="149"/>
      <c r="P111" s="149"/>
      <c r="Q111" s="149"/>
      <c r="R111" s="149"/>
      <c r="S111" s="149"/>
      <c r="T111" s="149" t="str">
        <f t="shared" si="1"/>
        <v>Пехівське 556637</v>
      </c>
    </row>
    <row r="112" spans="1:20" hidden="1">
      <c r="A112" s="149" t="s">
        <v>114</v>
      </c>
      <c r="B112" s="149" t="s">
        <v>124</v>
      </c>
      <c r="C112" s="149" t="s">
        <v>3817</v>
      </c>
      <c r="D112" s="149">
        <v>556637</v>
      </c>
      <c r="E112" s="281" t="s">
        <v>3856</v>
      </c>
      <c r="F112" s="281" t="s">
        <v>3855</v>
      </c>
      <c r="G112" s="149">
        <v>6.1</v>
      </c>
      <c r="H112" s="149"/>
      <c r="I112" s="149">
        <v>43</v>
      </c>
      <c r="J112" s="149">
        <v>44</v>
      </c>
      <c r="K112" s="149" t="str">
        <f>РеестрЛКЕОД[[#This Row],[Ділянка]] &amp;" "&amp;РеестрЛКЕОД[[#This Row],[Номер]]</f>
        <v>54 кв (4 вид) 0 діл. 556637</v>
      </c>
      <c r="L112" s="149" t="str">
        <f>РеестрЛКЕОД[[#This Row],[Лісництво]] &amp;" "&amp;РеестрЛКЕОД[[#This Row],[Номер]]</f>
        <v>Пехівське 556637</v>
      </c>
      <c r="M112" s="149"/>
      <c r="N112" s="149"/>
      <c r="O112" s="149"/>
      <c r="P112" s="149"/>
      <c r="Q112" s="149"/>
      <c r="R112" s="149"/>
      <c r="S112" s="149" t="str">
        <f>IF(COUNTIF(L$5:L112,L112)=1,MAX(S$5:S112)+1,"")</f>
        <v/>
      </c>
      <c r="T112" s="149" t="str">
        <f t="shared" si="1"/>
        <v>Пехівське 556637</v>
      </c>
    </row>
    <row r="113" spans="1:20" hidden="1">
      <c r="A113" s="149" t="s">
        <v>114</v>
      </c>
      <c r="B113" s="149" t="s">
        <v>124</v>
      </c>
      <c r="C113" s="149" t="s">
        <v>3822</v>
      </c>
      <c r="D113" s="149">
        <v>556637</v>
      </c>
      <c r="E113" s="281" t="s">
        <v>3856</v>
      </c>
      <c r="F113" s="281" t="s">
        <v>3855</v>
      </c>
      <c r="G113" s="149">
        <v>3.5</v>
      </c>
      <c r="H113" s="149"/>
      <c r="I113" s="149">
        <v>6</v>
      </c>
      <c r="J113" s="149">
        <v>76</v>
      </c>
      <c r="K113" s="149" t="str">
        <f>РеестрЛКЕОД[[#This Row],[Ділянка]] &amp;" "&amp;РеестрЛКЕОД[[#This Row],[Номер]]</f>
        <v>61 кв (9 вид) 0 діл. 556637</v>
      </c>
      <c r="L113" s="149" t="str">
        <f>РеестрЛКЕОД[[#This Row],[Лісництво]] &amp;" "&amp;РеестрЛКЕОД[[#This Row],[Номер]]</f>
        <v>Пехівське 556637</v>
      </c>
      <c r="M113" s="149"/>
      <c r="N113" s="149"/>
      <c r="O113" s="149"/>
      <c r="P113" s="149"/>
      <c r="Q113" s="149"/>
      <c r="R113" s="149"/>
      <c r="S113" s="149" t="str">
        <f>IF(COUNTIF(L$5:L113,L113)=1,MAX(S$5:S113)+1,"")</f>
        <v/>
      </c>
      <c r="T113" s="149" t="str">
        <f t="shared" si="1"/>
        <v>Пехівське 556637</v>
      </c>
    </row>
    <row r="114" spans="1:20" hidden="1">
      <c r="A114" s="149" t="s">
        <v>114</v>
      </c>
      <c r="B114" s="149" t="s">
        <v>124</v>
      </c>
      <c r="C114" s="149" t="s">
        <v>3823</v>
      </c>
      <c r="D114" s="149">
        <v>556637</v>
      </c>
      <c r="E114" s="281" t="s">
        <v>3856</v>
      </c>
      <c r="F114" s="281" t="s">
        <v>3855</v>
      </c>
      <c r="G114" s="149">
        <v>5.2</v>
      </c>
      <c r="H114" s="149"/>
      <c r="I114" s="149">
        <v>46</v>
      </c>
      <c r="J114" s="149">
        <v>47</v>
      </c>
      <c r="K114" s="149" t="str">
        <f>РеестрЛКЕОД[[#This Row],[Ділянка]] &amp;" "&amp;РеестрЛКЕОД[[#This Row],[Номер]]</f>
        <v>64 кв (2 вид) 0 діл. 556637</v>
      </c>
      <c r="L114" s="149" t="str">
        <f>РеестрЛКЕОД[[#This Row],[Лісництво]] &amp;" "&amp;РеестрЛКЕОД[[#This Row],[Номер]]</f>
        <v>Пехівське 556637</v>
      </c>
      <c r="M114" s="149"/>
      <c r="N114" s="149"/>
      <c r="O114" s="149"/>
      <c r="P114" s="149"/>
      <c r="Q114" s="149"/>
      <c r="R114" s="149"/>
      <c r="S114" s="149" t="str">
        <f>IF(COUNTIF(L$5:L114,L114)=1,MAX(S$5:S114)+1,"")</f>
        <v/>
      </c>
      <c r="T114" s="149" t="str">
        <f t="shared" si="1"/>
        <v>Пехівське 556637</v>
      </c>
    </row>
    <row r="115" spans="1:20" hidden="1">
      <c r="A115" s="149" t="s">
        <v>114</v>
      </c>
      <c r="B115" s="149" t="s">
        <v>124</v>
      </c>
      <c r="C115" s="149" t="s">
        <v>847</v>
      </c>
      <c r="D115" s="149">
        <v>556637</v>
      </c>
      <c r="E115" s="281" t="s">
        <v>3856</v>
      </c>
      <c r="F115" s="281" t="s">
        <v>3855</v>
      </c>
      <c r="G115" s="149">
        <v>9.4</v>
      </c>
      <c r="H115" s="149"/>
      <c r="I115" s="149">
        <v>77</v>
      </c>
      <c r="J115" s="149">
        <v>77</v>
      </c>
      <c r="K115" s="149" t="str">
        <f>РеестрЛКЕОД[[#This Row],[Ділянка]] &amp;" "&amp;РеестрЛКЕОД[[#This Row],[Номер]]</f>
        <v>70 кв (2 вид) 0 діл. 556637</v>
      </c>
      <c r="L115" s="149" t="str">
        <f>РеестрЛКЕОД[[#This Row],[Лісництво]] &amp;" "&amp;РеестрЛКЕОД[[#This Row],[Номер]]</f>
        <v>Пехівське 556637</v>
      </c>
      <c r="M115" s="149"/>
      <c r="N115" s="149"/>
      <c r="O115" s="149"/>
      <c r="P115" s="149"/>
      <c r="Q115" s="149"/>
      <c r="R115" s="149"/>
      <c r="S115" s="149" t="str">
        <f>IF(COUNTIF(L$5:L115,L115)=1,MAX(S$5:S115)+1,"")</f>
        <v/>
      </c>
      <c r="T115" s="149" t="str">
        <f t="shared" si="1"/>
        <v>Пехівське 556637</v>
      </c>
    </row>
    <row r="116" spans="1:20">
      <c r="A116" s="149" t="s">
        <v>114</v>
      </c>
      <c r="B116" s="149" t="s">
        <v>140</v>
      </c>
      <c r="C116" s="149" t="s">
        <v>3813</v>
      </c>
      <c r="D116" s="149">
        <v>556638</v>
      </c>
      <c r="E116" s="281" t="s">
        <v>3856</v>
      </c>
      <c r="F116" s="281" t="s">
        <v>3855</v>
      </c>
      <c r="G116" s="149">
        <v>0.7</v>
      </c>
      <c r="H116" s="149"/>
      <c r="I116" s="149">
        <v>10</v>
      </c>
      <c r="J116" s="149">
        <v>11</v>
      </c>
      <c r="K116" s="149" t="str">
        <f>РеестрЛКЕОД[[#This Row],[Ділянка]] &amp;" "&amp;РеестрЛКЕОД[[#This Row],[Номер]]</f>
        <v>26 кв (3 вид) 0 діл. 556638</v>
      </c>
      <c r="L116" s="149" t="str">
        <f>РеестрЛКЕОД[[#This Row],[Лісництво]] &amp;" "&amp;РеестрЛКЕОД[[#This Row],[Номер]]</f>
        <v>Пехівське 556638</v>
      </c>
      <c r="M116" s="149"/>
      <c r="N116" s="149"/>
      <c r="O116" s="149"/>
      <c r="P116" s="149"/>
      <c r="Q116" s="149"/>
      <c r="R116" s="149"/>
      <c r="S116" s="149"/>
      <c r="T116" s="149" t="str">
        <f t="shared" si="1"/>
        <v>Пехівське 556638</v>
      </c>
    </row>
    <row r="117" spans="1:20" hidden="1">
      <c r="A117" s="149" t="s">
        <v>114</v>
      </c>
      <c r="B117" s="149" t="s">
        <v>140</v>
      </c>
      <c r="C117" s="149" t="s">
        <v>833</v>
      </c>
      <c r="D117" s="149">
        <v>556638</v>
      </c>
      <c r="E117" s="281" t="s">
        <v>3856</v>
      </c>
      <c r="F117" s="281" t="s">
        <v>3855</v>
      </c>
      <c r="G117" s="149">
        <v>9</v>
      </c>
      <c r="H117" s="149">
        <v>9</v>
      </c>
      <c r="I117" s="149">
        <v>115</v>
      </c>
      <c r="J117" s="149">
        <v>143</v>
      </c>
      <c r="K117" s="149" t="str">
        <f>РеестрЛКЕОД[[#This Row],[Ділянка]] &amp;" "&amp;РеестрЛКЕОД[[#This Row],[Номер]]</f>
        <v>49 кв (1 вид) 0 діл. 556638</v>
      </c>
      <c r="L117" s="149" t="str">
        <f>РеестрЛКЕОД[[#This Row],[Лісництво]] &amp;" "&amp;РеестрЛКЕОД[[#This Row],[Номер]]</f>
        <v>Пехівське 556638</v>
      </c>
      <c r="M117" s="149"/>
      <c r="N117" s="149"/>
      <c r="O117" s="149"/>
      <c r="P117" s="149"/>
      <c r="Q117" s="149"/>
      <c r="R117" s="149"/>
      <c r="S117" s="149" t="str">
        <f>IF(COUNTIF(L$5:L117,L117)=1,MAX(S$5:S117)+1,"")</f>
        <v/>
      </c>
      <c r="T117" s="149" t="str">
        <f t="shared" si="1"/>
        <v>Пехівське 556638</v>
      </c>
    </row>
    <row r="118" spans="1:20" hidden="1">
      <c r="A118" s="149" t="s">
        <v>114</v>
      </c>
      <c r="B118" s="149" t="s">
        <v>140</v>
      </c>
      <c r="C118" s="149" t="s">
        <v>3818</v>
      </c>
      <c r="D118" s="149">
        <v>556638</v>
      </c>
      <c r="E118" s="281" t="s">
        <v>3856</v>
      </c>
      <c r="F118" s="281" t="s">
        <v>3855</v>
      </c>
      <c r="G118" s="149">
        <v>6</v>
      </c>
      <c r="H118" s="149">
        <v>4</v>
      </c>
      <c r="I118" s="149">
        <v>72</v>
      </c>
      <c r="J118" s="149">
        <v>88</v>
      </c>
      <c r="K118" s="149" t="str">
        <f>РеестрЛКЕОД[[#This Row],[Ділянка]] &amp;" "&amp;РеестрЛКЕОД[[#This Row],[Номер]]</f>
        <v>56 кв (5 вид) 0 діл. 556638</v>
      </c>
      <c r="L118" s="149" t="str">
        <f>РеестрЛКЕОД[[#This Row],[Лісництво]] &amp;" "&amp;РеестрЛКЕОД[[#This Row],[Номер]]</f>
        <v>Пехівське 556638</v>
      </c>
      <c r="M118" s="149"/>
      <c r="N118" s="149"/>
      <c r="O118" s="149"/>
      <c r="P118" s="149"/>
      <c r="Q118" s="149"/>
      <c r="R118" s="149"/>
      <c r="S118" s="149" t="str">
        <f>IF(COUNTIF(L$5:L118,L118)=1,MAX(S$5:S118)+1,"")</f>
        <v/>
      </c>
      <c r="T118" s="149" t="str">
        <f t="shared" si="1"/>
        <v>Пехівське 556638</v>
      </c>
    </row>
    <row r="119" spans="1:20">
      <c r="A119" s="149" t="s">
        <v>114</v>
      </c>
      <c r="B119" s="149" t="s">
        <v>126</v>
      </c>
      <c r="C119" s="149" t="s">
        <v>3869</v>
      </c>
      <c r="D119" s="149">
        <v>556643</v>
      </c>
      <c r="E119" s="281" t="s">
        <v>3857</v>
      </c>
      <c r="F119" s="281" t="s">
        <v>3855</v>
      </c>
      <c r="G119" s="149">
        <v>1.3</v>
      </c>
      <c r="H119" s="149">
        <v>5</v>
      </c>
      <c r="I119" s="149">
        <v>24</v>
      </c>
      <c r="J119" s="149">
        <v>33</v>
      </c>
      <c r="K119" s="149" t="str">
        <f>РеестрЛКЕОД[[#This Row],[Ділянка]] &amp;" "&amp;РеестрЛКЕОД[[#This Row],[Номер]]</f>
        <v>32 кв (11 вид) 0 діл. 556643</v>
      </c>
      <c r="L119" s="149" t="str">
        <f>РеестрЛКЕОД[[#This Row],[Лісництво]] &amp;" "&amp;РеестрЛКЕОД[[#This Row],[Номер]]</f>
        <v>Пехівське 556643</v>
      </c>
      <c r="M119" s="149"/>
      <c r="N119" s="149"/>
      <c r="O119" s="149"/>
      <c r="P119" s="149"/>
      <c r="Q119" s="149"/>
      <c r="R119" s="149"/>
      <c r="S119" s="149"/>
      <c r="T119" s="149" t="str">
        <f t="shared" si="1"/>
        <v>Пехівське 556643</v>
      </c>
    </row>
    <row r="120" spans="1:20" hidden="1">
      <c r="A120" s="149" t="s">
        <v>114</v>
      </c>
      <c r="B120" s="149" t="s">
        <v>126</v>
      </c>
      <c r="C120" s="149" t="s">
        <v>3870</v>
      </c>
      <c r="D120" s="149">
        <v>556643</v>
      </c>
      <c r="E120" s="281" t="s">
        <v>3857</v>
      </c>
      <c r="F120" s="281" t="s">
        <v>3855</v>
      </c>
      <c r="G120" s="149">
        <v>4.0999999999999996</v>
      </c>
      <c r="H120" s="149">
        <v>11</v>
      </c>
      <c r="I120" s="149">
        <v>39</v>
      </c>
      <c r="J120" s="149">
        <v>58</v>
      </c>
      <c r="K120" s="149" t="str">
        <f>РеестрЛКЕОД[[#This Row],[Ділянка]] &amp;" "&amp;РеестрЛКЕОД[[#This Row],[Номер]]</f>
        <v>32 кв (9 вид) 0 діл. 556643</v>
      </c>
      <c r="L120" s="149" t="str">
        <f>РеестрЛКЕОД[[#This Row],[Лісництво]] &amp;" "&amp;РеестрЛКЕОД[[#This Row],[Номер]]</f>
        <v>Пехівське 556643</v>
      </c>
      <c r="M120" s="149"/>
      <c r="N120" s="149"/>
      <c r="O120" s="149"/>
      <c r="P120" s="149"/>
      <c r="Q120" s="149"/>
      <c r="R120" s="149"/>
      <c r="S120" s="149" t="str">
        <f>IF(COUNTIF(L$5:L120,L120)=1,MAX(S$5:S120)+1,"")</f>
        <v/>
      </c>
      <c r="T120" s="149" t="str">
        <f t="shared" si="1"/>
        <v>Пехівське 556643</v>
      </c>
    </row>
    <row r="121" spans="1:20" hidden="1">
      <c r="A121" s="149" t="s">
        <v>114</v>
      </c>
      <c r="B121" s="149" t="s">
        <v>126</v>
      </c>
      <c r="C121" s="149" t="s">
        <v>3871</v>
      </c>
      <c r="D121" s="149">
        <v>556643</v>
      </c>
      <c r="E121" s="281" t="s">
        <v>3857</v>
      </c>
      <c r="F121" s="281" t="s">
        <v>3855</v>
      </c>
      <c r="G121" s="149">
        <v>1.2</v>
      </c>
      <c r="H121" s="149">
        <v>1</v>
      </c>
      <c r="I121" s="149">
        <v>17</v>
      </c>
      <c r="J121" s="149">
        <v>21</v>
      </c>
      <c r="K121" s="149" t="str">
        <f>РеестрЛКЕОД[[#This Row],[Ділянка]] &amp;" "&amp;РеестрЛКЕОД[[#This Row],[Номер]]</f>
        <v>33 кв (4 вид) 0 діл. 556643</v>
      </c>
      <c r="L121" s="149" t="str">
        <f>РеестрЛКЕОД[[#This Row],[Лісництво]] &amp;" "&amp;РеестрЛКЕОД[[#This Row],[Номер]]</f>
        <v>Пехівське 556643</v>
      </c>
      <c r="M121" s="149"/>
      <c r="N121" s="149"/>
      <c r="O121" s="149"/>
      <c r="P121" s="149"/>
      <c r="Q121" s="149"/>
      <c r="R121" s="149"/>
      <c r="S121" s="149" t="str">
        <f>IF(COUNTIF(L$5:L121,L121)=1,MAX(S$5:S121)+1,"")</f>
        <v/>
      </c>
      <c r="T121" s="149" t="str">
        <f t="shared" si="1"/>
        <v>Пехівське 556643</v>
      </c>
    </row>
    <row r="122" spans="1:20" hidden="1">
      <c r="A122" s="149" t="s">
        <v>114</v>
      </c>
      <c r="B122" s="149" t="s">
        <v>126</v>
      </c>
      <c r="C122" s="149" t="s">
        <v>3872</v>
      </c>
      <c r="D122" s="149">
        <v>556643</v>
      </c>
      <c r="E122" s="281" t="s">
        <v>3857</v>
      </c>
      <c r="F122" s="281" t="s">
        <v>3855</v>
      </c>
      <c r="G122" s="149">
        <v>2.9</v>
      </c>
      <c r="H122" s="149">
        <v>7</v>
      </c>
      <c r="I122" s="149">
        <v>36</v>
      </c>
      <c r="J122" s="149">
        <v>50</v>
      </c>
      <c r="K122" s="149" t="str">
        <f>РеестрЛКЕОД[[#This Row],[Ділянка]] &amp;" "&amp;РеестрЛКЕОД[[#This Row],[Номер]]</f>
        <v>41 кв (12 вид) 0 діл. 556643</v>
      </c>
      <c r="L122" s="149" t="str">
        <f>РеестрЛКЕОД[[#This Row],[Лісництво]] &amp;" "&amp;РеестрЛКЕОД[[#This Row],[Номер]]</f>
        <v>Пехівське 556643</v>
      </c>
      <c r="M122" s="149"/>
      <c r="N122" s="149"/>
      <c r="O122" s="149"/>
      <c r="P122" s="149"/>
      <c r="Q122" s="149"/>
      <c r="R122" s="149"/>
      <c r="S122" s="149" t="str">
        <f>IF(COUNTIF(L$5:L122,L122)=1,MAX(S$5:S122)+1,"")</f>
        <v/>
      </c>
      <c r="T122" s="149" t="str">
        <f t="shared" si="1"/>
        <v>Пехівське 556643</v>
      </c>
    </row>
    <row r="123" spans="1:20" hidden="1">
      <c r="A123" s="149" t="s">
        <v>114</v>
      </c>
      <c r="B123" s="149" t="s">
        <v>126</v>
      </c>
      <c r="C123" s="149" t="s">
        <v>3819</v>
      </c>
      <c r="D123" s="149">
        <v>556643</v>
      </c>
      <c r="E123" s="281" t="s">
        <v>3857</v>
      </c>
      <c r="F123" s="281" t="s">
        <v>3855</v>
      </c>
      <c r="G123" s="149">
        <v>4.9000000000000004</v>
      </c>
      <c r="H123" s="149">
        <v>1</v>
      </c>
      <c r="I123" s="149">
        <v>27</v>
      </c>
      <c r="J123" s="149">
        <v>33</v>
      </c>
      <c r="K123" s="149" t="str">
        <f>РеестрЛКЕОД[[#This Row],[Ділянка]] &amp;" "&amp;РеестрЛКЕОД[[#This Row],[Номер]]</f>
        <v>58 кв (5 вид) 0 діл. 556643</v>
      </c>
      <c r="L123" s="149" t="str">
        <f>РеестрЛКЕОД[[#This Row],[Лісництво]] &amp;" "&amp;РеестрЛКЕОД[[#This Row],[Номер]]</f>
        <v>Пехівське 556643</v>
      </c>
      <c r="M123" s="149"/>
      <c r="N123" s="149"/>
      <c r="O123" s="149"/>
      <c r="P123" s="149"/>
      <c r="Q123" s="149"/>
      <c r="R123" s="149"/>
      <c r="S123" s="149" t="str">
        <f>IF(COUNTIF(L$5:L123,L123)=1,MAX(S$5:S123)+1,"")</f>
        <v/>
      </c>
      <c r="T123" s="149" t="str">
        <f t="shared" si="1"/>
        <v>Пехівське 556643</v>
      </c>
    </row>
    <row r="124" spans="1:20" hidden="1">
      <c r="A124" s="149" t="s">
        <v>114</v>
      </c>
      <c r="B124" s="149" t="s">
        <v>126</v>
      </c>
      <c r="C124" s="149" t="s">
        <v>3873</v>
      </c>
      <c r="D124" s="149">
        <v>556643</v>
      </c>
      <c r="E124" s="281" t="s">
        <v>3857</v>
      </c>
      <c r="F124" s="281" t="s">
        <v>3855</v>
      </c>
      <c r="G124" s="149">
        <v>4.8</v>
      </c>
      <c r="H124" s="149">
        <v>16</v>
      </c>
      <c r="I124" s="149">
        <v>84</v>
      </c>
      <c r="J124" s="149">
        <v>116</v>
      </c>
      <c r="K124" s="149" t="str">
        <f>РеестрЛКЕОД[[#This Row],[Ділянка]] &amp;" "&amp;РеестрЛКЕОД[[#This Row],[Номер]]</f>
        <v>72 кв (1 вид) 0 діл. 556643</v>
      </c>
      <c r="L124" s="149" t="str">
        <f>РеестрЛКЕОД[[#This Row],[Лісництво]] &amp;" "&amp;РеестрЛКЕОД[[#This Row],[Номер]]</f>
        <v>Пехівське 556643</v>
      </c>
      <c r="M124" s="149"/>
      <c r="N124" s="149"/>
      <c r="O124" s="149"/>
      <c r="P124" s="149"/>
      <c r="Q124" s="149"/>
      <c r="R124" s="149"/>
      <c r="S124" s="149" t="str">
        <f>IF(COUNTIF(L$5:L124,L124)=1,MAX(S$5:S124)+1,"")</f>
        <v/>
      </c>
      <c r="T124" s="149" t="str">
        <f t="shared" si="1"/>
        <v>Пехівське 556643</v>
      </c>
    </row>
    <row r="125" spans="1:20" hidden="1">
      <c r="A125" s="149" t="s">
        <v>114</v>
      </c>
      <c r="B125" s="149" t="s">
        <v>126</v>
      </c>
      <c r="C125" s="149" t="s">
        <v>416</v>
      </c>
      <c r="D125" s="149">
        <v>556643</v>
      </c>
      <c r="E125" s="281" t="s">
        <v>3857</v>
      </c>
      <c r="F125" s="281" t="s">
        <v>3855</v>
      </c>
      <c r="G125" s="149">
        <v>0.8</v>
      </c>
      <c r="H125" s="149">
        <v>5</v>
      </c>
      <c r="I125" s="149">
        <v>14</v>
      </c>
      <c r="J125" s="149">
        <v>22</v>
      </c>
      <c r="K125" s="149" t="str">
        <f>РеестрЛКЕОД[[#This Row],[Ділянка]] &amp;" "&amp;РеестрЛКЕОД[[#This Row],[Номер]]</f>
        <v>72 кв (2 вид) 0 діл. 556643</v>
      </c>
      <c r="L125" s="149" t="str">
        <f>РеестрЛКЕОД[[#This Row],[Лісництво]] &amp;" "&amp;РеестрЛКЕОД[[#This Row],[Номер]]</f>
        <v>Пехівське 556643</v>
      </c>
      <c r="M125" s="149"/>
      <c r="N125" s="149"/>
      <c r="O125" s="149"/>
      <c r="P125" s="149"/>
      <c r="Q125" s="149"/>
      <c r="R125" s="149"/>
      <c r="S125" s="149" t="str">
        <f>IF(COUNTIF(L$5:L125,L125)=1,MAX(S$5:S125)+1,"")</f>
        <v/>
      </c>
      <c r="T125" s="149" t="str">
        <f t="shared" si="1"/>
        <v>Пехівське 556643</v>
      </c>
    </row>
    <row r="126" spans="1:20" hidden="1">
      <c r="A126" s="149" t="s">
        <v>114</v>
      </c>
      <c r="B126" s="149" t="s">
        <v>126</v>
      </c>
      <c r="C126" s="149" t="s">
        <v>300</v>
      </c>
      <c r="D126" s="149">
        <v>556643</v>
      </c>
      <c r="E126" s="281" t="s">
        <v>3857</v>
      </c>
      <c r="F126" s="281" t="s">
        <v>3855</v>
      </c>
      <c r="G126" s="149">
        <v>1.1000000000000001</v>
      </c>
      <c r="H126" s="149">
        <v>6</v>
      </c>
      <c r="I126" s="149">
        <v>17</v>
      </c>
      <c r="J126" s="149">
        <v>26</v>
      </c>
      <c r="K126" s="149" t="str">
        <f>РеестрЛКЕОД[[#This Row],[Ділянка]] &amp;" "&amp;РеестрЛКЕОД[[#This Row],[Номер]]</f>
        <v>72 кв (3 вид) 0 діл. 556643</v>
      </c>
      <c r="L126" s="149" t="str">
        <f>РеестрЛКЕОД[[#This Row],[Лісництво]] &amp;" "&amp;РеестрЛКЕОД[[#This Row],[Номер]]</f>
        <v>Пехівське 556643</v>
      </c>
      <c r="M126" s="149"/>
      <c r="N126" s="149"/>
      <c r="O126" s="149"/>
      <c r="P126" s="149"/>
      <c r="Q126" s="149"/>
      <c r="R126" s="149"/>
      <c r="S126" s="149" t="str">
        <f>IF(COUNTIF(L$5:L126,L126)=1,MAX(S$5:S126)+1,"")</f>
        <v/>
      </c>
      <c r="T126" s="149" t="str">
        <f t="shared" si="1"/>
        <v>Пехівське 556643</v>
      </c>
    </row>
    <row r="127" spans="1:20">
      <c r="A127" s="149" t="s">
        <v>116</v>
      </c>
      <c r="B127" s="149" t="s">
        <v>128</v>
      </c>
      <c r="C127" s="149" t="s">
        <v>569</v>
      </c>
      <c r="D127" s="149">
        <v>556618</v>
      </c>
      <c r="E127" s="281" t="s">
        <v>3723</v>
      </c>
      <c r="F127" s="281" t="s">
        <v>3855</v>
      </c>
      <c r="G127" s="149">
        <v>2.8</v>
      </c>
      <c r="H127" s="149">
        <v>270</v>
      </c>
      <c r="I127" s="149">
        <v>22</v>
      </c>
      <c r="J127" s="149">
        <v>380</v>
      </c>
      <c r="K127" s="149" t="str">
        <f>РеестрЛКЕОД[[#This Row],[Ділянка]] &amp;" "&amp;РеестрЛКЕОД[[#This Row],[Номер]]</f>
        <v>11 кв (1 вид) 0 діл. 556618</v>
      </c>
      <c r="L127" s="149" t="str">
        <f>РеестрЛКЕОД[[#This Row],[Лісництво]] &amp;" "&amp;РеестрЛКЕОД[[#This Row],[Номер]]</f>
        <v>Хлипнівське 556618</v>
      </c>
      <c r="M127" s="149"/>
      <c r="N127" s="149"/>
      <c r="O127" s="149"/>
      <c r="P127" s="149"/>
      <c r="Q127" s="149"/>
      <c r="R127" s="149"/>
      <c r="S127" s="149"/>
      <c r="T127" s="149" t="str">
        <f t="shared" si="1"/>
        <v>Хлипнівське 556618</v>
      </c>
    </row>
    <row r="128" spans="1:20" hidden="1">
      <c r="A128" s="149" t="s">
        <v>116</v>
      </c>
      <c r="B128" s="149" t="s">
        <v>128</v>
      </c>
      <c r="C128" s="149" t="s">
        <v>3646</v>
      </c>
      <c r="D128" s="149">
        <v>556618</v>
      </c>
      <c r="E128" s="281" t="s">
        <v>3723</v>
      </c>
      <c r="F128" s="281" t="s">
        <v>3855</v>
      </c>
      <c r="G128" s="149">
        <v>0.9</v>
      </c>
      <c r="H128" s="149">
        <v>117</v>
      </c>
      <c r="I128" s="149">
        <v>103</v>
      </c>
      <c r="J128" s="149">
        <v>254</v>
      </c>
      <c r="K128" s="149" t="str">
        <f>РеестрЛКЕОД[[#This Row],[Ділянка]] &amp;" "&amp;РеестрЛКЕОД[[#This Row],[Номер]]</f>
        <v>110 кв (6 вид) 0 діл. 556618</v>
      </c>
      <c r="L128" s="149" t="str">
        <f>РеестрЛКЕОД[[#This Row],[Лісництво]] &amp;" "&amp;РеестрЛКЕОД[[#This Row],[Номер]]</f>
        <v>Хлипнівське 556618</v>
      </c>
      <c r="M128" s="149"/>
      <c r="N128" s="149"/>
      <c r="O128" s="149"/>
      <c r="P128" s="149"/>
      <c r="Q128" s="149"/>
      <c r="R128" s="149"/>
      <c r="S128" s="149" t="str">
        <f>IF(COUNTIF(L$5:L128,L128)=1,MAX(S$5:S128)+1,"")</f>
        <v/>
      </c>
      <c r="T128" s="149" t="str">
        <f t="shared" si="1"/>
        <v>Хлипнівське 556618</v>
      </c>
    </row>
    <row r="129" spans="1:20" hidden="1">
      <c r="A129" s="149" t="s">
        <v>116</v>
      </c>
      <c r="B129" s="149" t="s">
        <v>128</v>
      </c>
      <c r="C129" s="149" t="s">
        <v>3641</v>
      </c>
      <c r="D129" s="149">
        <v>556618</v>
      </c>
      <c r="E129" s="281" t="s">
        <v>3723</v>
      </c>
      <c r="F129" s="281" t="s">
        <v>3855</v>
      </c>
      <c r="G129" s="149">
        <v>1.5</v>
      </c>
      <c r="H129" s="149">
        <v>346</v>
      </c>
      <c r="I129" s="149">
        <v>174</v>
      </c>
      <c r="J129" s="149">
        <v>600</v>
      </c>
      <c r="K129" s="149" t="str">
        <f>РеестрЛКЕОД[[#This Row],[Ділянка]] &amp;" "&amp;РеестрЛКЕОД[[#This Row],[Номер]]</f>
        <v>113 кв (4 вид) 1 діл. 556618</v>
      </c>
      <c r="L129" s="149" t="str">
        <f>РеестрЛКЕОД[[#This Row],[Лісництво]] &amp;" "&amp;РеестрЛКЕОД[[#This Row],[Номер]]</f>
        <v>Хлипнівське 556618</v>
      </c>
      <c r="M129" s="149"/>
      <c r="N129" s="149"/>
      <c r="O129" s="149"/>
      <c r="P129" s="149"/>
      <c r="Q129" s="149"/>
      <c r="R129" s="149"/>
      <c r="S129" s="149" t="str">
        <f>IF(COUNTIF(L$5:L129,L129)=1,MAX(S$5:S129)+1,"")</f>
        <v/>
      </c>
      <c r="T129" s="149" t="str">
        <f t="shared" si="1"/>
        <v>Хлипнівське 556618</v>
      </c>
    </row>
    <row r="130" spans="1:20" hidden="1">
      <c r="A130" s="149" t="s">
        <v>116</v>
      </c>
      <c r="B130" s="149" t="s">
        <v>128</v>
      </c>
      <c r="C130" s="149" t="s">
        <v>3643</v>
      </c>
      <c r="D130" s="149">
        <v>556618</v>
      </c>
      <c r="E130" s="281" t="s">
        <v>3723</v>
      </c>
      <c r="F130" s="281" t="s">
        <v>3855</v>
      </c>
      <c r="G130" s="149">
        <v>1.5</v>
      </c>
      <c r="H130" s="149">
        <v>1</v>
      </c>
      <c r="I130" s="149">
        <v>212</v>
      </c>
      <c r="J130" s="149">
        <v>253</v>
      </c>
      <c r="K130" s="149" t="str">
        <f>РеестрЛКЕОД[[#This Row],[Ділянка]] &amp;" "&amp;РеестрЛКЕОД[[#This Row],[Номер]]</f>
        <v>130 кв (5 вид) 2 діл. 556618</v>
      </c>
      <c r="L130" s="149" t="str">
        <f>РеестрЛКЕОД[[#This Row],[Лісництво]] &amp;" "&amp;РеестрЛКЕОД[[#This Row],[Номер]]</f>
        <v>Хлипнівське 556618</v>
      </c>
      <c r="M130" s="149"/>
      <c r="N130" s="149"/>
      <c r="O130" s="149"/>
      <c r="P130" s="149"/>
      <c r="Q130" s="149"/>
      <c r="R130" s="149"/>
      <c r="S130" s="149" t="str">
        <f>IF(COUNTIF(L$5:L130,L130)=1,MAX(S$5:S130)+1,"")</f>
        <v/>
      </c>
      <c r="T130" s="149" t="str">
        <f t="shared" si="1"/>
        <v>Хлипнівське 556618</v>
      </c>
    </row>
    <row r="131" spans="1:20" hidden="1">
      <c r="A131" s="149" t="s">
        <v>116</v>
      </c>
      <c r="B131" s="149" t="s">
        <v>128</v>
      </c>
      <c r="C131" s="149" t="s">
        <v>3638</v>
      </c>
      <c r="D131" s="149">
        <v>556618</v>
      </c>
      <c r="E131" s="281" t="s">
        <v>3723</v>
      </c>
      <c r="F131" s="281" t="s">
        <v>3855</v>
      </c>
      <c r="G131" s="149">
        <v>2.5</v>
      </c>
      <c r="H131" s="149">
        <v>2</v>
      </c>
      <c r="I131" s="149">
        <v>411</v>
      </c>
      <c r="J131" s="149">
        <v>494</v>
      </c>
      <c r="K131" s="149" t="str">
        <f>РеестрЛКЕОД[[#This Row],[Ділянка]] &amp;" "&amp;РеестрЛКЕОД[[#This Row],[Номер]]</f>
        <v>136 кв (61 вид) 1 діл. 556618</v>
      </c>
      <c r="L131" s="149" t="str">
        <f>РеестрЛКЕОД[[#This Row],[Лісництво]] &amp;" "&amp;РеестрЛКЕОД[[#This Row],[Номер]]</f>
        <v>Хлипнівське 556618</v>
      </c>
      <c r="M131" s="149"/>
      <c r="N131" s="149"/>
      <c r="O131" s="149"/>
      <c r="P131" s="149"/>
      <c r="Q131" s="149"/>
      <c r="R131" s="149"/>
      <c r="S131" s="149" t="str">
        <f>IF(COUNTIF(L$5:L131,L131)=1,MAX(S$5:S131)+1,"")</f>
        <v/>
      </c>
      <c r="T131" s="149" t="str">
        <f t="shared" si="1"/>
        <v>Хлипнівське 556618</v>
      </c>
    </row>
    <row r="132" spans="1:20" hidden="1">
      <c r="A132" s="149" t="s">
        <v>116</v>
      </c>
      <c r="B132" s="149" t="s">
        <v>128</v>
      </c>
      <c r="C132" s="149" t="s">
        <v>3647</v>
      </c>
      <c r="D132" s="149">
        <v>556618</v>
      </c>
      <c r="E132" s="281" t="s">
        <v>3723</v>
      </c>
      <c r="F132" s="281" t="s">
        <v>3855</v>
      </c>
      <c r="G132" s="149">
        <v>1.8</v>
      </c>
      <c r="H132" s="149">
        <v>236</v>
      </c>
      <c r="I132" s="149">
        <v>308</v>
      </c>
      <c r="J132" s="149">
        <v>630</v>
      </c>
      <c r="K132" s="149" t="str">
        <f>РеестрЛКЕОД[[#This Row],[Ділянка]] &amp;" "&amp;РеестрЛКЕОД[[#This Row],[Номер]]</f>
        <v>16 кв (3 вид) 1 діл. 556618</v>
      </c>
      <c r="L132" s="149" t="str">
        <f>РеестрЛКЕОД[[#This Row],[Лісництво]] &amp;" "&amp;РеестрЛКЕОД[[#This Row],[Номер]]</f>
        <v>Хлипнівське 556618</v>
      </c>
      <c r="M132" s="149"/>
      <c r="N132" s="149"/>
      <c r="O132" s="149"/>
      <c r="P132" s="149"/>
      <c r="Q132" s="149"/>
      <c r="R132" s="149"/>
      <c r="S132" s="149" t="str">
        <f>IF(COUNTIF(L$5:L132,L132)=1,MAX(S$5:S132)+1,"")</f>
        <v/>
      </c>
      <c r="T132" s="149" t="str">
        <f t="shared" si="1"/>
        <v>Хлипнівське 556618</v>
      </c>
    </row>
    <row r="133" spans="1:20" hidden="1">
      <c r="A133" s="149" t="s">
        <v>116</v>
      </c>
      <c r="B133" s="149" t="s">
        <v>128</v>
      </c>
      <c r="C133" s="149" t="s">
        <v>3644</v>
      </c>
      <c r="D133" s="149">
        <v>556618</v>
      </c>
      <c r="E133" s="281" t="s">
        <v>3723</v>
      </c>
      <c r="F133" s="281" t="s">
        <v>3855</v>
      </c>
      <c r="G133" s="149">
        <v>1.6</v>
      </c>
      <c r="H133" s="149">
        <v>206</v>
      </c>
      <c r="I133" s="149">
        <v>208</v>
      </c>
      <c r="J133" s="149">
        <v>478</v>
      </c>
      <c r="K133" s="149" t="str">
        <f>РеестрЛКЕОД[[#This Row],[Ділянка]] &amp;" "&amp;РеестрЛКЕОД[[#This Row],[Номер]]</f>
        <v>20 кв (4 вид) 1 діл. 556618</v>
      </c>
      <c r="L133" s="149" t="str">
        <f>РеестрЛКЕОД[[#This Row],[Лісництво]] &amp;" "&amp;РеестрЛКЕОД[[#This Row],[Номер]]</f>
        <v>Хлипнівське 556618</v>
      </c>
      <c r="M133" s="149"/>
      <c r="N133" s="149"/>
      <c r="O133" s="149"/>
      <c r="P133" s="149"/>
      <c r="Q133" s="149"/>
      <c r="R133" s="149"/>
      <c r="S133" s="149" t="str">
        <f>IF(COUNTIF(L$5:L133,L133)=1,MAX(S$5:S133)+1,"")</f>
        <v/>
      </c>
      <c r="T133" s="149" t="str">
        <f t="shared" ref="T133:T196" si="2">L133:L340</f>
        <v>Хлипнівське 556618</v>
      </c>
    </row>
    <row r="134" spans="1:20" hidden="1">
      <c r="A134" s="149" t="s">
        <v>116</v>
      </c>
      <c r="B134" s="149" t="s">
        <v>128</v>
      </c>
      <c r="C134" s="149" t="s">
        <v>3640</v>
      </c>
      <c r="D134" s="149">
        <v>556618</v>
      </c>
      <c r="E134" s="281" t="s">
        <v>3723</v>
      </c>
      <c r="F134" s="281" t="s">
        <v>3855</v>
      </c>
      <c r="G134" s="149">
        <v>0.7</v>
      </c>
      <c r="H134" s="149">
        <v>102</v>
      </c>
      <c r="I134" s="149">
        <v>130</v>
      </c>
      <c r="J134" s="149">
        <v>271</v>
      </c>
      <c r="K134" s="149" t="str">
        <f>РеестрЛКЕОД[[#This Row],[Ділянка]] &amp;" "&amp;РеестрЛКЕОД[[#This Row],[Номер]]</f>
        <v>41 кв (5 вид) 1 діл. 556618</v>
      </c>
      <c r="L134" s="149" t="str">
        <f>РеестрЛКЕОД[[#This Row],[Лісництво]] &amp;" "&amp;РеестрЛКЕОД[[#This Row],[Номер]]</f>
        <v>Хлипнівське 556618</v>
      </c>
      <c r="M134" s="149"/>
      <c r="N134" s="149"/>
      <c r="O134" s="149"/>
      <c r="P134" s="149"/>
      <c r="Q134" s="149"/>
      <c r="R134" s="149"/>
      <c r="S134" s="149" t="str">
        <f>IF(COUNTIF(L$5:L134,L134)=1,MAX(S$5:S134)+1,"")</f>
        <v/>
      </c>
      <c r="T134" s="149" t="str">
        <f t="shared" si="2"/>
        <v>Хлипнівське 556618</v>
      </c>
    </row>
    <row r="135" spans="1:20" hidden="1">
      <c r="A135" s="149" t="s">
        <v>116</v>
      </c>
      <c r="B135" s="149" t="s">
        <v>128</v>
      </c>
      <c r="C135" s="149" t="s">
        <v>3648</v>
      </c>
      <c r="D135" s="149">
        <v>556618</v>
      </c>
      <c r="E135" s="281" t="s">
        <v>3723</v>
      </c>
      <c r="F135" s="281" t="s">
        <v>3855</v>
      </c>
      <c r="G135" s="149">
        <v>2.4</v>
      </c>
      <c r="H135" s="149">
        <v>132</v>
      </c>
      <c r="I135" s="149">
        <v>506</v>
      </c>
      <c r="J135" s="149">
        <v>739</v>
      </c>
      <c r="K135" s="149" t="str">
        <f>РеестрЛКЕОД[[#This Row],[Ділянка]] &amp;" "&amp;РеестрЛКЕОД[[#This Row],[Номер]]</f>
        <v>51 кв (4 вид) 0 діл. 556618</v>
      </c>
      <c r="L135" s="149" t="str">
        <f>РеестрЛКЕОД[[#This Row],[Лісництво]] &amp;" "&amp;РеестрЛКЕОД[[#This Row],[Номер]]</f>
        <v>Хлипнівське 556618</v>
      </c>
      <c r="M135" s="149"/>
      <c r="N135" s="149"/>
      <c r="O135" s="149"/>
      <c r="P135" s="149"/>
      <c r="Q135" s="149"/>
      <c r="R135" s="149"/>
      <c r="S135" s="149" t="str">
        <f>IF(COUNTIF(L$5:L135,L135)=1,MAX(S$5:S135)+1,"")</f>
        <v/>
      </c>
      <c r="T135" s="149" t="str">
        <f t="shared" si="2"/>
        <v>Хлипнівське 556618</v>
      </c>
    </row>
    <row r="136" spans="1:20" hidden="1">
      <c r="A136" s="149" t="s">
        <v>116</v>
      </c>
      <c r="B136" s="149" t="s">
        <v>128</v>
      </c>
      <c r="C136" s="149" t="s">
        <v>3642</v>
      </c>
      <c r="D136" s="149">
        <v>556618</v>
      </c>
      <c r="E136" s="281" t="s">
        <v>3723</v>
      </c>
      <c r="F136" s="281" t="s">
        <v>3855</v>
      </c>
      <c r="G136" s="149">
        <v>2.7</v>
      </c>
      <c r="H136" s="149">
        <v>348</v>
      </c>
      <c r="I136" s="149">
        <v>467</v>
      </c>
      <c r="J136" s="149">
        <v>951</v>
      </c>
      <c r="K136" s="149" t="str">
        <f>РеестрЛКЕОД[[#This Row],[Ділянка]] &amp;" "&amp;РеестрЛКЕОД[[#This Row],[Номер]]</f>
        <v>59 кв (8 вид) 2 діл. 556618</v>
      </c>
      <c r="L136" s="149" t="str">
        <f>РеестрЛКЕОД[[#This Row],[Лісництво]] &amp;" "&amp;РеестрЛКЕОД[[#This Row],[Номер]]</f>
        <v>Хлипнівське 556618</v>
      </c>
      <c r="M136" s="149"/>
      <c r="N136" s="149"/>
      <c r="O136" s="149"/>
      <c r="P136" s="149"/>
      <c r="Q136" s="149"/>
      <c r="R136" s="149"/>
      <c r="S136" s="149" t="str">
        <f>IF(COUNTIF(L$5:L136,L136)=1,MAX(S$5:S136)+1,"")</f>
        <v/>
      </c>
      <c r="T136" s="149" t="str">
        <f t="shared" si="2"/>
        <v>Хлипнівське 556618</v>
      </c>
    </row>
    <row r="137" spans="1:20" hidden="1">
      <c r="A137" s="149" t="s">
        <v>116</v>
      </c>
      <c r="B137" s="149" t="s">
        <v>128</v>
      </c>
      <c r="C137" s="149" t="s">
        <v>3639</v>
      </c>
      <c r="D137" s="149">
        <v>556618</v>
      </c>
      <c r="E137" s="281" t="s">
        <v>3723</v>
      </c>
      <c r="F137" s="281" t="s">
        <v>3855</v>
      </c>
      <c r="G137" s="149">
        <v>3</v>
      </c>
      <c r="H137" s="149">
        <v>310</v>
      </c>
      <c r="I137" s="149">
        <v>352</v>
      </c>
      <c r="J137" s="149">
        <v>760</v>
      </c>
      <c r="K137" s="149" t="str">
        <f>РеестрЛКЕОД[[#This Row],[Ділянка]] &amp;" "&amp;РеестрЛКЕОД[[#This Row],[Номер]]</f>
        <v>85 кв (24 вид) 0 діл. 556618</v>
      </c>
      <c r="L137" s="149" t="str">
        <f>РеестрЛКЕОД[[#This Row],[Лісництво]] &amp;" "&amp;РеестрЛКЕОД[[#This Row],[Номер]]</f>
        <v>Хлипнівське 556618</v>
      </c>
      <c r="M137" s="149"/>
      <c r="N137" s="149"/>
      <c r="O137" s="149"/>
      <c r="P137" s="149"/>
      <c r="Q137" s="149"/>
      <c r="R137" s="149"/>
      <c r="S137" s="149" t="str">
        <f>IF(COUNTIF(L$5:L137,L137)=1,MAX(S$5:S137)+1,"")</f>
        <v/>
      </c>
      <c r="T137" s="149" t="str">
        <f t="shared" si="2"/>
        <v>Хлипнівське 556618</v>
      </c>
    </row>
    <row r="138" spans="1:20" hidden="1">
      <c r="A138" s="149" t="s">
        <v>116</v>
      </c>
      <c r="B138" s="149" t="s">
        <v>128</v>
      </c>
      <c r="C138" s="149" t="s">
        <v>3649</v>
      </c>
      <c r="D138" s="149">
        <v>556618</v>
      </c>
      <c r="E138" s="281" t="s">
        <v>3723</v>
      </c>
      <c r="F138" s="281" t="s">
        <v>3855</v>
      </c>
      <c r="G138" s="149">
        <v>1</v>
      </c>
      <c r="H138" s="149">
        <v>154</v>
      </c>
      <c r="I138" s="149">
        <v>97</v>
      </c>
      <c r="J138" s="149">
        <v>286</v>
      </c>
      <c r="K138" s="149" t="str">
        <f>РеестрЛКЕОД[[#This Row],[Ділянка]] &amp;" "&amp;РеестрЛКЕОД[[#This Row],[Номер]]</f>
        <v>86 кв (4 вид) 1 діл. 556618</v>
      </c>
      <c r="L138" s="149" t="str">
        <f>РеестрЛКЕОД[[#This Row],[Лісництво]] &amp;" "&amp;РеестрЛКЕОД[[#This Row],[Номер]]</f>
        <v>Хлипнівське 556618</v>
      </c>
      <c r="M138" s="149"/>
      <c r="N138" s="149"/>
      <c r="O138" s="149"/>
      <c r="P138" s="149"/>
      <c r="Q138" s="149"/>
      <c r="R138" s="149"/>
      <c r="S138" s="149" t="str">
        <f>IF(COUNTIF(L$5:L138,L138)=1,MAX(S$5:S138)+1,"")</f>
        <v/>
      </c>
      <c r="T138" s="149" t="str">
        <f t="shared" si="2"/>
        <v>Хлипнівське 556618</v>
      </c>
    </row>
    <row r="139" spans="1:20" hidden="1">
      <c r="A139" s="149" t="s">
        <v>116</v>
      </c>
      <c r="B139" s="149" t="s">
        <v>128</v>
      </c>
      <c r="C139" s="149" t="s">
        <v>3645</v>
      </c>
      <c r="D139" s="149">
        <v>556618</v>
      </c>
      <c r="E139" s="281" t="s">
        <v>3723</v>
      </c>
      <c r="F139" s="281" t="s">
        <v>3855</v>
      </c>
      <c r="G139" s="149">
        <v>2.2000000000000002</v>
      </c>
      <c r="H139" s="149">
        <v>331</v>
      </c>
      <c r="I139" s="149">
        <v>336</v>
      </c>
      <c r="J139" s="149">
        <v>770</v>
      </c>
      <c r="K139" s="149" t="str">
        <f>РеестрЛКЕОД[[#This Row],[Ділянка]] &amp;" "&amp;РеестрЛКЕОД[[#This Row],[Номер]]</f>
        <v>94 кв (3 вид) 1 діл. 556618</v>
      </c>
      <c r="L139" s="149" t="str">
        <f>РеестрЛКЕОД[[#This Row],[Лісництво]] &amp;" "&amp;РеестрЛКЕОД[[#This Row],[Номер]]</f>
        <v>Хлипнівське 556618</v>
      </c>
      <c r="M139" s="149"/>
      <c r="N139" s="149"/>
      <c r="O139" s="149"/>
      <c r="P139" s="149"/>
      <c r="Q139" s="149"/>
      <c r="R139" s="149"/>
      <c r="S139" s="149" t="str">
        <f>IF(COUNTIF(L$5:L139,L139)=1,MAX(S$5:S139)+1,"")</f>
        <v/>
      </c>
      <c r="T139" s="149" t="str">
        <f t="shared" si="2"/>
        <v>Хлипнівське 556618</v>
      </c>
    </row>
    <row r="140" spans="1:20">
      <c r="A140" s="149" t="s">
        <v>116</v>
      </c>
      <c r="B140" s="149" t="s">
        <v>134</v>
      </c>
      <c r="C140" s="149" t="s">
        <v>3679</v>
      </c>
      <c r="D140" s="149">
        <v>556624</v>
      </c>
      <c r="E140" s="281" t="s">
        <v>3856</v>
      </c>
      <c r="F140" s="281" t="s">
        <v>3855</v>
      </c>
      <c r="G140" s="149">
        <v>4.0999999999999996</v>
      </c>
      <c r="H140" s="149"/>
      <c r="I140" s="149">
        <v>6</v>
      </c>
      <c r="J140" s="149">
        <v>36</v>
      </c>
      <c r="K140" s="149" t="str">
        <f>РеестрЛКЕОД[[#This Row],[Ділянка]] &amp;" "&amp;РеестрЛКЕОД[[#This Row],[Номер]]</f>
        <v>127 кв (4 вид) 0 діл. 556624</v>
      </c>
      <c r="L140" s="149" t="str">
        <f>РеестрЛКЕОД[[#This Row],[Лісництво]] &amp;" "&amp;РеестрЛКЕОД[[#This Row],[Номер]]</f>
        <v>Хлипнівське 556624</v>
      </c>
      <c r="M140" s="149"/>
      <c r="N140" s="149"/>
      <c r="O140" s="149"/>
      <c r="P140" s="149"/>
      <c r="Q140" s="149"/>
      <c r="R140" s="149"/>
      <c r="S140" s="149"/>
      <c r="T140" s="149" t="str">
        <f t="shared" si="2"/>
        <v>Хлипнівське 556624</v>
      </c>
    </row>
    <row r="141" spans="1:20" hidden="1">
      <c r="A141" s="149" t="s">
        <v>116</v>
      </c>
      <c r="B141" s="149" t="s">
        <v>134</v>
      </c>
      <c r="C141" s="149" t="s">
        <v>183</v>
      </c>
      <c r="D141" s="149">
        <v>556624</v>
      </c>
      <c r="E141" s="281" t="s">
        <v>3856</v>
      </c>
      <c r="F141" s="281" t="s">
        <v>3855</v>
      </c>
      <c r="G141" s="149">
        <v>0.5</v>
      </c>
      <c r="H141" s="149"/>
      <c r="I141" s="149"/>
      <c r="J141" s="149">
        <v>6</v>
      </c>
      <c r="K141" s="149" t="str">
        <f>РеестрЛКЕОД[[#This Row],[Ділянка]] &amp;" "&amp;РеестрЛКЕОД[[#This Row],[Номер]]</f>
        <v>34 кв (5 вид) 0 діл. 556624</v>
      </c>
      <c r="L141" s="149" t="str">
        <f>РеестрЛКЕОД[[#This Row],[Лісництво]] &amp;" "&amp;РеестрЛКЕОД[[#This Row],[Номер]]</f>
        <v>Хлипнівське 556624</v>
      </c>
      <c r="M141" s="149"/>
      <c r="N141" s="149"/>
      <c r="O141" s="149"/>
      <c r="P141" s="149"/>
      <c r="Q141" s="149"/>
      <c r="R141" s="149"/>
      <c r="S141" s="149" t="str">
        <f>IF(COUNTIF(L$5:L141,L141)=1,MAX(S$5:S141)+1,"")</f>
        <v/>
      </c>
      <c r="T141" s="149" t="str">
        <f t="shared" si="2"/>
        <v>Хлипнівське 556624</v>
      </c>
    </row>
    <row r="142" spans="1:20" hidden="1">
      <c r="A142" s="149" t="s">
        <v>116</v>
      </c>
      <c r="B142" s="149" t="s">
        <v>134</v>
      </c>
      <c r="C142" s="149" t="s">
        <v>3678</v>
      </c>
      <c r="D142" s="149">
        <v>556624</v>
      </c>
      <c r="E142" s="281" t="s">
        <v>3856</v>
      </c>
      <c r="F142" s="281" t="s">
        <v>3855</v>
      </c>
      <c r="G142" s="149">
        <v>1.4</v>
      </c>
      <c r="H142" s="149"/>
      <c r="I142" s="149"/>
      <c r="J142" s="149">
        <v>24</v>
      </c>
      <c r="K142" s="149" t="str">
        <f>РеестрЛКЕОД[[#This Row],[Ділянка]] &amp;" "&amp;РеестрЛКЕОД[[#This Row],[Номер]]</f>
        <v>34 кв (6 вид) 0 діл. 556624</v>
      </c>
      <c r="L142" s="149" t="str">
        <f>РеестрЛКЕОД[[#This Row],[Лісництво]] &amp;" "&amp;РеестрЛКЕОД[[#This Row],[Номер]]</f>
        <v>Хлипнівське 556624</v>
      </c>
      <c r="M142" s="149"/>
      <c r="N142" s="149"/>
      <c r="O142" s="149"/>
      <c r="P142" s="149"/>
      <c r="Q142" s="149"/>
      <c r="R142" s="149"/>
      <c r="S142" s="149" t="str">
        <f>IF(COUNTIF(L$5:L142,L142)=1,MAX(S$5:S142)+1,"")</f>
        <v/>
      </c>
      <c r="T142" s="149" t="str">
        <f t="shared" si="2"/>
        <v>Хлипнівське 556624</v>
      </c>
    </row>
    <row r="143" spans="1:20" hidden="1">
      <c r="A143" s="149" t="s">
        <v>116</v>
      </c>
      <c r="B143" s="149" t="s">
        <v>134</v>
      </c>
      <c r="C143" s="149" t="s">
        <v>3677</v>
      </c>
      <c r="D143" s="149">
        <v>556624</v>
      </c>
      <c r="E143" s="281" t="s">
        <v>3856</v>
      </c>
      <c r="F143" s="281" t="s">
        <v>3855</v>
      </c>
      <c r="G143" s="149">
        <v>0.9</v>
      </c>
      <c r="H143" s="149"/>
      <c r="I143" s="149"/>
      <c r="J143" s="149">
        <v>6</v>
      </c>
      <c r="K143" s="149" t="str">
        <f>РеестрЛКЕОД[[#This Row],[Ділянка]] &amp;" "&amp;РеестрЛКЕОД[[#This Row],[Номер]]</f>
        <v>48 кв (10 вид) 0 діл. 556624</v>
      </c>
      <c r="L143" s="149" t="str">
        <f>РеестрЛКЕОД[[#This Row],[Лісництво]] &amp;" "&amp;РеестрЛКЕОД[[#This Row],[Номер]]</f>
        <v>Хлипнівське 556624</v>
      </c>
      <c r="M143" s="149"/>
      <c r="N143" s="149"/>
      <c r="O143" s="149"/>
      <c r="P143" s="149"/>
      <c r="Q143" s="149"/>
      <c r="R143" s="149"/>
      <c r="S143" s="149" t="str">
        <f>IF(COUNTIF(L$5:L143,L143)=1,MAX(S$5:S143)+1,"")</f>
        <v/>
      </c>
      <c r="T143" s="149" t="str">
        <f t="shared" si="2"/>
        <v>Хлипнівське 556624</v>
      </c>
    </row>
    <row r="144" spans="1:20" hidden="1">
      <c r="A144" s="149" t="s">
        <v>116</v>
      </c>
      <c r="B144" s="149" t="s">
        <v>134</v>
      </c>
      <c r="C144" s="149" t="s">
        <v>292</v>
      </c>
      <c r="D144" s="149">
        <v>556624</v>
      </c>
      <c r="E144" s="281" t="s">
        <v>3856</v>
      </c>
      <c r="F144" s="281" t="s">
        <v>3855</v>
      </c>
      <c r="G144" s="149">
        <v>1.8</v>
      </c>
      <c r="H144" s="149"/>
      <c r="I144" s="149">
        <v>5</v>
      </c>
      <c r="J144" s="149">
        <v>39</v>
      </c>
      <c r="K144" s="149" t="str">
        <f>РеестрЛКЕОД[[#This Row],[Ділянка]] &amp;" "&amp;РеестрЛКЕОД[[#This Row],[Номер]]</f>
        <v>5 кв (2 вид) 0 діл. 556624</v>
      </c>
      <c r="L144" s="149" t="str">
        <f>РеестрЛКЕОД[[#This Row],[Лісництво]] &amp;" "&amp;РеестрЛКЕОД[[#This Row],[Номер]]</f>
        <v>Хлипнівське 556624</v>
      </c>
      <c r="M144" s="149"/>
      <c r="N144" s="149"/>
      <c r="O144" s="149"/>
      <c r="P144" s="149"/>
      <c r="Q144" s="149"/>
      <c r="R144" s="149"/>
      <c r="S144" s="149" t="str">
        <f>IF(COUNTIF(L$5:L144,L144)=1,MAX(S$5:S144)+1,"")</f>
        <v/>
      </c>
      <c r="T144" s="149" t="str">
        <f t="shared" si="2"/>
        <v>Хлипнівське 556624</v>
      </c>
    </row>
    <row r="145" spans="1:20">
      <c r="A145" s="149" t="s">
        <v>116</v>
      </c>
      <c r="B145" s="149" t="s">
        <v>124</v>
      </c>
      <c r="C145" s="149" t="s">
        <v>3682</v>
      </c>
      <c r="D145" s="149">
        <v>556625</v>
      </c>
      <c r="E145" s="281" t="s">
        <v>3856</v>
      </c>
      <c r="F145" s="281" t="s">
        <v>3855</v>
      </c>
      <c r="G145" s="149">
        <v>3.6</v>
      </c>
      <c r="H145" s="149"/>
      <c r="I145" s="149">
        <v>70</v>
      </c>
      <c r="J145" s="149">
        <v>70</v>
      </c>
      <c r="K145" s="149" t="str">
        <f>РеестрЛКЕОД[[#This Row],[Ділянка]] &amp;" "&amp;РеестрЛКЕОД[[#This Row],[Номер]]</f>
        <v>120 кв (12 вид) 0 діл. 556625</v>
      </c>
      <c r="L145" s="149" t="str">
        <f>РеестрЛКЕОД[[#This Row],[Лісництво]] &amp;" "&amp;РеестрЛКЕОД[[#This Row],[Номер]]</f>
        <v>Хлипнівське 556625</v>
      </c>
      <c r="M145" s="149"/>
      <c r="N145" s="149"/>
      <c r="O145" s="149"/>
      <c r="P145" s="149"/>
      <c r="Q145" s="149"/>
      <c r="R145" s="149"/>
      <c r="S145" s="149"/>
      <c r="T145" s="149" t="str">
        <f t="shared" si="2"/>
        <v>Хлипнівське 556625</v>
      </c>
    </row>
    <row r="146" spans="1:20" hidden="1">
      <c r="A146" s="149" t="s">
        <v>116</v>
      </c>
      <c r="B146" s="149" t="s">
        <v>124</v>
      </c>
      <c r="C146" s="149" t="s">
        <v>3680</v>
      </c>
      <c r="D146" s="149">
        <v>556625</v>
      </c>
      <c r="E146" s="281" t="s">
        <v>3856</v>
      </c>
      <c r="F146" s="281" t="s">
        <v>3855</v>
      </c>
      <c r="G146" s="149">
        <v>0.8</v>
      </c>
      <c r="H146" s="149"/>
      <c r="I146" s="149">
        <v>11</v>
      </c>
      <c r="J146" s="149">
        <v>11</v>
      </c>
      <c r="K146" s="149" t="str">
        <f>РеестрЛКЕОД[[#This Row],[Ділянка]] &amp;" "&amp;РеестрЛКЕОД[[#This Row],[Номер]]</f>
        <v>120 кв (13 вид) 0 діл. 556625</v>
      </c>
      <c r="L146" s="149" t="str">
        <f>РеестрЛКЕОД[[#This Row],[Лісництво]] &amp;" "&amp;РеестрЛКЕОД[[#This Row],[Номер]]</f>
        <v>Хлипнівське 556625</v>
      </c>
      <c r="M146" s="149"/>
      <c r="N146" s="149"/>
      <c r="O146" s="149"/>
      <c r="P146" s="149"/>
      <c r="Q146" s="149"/>
      <c r="R146" s="149"/>
      <c r="S146" s="149" t="str">
        <f>IF(COUNTIF(L$5:L146,L146)=1,MAX(S$5:S146)+1,"")</f>
        <v/>
      </c>
      <c r="T146" s="149" t="str">
        <f t="shared" si="2"/>
        <v>Хлипнівське 556625</v>
      </c>
    </row>
    <row r="147" spans="1:20" hidden="1">
      <c r="A147" s="149" t="s">
        <v>116</v>
      </c>
      <c r="B147" s="149" t="s">
        <v>124</v>
      </c>
      <c r="C147" s="149" t="s">
        <v>3681</v>
      </c>
      <c r="D147" s="149">
        <v>556625</v>
      </c>
      <c r="E147" s="281" t="s">
        <v>3856</v>
      </c>
      <c r="F147" s="281" t="s">
        <v>3855</v>
      </c>
      <c r="G147" s="149">
        <v>11.5</v>
      </c>
      <c r="H147" s="149">
        <v>3</v>
      </c>
      <c r="I147" s="149">
        <v>380</v>
      </c>
      <c r="J147" s="149">
        <v>390</v>
      </c>
      <c r="K147" s="149" t="str">
        <f>РеестрЛКЕОД[[#This Row],[Ділянка]] &amp;" "&amp;РеестрЛКЕОД[[#This Row],[Номер]]</f>
        <v>22 кв (12 вид) 0 діл. 556625</v>
      </c>
      <c r="L147" s="149" t="str">
        <f>РеестрЛКЕОД[[#This Row],[Лісництво]] &amp;" "&amp;РеестрЛКЕОД[[#This Row],[Номер]]</f>
        <v>Хлипнівське 556625</v>
      </c>
      <c r="M147" s="149"/>
      <c r="N147" s="149"/>
      <c r="O147" s="149"/>
      <c r="P147" s="149"/>
      <c r="Q147" s="149"/>
      <c r="R147" s="149"/>
      <c r="S147" s="149" t="str">
        <f>IF(COUNTIF(L$5:L147,L147)=1,MAX(S$5:S147)+1,"")</f>
        <v/>
      </c>
      <c r="T147" s="149" t="str">
        <f t="shared" si="2"/>
        <v>Хлипнівське 556625</v>
      </c>
    </row>
    <row r="148" spans="1:20" hidden="1">
      <c r="A148" s="149" t="s">
        <v>116</v>
      </c>
      <c r="B148" s="149" t="s">
        <v>124</v>
      </c>
      <c r="C148" s="149" t="s">
        <v>296</v>
      </c>
      <c r="D148" s="149">
        <v>556625</v>
      </c>
      <c r="E148" s="281" t="s">
        <v>3856</v>
      </c>
      <c r="F148" s="281" t="s">
        <v>3855</v>
      </c>
      <c r="G148" s="149">
        <v>1</v>
      </c>
      <c r="H148" s="149"/>
      <c r="I148" s="149">
        <v>20</v>
      </c>
      <c r="J148" s="149">
        <v>20</v>
      </c>
      <c r="K148" s="149" t="str">
        <f>РеестрЛКЕОД[[#This Row],[Ділянка]] &amp;" "&amp;РеестрЛКЕОД[[#This Row],[Номер]]</f>
        <v>69 кв (4 вид) 0 діл. 556625</v>
      </c>
      <c r="L148" s="149" t="str">
        <f>РеестрЛКЕОД[[#This Row],[Лісництво]] &amp;" "&amp;РеестрЛКЕОД[[#This Row],[Номер]]</f>
        <v>Хлипнівське 556625</v>
      </c>
      <c r="M148" s="149"/>
      <c r="N148" s="149"/>
      <c r="O148" s="149"/>
      <c r="P148" s="149"/>
      <c r="Q148" s="149"/>
      <c r="R148" s="149"/>
      <c r="S148" s="149" t="str">
        <f>IF(COUNTIF(L$5:L148,L148)=1,MAX(S$5:S148)+1,"")</f>
        <v/>
      </c>
      <c r="T148" s="149" t="str">
        <f t="shared" si="2"/>
        <v>Хлипнівське 556625</v>
      </c>
    </row>
    <row r="149" spans="1:20" hidden="1">
      <c r="A149" s="149" t="s">
        <v>116</v>
      </c>
      <c r="B149" s="149" t="s">
        <v>124</v>
      </c>
      <c r="C149" s="149" t="s">
        <v>256</v>
      </c>
      <c r="D149" s="149">
        <v>556625</v>
      </c>
      <c r="E149" s="281" t="s">
        <v>3856</v>
      </c>
      <c r="F149" s="281" t="s">
        <v>3855</v>
      </c>
      <c r="G149" s="149">
        <v>2.2000000000000002</v>
      </c>
      <c r="H149" s="149"/>
      <c r="I149" s="149">
        <v>32</v>
      </c>
      <c r="J149" s="149">
        <v>32</v>
      </c>
      <c r="K149" s="149" t="str">
        <f>РеестрЛКЕОД[[#This Row],[Ділянка]] &amp;" "&amp;РеестрЛКЕОД[[#This Row],[Номер]]</f>
        <v>98 кв (1 вид) 0 діл. 556625</v>
      </c>
      <c r="L149" s="149" t="str">
        <f>РеестрЛКЕОД[[#This Row],[Лісництво]] &amp;" "&amp;РеестрЛКЕОД[[#This Row],[Номер]]</f>
        <v>Хлипнівське 556625</v>
      </c>
      <c r="M149" s="149"/>
      <c r="N149" s="149"/>
      <c r="O149" s="149"/>
      <c r="P149" s="149"/>
      <c r="Q149" s="149"/>
      <c r="R149" s="149"/>
      <c r="S149" s="149" t="str">
        <f>IF(COUNTIF(L$5:L149,L149)=1,MAX(S$5:S149)+1,"")</f>
        <v/>
      </c>
      <c r="T149" s="149" t="str">
        <f t="shared" si="2"/>
        <v>Хлипнівське 556625</v>
      </c>
    </row>
    <row r="150" spans="1:20">
      <c r="A150" s="149" t="s">
        <v>116</v>
      </c>
      <c r="B150" s="149" t="s">
        <v>140</v>
      </c>
      <c r="C150" s="149" t="s">
        <v>3683</v>
      </c>
      <c r="D150" s="149">
        <v>556626</v>
      </c>
      <c r="E150" s="281" t="s">
        <v>3856</v>
      </c>
      <c r="F150" s="281" t="s">
        <v>3855</v>
      </c>
      <c r="G150" s="149">
        <v>5.9</v>
      </c>
      <c r="H150" s="149">
        <v>5</v>
      </c>
      <c r="I150" s="149">
        <v>170</v>
      </c>
      <c r="J150" s="149">
        <v>201</v>
      </c>
      <c r="K150" s="149" t="str">
        <f>РеестрЛКЕОД[[#This Row],[Ділянка]] &amp;" "&amp;РеестрЛКЕОД[[#This Row],[Номер]]</f>
        <v>102 кв (2 вид) 0 діл. 556626</v>
      </c>
      <c r="L150" s="149" t="str">
        <f>РеестрЛКЕОД[[#This Row],[Лісництво]] &amp;" "&amp;РеестрЛКЕОД[[#This Row],[Номер]]</f>
        <v>Хлипнівське 556626</v>
      </c>
      <c r="M150" s="149"/>
      <c r="N150" s="149"/>
      <c r="O150" s="149"/>
      <c r="P150" s="149"/>
      <c r="Q150" s="149"/>
      <c r="R150" s="149"/>
      <c r="S150" s="149"/>
      <c r="T150" s="149" t="str">
        <f t="shared" si="2"/>
        <v>Хлипнівське 556626</v>
      </c>
    </row>
    <row r="151" spans="1:20" hidden="1">
      <c r="A151" s="149" t="s">
        <v>116</v>
      </c>
      <c r="B151" s="149" t="s">
        <v>140</v>
      </c>
      <c r="C151" s="149" t="s">
        <v>3685</v>
      </c>
      <c r="D151" s="149">
        <v>556626</v>
      </c>
      <c r="E151" s="281" t="s">
        <v>3856</v>
      </c>
      <c r="F151" s="281" t="s">
        <v>3855</v>
      </c>
      <c r="G151" s="149">
        <v>6.2</v>
      </c>
      <c r="H151" s="149">
        <v>6</v>
      </c>
      <c r="I151" s="149">
        <v>172</v>
      </c>
      <c r="J151" s="149">
        <v>205</v>
      </c>
      <c r="K151" s="149" t="str">
        <f>РеестрЛКЕОД[[#This Row],[Ділянка]] &amp;" "&amp;РеестрЛКЕОД[[#This Row],[Номер]]</f>
        <v>33 кв (5 вид) 0 діл. 556626</v>
      </c>
      <c r="L151" s="149" t="str">
        <f>РеестрЛКЕОД[[#This Row],[Лісництво]] &amp;" "&amp;РеестрЛКЕОД[[#This Row],[Номер]]</f>
        <v>Хлипнівське 556626</v>
      </c>
      <c r="M151" s="149"/>
      <c r="N151" s="149"/>
      <c r="O151" s="149"/>
      <c r="P151" s="149"/>
      <c r="Q151" s="149"/>
      <c r="R151" s="149"/>
      <c r="S151" s="149" t="str">
        <f>IF(COUNTIF(L$5:L151,L151)=1,MAX(S$5:S151)+1,"")</f>
        <v/>
      </c>
      <c r="T151" s="149" t="str">
        <f t="shared" si="2"/>
        <v>Хлипнівське 556626</v>
      </c>
    </row>
    <row r="152" spans="1:20" hidden="1">
      <c r="A152" s="149" t="s">
        <v>116</v>
      </c>
      <c r="B152" s="149" t="s">
        <v>140</v>
      </c>
      <c r="C152" s="149" t="s">
        <v>3684</v>
      </c>
      <c r="D152" s="149">
        <v>556626</v>
      </c>
      <c r="E152" s="281" t="s">
        <v>3856</v>
      </c>
      <c r="F152" s="281" t="s">
        <v>3855</v>
      </c>
      <c r="G152" s="149">
        <v>1.8</v>
      </c>
      <c r="H152" s="149"/>
      <c r="I152" s="149">
        <v>32</v>
      </c>
      <c r="J152" s="149">
        <v>37</v>
      </c>
      <c r="K152" s="149" t="str">
        <f>РеестрЛКЕОД[[#This Row],[Ділянка]] &amp;" "&amp;РеестрЛКЕОД[[#This Row],[Номер]]</f>
        <v>4 кв (3 вид) 2 діл. 556626</v>
      </c>
      <c r="L152" s="149" t="str">
        <f>РеестрЛКЕОД[[#This Row],[Лісництво]] &amp;" "&amp;РеестрЛКЕОД[[#This Row],[Номер]]</f>
        <v>Хлипнівське 556626</v>
      </c>
      <c r="M152" s="149"/>
      <c r="N152" s="149"/>
      <c r="O152" s="149"/>
      <c r="P152" s="149"/>
      <c r="Q152" s="149"/>
      <c r="R152" s="149"/>
      <c r="S152" s="149" t="str">
        <f>IF(COUNTIF(L$5:L152,L152)=1,MAX(S$5:S152)+1,"")</f>
        <v/>
      </c>
      <c r="T152" s="149" t="str">
        <f t="shared" si="2"/>
        <v>Хлипнівське 556626</v>
      </c>
    </row>
    <row r="153" spans="1:20" hidden="1">
      <c r="A153" s="149" t="s">
        <v>116</v>
      </c>
      <c r="B153" s="149" t="s">
        <v>140</v>
      </c>
      <c r="C153" s="149" t="s">
        <v>3687</v>
      </c>
      <c r="D153" s="149">
        <v>556626</v>
      </c>
      <c r="E153" s="281" t="s">
        <v>3856</v>
      </c>
      <c r="F153" s="281" t="s">
        <v>3855</v>
      </c>
      <c r="G153" s="149">
        <v>4.9000000000000004</v>
      </c>
      <c r="H153" s="149">
        <v>11</v>
      </c>
      <c r="I153" s="149">
        <v>61</v>
      </c>
      <c r="J153" s="149">
        <v>85</v>
      </c>
      <c r="K153" s="149" t="str">
        <f>РеестрЛКЕОД[[#This Row],[Ділянка]] &amp;" "&amp;РеестрЛКЕОД[[#This Row],[Номер]]</f>
        <v>53 кв (13 вид) 0 діл. 556626</v>
      </c>
      <c r="L153" s="149" t="str">
        <f>РеестрЛКЕОД[[#This Row],[Лісництво]] &amp;" "&amp;РеестрЛКЕОД[[#This Row],[Номер]]</f>
        <v>Хлипнівське 556626</v>
      </c>
      <c r="M153" s="149"/>
      <c r="N153" s="149"/>
      <c r="O153" s="149"/>
      <c r="P153" s="149"/>
      <c r="Q153" s="149"/>
      <c r="R153" s="149"/>
      <c r="S153" s="149" t="str">
        <f>IF(COUNTIF(L$5:L153,L153)=1,MAX(S$5:S153)+1,"")</f>
        <v/>
      </c>
      <c r="T153" s="149" t="str">
        <f t="shared" si="2"/>
        <v>Хлипнівське 556626</v>
      </c>
    </row>
    <row r="154" spans="1:20" hidden="1">
      <c r="A154" s="149" t="s">
        <v>116</v>
      </c>
      <c r="B154" s="149" t="s">
        <v>140</v>
      </c>
      <c r="C154" s="149" t="s">
        <v>3688</v>
      </c>
      <c r="D154" s="149">
        <v>556626</v>
      </c>
      <c r="E154" s="281" t="s">
        <v>3856</v>
      </c>
      <c r="F154" s="281" t="s">
        <v>3855</v>
      </c>
      <c r="G154" s="149">
        <v>3.1</v>
      </c>
      <c r="H154" s="149">
        <v>2</v>
      </c>
      <c r="I154" s="149">
        <v>54</v>
      </c>
      <c r="J154" s="149">
        <v>65</v>
      </c>
      <c r="K154" s="149" t="str">
        <f>РеестрЛКЕОД[[#This Row],[Ділянка]] &amp;" "&amp;РеестрЛКЕОД[[#This Row],[Номер]]</f>
        <v>63 кв (4 вид) 0 діл. 556626</v>
      </c>
      <c r="L154" s="149" t="str">
        <f>РеестрЛКЕОД[[#This Row],[Лісництво]] &amp;" "&amp;РеестрЛКЕОД[[#This Row],[Номер]]</f>
        <v>Хлипнівське 556626</v>
      </c>
      <c r="M154" s="149"/>
      <c r="N154" s="149"/>
      <c r="O154" s="149"/>
      <c r="P154" s="149"/>
      <c r="Q154" s="149"/>
      <c r="R154" s="149"/>
      <c r="S154" s="149" t="str">
        <f>IF(COUNTIF(L$5:L154,L154)=1,MAX(S$5:S154)+1,"")</f>
        <v/>
      </c>
      <c r="T154" s="149" t="str">
        <f t="shared" si="2"/>
        <v>Хлипнівське 556626</v>
      </c>
    </row>
    <row r="155" spans="1:20" hidden="1">
      <c r="A155" s="149" t="s">
        <v>116</v>
      </c>
      <c r="B155" s="149" t="s">
        <v>140</v>
      </c>
      <c r="C155" s="149" t="s">
        <v>3686</v>
      </c>
      <c r="D155" s="149">
        <v>556626</v>
      </c>
      <c r="E155" s="281" t="s">
        <v>3856</v>
      </c>
      <c r="F155" s="281" t="s">
        <v>3855</v>
      </c>
      <c r="G155" s="149">
        <v>3.7</v>
      </c>
      <c r="H155" s="149">
        <v>4</v>
      </c>
      <c r="I155" s="149">
        <v>80</v>
      </c>
      <c r="J155" s="149">
        <v>97</v>
      </c>
      <c r="K155" s="149" t="str">
        <f>РеестрЛКЕОД[[#This Row],[Ділянка]] &amp;" "&amp;РеестрЛКЕОД[[#This Row],[Номер]]</f>
        <v>96 кв (1 вид) 0 діл. 556626</v>
      </c>
      <c r="L155" s="149" t="str">
        <f>РеестрЛКЕОД[[#This Row],[Лісництво]] &amp;" "&amp;РеестрЛКЕОД[[#This Row],[Номер]]</f>
        <v>Хлипнівське 556626</v>
      </c>
      <c r="M155" s="149"/>
      <c r="N155" s="149"/>
      <c r="O155" s="149"/>
      <c r="P155" s="149"/>
      <c r="Q155" s="149"/>
      <c r="R155" s="149"/>
      <c r="S155" s="149" t="str">
        <f>IF(COUNTIF(L$5:L155,L155)=1,MAX(S$5:S155)+1,"")</f>
        <v/>
      </c>
      <c r="T155" s="149" t="str">
        <f t="shared" si="2"/>
        <v>Хлипнівське 556626</v>
      </c>
    </row>
    <row r="156" spans="1:20">
      <c r="A156" s="149" t="s">
        <v>116</v>
      </c>
      <c r="B156" s="149" t="s">
        <v>126</v>
      </c>
      <c r="C156" s="149" t="s">
        <v>3874</v>
      </c>
      <c r="D156" s="149">
        <v>556647</v>
      </c>
      <c r="E156" s="281" t="s">
        <v>3875</v>
      </c>
      <c r="F156" s="281" t="s">
        <v>3855</v>
      </c>
      <c r="G156" s="149">
        <v>1</v>
      </c>
      <c r="H156" s="149"/>
      <c r="I156" s="149">
        <v>29</v>
      </c>
      <c r="J156" s="149">
        <v>34</v>
      </c>
      <c r="K156" s="149" t="str">
        <f>РеестрЛКЕОД[[#This Row],[Ділянка]] &amp;" "&amp;РеестрЛКЕОД[[#This Row],[Номер]]</f>
        <v>125 кв (21 вид) 0 діл. 556647</v>
      </c>
      <c r="L156" s="149" t="str">
        <f>РеестрЛКЕОД[[#This Row],[Лісництво]] &amp;" "&amp;РеестрЛКЕОД[[#This Row],[Номер]]</f>
        <v>Хлипнівське 556647</v>
      </c>
      <c r="M156" s="149"/>
      <c r="N156" s="149"/>
      <c r="O156" s="149"/>
      <c r="P156" s="149"/>
      <c r="Q156" s="149"/>
      <c r="R156" s="149"/>
      <c r="S156" s="149"/>
      <c r="T156" s="149" t="str">
        <f t="shared" si="2"/>
        <v>Хлипнівське 556647</v>
      </c>
    </row>
    <row r="157" spans="1:20" hidden="1">
      <c r="A157" s="149" t="s">
        <v>116</v>
      </c>
      <c r="B157" s="149" t="s">
        <v>126</v>
      </c>
      <c r="C157" s="149" t="s">
        <v>513</v>
      </c>
      <c r="D157" s="149">
        <v>556647</v>
      </c>
      <c r="E157" s="281" t="s">
        <v>3875</v>
      </c>
      <c r="F157" s="281" t="s">
        <v>3855</v>
      </c>
      <c r="G157" s="149">
        <v>1.8</v>
      </c>
      <c r="H157" s="149">
        <v>26</v>
      </c>
      <c r="I157" s="149">
        <v>39</v>
      </c>
      <c r="J157" s="149">
        <v>75</v>
      </c>
      <c r="K157" s="149" t="str">
        <f>РеестрЛКЕОД[[#This Row],[Ділянка]] &amp;" "&amp;РеестрЛКЕОД[[#This Row],[Номер]]</f>
        <v>58 кв (11 вид) 0 діл. 556647</v>
      </c>
      <c r="L157" s="149" t="str">
        <f>РеестрЛКЕОД[[#This Row],[Лісництво]] &amp;" "&amp;РеестрЛКЕОД[[#This Row],[Номер]]</f>
        <v>Хлипнівське 556647</v>
      </c>
      <c r="M157" s="149"/>
      <c r="N157" s="149"/>
      <c r="O157" s="149"/>
      <c r="P157" s="149"/>
      <c r="Q157" s="149"/>
      <c r="R157" s="149"/>
      <c r="S157" s="149" t="str">
        <f>IF(COUNTIF(L$5:L157,L157)=1,MAX(S$5:S157)+1,"")</f>
        <v/>
      </c>
      <c r="T157" s="149" t="str">
        <f t="shared" si="2"/>
        <v>Хлипнівське 556647</v>
      </c>
    </row>
    <row r="158" spans="1:20" hidden="1">
      <c r="A158" s="149" t="s">
        <v>116</v>
      </c>
      <c r="B158" s="149" t="s">
        <v>126</v>
      </c>
      <c r="C158" s="149" t="s">
        <v>3877</v>
      </c>
      <c r="D158" s="149">
        <v>556647</v>
      </c>
      <c r="E158" s="281" t="s">
        <v>3875</v>
      </c>
      <c r="F158" s="281" t="s">
        <v>3855</v>
      </c>
      <c r="G158" s="149">
        <v>0.3</v>
      </c>
      <c r="H158" s="149">
        <v>13</v>
      </c>
      <c r="I158" s="149">
        <v>6</v>
      </c>
      <c r="J158" s="149">
        <v>22</v>
      </c>
      <c r="K158" s="149" t="str">
        <f>РеестрЛКЕОД[[#This Row],[Ділянка]] &amp;" "&amp;РеестрЛКЕОД[[#This Row],[Номер]]</f>
        <v>58 кв (13 вид) 0 діл. 556647</v>
      </c>
      <c r="L158" s="149" t="str">
        <f>РеестрЛКЕОД[[#This Row],[Лісництво]] &amp;" "&amp;РеестрЛКЕОД[[#This Row],[Номер]]</f>
        <v>Хлипнівське 556647</v>
      </c>
      <c r="M158" s="149"/>
      <c r="N158" s="149"/>
      <c r="O158" s="149"/>
      <c r="P158" s="149"/>
      <c r="Q158" s="149"/>
      <c r="R158" s="149"/>
      <c r="S158" s="149" t="str">
        <f>IF(COUNTIF(L$5:L158,L158)=1,MAX(S$5:S158)+1,"")</f>
        <v/>
      </c>
      <c r="T158" s="149" t="str">
        <f t="shared" si="2"/>
        <v>Хлипнівське 556647</v>
      </c>
    </row>
    <row r="159" spans="1:20" hidden="1">
      <c r="A159" s="149" t="s">
        <v>116</v>
      </c>
      <c r="B159" s="149" t="s">
        <v>126</v>
      </c>
      <c r="C159" s="149" t="s">
        <v>3880</v>
      </c>
      <c r="D159" s="149">
        <v>556647</v>
      </c>
      <c r="E159" s="281" t="s">
        <v>3875</v>
      </c>
      <c r="F159" s="281" t="s">
        <v>3855</v>
      </c>
      <c r="G159" s="149">
        <v>3.3</v>
      </c>
      <c r="H159" s="149">
        <v>31</v>
      </c>
      <c r="I159" s="149">
        <v>106</v>
      </c>
      <c r="J159" s="149">
        <v>157</v>
      </c>
      <c r="K159" s="149" t="str">
        <f>РеестрЛКЕОД[[#This Row],[Ділянка]] &amp;" "&amp;РеестрЛКЕОД[[#This Row],[Номер]]</f>
        <v>58 кв (9 вид) 0 діл. 556647</v>
      </c>
      <c r="L159" s="149" t="str">
        <f>РеестрЛКЕОД[[#This Row],[Лісництво]] &amp;" "&amp;РеестрЛКЕОД[[#This Row],[Номер]]</f>
        <v>Хлипнівське 556647</v>
      </c>
      <c r="M159" s="149"/>
      <c r="N159" s="149"/>
      <c r="O159" s="149"/>
      <c r="P159" s="149"/>
      <c r="Q159" s="149"/>
      <c r="R159" s="149"/>
      <c r="S159" s="149" t="str">
        <f>IF(COUNTIF(L$5:L159,L159)=1,MAX(S$5:S159)+1,"")</f>
        <v/>
      </c>
      <c r="T159" s="149" t="str">
        <f t="shared" si="2"/>
        <v>Хлипнівське 556647</v>
      </c>
    </row>
    <row r="160" spans="1:20" hidden="1">
      <c r="A160" s="149" t="s">
        <v>116</v>
      </c>
      <c r="B160" s="149" t="s">
        <v>126</v>
      </c>
      <c r="C160" s="149" t="s">
        <v>3887</v>
      </c>
      <c r="D160" s="149">
        <v>556647</v>
      </c>
      <c r="E160" s="281" t="s">
        <v>3875</v>
      </c>
      <c r="F160" s="281" t="s">
        <v>3855</v>
      </c>
      <c r="G160" s="149">
        <v>8.1999999999999993</v>
      </c>
      <c r="H160" s="149">
        <v>9</v>
      </c>
      <c r="I160" s="149">
        <v>83</v>
      </c>
      <c r="J160" s="149">
        <v>106</v>
      </c>
      <c r="K160" s="149" t="str">
        <f>РеестрЛКЕОД[[#This Row],[Ділянка]] &amp;" "&amp;РеестрЛКЕОД[[#This Row],[Номер]]</f>
        <v>89 кв (9 вид) 0 діл. 556647</v>
      </c>
      <c r="L160" s="149" t="str">
        <f>РеестрЛКЕОД[[#This Row],[Лісництво]] &amp;" "&amp;РеестрЛКЕОД[[#This Row],[Номер]]</f>
        <v>Хлипнівське 556647</v>
      </c>
      <c r="M160" s="149"/>
      <c r="N160" s="149"/>
      <c r="O160" s="149"/>
      <c r="P160" s="149"/>
      <c r="Q160" s="149"/>
      <c r="R160" s="149"/>
      <c r="S160" s="149" t="str">
        <f>IF(COUNTIF(L$5:L160,L160)=1,MAX(S$5:S160)+1,"")</f>
        <v/>
      </c>
      <c r="T160" s="149" t="str">
        <f t="shared" si="2"/>
        <v>Хлипнівське 556647</v>
      </c>
    </row>
    <row r="161" spans="1:20">
      <c r="A161" s="149" t="s">
        <v>116</v>
      </c>
      <c r="B161" s="149" t="s">
        <v>605</v>
      </c>
      <c r="C161" s="149" t="s">
        <v>3876</v>
      </c>
      <c r="D161" s="149">
        <v>556648</v>
      </c>
      <c r="E161" s="281" t="s">
        <v>3875</v>
      </c>
      <c r="F161" s="281" t="s">
        <v>3855</v>
      </c>
      <c r="G161" s="149">
        <v>0.1</v>
      </c>
      <c r="H161" s="149">
        <v>3</v>
      </c>
      <c r="I161" s="149">
        <v>36</v>
      </c>
      <c r="J161" s="149">
        <v>45</v>
      </c>
      <c r="K161" s="149" t="str">
        <f>РеестрЛКЕОД[[#This Row],[Ділянка]] &amp;" "&amp;РеестрЛКЕОД[[#This Row],[Номер]]</f>
        <v>58 кв (12 вид) 1 діл. 556648</v>
      </c>
      <c r="L161" s="149" t="str">
        <f>РеестрЛКЕОД[[#This Row],[Лісництво]] &amp;" "&amp;РеестрЛКЕОД[[#This Row],[Номер]]</f>
        <v>Хлипнівське 556648</v>
      </c>
      <c r="M161" s="149"/>
      <c r="N161" s="149"/>
      <c r="O161" s="149"/>
      <c r="P161" s="149"/>
      <c r="Q161" s="149"/>
      <c r="R161" s="149"/>
      <c r="S161" s="149"/>
      <c r="T161" s="149" t="str">
        <f t="shared" si="2"/>
        <v>Хлипнівське 556648</v>
      </c>
    </row>
    <row r="162" spans="1:20" hidden="1">
      <c r="A162" s="149" t="s">
        <v>116</v>
      </c>
      <c r="B162" s="149" t="s">
        <v>605</v>
      </c>
      <c r="C162" s="149" t="s">
        <v>3878</v>
      </c>
      <c r="D162" s="149">
        <v>556648</v>
      </c>
      <c r="E162" s="281" t="s">
        <v>3875</v>
      </c>
      <c r="F162" s="281" t="s">
        <v>3855</v>
      </c>
      <c r="G162" s="149">
        <v>0.1</v>
      </c>
      <c r="H162" s="149">
        <v>2</v>
      </c>
      <c r="I162" s="149">
        <v>25</v>
      </c>
      <c r="J162" s="149">
        <v>31</v>
      </c>
      <c r="K162" s="149" t="str">
        <f>РеестрЛКЕОД[[#This Row],[Ділянка]] &amp;" "&amp;РеестрЛКЕОД[[#This Row],[Номер]]</f>
        <v>58 кв (14 вид) 1 діл. 556648</v>
      </c>
      <c r="L162" s="149" t="str">
        <f>РеестрЛКЕОД[[#This Row],[Лісництво]] &amp;" "&amp;РеестрЛКЕОД[[#This Row],[Номер]]</f>
        <v>Хлипнівське 556648</v>
      </c>
      <c r="M162" s="149"/>
      <c r="N162" s="149"/>
      <c r="O162" s="149"/>
      <c r="P162" s="149"/>
      <c r="Q162" s="149"/>
      <c r="R162" s="149"/>
      <c r="S162" s="149" t="str">
        <f>IF(COUNTIF(L$5:L162,L162)=1,MAX(S$5:S162)+1,"")</f>
        <v/>
      </c>
      <c r="T162" s="149" t="str">
        <f t="shared" si="2"/>
        <v>Хлипнівське 556648</v>
      </c>
    </row>
    <row r="163" spans="1:20" hidden="1">
      <c r="A163" s="149" t="s">
        <v>116</v>
      </c>
      <c r="B163" s="149" t="s">
        <v>605</v>
      </c>
      <c r="C163" s="149" t="s">
        <v>3879</v>
      </c>
      <c r="D163" s="149">
        <v>556648</v>
      </c>
      <c r="E163" s="281" t="s">
        <v>3875</v>
      </c>
      <c r="F163" s="281" t="s">
        <v>3855</v>
      </c>
      <c r="G163" s="149">
        <v>0.3</v>
      </c>
      <c r="H163" s="149">
        <v>23</v>
      </c>
      <c r="I163" s="149">
        <v>19</v>
      </c>
      <c r="J163" s="149">
        <v>48</v>
      </c>
      <c r="K163" s="149" t="str">
        <f>РеестрЛКЕОД[[#This Row],[Ділянка]] &amp;" "&amp;РеестрЛКЕОД[[#This Row],[Номер]]</f>
        <v>58 кв (15 вид) 1 діл. 556648</v>
      </c>
      <c r="L163" s="149" t="str">
        <f>РеестрЛКЕОД[[#This Row],[Лісництво]] &amp;" "&amp;РеестрЛКЕОД[[#This Row],[Номер]]</f>
        <v>Хлипнівське 556648</v>
      </c>
      <c r="M163" s="149"/>
      <c r="N163" s="149"/>
      <c r="O163" s="149"/>
      <c r="P163" s="149"/>
      <c r="Q163" s="149"/>
      <c r="R163" s="149"/>
      <c r="S163" s="149" t="str">
        <f>IF(COUNTIF(L$5:L163,L163)=1,MAX(S$5:S163)+1,"")</f>
        <v/>
      </c>
      <c r="T163" s="149" t="str">
        <f t="shared" si="2"/>
        <v>Хлипнівське 556648</v>
      </c>
    </row>
    <row r="164" spans="1:20" hidden="1">
      <c r="A164" s="149" t="s">
        <v>116</v>
      </c>
      <c r="B164" s="149" t="s">
        <v>605</v>
      </c>
      <c r="C164" s="149" t="s">
        <v>3881</v>
      </c>
      <c r="D164" s="149">
        <v>556648</v>
      </c>
      <c r="E164" s="281" t="s">
        <v>3875</v>
      </c>
      <c r="F164" s="281" t="s">
        <v>3855</v>
      </c>
      <c r="G164" s="149">
        <v>0.8</v>
      </c>
      <c r="H164" s="149">
        <v>42</v>
      </c>
      <c r="I164" s="149">
        <v>36</v>
      </c>
      <c r="J164" s="149">
        <v>90</v>
      </c>
      <c r="K164" s="149" t="str">
        <f>РеестрЛКЕОД[[#This Row],[Ділянка]] &amp;" "&amp;РеестрЛКЕОД[[#This Row],[Номер]]</f>
        <v>65 кв (2 вид) 1 діл. 556648</v>
      </c>
      <c r="L164" s="149" t="str">
        <f>РеестрЛКЕОД[[#This Row],[Лісництво]] &amp;" "&amp;РеестрЛКЕОД[[#This Row],[Номер]]</f>
        <v>Хлипнівське 556648</v>
      </c>
      <c r="M164" s="149"/>
      <c r="N164" s="149"/>
      <c r="O164" s="149"/>
      <c r="P164" s="149"/>
      <c r="Q164" s="149"/>
      <c r="R164" s="149"/>
      <c r="S164" s="149" t="str">
        <f>IF(COUNTIF(L$5:L164,L164)=1,MAX(S$5:S164)+1,"")</f>
        <v/>
      </c>
      <c r="T164" s="149" t="str">
        <f t="shared" si="2"/>
        <v>Хлипнівське 556648</v>
      </c>
    </row>
    <row r="165" spans="1:20" hidden="1">
      <c r="A165" s="149" t="s">
        <v>116</v>
      </c>
      <c r="B165" s="149" t="s">
        <v>605</v>
      </c>
      <c r="C165" s="149" t="s">
        <v>3882</v>
      </c>
      <c r="D165" s="149">
        <v>556648</v>
      </c>
      <c r="E165" s="281" t="s">
        <v>3875</v>
      </c>
      <c r="F165" s="281" t="s">
        <v>3855</v>
      </c>
      <c r="G165" s="149">
        <v>0.5</v>
      </c>
      <c r="H165" s="149">
        <v>21</v>
      </c>
      <c r="I165" s="149">
        <v>16</v>
      </c>
      <c r="J165" s="149">
        <v>43</v>
      </c>
      <c r="K165" s="149" t="str">
        <f>РеестрЛКЕОД[[#This Row],[Ділянка]] &amp;" "&amp;РеестрЛКЕОД[[#This Row],[Номер]]</f>
        <v>65 кв (3 вид) 1 діл. 556648</v>
      </c>
      <c r="L165" s="149" t="str">
        <f>РеестрЛКЕОД[[#This Row],[Лісництво]] &amp;" "&amp;РеестрЛКЕОД[[#This Row],[Номер]]</f>
        <v>Хлипнівське 556648</v>
      </c>
      <c r="M165" s="149"/>
      <c r="N165" s="149"/>
      <c r="O165" s="149"/>
      <c r="P165" s="149"/>
      <c r="Q165" s="149"/>
      <c r="R165" s="149"/>
      <c r="S165" s="149" t="str">
        <f>IF(COUNTIF(L$5:L165,L165)=1,MAX(S$5:S165)+1,"")</f>
        <v/>
      </c>
      <c r="T165" s="149" t="str">
        <f t="shared" si="2"/>
        <v>Хлипнівське 556648</v>
      </c>
    </row>
    <row r="166" spans="1:20" hidden="1">
      <c r="A166" s="149" t="s">
        <v>116</v>
      </c>
      <c r="B166" s="149" t="s">
        <v>605</v>
      </c>
      <c r="C166" s="149" t="s">
        <v>3883</v>
      </c>
      <c r="D166" s="149">
        <v>556648</v>
      </c>
      <c r="E166" s="281" t="s">
        <v>3875</v>
      </c>
      <c r="F166" s="281" t="s">
        <v>3855</v>
      </c>
      <c r="G166" s="149">
        <v>0.4</v>
      </c>
      <c r="H166" s="149">
        <v>19</v>
      </c>
      <c r="I166" s="149">
        <v>13</v>
      </c>
      <c r="J166" s="149">
        <v>37</v>
      </c>
      <c r="K166" s="149" t="str">
        <f>РеестрЛКЕОД[[#This Row],[Ділянка]] &amp;" "&amp;РеестрЛКЕОД[[#This Row],[Номер]]</f>
        <v>65 кв (4 вид) 1 діл. 556648</v>
      </c>
      <c r="L166" s="149" t="str">
        <f>РеестрЛКЕОД[[#This Row],[Лісництво]] &amp;" "&amp;РеестрЛКЕОД[[#This Row],[Номер]]</f>
        <v>Хлипнівське 556648</v>
      </c>
      <c r="M166" s="149"/>
      <c r="N166" s="149"/>
      <c r="O166" s="149"/>
      <c r="P166" s="149"/>
      <c r="Q166" s="149"/>
      <c r="R166" s="149"/>
      <c r="S166" s="149" t="str">
        <f>IF(COUNTIF(L$5:L166,L166)=1,MAX(S$5:S166)+1,"")</f>
        <v/>
      </c>
      <c r="T166" s="149" t="str">
        <f t="shared" si="2"/>
        <v>Хлипнівське 556648</v>
      </c>
    </row>
    <row r="167" spans="1:20" hidden="1">
      <c r="A167" s="149" t="s">
        <v>116</v>
      </c>
      <c r="B167" s="149" t="s">
        <v>605</v>
      </c>
      <c r="C167" s="149" t="s">
        <v>3884</v>
      </c>
      <c r="D167" s="149">
        <v>556648</v>
      </c>
      <c r="E167" s="281" t="s">
        <v>3875</v>
      </c>
      <c r="F167" s="281" t="s">
        <v>3855</v>
      </c>
      <c r="G167" s="149">
        <v>0.6</v>
      </c>
      <c r="H167" s="149">
        <v>13</v>
      </c>
      <c r="I167" s="149">
        <v>16</v>
      </c>
      <c r="J167" s="149">
        <v>33</v>
      </c>
      <c r="K167" s="149" t="str">
        <f>РеестрЛКЕОД[[#This Row],[Ділянка]] &amp;" "&amp;РеестрЛКЕОД[[#This Row],[Номер]]</f>
        <v>65 кв (5 вид) 1 діл. 556648</v>
      </c>
      <c r="L167" s="149" t="str">
        <f>РеестрЛКЕОД[[#This Row],[Лісництво]] &amp;" "&amp;РеестрЛКЕОД[[#This Row],[Номер]]</f>
        <v>Хлипнівське 556648</v>
      </c>
      <c r="M167" s="149"/>
      <c r="N167" s="149"/>
      <c r="O167" s="149"/>
      <c r="P167" s="149"/>
      <c r="Q167" s="149"/>
      <c r="R167" s="149"/>
      <c r="S167" s="149" t="str">
        <f>IF(COUNTIF(L$5:L167,L167)=1,MAX(S$5:S167)+1,"")</f>
        <v/>
      </c>
      <c r="T167" s="149" t="str">
        <f t="shared" si="2"/>
        <v>Хлипнівське 556648</v>
      </c>
    </row>
    <row r="168" spans="1:20" hidden="1">
      <c r="A168" s="149" t="s">
        <v>116</v>
      </c>
      <c r="B168" s="149" t="s">
        <v>605</v>
      </c>
      <c r="C168" s="149" t="s">
        <v>409</v>
      </c>
      <c r="D168" s="149">
        <v>556648</v>
      </c>
      <c r="E168" s="281" t="s">
        <v>3875</v>
      </c>
      <c r="F168" s="281" t="s">
        <v>3855</v>
      </c>
      <c r="G168" s="149">
        <v>0.3</v>
      </c>
      <c r="H168" s="149">
        <v>3</v>
      </c>
      <c r="I168" s="149">
        <v>3</v>
      </c>
      <c r="J168" s="149">
        <v>6</v>
      </c>
      <c r="K168" s="149" t="str">
        <f>РеестрЛКЕОД[[#This Row],[Ділянка]] &amp;" "&amp;РеестрЛКЕОД[[#This Row],[Номер]]</f>
        <v>65 кв (6 вид) 1 діл. 556648</v>
      </c>
      <c r="L168" s="149" t="str">
        <f>РеестрЛКЕОД[[#This Row],[Лісництво]] &amp;" "&amp;РеестрЛКЕОД[[#This Row],[Номер]]</f>
        <v>Хлипнівське 556648</v>
      </c>
      <c r="M168" s="149"/>
      <c r="N168" s="149"/>
      <c r="O168" s="149"/>
      <c r="P168" s="149"/>
      <c r="Q168" s="149"/>
      <c r="R168" s="149"/>
      <c r="S168" s="149" t="str">
        <f>IF(COUNTIF(L$5:L168,L168)=1,MAX(S$5:S168)+1,"")</f>
        <v/>
      </c>
      <c r="T168" s="149" t="str">
        <f t="shared" si="2"/>
        <v>Хлипнівське 556648</v>
      </c>
    </row>
    <row r="169" spans="1:20" hidden="1">
      <c r="A169" s="149" t="s">
        <v>116</v>
      </c>
      <c r="B169" s="149" t="s">
        <v>605</v>
      </c>
      <c r="C169" s="149" t="s">
        <v>3885</v>
      </c>
      <c r="D169" s="149">
        <v>556648</v>
      </c>
      <c r="E169" s="281" t="s">
        <v>3875</v>
      </c>
      <c r="F169" s="281" t="s">
        <v>3855</v>
      </c>
      <c r="G169" s="149">
        <v>0.1</v>
      </c>
      <c r="H169" s="149"/>
      <c r="I169" s="149">
        <v>8</v>
      </c>
      <c r="J169" s="149">
        <v>9</v>
      </c>
      <c r="K169" s="149" t="str">
        <f>РеестрЛКЕОД[[#This Row],[Ділянка]] &amp;" "&amp;РеестрЛКЕОД[[#This Row],[Номер]]</f>
        <v>65 кв (8 вид) 1 діл. 556648</v>
      </c>
      <c r="L169" s="149" t="str">
        <f>РеестрЛКЕОД[[#This Row],[Лісництво]] &amp;" "&amp;РеестрЛКЕОД[[#This Row],[Номер]]</f>
        <v>Хлипнівське 556648</v>
      </c>
      <c r="M169" s="149"/>
      <c r="N169" s="149"/>
      <c r="O169" s="149"/>
      <c r="P169" s="149"/>
      <c r="Q169" s="149"/>
      <c r="R169" s="149"/>
      <c r="S169" s="149" t="str">
        <f>IF(COUNTIF(L$5:L169,L169)=1,MAX(S$5:S169)+1,"")</f>
        <v/>
      </c>
      <c r="T169" s="149" t="str">
        <f t="shared" si="2"/>
        <v>Хлипнівське 556648</v>
      </c>
    </row>
    <row r="170" spans="1:20" hidden="1">
      <c r="A170" s="149" t="s">
        <v>116</v>
      </c>
      <c r="B170" s="149" t="s">
        <v>605</v>
      </c>
      <c r="C170" s="149" t="s">
        <v>3886</v>
      </c>
      <c r="D170" s="149">
        <v>556648</v>
      </c>
      <c r="E170" s="281" t="s">
        <v>3875</v>
      </c>
      <c r="F170" s="281" t="s">
        <v>3855</v>
      </c>
      <c r="G170" s="149">
        <v>0.2</v>
      </c>
      <c r="H170" s="149">
        <v>6</v>
      </c>
      <c r="I170" s="149">
        <v>3</v>
      </c>
      <c r="J170" s="149">
        <v>10</v>
      </c>
      <c r="K170" s="149" t="str">
        <f>РеестрЛКЕОД[[#This Row],[Ділянка]] &amp;" "&amp;РеестрЛКЕОД[[#This Row],[Номер]]</f>
        <v>65 кв (9 вид) 1 діл. 556648</v>
      </c>
      <c r="L170" s="149" t="str">
        <f>РеестрЛКЕОД[[#This Row],[Лісництво]] &amp;" "&amp;РеестрЛКЕОД[[#This Row],[Номер]]</f>
        <v>Хлипнівське 556648</v>
      </c>
      <c r="M170" s="149"/>
      <c r="N170" s="149"/>
      <c r="O170" s="149"/>
      <c r="P170" s="149"/>
      <c r="Q170" s="149"/>
      <c r="R170" s="149"/>
      <c r="S170" s="149" t="str">
        <f>IF(COUNTIF(L$5:L170,L170)=1,MAX(S$5:S170)+1,"")</f>
        <v/>
      </c>
      <c r="T170" s="149" t="str">
        <f t="shared" si="2"/>
        <v>Хлипнівське 556648</v>
      </c>
    </row>
    <row r="171" spans="1:20">
      <c r="A171" s="149" t="s">
        <v>115</v>
      </c>
      <c r="B171" s="149" t="s">
        <v>128</v>
      </c>
      <c r="C171" s="149" t="s">
        <v>259</v>
      </c>
      <c r="D171" s="149">
        <v>556622</v>
      </c>
      <c r="E171" s="281" t="s">
        <v>3723</v>
      </c>
      <c r="F171" s="281" t="s">
        <v>3855</v>
      </c>
      <c r="G171" s="149">
        <v>1.4</v>
      </c>
      <c r="H171" s="149">
        <v>190</v>
      </c>
      <c r="I171" s="149">
        <v>214</v>
      </c>
      <c r="J171" s="149">
        <v>469</v>
      </c>
      <c r="K171" s="149" t="str">
        <f>РеестрЛКЕОД[[#This Row],[Ділянка]] &amp;" "&amp;РеестрЛКЕОД[[#This Row],[Номер]]</f>
        <v>10 кв (2 вид) 0 діл. 556622</v>
      </c>
      <c r="L171" s="149" t="str">
        <f>РеестрЛКЕОД[[#This Row],[Лісництво]] &amp;" "&amp;РеестрЛКЕОД[[#This Row],[Номер]]</f>
        <v>Шполянське 556622</v>
      </c>
      <c r="M171" s="149"/>
      <c r="N171" s="149"/>
      <c r="O171" s="149"/>
      <c r="P171" s="149"/>
      <c r="Q171" s="149"/>
      <c r="R171" s="149"/>
      <c r="S171" s="149"/>
      <c r="T171" s="149" t="str">
        <f t="shared" si="2"/>
        <v>Шполянське 556622</v>
      </c>
    </row>
    <row r="172" spans="1:20" hidden="1">
      <c r="A172" s="149" t="s">
        <v>115</v>
      </c>
      <c r="B172" s="149" t="s">
        <v>128</v>
      </c>
      <c r="C172" s="149" t="s">
        <v>3675</v>
      </c>
      <c r="D172" s="149">
        <v>556622</v>
      </c>
      <c r="E172" s="281" t="s">
        <v>3723</v>
      </c>
      <c r="F172" s="281" t="s">
        <v>3855</v>
      </c>
      <c r="G172" s="149">
        <v>2.8</v>
      </c>
      <c r="H172" s="149">
        <v>286</v>
      </c>
      <c r="I172" s="149">
        <v>469</v>
      </c>
      <c r="J172" s="149">
        <v>878</v>
      </c>
      <c r="K172" s="149" t="str">
        <f>РеестрЛКЕОД[[#This Row],[Ділянка]] &amp;" "&amp;РеестрЛКЕОД[[#This Row],[Номер]]</f>
        <v>101 кв (12 вид) 0 діл. 556622</v>
      </c>
      <c r="L172" s="149" t="str">
        <f>РеестрЛКЕОД[[#This Row],[Лісництво]] &amp;" "&amp;РеестрЛКЕОД[[#This Row],[Номер]]</f>
        <v>Шполянське 556622</v>
      </c>
      <c r="M172" s="149"/>
      <c r="N172" s="149"/>
      <c r="O172" s="149"/>
      <c r="P172" s="149"/>
      <c r="Q172" s="149"/>
      <c r="R172" s="149"/>
      <c r="S172" s="149" t="str">
        <f>IF(COUNTIF(L$5:L172,L172)=1,MAX(S$5:S172)+1,"")</f>
        <v/>
      </c>
      <c r="T172" s="149" t="str">
        <f t="shared" si="2"/>
        <v>Шполянське 556622</v>
      </c>
    </row>
    <row r="173" spans="1:20" hidden="1">
      <c r="A173" s="149" t="s">
        <v>115</v>
      </c>
      <c r="B173" s="149" t="s">
        <v>128</v>
      </c>
      <c r="C173" s="149" t="s">
        <v>3672</v>
      </c>
      <c r="D173" s="149">
        <v>556622</v>
      </c>
      <c r="E173" s="281" t="s">
        <v>3723</v>
      </c>
      <c r="F173" s="281" t="s">
        <v>3855</v>
      </c>
      <c r="G173" s="149">
        <v>4</v>
      </c>
      <c r="H173" s="149">
        <v>384</v>
      </c>
      <c r="I173" s="149">
        <v>792</v>
      </c>
      <c r="J173" s="149">
        <v>1367</v>
      </c>
      <c r="K173" s="149" t="str">
        <f>РеестрЛКЕОД[[#This Row],[Ділянка]] &amp;" "&amp;РеестрЛКЕОД[[#This Row],[Номер]]</f>
        <v>106 кв (3 вид) 2 діл. 556622</v>
      </c>
      <c r="L173" s="149" t="str">
        <f>РеестрЛКЕОД[[#This Row],[Лісництво]] &amp;" "&amp;РеестрЛКЕОД[[#This Row],[Номер]]</f>
        <v>Шполянське 556622</v>
      </c>
      <c r="M173" s="149"/>
      <c r="N173" s="149"/>
      <c r="O173" s="149"/>
      <c r="P173" s="149"/>
      <c r="Q173" s="149"/>
      <c r="R173" s="149"/>
      <c r="S173" s="149" t="str">
        <f>IF(COUNTIF(L$5:L173,L173)=1,MAX(S$5:S173)+1,"")</f>
        <v/>
      </c>
      <c r="T173" s="149" t="str">
        <f t="shared" si="2"/>
        <v>Шполянське 556622</v>
      </c>
    </row>
    <row r="174" spans="1:20" hidden="1">
      <c r="A174" s="149" t="s">
        <v>115</v>
      </c>
      <c r="B174" s="149" t="s">
        <v>128</v>
      </c>
      <c r="C174" s="149" t="s">
        <v>3670</v>
      </c>
      <c r="D174" s="149">
        <v>556622</v>
      </c>
      <c r="E174" s="281" t="s">
        <v>3723</v>
      </c>
      <c r="F174" s="281" t="s">
        <v>3855</v>
      </c>
      <c r="G174" s="149">
        <v>2.6</v>
      </c>
      <c r="H174" s="149">
        <v>416</v>
      </c>
      <c r="I174" s="149">
        <v>4554</v>
      </c>
      <c r="J174" s="149">
        <v>5109</v>
      </c>
      <c r="K174" s="149" t="str">
        <f>РеестрЛКЕОД[[#This Row],[Ділянка]] &amp;" "&amp;РеестрЛКЕОД[[#This Row],[Номер]]</f>
        <v>121 кв (1 вид) 2 діл. 556622</v>
      </c>
      <c r="L174" s="149" t="str">
        <f>РеестрЛКЕОД[[#This Row],[Лісництво]] &amp;" "&amp;РеестрЛКЕОД[[#This Row],[Номер]]</f>
        <v>Шполянське 556622</v>
      </c>
      <c r="M174" s="149"/>
      <c r="N174" s="149"/>
      <c r="O174" s="149"/>
      <c r="P174" s="149"/>
      <c r="Q174" s="149"/>
      <c r="R174" s="149"/>
      <c r="S174" s="149" t="str">
        <f>IF(COUNTIF(L$5:L174,L174)=1,MAX(S$5:S174)+1,"")</f>
        <v/>
      </c>
      <c r="T174" s="149" t="str">
        <f t="shared" si="2"/>
        <v>Шполянське 556622</v>
      </c>
    </row>
    <row r="175" spans="1:20" hidden="1">
      <c r="A175" s="149" t="s">
        <v>115</v>
      </c>
      <c r="B175" s="149" t="s">
        <v>128</v>
      </c>
      <c r="C175" s="149" t="s">
        <v>3669</v>
      </c>
      <c r="D175" s="149">
        <v>556622</v>
      </c>
      <c r="E175" s="281" t="s">
        <v>3723</v>
      </c>
      <c r="F175" s="281" t="s">
        <v>3855</v>
      </c>
      <c r="G175" s="149">
        <v>0.6</v>
      </c>
      <c r="H175" s="149">
        <v>46</v>
      </c>
      <c r="I175" s="149">
        <v>109</v>
      </c>
      <c r="J175" s="149">
        <v>178</v>
      </c>
      <c r="K175" s="149" t="str">
        <f>РеестрЛКЕОД[[#This Row],[Ділянка]] &amp;" "&amp;РеестрЛКЕОД[[#This Row],[Номер]]</f>
        <v>133 кв (13 вид) 0 діл. 556622</v>
      </c>
      <c r="L175" s="149" t="str">
        <f>РеестрЛКЕОД[[#This Row],[Лісництво]] &amp;" "&amp;РеестрЛКЕОД[[#This Row],[Номер]]</f>
        <v>Шполянське 556622</v>
      </c>
      <c r="M175" s="149"/>
      <c r="N175" s="149"/>
      <c r="O175" s="149"/>
      <c r="P175" s="149"/>
      <c r="Q175" s="149"/>
      <c r="R175" s="149"/>
      <c r="S175" s="149" t="str">
        <f>IF(COUNTIF(L$5:L175,L175)=1,MAX(S$5:S175)+1,"")</f>
        <v/>
      </c>
      <c r="T175" s="149" t="str">
        <f t="shared" si="2"/>
        <v>Шполянське 556622</v>
      </c>
    </row>
    <row r="176" spans="1:20" hidden="1">
      <c r="A176" s="149" t="s">
        <v>115</v>
      </c>
      <c r="B176" s="149" t="s">
        <v>128</v>
      </c>
      <c r="C176" s="149" t="s">
        <v>3676</v>
      </c>
      <c r="D176" s="149">
        <v>556622</v>
      </c>
      <c r="E176" s="281" t="s">
        <v>3723</v>
      </c>
      <c r="F176" s="281" t="s">
        <v>3855</v>
      </c>
      <c r="G176" s="149">
        <v>2.7</v>
      </c>
      <c r="H176" s="149">
        <v>322</v>
      </c>
      <c r="I176" s="149">
        <v>410</v>
      </c>
      <c r="J176" s="149">
        <v>846</v>
      </c>
      <c r="K176" s="149" t="str">
        <f>РеестрЛКЕОД[[#This Row],[Ділянка]] &amp;" "&amp;РеестрЛКЕОД[[#This Row],[Номер]]</f>
        <v>29 кв (7 вид) 4 діл. 556622</v>
      </c>
      <c r="L176" s="149" t="str">
        <f>РеестрЛКЕОД[[#This Row],[Лісництво]] &amp;" "&amp;РеестрЛКЕОД[[#This Row],[Номер]]</f>
        <v>Шполянське 556622</v>
      </c>
      <c r="M176" s="149"/>
      <c r="N176" s="149"/>
      <c r="O176" s="149"/>
      <c r="P176" s="149"/>
      <c r="Q176" s="149"/>
      <c r="R176" s="149"/>
      <c r="S176" s="149" t="str">
        <f>IF(COUNTIF(L$5:L176,L176)=1,MAX(S$5:S176)+1,"")</f>
        <v/>
      </c>
      <c r="T176" s="149" t="str">
        <f t="shared" si="2"/>
        <v>Шполянське 556622</v>
      </c>
    </row>
    <row r="177" spans="1:20" hidden="1">
      <c r="A177" s="149" t="s">
        <v>115</v>
      </c>
      <c r="B177" s="149" t="s">
        <v>128</v>
      </c>
      <c r="C177" s="149" t="s">
        <v>3673</v>
      </c>
      <c r="D177" s="149">
        <v>556622</v>
      </c>
      <c r="E177" s="281" t="s">
        <v>3723</v>
      </c>
      <c r="F177" s="281" t="s">
        <v>3855</v>
      </c>
      <c r="G177" s="149">
        <v>3</v>
      </c>
      <c r="H177" s="149">
        <v>313</v>
      </c>
      <c r="I177" s="149">
        <v>614</v>
      </c>
      <c r="J177" s="149">
        <v>1075</v>
      </c>
      <c r="K177" s="149" t="str">
        <f>РеестрЛКЕОД[[#This Row],[Ділянка]] &amp;" "&amp;РеестрЛКЕОД[[#This Row],[Номер]]</f>
        <v>30 кв (2 вид) 5 діл. 556622</v>
      </c>
      <c r="L177" s="149" t="str">
        <f>РеестрЛКЕОД[[#This Row],[Лісництво]] &amp;" "&amp;РеестрЛКЕОД[[#This Row],[Номер]]</f>
        <v>Шполянське 556622</v>
      </c>
      <c r="M177" s="149"/>
      <c r="N177" s="149"/>
      <c r="O177" s="149"/>
      <c r="P177" s="149"/>
      <c r="Q177" s="149"/>
      <c r="R177" s="149"/>
      <c r="S177" s="149" t="str">
        <f>IF(COUNTIF(L$5:L177,L177)=1,MAX(S$5:S177)+1,"")</f>
        <v/>
      </c>
      <c r="T177" s="149" t="str">
        <f t="shared" si="2"/>
        <v>Шполянське 556622</v>
      </c>
    </row>
    <row r="178" spans="1:20" hidden="1">
      <c r="A178" s="149" t="s">
        <v>115</v>
      </c>
      <c r="B178" s="149" t="s">
        <v>128</v>
      </c>
      <c r="C178" s="149" t="s">
        <v>820</v>
      </c>
      <c r="D178" s="149">
        <v>556622</v>
      </c>
      <c r="E178" s="281" t="s">
        <v>3723</v>
      </c>
      <c r="F178" s="281" t="s">
        <v>3855</v>
      </c>
      <c r="G178" s="149">
        <v>4</v>
      </c>
      <c r="H178" s="149">
        <v>495</v>
      </c>
      <c r="I178" s="149">
        <v>714</v>
      </c>
      <c r="J178" s="149">
        <v>1404</v>
      </c>
      <c r="K178" s="149" t="str">
        <f>РеестрЛКЕОД[[#This Row],[Ділянка]] &amp;" "&amp;РеестрЛКЕОД[[#This Row],[Номер]]</f>
        <v>34 кв (7 вид) 1 діл. 556622</v>
      </c>
      <c r="L178" s="149" t="str">
        <f>РеестрЛКЕОД[[#This Row],[Лісництво]] &amp;" "&amp;РеестрЛКЕОД[[#This Row],[Номер]]</f>
        <v>Шполянське 556622</v>
      </c>
      <c r="M178" s="149"/>
      <c r="N178" s="149"/>
      <c r="O178" s="149"/>
      <c r="P178" s="149"/>
      <c r="Q178" s="149"/>
      <c r="R178" s="149"/>
      <c r="S178" s="149" t="str">
        <f>IF(COUNTIF(L$5:L178,L178)=1,MAX(S$5:S178)+1,"")</f>
        <v/>
      </c>
      <c r="T178" s="149" t="str">
        <f t="shared" si="2"/>
        <v>Шполянське 556622</v>
      </c>
    </row>
    <row r="179" spans="1:20" hidden="1">
      <c r="A179" s="149" t="s">
        <v>115</v>
      </c>
      <c r="B179" s="149" t="s">
        <v>128</v>
      </c>
      <c r="C179" s="149" t="s">
        <v>3674</v>
      </c>
      <c r="D179" s="149">
        <v>556622</v>
      </c>
      <c r="E179" s="281" t="s">
        <v>3723</v>
      </c>
      <c r="F179" s="281" t="s">
        <v>3855</v>
      </c>
      <c r="G179" s="149">
        <v>5</v>
      </c>
      <c r="H179" s="149">
        <v>526</v>
      </c>
      <c r="I179" s="149">
        <v>1025</v>
      </c>
      <c r="J179" s="149">
        <v>1785</v>
      </c>
      <c r="K179" s="149" t="str">
        <f>РеестрЛКЕОД[[#This Row],[Ділянка]] &amp;" "&amp;РеестрЛКЕОД[[#This Row],[Номер]]</f>
        <v>50 кв (5 вид) 1 діл. 556622</v>
      </c>
      <c r="L179" s="149" t="str">
        <f>РеестрЛКЕОД[[#This Row],[Лісництво]] &amp;" "&amp;РеестрЛКЕОД[[#This Row],[Номер]]</f>
        <v>Шполянське 556622</v>
      </c>
      <c r="M179" s="149"/>
      <c r="N179" s="149"/>
      <c r="O179" s="149"/>
      <c r="P179" s="149"/>
      <c r="Q179" s="149"/>
      <c r="R179" s="149"/>
      <c r="S179" s="149" t="str">
        <f>IF(COUNTIF(L$5:L179,L179)=1,MAX(S$5:S179)+1,"")</f>
        <v/>
      </c>
      <c r="T179" s="149" t="str">
        <f t="shared" si="2"/>
        <v>Шполянське 556622</v>
      </c>
    </row>
    <row r="180" spans="1:20" hidden="1">
      <c r="A180" s="149" t="s">
        <v>115</v>
      </c>
      <c r="B180" s="149" t="s">
        <v>128</v>
      </c>
      <c r="C180" s="149" t="s">
        <v>3671</v>
      </c>
      <c r="D180" s="149">
        <v>556622</v>
      </c>
      <c r="E180" s="281" t="s">
        <v>3723</v>
      </c>
      <c r="F180" s="281" t="s">
        <v>3855</v>
      </c>
      <c r="G180" s="149">
        <v>2.1</v>
      </c>
      <c r="H180" s="149">
        <v>228</v>
      </c>
      <c r="I180" s="149">
        <v>449</v>
      </c>
      <c r="J180" s="149">
        <v>779</v>
      </c>
      <c r="K180" s="149" t="str">
        <f>РеестрЛКЕОД[[#This Row],[Ділянка]] &amp;" "&amp;РеестрЛКЕОД[[#This Row],[Номер]]</f>
        <v>68 кв (5 вид) 0 діл. 556622</v>
      </c>
      <c r="L180" s="149" t="str">
        <f>РеестрЛКЕОД[[#This Row],[Лісництво]] &amp;" "&amp;РеестрЛКЕОД[[#This Row],[Номер]]</f>
        <v>Шполянське 556622</v>
      </c>
      <c r="M180" s="149"/>
      <c r="N180" s="149"/>
      <c r="O180" s="149"/>
      <c r="P180" s="149"/>
      <c r="Q180" s="149"/>
      <c r="R180" s="149"/>
      <c r="S180" s="149" t="str">
        <f>IF(COUNTIF(L$5:L180,L180)=1,MAX(S$5:S180)+1,"")</f>
        <v/>
      </c>
      <c r="T180" s="149" t="str">
        <f t="shared" si="2"/>
        <v>Шполянське 556622</v>
      </c>
    </row>
    <row r="181" spans="1:20" hidden="1">
      <c r="A181" s="149" t="s">
        <v>115</v>
      </c>
      <c r="B181" s="149" t="s">
        <v>128</v>
      </c>
      <c r="C181" s="149" t="s">
        <v>3668</v>
      </c>
      <c r="D181" s="149">
        <v>556622</v>
      </c>
      <c r="E181" s="281" t="s">
        <v>3723</v>
      </c>
      <c r="F181" s="281" t="s">
        <v>3855</v>
      </c>
      <c r="G181" s="149">
        <v>1.4</v>
      </c>
      <c r="H181" s="149">
        <v>198</v>
      </c>
      <c r="I181" s="149">
        <v>196</v>
      </c>
      <c r="J181" s="149">
        <v>462</v>
      </c>
      <c r="K181" s="149" t="str">
        <f>РеестрЛКЕОД[[#This Row],[Ділянка]] &amp;" "&amp;РеестрЛКЕОД[[#This Row],[Номер]]</f>
        <v>7 кв (12 вид) 0 діл. 556622</v>
      </c>
      <c r="L181" s="149" t="str">
        <f>РеестрЛКЕОД[[#This Row],[Лісництво]] &amp;" "&amp;РеестрЛКЕОД[[#This Row],[Номер]]</f>
        <v>Шполянське 556622</v>
      </c>
      <c r="M181" s="149"/>
      <c r="N181" s="149"/>
      <c r="O181" s="149"/>
      <c r="P181" s="149"/>
      <c r="Q181" s="149"/>
      <c r="R181" s="149"/>
      <c r="S181" s="149" t="str">
        <f>IF(COUNTIF(L$5:L181,L181)=1,MAX(S$5:S181)+1,"")</f>
        <v/>
      </c>
      <c r="T181" s="149" t="str">
        <f t="shared" si="2"/>
        <v>Шполянське 556622</v>
      </c>
    </row>
    <row r="182" spans="1:20">
      <c r="A182" s="149" t="s">
        <v>115</v>
      </c>
      <c r="B182" s="149" t="s">
        <v>134</v>
      </c>
      <c r="C182" s="149" t="s">
        <v>3690</v>
      </c>
      <c r="D182" s="149">
        <v>556627</v>
      </c>
      <c r="E182" s="281" t="s">
        <v>3856</v>
      </c>
      <c r="F182" s="281" t="s">
        <v>3855</v>
      </c>
      <c r="G182" s="149">
        <v>1.2</v>
      </c>
      <c r="H182" s="149"/>
      <c r="I182" s="149"/>
      <c r="J182" s="149">
        <v>35</v>
      </c>
      <c r="K182" s="149" t="str">
        <f>РеестрЛКЕОД[[#This Row],[Ділянка]] &amp;" "&amp;РеестрЛКЕОД[[#This Row],[Номер]]</f>
        <v>10 кв (4 вид) 0 діл. 556627</v>
      </c>
      <c r="L182" s="149" t="str">
        <f>РеестрЛКЕОД[[#This Row],[Лісництво]] &amp;" "&amp;РеестрЛКЕОД[[#This Row],[Номер]]</f>
        <v>Шполянське 556627</v>
      </c>
      <c r="M182" s="149"/>
      <c r="N182" s="149"/>
      <c r="O182" s="149"/>
      <c r="P182" s="149"/>
      <c r="Q182" s="149"/>
      <c r="R182" s="149"/>
      <c r="S182" s="149"/>
      <c r="T182" s="149" t="str">
        <f t="shared" si="2"/>
        <v>Шполянське 556627</v>
      </c>
    </row>
    <row r="183" spans="1:20" hidden="1">
      <c r="A183" s="149" t="s">
        <v>115</v>
      </c>
      <c r="B183" s="149" t="s">
        <v>134</v>
      </c>
      <c r="C183" s="149" t="s">
        <v>3696</v>
      </c>
      <c r="D183" s="149">
        <v>556627</v>
      </c>
      <c r="E183" s="281" t="s">
        <v>3856</v>
      </c>
      <c r="F183" s="281" t="s">
        <v>3855</v>
      </c>
      <c r="G183" s="149">
        <v>1.8</v>
      </c>
      <c r="H183" s="149"/>
      <c r="I183" s="149"/>
      <c r="J183" s="149">
        <v>53</v>
      </c>
      <c r="K183" s="149" t="str">
        <f>РеестрЛКЕОД[[#This Row],[Ділянка]] &amp;" "&amp;РеестрЛКЕОД[[#This Row],[Номер]]</f>
        <v>103 кв (2 вид) 0 діл. 556627</v>
      </c>
      <c r="L183" s="149" t="str">
        <f>РеестрЛКЕОД[[#This Row],[Лісництво]] &amp;" "&amp;РеестрЛКЕОД[[#This Row],[Номер]]</f>
        <v>Шполянське 556627</v>
      </c>
      <c r="M183" s="149"/>
      <c r="N183" s="149"/>
      <c r="O183" s="149"/>
      <c r="P183" s="149"/>
      <c r="Q183" s="149"/>
      <c r="R183" s="149"/>
      <c r="S183" s="149" t="str">
        <f>IF(COUNTIF(L$5:L183,L183)=1,MAX(S$5:S183)+1,"")</f>
        <v/>
      </c>
      <c r="T183" s="149" t="str">
        <f t="shared" si="2"/>
        <v>Шполянське 556627</v>
      </c>
    </row>
    <row r="184" spans="1:20" hidden="1">
      <c r="A184" s="149" t="s">
        <v>115</v>
      </c>
      <c r="B184" s="149" t="s">
        <v>134</v>
      </c>
      <c r="C184" s="149" t="s">
        <v>569</v>
      </c>
      <c r="D184" s="149">
        <v>556627</v>
      </c>
      <c r="E184" s="281" t="s">
        <v>3856</v>
      </c>
      <c r="F184" s="281" t="s">
        <v>3855</v>
      </c>
      <c r="G184" s="149">
        <v>2</v>
      </c>
      <c r="H184" s="149"/>
      <c r="I184" s="149"/>
      <c r="J184" s="149">
        <v>49</v>
      </c>
      <c r="K184" s="149" t="str">
        <f>РеестрЛКЕОД[[#This Row],[Ділянка]] &amp;" "&amp;РеестрЛКЕОД[[#This Row],[Номер]]</f>
        <v>11 кв (1 вид) 0 діл. 556627</v>
      </c>
      <c r="L184" s="149" t="str">
        <f>РеестрЛКЕОД[[#This Row],[Лісництво]] &amp;" "&amp;РеестрЛКЕОД[[#This Row],[Номер]]</f>
        <v>Шполянське 556627</v>
      </c>
      <c r="M184" s="149"/>
      <c r="N184" s="149"/>
      <c r="O184" s="149"/>
      <c r="P184" s="149"/>
      <c r="Q184" s="149"/>
      <c r="R184" s="149"/>
      <c r="S184" s="149" t="str">
        <f>IF(COUNTIF(L$5:L184,L184)=1,MAX(S$5:S184)+1,"")</f>
        <v/>
      </c>
      <c r="T184" s="149" t="str">
        <f t="shared" si="2"/>
        <v>Шполянське 556627</v>
      </c>
    </row>
    <row r="185" spans="1:20" hidden="1">
      <c r="A185" s="149" t="s">
        <v>115</v>
      </c>
      <c r="B185" s="149" t="s">
        <v>134</v>
      </c>
      <c r="C185" s="149" t="s">
        <v>646</v>
      </c>
      <c r="D185" s="149">
        <v>556627</v>
      </c>
      <c r="E185" s="281" t="s">
        <v>3856</v>
      </c>
      <c r="F185" s="281" t="s">
        <v>3855</v>
      </c>
      <c r="G185" s="149">
        <v>2.1</v>
      </c>
      <c r="H185" s="149"/>
      <c r="I185" s="149"/>
      <c r="J185" s="149">
        <v>28</v>
      </c>
      <c r="K185" s="149" t="str">
        <f>РеестрЛКЕОД[[#This Row],[Ділянка]] &amp;" "&amp;РеестрЛКЕОД[[#This Row],[Номер]]</f>
        <v>31 кв (5 вид) 0 діл. 556627</v>
      </c>
      <c r="L185" s="149" t="str">
        <f>РеестрЛКЕОД[[#This Row],[Лісництво]] &amp;" "&amp;РеестрЛКЕОД[[#This Row],[Номер]]</f>
        <v>Шполянське 556627</v>
      </c>
      <c r="M185" s="149"/>
      <c r="N185" s="149"/>
      <c r="O185" s="149"/>
      <c r="P185" s="149"/>
      <c r="Q185" s="149"/>
      <c r="R185" s="149"/>
      <c r="S185" s="149" t="str">
        <f>IF(COUNTIF(L$5:L185,L185)=1,MAX(S$5:S185)+1,"")</f>
        <v/>
      </c>
      <c r="T185" s="149" t="str">
        <f t="shared" si="2"/>
        <v>Шполянське 556627</v>
      </c>
    </row>
    <row r="186" spans="1:20" hidden="1">
      <c r="A186" s="149" t="s">
        <v>115</v>
      </c>
      <c r="B186" s="149" t="s">
        <v>134</v>
      </c>
      <c r="C186" s="149" t="s">
        <v>3692</v>
      </c>
      <c r="D186" s="149">
        <v>556627</v>
      </c>
      <c r="E186" s="281" t="s">
        <v>3856</v>
      </c>
      <c r="F186" s="281" t="s">
        <v>3855</v>
      </c>
      <c r="G186" s="149">
        <v>4.8</v>
      </c>
      <c r="H186" s="149"/>
      <c r="I186" s="149"/>
      <c r="J186" s="149">
        <v>24</v>
      </c>
      <c r="K186" s="149" t="str">
        <f>РеестрЛКЕОД[[#This Row],[Ділянка]] &amp;" "&amp;РеестрЛКЕОД[[#This Row],[Номер]]</f>
        <v>68 кв (4 вид) 0 діл. 556627</v>
      </c>
      <c r="L186" s="149" t="str">
        <f>РеестрЛКЕОД[[#This Row],[Лісництво]] &amp;" "&amp;РеестрЛКЕОД[[#This Row],[Номер]]</f>
        <v>Шполянське 556627</v>
      </c>
      <c r="M186" s="149"/>
      <c r="N186" s="149"/>
      <c r="O186" s="149"/>
      <c r="P186" s="149"/>
      <c r="Q186" s="149"/>
      <c r="R186" s="149"/>
      <c r="S186" s="149" t="str">
        <f>IF(COUNTIF(L$5:L186,L186)=1,MAX(S$5:S186)+1,"")</f>
        <v/>
      </c>
      <c r="T186" s="149" t="str">
        <f t="shared" si="2"/>
        <v>Шполянське 556627</v>
      </c>
    </row>
    <row r="187" spans="1:20" hidden="1">
      <c r="A187" s="149" t="s">
        <v>115</v>
      </c>
      <c r="B187" s="149" t="s">
        <v>134</v>
      </c>
      <c r="C187" s="149" t="s">
        <v>3695</v>
      </c>
      <c r="D187" s="149">
        <v>556627</v>
      </c>
      <c r="E187" s="281" t="s">
        <v>3856</v>
      </c>
      <c r="F187" s="281" t="s">
        <v>3855</v>
      </c>
      <c r="G187" s="149">
        <v>3.5</v>
      </c>
      <c r="H187" s="149"/>
      <c r="I187" s="149">
        <v>8</v>
      </c>
      <c r="J187" s="149">
        <v>112</v>
      </c>
      <c r="K187" s="149" t="str">
        <f>РеестрЛКЕОД[[#This Row],[Ділянка]] &amp;" "&amp;РеестрЛКЕОД[[#This Row],[Номер]]</f>
        <v>79 кв (8 вид) 0 діл. 556627</v>
      </c>
      <c r="L187" s="149" t="str">
        <f>РеестрЛКЕОД[[#This Row],[Лісництво]] &amp;" "&amp;РеестрЛКЕОД[[#This Row],[Номер]]</f>
        <v>Шполянське 556627</v>
      </c>
      <c r="M187" s="149"/>
      <c r="N187" s="149"/>
      <c r="O187" s="149"/>
      <c r="P187" s="149"/>
      <c r="Q187" s="149"/>
      <c r="R187" s="149"/>
      <c r="S187" s="149" t="str">
        <f>IF(COUNTIF(L$5:L187,L187)=1,MAX(S$5:S187)+1,"")</f>
        <v/>
      </c>
      <c r="T187" s="149" t="str">
        <f t="shared" si="2"/>
        <v>Шполянське 556627</v>
      </c>
    </row>
    <row r="188" spans="1:20" hidden="1">
      <c r="A188" s="149" t="s">
        <v>115</v>
      </c>
      <c r="B188" s="149" t="s">
        <v>134</v>
      </c>
      <c r="C188" s="149" t="s">
        <v>3693</v>
      </c>
      <c r="D188" s="149">
        <v>556627</v>
      </c>
      <c r="E188" s="281" t="s">
        <v>3856</v>
      </c>
      <c r="F188" s="281" t="s">
        <v>3855</v>
      </c>
      <c r="G188" s="149">
        <v>1</v>
      </c>
      <c r="H188" s="149"/>
      <c r="I188" s="149"/>
      <c r="J188" s="149">
        <v>29</v>
      </c>
      <c r="K188" s="149" t="str">
        <f>РеестрЛКЕОД[[#This Row],[Ділянка]] &amp;" "&amp;РеестрЛКЕОД[[#This Row],[Номер]]</f>
        <v>8 кв (10 вид) 0 діл. 556627</v>
      </c>
      <c r="L188" s="149" t="str">
        <f>РеестрЛКЕОД[[#This Row],[Лісництво]] &amp;" "&amp;РеестрЛКЕОД[[#This Row],[Номер]]</f>
        <v>Шполянське 556627</v>
      </c>
      <c r="M188" s="149"/>
      <c r="N188" s="149"/>
      <c r="O188" s="149"/>
      <c r="P188" s="149"/>
      <c r="Q188" s="149"/>
      <c r="R188" s="149"/>
      <c r="S188" s="149" t="str">
        <f>IF(COUNTIF(L$5:L188,L188)=1,MAX(S$5:S188)+1,"")</f>
        <v/>
      </c>
      <c r="T188" s="149" t="str">
        <f t="shared" si="2"/>
        <v>Шполянське 556627</v>
      </c>
    </row>
    <row r="189" spans="1:20" hidden="1">
      <c r="A189" s="149" t="s">
        <v>115</v>
      </c>
      <c r="B189" s="149" t="s">
        <v>134</v>
      </c>
      <c r="C189" s="149" t="s">
        <v>3694</v>
      </c>
      <c r="D189" s="149">
        <v>556627</v>
      </c>
      <c r="E189" s="281" t="s">
        <v>3856</v>
      </c>
      <c r="F189" s="281" t="s">
        <v>3855</v>
      </c>
      <c r="G189" s="149">
        <v>0.5</v>
      </c>
      <c r="H189" s="149"/>
      <c r="I189" s="149"/>
      <c r="J189" s="149">
        <v>13</v>
      </c>
      <c r="K189" s="149" t="str">
        <f>РеестрЛКЕОД[[#This Row],[Ділянка]] &amp;" "&amp;РеестрЛКЕОД[[#This Row],[Номер]]</f>
        <v>8 кв (12 вид) 0 діл. 556627</v>
      </c>
      <c r="L189" s="149" t="str">
        <f>РеестрЛКЕОД[[#This Row],[Лісництво]] &amp;" "&amp;РеестрЛКЕОД[[#This Row],[Номер]]</f>
        <v>Шполянське 556627</v>
      </c>
      <c r="M189" s="149"/>
      <c r="N189" s="149"/>
      <c r="O189" s="149"/>
      <c r="P189" s="149"/>
      <c r="Q189" s="149"/>
      <c r="R189" s="149"/>
      <c r="S189" s="149" t="str">
        <f>IF(COUNTIF(L$5:L189,L189)=1,MAX(S$5:S189)+1,"")</f>
        <v/>
      </c>
      <c r="T189" s="149" t="str">
        <f t="shared" si="2"/>
        <v>Шполянське 556627</v>
      </c>
    </row>
    <row r="190" spans="1:20" hidden="1">
      <c r="A190" s="149" t="s">
        <v>115</v>
      </c>
      <c r="B190" s="149" t="s">
        <v>134</v>
      </c>
      <c r="C190" s="149" t="s">
        <v>3691</v>
      </c>
      <c r="D190" s="149">
        <v>556627</v>
      </c>
      <c r="E190" s="281" t="s">
        <v>3856</v>
      </c>
      <c r="F190" s="281" t="s">
        <v>3855</v>
      </c>
      <c r="G190" s="149">
        <v>5.6</v>
      </c>
      <c r="H190" s="149"/>
      <c r="I190" s="149"/>
      <c r="J190" s="149">
        <v>147</v>
      </c>
      <c r="K190" s="149" t="str">
        <f>РеестрЛКЕОД[[#This Row],[Ділянка]] &amp;" "&amp;РеестрЛКЕОД[[#This Row],[Номер]]</f>
        <v>96 кв (10 вид) 0 діл. 556627</v>
      </c>
      <c r="L190" s="149" t="str">
        <f>РеестрЛКЕОД[[#This Row],[Лісництво]] &amp;" "&amp;РеестрЛКЕОД[[#This Row],[Номер]]</f>
        <v>Шполянське 556627</v>
      </c>
      <c r="M190" s="149"/>
      <c r="N190" s="149"/>
      <c r="O190" s="149"/>
      <c r="P190" s="149"/>
      <c r="Q190" s="149"/>
      <c r="R190" s="149"/>
      <c r="S190" s="149" t="str">
        <f>IF(COUNTIF(L$5:L190,L190)=1,MAX(S$5:S190)+1,"")</f>
        <v/>
      </c>
      <c r="T190" s="149" t="str">
        <f t="shared" si="2"/>
        <v>Шполянське 556627</v>
      </c>
    </row>
    <row r="191" spans="1:20" hidden="1">
      <c r="A191" s="149" t="s">
        <v>115</v>
      </c>
      <c r="B191" s="149" t="s">
        <v>134</v>
      </c>
      <c r="C191" s="149" t="s">
        <v>3689</v>
      </c>
      <c r="D191" s="149">
        <v>556627</v>
      </c>
      <c r="E191" s="281" t="s">
        <v>3856</v>
      </c>
      <c r="F191" s="281" t="s">
        <v>3855</v>
      </c>
      <c r="G191" s="149">
        <v>3.7</v>
      </c>
      <c r="H191" s="149"/>
      <c r="I191" s="149"/>
      <c r="J191" s="149">
        <v>82</v>
      </c>
      <c r="K191" s="149" t="str">
        <f>РеестрЛКЕОД[[#This Row],[Ділянка]] &amp;" "&amp;РеестрЛКЕОД[[#This Row],[Номер]]</f>
        <v>98 кв (3 вид) 0 діл. 556627</v>
      </c>
      <c r="L191" s="149" t="str">
        <f>РеестрЛКЕОД[[#This Row],[Лісництво]] &amp;" "&amp;РеестрЛКЕОД[[#This Row],[Номер]]</f>
        <v>Шполянське 556627</v>
      </c>
      <c r="M191" s="149"/>
      <c r="N191" s="149"/>
      <c r="O191" s="149"/>
      <c r="P191" s="149"/>
      <c r="Q191" s="149"/>
      <c r="R191" s="149"/>
      <c r="S191" s="149" t="str">
        <f>IF(COUNTIF(L$5:L191,L191)=1,MAX(S$5:S191)+1,"")</f>
        <v/>
      </c>
      <c r="T191" s="149" t="str">
        <f t="shared" si="2"/>
        <v>Шполянське 556627</v>
      </c>
    </row>
    <row r="192" spans="1:20">
      <c r="A192" s="149" t="s">
        <v>115</v>
      </c>
      <c r="B192" s="149" t="s">
        <v>124</v>
      </c>
      <c r="C192" s="149" t="s">
        <v>3700</v>
      </c>
      <c r="D192" s="149">
        <v>556628</v>
      </c>
      <c r="E192" s="281" t="s">
        <v>3856</v>
      </c>
      <c r="F192" s="281" t="s">
        <v>3855</v>
      </c>
      <c r="G192" s="149">
        <v>2.2999999999999998</v>
      </c>
      <c r="H192" s="149"/>
      <c r="I192" s="149">
        <v>20</v>
      </c>
      <c r="J192" s="149">
        <v>38</v>
      </c>
      <c r="K192" s="149" t="str">
        <f>РеестрЛКЕОД[[#This Row],[Ділянка]] &amp;" "&amp;РеестрЛКЕОД[[#This Row],[Номер]]</f>
        <v>113 кв (14 вид) 0 діл. 556628</v>
      </c>
      <c r="L192" s="149" t="str">
        <f>РеестрЛКЕОД[[#This Row],[Лісництво]] &amp;" "&amp;РеестрЛКЕОД[[#This Row],[Номер]]</f>
        <v>Шполянське 556628</v>
      </c>
      <c r="M192" s="149"/>
      <c r="N192" s="149"/>
      <c r="O192" s="149"/>
      <c r="P192" s="149"/>
      <c r="Q192" s="149"/>
      <c r="R192" s="149"/>
      <c r="S192" s="149"/>
      <c r="T192" s="149" t="str">
        <f t="shared" si="2"/>
        <v>Шполянське 556628</v>
      </c>
    </row>
    <row r="193" spans="1:20" hidden="1">
      <c r="A193" s="149" t="s">
        <v>115</v>
      </c>
      <c r="B193" s="149" t="s">
        <v>124</v>
      </c>
      <c r="C193" s="149" t="s">
        <v>3697</v>
      </c>
      <c r="D193" s="149">
        <v>556628</v>
      </c>
      <c r="E193" s="281" t="s">
        <v>3856</v>
      </c>
      <c r="F193" s="281" t="s">
        <v>3855</v>
      </c>
      <c r="G193" s="149">
        <v>5</v>
      </c>
      <c r="H193" s="149"/>
      <c r="I193" s="149">
        <v>16</v>
      </c>
      <c r="J193" s="149">
        <v>110</v>
      </c>
      <c r="K193" s="149" t="str">
        <f>РеестрЛКЕОД[[#This Row],[Ділянка]] &amp;" "&amp;РеестрЛКЕОД[[#This Row],[Номер]]</f>
        <v>77 кв (8 вид) 0 діл. 556628</v>
      </c>
      <c r="L193" s="149" t="str">
        <f>РеестрЛКЕОД[[#This Row],[Лісництво]] &amp;" "&amp;РеестрЛКЕОД[[#This Row],[Номер]]</f>
        <v>Шполянське 556628</v>
      </c>
      <c r="M193" s="149"/>
      <c r="N193" s="149"/>
      <c r="O193" s="149"/>
      <c r="P193" s="149"/>
      <c r="Q193" s="149"/>
      <c r="R193" s="149"/>
      <c r="S193" s="149" t="str">
        <f>IF(COUNTIF(L$5:L193,L193)=1,MAX(S$5:S193)+1,"")</f>
        <v/>
      </c>
      <c r="T193" s="149" t="str">
        <f t="shared" si="2"/>
        <v>Шполянське 556628</v>
      </c>
    </row>
    <row r="194" spans="1:20" hidden="1">
      <c r="A194" s="149" t="s">
        <v>115</v>
      </c>
      <c r="B194" s="149" t="s">
        <v>124</v>
      </c>
      <c r="C194" s="149" t="s">
        <v>3699</v>
      </c>
      <c r="D194" s="149">
        <v>556628</v>
      </c>
      <c r="E194" s="281" t="s">
        <v>3856</v>
      </c>
      <c r="F194" s="281" t="s">
        <v>3855</v>
      </c>
      <c r="G194" s="149">
        <v>3.1</v>
      </c>
      <c r="H194" s="149">
        <v>1</v>
      </c>
      <c r="I194" s="149">
        <v>48</v>
      </c>
      <c r="J194" s="149">
        <v>50</v>
      </c>
      <c r="K194" s="149" t="str">
        <f>РеестрЛКЕОД[[#This Row],[Ділянка]] &amp;" "&amp;РеестрЛКЕОД[[#This Row],[Номер]]</f>
        <v>82 кв (3 вид) 0 діл. 556628</v>
      </c>
      <c r="L194" s="149" t="str">
        <f>РеестрЛКЕОД[[#This Row],[Лісництво]] &amp;" "&amp;РеестрЛКЕОД[[#This Row],[Номер]]</f>
        <v>Шполянське 556628</v>
      </c>
      <c r="M194" s="149"/>
      <c r="N194" s="149"/>
      <c r="O194" s="149"/>
      <c r="P194" s="149"/>
      <c r="Q194" s="149"/>
      <c r="R194" s="149"/>
      <c r="S194" s="149" t="str">
        <f>IF(COUNTIF(L$5:L194,L194)=1,MAX(S$5:S194)+1,"")</f>
        <v/>
      </c>
      <c r="T194" s="149" t="str">
        <f t="shared" si="2"/>
        <v>Шполянське 556628</v>
      </c>
    </row>
    <row r="195" spans="1:20" hidden="1">
      <c r="A195" s="149" t="s">
        <v>115</v>
      </c>
      <c r="B195" s="149" t="s">
        <v>124</v>
      </c>
      <c r="C195" s="149" t="s">
        <v>3698</v>
      </c>
      <c r="D195" s="149">
        <v>556628</v>
      </c>
      <c r="E195" s="281" t="s">
        <v>3856</v>
      </c>
      <c r="F195" s="281" t="s">
        <v>3855</v>
      </c>
      <c r="G195" s="149">
        <v>4.2</v>
      </c>
      <c r="H195" s="149">
        <v>1</v>
      </c>
      <c r="I195" s="149">
        <v>35</v>
      </c>
      <c r="J195" s="149">
        <v>37</v>
      </c>
      <c r="K195" s="149" t="str">
        <f>РеестрЛКЕОД[[#This Row],[Ділянка]] &amp;" "&amp;РеестрЛКЕОД[[#This Row],[Номер]]</f>
        <v>82 кв (4 вид) 0 діл. 556628</v>
      </c>
      <c r="L195" s="149" t="str">
        <f>РеестрЛКЕОД[[#This Row],[Лісництво]] &amp;" "&amp;РеестрЛКЕОД[[#This Row],[Номер]]</f>
        <v>Шполянське 556628</v>
      </c>
      <c r="M195" s="149"/>
      <c r="N195" s="149"/>
      <c r="O195" s="149"/>
      <c r="P195" s="149"/>
      <c r="Q195" s="149"/>
      <c r="R195" s="149"/>
      <c r="S195" s="149" t="str">
        <f>IF(COUNTIF(L$5:L195,L195)=1,MAX(S$5:S195)+1,"")</f>
        <v/>
      </c>
      <c r="T195" s="149" t="str">
        <f t="shared" si="2"/>
        <v>Шполянське 556628</v>
      </c>
    </row>
    <row r="196" spans="1:20">
      <c r="A196" s="149" t="s">
        <v>115</v>
      </c>
      <c r="B196" s="149" t="s">
        <v>140</v>
      </c>
      <c r="C196" s="149" t="s">
        <v>3701</v>
      </c>
      <c r="D196" s="149">
        <v>556629</v>
      </c>
      <c r="E196" s="281" t="s">
        <v>3856</v>
      </c>
      <c r="F196" s="281" t="s">
        <v>3855</v>
      </c>
      <c r="G196" s="149">
        <v>8.8000000000000007</v>
      </c>
      <c r="H196" s="149">
        <v>113</v>
      </c>
      <c r="I196" s="149">
        <v>557</v>
      </c>
      <c r="J196" s="149">
        <v>772</v>
      </c>
      <c r="K196" s="149" t="str">
        <f>РеестрЛКЕОД[[#This Row],[Ділянка]] &amp;" "&amp;РеестрЛКЕОД[[#This Row],[Номер]]</f>
        <v>113 кв (7 вид) 0 діл. 556629</v>
      </c>
      <c r="L196" s="149" t="str">
        <f>РеестрЛКЕОД[[#This Row],[Лісництво]] &amp;" "&amp;РеестрЛКЕОД[[#This Row],[Номер]]</f>
        <v>Шполянське 556629</v>
      </c>
      <c r="M196" s="149"/>
      <c r="N196" s="149"/>
      <c r="O196" s="149"/>
      <c r="P196" s="149"/>
      <c r="Q196" s="149"/>
      <c r="R196" s="149"/>
      <c r="S196" s="149"/>
      <c r="T196" s="149" t="str">
        <f t="shared" si="2"/>
        <v>Шполянське 556629</v>
      </c>
    </row>
    <row r="197" spans="1:20" hidden="1">
      <c r="A197" s="149" t="s">
        <v>115</v>
      </c>
      <c r="B197" s="149" t="s">
        <v>140</v>
      </c>
      <c r="C197" s="149" t="s">
        <v>3703</v>
      </c>
      <c r="D197" s="149">
        <v>556629</v>
      </c>
      <c r="E197" s="281" t="s">
        <v>3856</v>
      </c>
      <c r="F197" s="281" t="s">
        <v>3855</v>
      </c>
      <c r="G197" s="149">
        <v>9.6999999999999993</v>
      </c>
      <c r="H197" s="149">
        <v>194</v>
      </c>
      <c r="I197" s="149">
        <v>369</v>
      </c>
      <c r="J197" s="149">
        <v>650</v>
      </c>
      <c r="K197" s="149" t="str">
        <f>РеестрЛКЕОД[[#This Row],[Ділянка]] &amp;" "&amp;РеестрЛКЕОД[[#This Row],[Номер]]</f>
        <v>123 кв (1 вид) 0 діл. 556629</v>
      </c>
      <c r="L197" s="149" t="str">
        <f>РеестрЛКЕОД[[#This Row],[Лісництво]] &amp;" "&amp;РеестрЛКЕОД[[#This Row],[Номер]]</f>
        <v>Шполянське 556629</v>
      </c>
      <c r="M197" s="149"/>
      <c r="N197" s="149"/>
      <c r="O197" s="149"/>
      <c r="P197" s="149"/>
      <c r="Q197" s="149"/>
      <c r="R197" s="149"/>
      <c r="S197" s="149" t="str">
        <f>IF(COUNTIF(L$5:L197,L197)=1,MAX(S$5:S197)+1,"")</f>
        <v/>
      </c>
      <c r="T197" s="149" t="str">
        <f t="shared" ref="T197:T260" si="3">L197:L404</f>
        <v>Шполянське 556629</v>
      </c>
    </row>
    <row r="198" spans="1:20" hidden="1">
      <c r="A198" s="149" t="s">
        <v>115</v>
      </c>
      <c r="B198" s="149" t="s">
        <v>140</v>
      </c>
      <c r="C198" s="149" t="s">
        <v>3702</v>
      </c>
      <c r="D198" s="149">
        <v>556629</v>
      </c>
      <c r="E198" s="281" t="s">
        <v>3856</v>
      </c>
      <c r="F198" s="281" t="s">
        <v>3855</v>
      </c>
      <c r="G198" s="149">
        <v>1.7</v>
      </c>
      <c r="H198" s="149">
        <v>3</v>
      </c>
      <c r="I198" s="149">
        <v>73</v>
      </c>
      <c r="J198" s="149">
        <v>88</v>
      </c>
      <c r="K198" s="149" t="str">
        <f>РеестрЛКЕОД[[#This Row],[Ділянка]] &amp;" "&amp;РеестрЛКЕОД[[#This Row],[Номер]]</f>
        <v>68 кв (9 вид) 0 діл. 556629</v>
      </c>
      <c r="L198" s="149" t="str">
        <f>РеестрЛКЕОД[[#This Row],[Лісництво]] &amp;" "&amp;РеестрЛКЕОД[[#This Row],[Номер]]</f>
        <v>Шполянське 556629</v>
      </c>
      <c r="M198" s="149"/>
      <c r="N198" s="149"/>
      <c r="O198" s="149"/>
      <c r="P198" s="149"/>
      <c r="Q198" s="149"/>
      <c r="R198" s="149"/>
      <c r="S198" s="149" t="str">
        <f>IF(COUNTIF(L$5:L198,L198)=1,MAX(S$5:S198)+1,"")</f>
        <v/>
      </c>
      <c r="T198" s="149" t="str">
        <f t="shared" si="3"/>
        <v>Шполянське 556629</v>
      </c>
    </row>
    <row r="199" spans="1:20" hidden="1">
      <c r="A199" s="149" t="s">
        <v>115</v>
      </c>
      <c r="B199" s="149" t="s">
        <v>140</v>
      </c>
      <c r="C199" s="149" t="s">
        <v>232</v>
      </c>
      <c r="D199" s="149">
        <v>556629</v>
      </c>
      <c r="E199" s="281" t="s">
        <v>3856</v>
      </c>
      <c r="F199" s="281" t="s">
        <v>3855</v>
      </c>
      <c r="G199" s="149">
        <v>3.1</v>
      </c>
      <c r="H199" s="149">
        <v>35</v>
      </c>
      <c r="I199" s="149">
        <v>64</v>
      </c>
      <c r="J199" s="149">
        <v>115</v>
      </c>
      <c r="K199" s="149" t="str">
        <f>РеестрЛКЕОД[[#This Row],[Ділянка]] &amp;" "&amp;РеестрЛКЕОД[[#This Row],[Номер]]</f>
        <v>81 кв (2 вид) 0 діл. 556629</v>
      </c>
      <c r="L199" s="149" t="str">
        <f>РеестрЛКЕОД[[#This Row],[Лісництво]] &amp;" "&amp;РеестрЛКЕОД[[#This Row],[Номер]]</f>
        <v>Шполянське 556629</v>
      </c>
      <c r="M199" s="149"/>
      <c r="N199" s="149"/>
      <c r="O199" s="149"/>
      <c r="P199" s="149"/>
      <c r="Q199" s="149"/>
      <c r="R199" s="149"/>
      <c r="S199" s="149" t="str">
        <f>IF(COUNTIF(L$5:L199,L199)=1,MAX(S$5:S199)+1,"")</f>
        <v/>
      </c>
      <c r="T199" s="149" t="str">
        <f t="shared" si="3"/>
        <v>Шполянське 556629</v>
      </c>
    </row>
    <row r="200" spans="1:20" hidden="1">
      <c r="A200" s="149" t="s">
        <v>115</v>
      </c>
      <c r="B200" s="149" t="s">
        <v>140</v>
      </c>
      <c r="C200" s="149" t="s">
        <v>3704</v>
      </c>
      <c r="D200" s="149">
        <v>556629</v>
      </c>
      <c r="E200" s="281" t="s">
        <v>3856</v>
      </c>
      <c r="F200" s="281" t="s">
        <v>3855</v>
      </c>
      <c r="G200" s="149">
        <v>3</v>
      </c>
      <c r="H200" s="149">
        <v>35</v>
      </c>
      <c r="I200" s="149">
        <v>124</v>
      </c>
      <c r="J200" s="149">
        <v>183</v>
      </c>
      <c r="K200" s="149" t="str">
        <f>РеестрЛКЕОД[[#This Row],[Ділянка]] &amp;" "&amp;РеестрЛКЕОД[[#This Row],[Номер]]</f>
        <v>85 кв (5 вид) 0 діл. 556629</v>
      </c>
      <c r="L200" s="149" t="str">
        <f>РеестрЛКЕОД[[#This Row],[Лісництво]] &amp;" "&amp;РеестрЛКЕОД[[#This Row],[Номер]]</f>
        <v>Шполянське 556629</v>
      </c>
      <c r="M200" s="149"/>
      <c r="N200" s="149"/>
      <c r="O200" s="149"/>
      <c r="P200" s="149"/>
      <c r="Q200" s="149"/>
      <c r="R200" s="149"/>
      <c r="S200" s="149" t="str">
        <f>IF(COUNTIF(L$5:L200,L200)=1,MAX(S$5:S200)+1,"")</f>
        <v/>
      </c>
      <c r="T200" s="149" t="str">
        <f t="shared" si="3"/>
        <v>Шполянське 556629</v>
      </c>
    </row>
    <row r="201" spans="1:20" hidden="1">
      <c r="A201" s="149" t="s">
        <v>115</v>
      </c>
      <c r="B201" s="149" t="s">
        <v>140</v>
      </c>
      <c r="C201" s="149" t="s">
        <v>3705</v>
      </c>
      <c r="D201" s="149">
        <v>556629</v>
      </c>
      <c r="E201" s="281" t="s">
        <v>3856</v>
      </c>
      <c r="F201" s="281" t="s">
        <v>3855</v>
      </c>
      <c r="G201" s="149">
        <v>2.2999999999999998</v>
      </c>
      <c r="H201" s="149">
        <v>8</v>
      </c>
      <c r="I201" s="149">
        <v>56</v>
      </c>
      <c r="J201" s="149">
        <v>75</v>
      </c>
      <c r="K201" s="149" t="str">
        <f>РеестрЛКЕОД[[#This Row],[Ділянка]] &amp;" "&amp;РеестрЛКЕОД[[#This Row],[Номер]]</f>
        <v>93 кв (2 вид) 0 діл. 556629</v>
      </c>
      <c r="L201" s="149" t="str">
        <f>РеестрЛКЕОД[[#This Row],[Лісництво]] &amp;" "&amp;РеестрЛКЕОД[[#This Row],[Номер]]</f>
        <v>Шполянське 556629</v>
      </c>
      <c r="M201" s="149"/>
      <c r="N201" s="149"/>
      <c r="O201" s="149"/>
      <c r="P201" s="149"/>
      <c r="Q201" s="149"/>
      <c r="R201" s="149"/>
      <c r="S201" s="149" t="str">
        <f>IF(COUNTIF(L$5:L201,L201)=1,MAX(S$5:S201)+1,"")</f>
        <v/>
      </c>
      <c r="T201" s="149" t="str">
        <f t="shared" si="3"/>
        <v>Шполянське 556629</v>
      </c>
    </row>
    <row r="202" spans="1:20">
      <c r="A202" s="149" t="s">
        <v>115</v>
      </c>
      <c r="B202" s="149" t="s">
        <v>126</v>
      </c>
      <c r="C202" s="149" t="s">
        <v>3888</v>
      </c>
      <c r="D202" s="149">
        <v>556646</v>
      </c>
      <c r="E202" s="281" t="s">
        <v>3857</v>
      </c>
      <c r="F202" s="281" t="s">
        <v>3855</v>
      </c>
      <c r="G202" s="149">
        <v>4.8</v>
      </c>
      <c r="H202" s="149">
        <v>5</v>
      </c>
      <c r="I202" s="149">
        <v>95</v>
      </c>
      <c r="J202" s="149">
        <v>118</v>
      </c>
      <c r="K202" s="149" t="str">
        <f>РеестрЛКЕОД[[#This Row],[Ділянка]] &amp;" "&amp;РеестрЛКЕОД[[#This Row],[Номер]]</f>
        <v>101 кв (5 вид) 0 діл. 556646</v>
      </c>
      <c r="L202" s="149" t="str">
        <f>РеестрЛКЕОД[[#This Row],[Лісництво]] &amp;" "&amp;РеестрЛКЕОД[[#This Row],[Номер]]</f>
        <v>Шполянське 556646</v>
      </c>
      <c r="M202" s="149"/>
      <c r="N202" s="149"/>
      <c r="O202" s="149"/>
      <c r="P202" s="149"/>
      <c r="Q202" s="149"/>
      <c r="R202" s="149"/>
      <c r="S202" s="149"/>
      <c r="T202" s="149" t="str">
        <f t="shared" si="3"/>
        <v>Шполянське 556646</v>
      </c>
    </row>
    <row r="203" spans="1:20" hidden="1">
      <c r="A203" s="149" t="s">
        <v>115</v>
      </c>
      <c r="B203" s="149" t="s">
        <v>126</v>
      </c>
      <c r="C203" s="149" t="s">
        <v>615</v>
      </c>
      <c r="D203" s="149">
        <v>556646</v>
      </c>
      <c r="E203" s="281" t="s">
        <v>3857</v>
      </c>
      <c r="F203" s="281" t="s">
        <v>3855</v>
      </c>
      <c r="G203" s="149">
        <v>14.2</v>
      </c>
      <c r="H203" s="149">
        <v>18</v>
      </c>
      <c r="I203" s="149">
        <v>343</v>
      </c>
      <c r="J203" s="149">
        <v>417</v>
      </c>
      <c r="K203" s="149" t="str">
        <f>РеестрЛКЕОД[[#This Row],[Ділянка]] &amp;" "&amp;РеестрЛКЕОД[[#This Row],[Номер]]</f>
        <v>132 кв (7 вид) 0 діл. 556646</v>
      </c>
      <c r="L203" s="149" t="str">
        <f>РеестрЛКЕОД[[#This Row],[Лісництво]] &amp;" "&amp;РеестрЛКЕОД[[#This Row],[Номер]]</f>
        <v>Шполянське 556646</v>
      </c>
      <c r="M203" s="149"/>
      <c r="N203" s="149"/>
      <c r="O203" s="149"/>
      <c r="P203" s="149"/>
      <c r="Q203" s="149"/>
      <c r="R203" s="149"/>
      <c r="S203" s="149" t="str">
        <f>IF(COUNTIF(L$5:L203,L203)=1,MAX(S$5:S203)+1,"")</f>
        <v/>
      </c>
      <c r="T203" s="149" t="str">
        <f t="shared" si="3"/>
        <v>Шполянське 556646</v>
      </c>
    </row>
    <row r="204" spans="1:20" hidden="1">
      <c r="A204" s="149" t="s">
        <v>115</v>
      </c>
      <c r="B204" s="149" t="s">
        <v>126</v>
      </c>
      <c r="C204" s="149" t="s">
        <v>645</v>
      </c>
      <c r="D204" s="149">
        <v>556646</v>
      </c>
      <c r="E204" s="281" t="s">
        <v>3857</v>
      </c>
      <c r="F204" s="281" t="s">
        <v>3855</v>
      </c>
      <c r="G204" s="149">
        <v>1.6</v>
      </c>
      <c r="H204" s="149"/>
      <c r="I204" s="149">
        <v>54</v>
      </c>
      <c r="J204" s="149">
        <v>62</v>
      </c>
      <c r="K204" s="149" t="str">
        <f>РеестрЛКЕОД[[#This Row],[Ділянка]] &amp;" "&amp;РеестрЛКЕОД[[#This Row],[Номер]]</f>
        <v>31 кв (4 вид) 0 діл. 556646</v>
      </c>
      <c r="L204" s="149" t="str">
        <f>РеестрЛКЕОД[[#This Row],[Лісництво]] &amp;" "&amp;РеестрЛКЕОД[[#This Row],[Номер]]</f>
        <v>Шполянське 556646</v>
      </c>
      <c r="M204" s="149"/>
      <c r="N204" s="149"/>
      <c r="O204" s="149"/>
      <c r="P204" s="149"/>
      <c r="Q204" s="149"/>
      <c r="R204" s="149"/>
      <c r="S204" s="149" t="str">
        <f>IF(COUNTIF(L$5:L204,L204)=1,MAX(S$5:S204)+1,"")</f>
        <v/>
      </c>
      <c r="T204" s="149" t="str">
        <f t="shared" si="3"/>
        <v>Шполянське 556646</v>
      </c>
    </row>
    <row r="205" spans="1:20" hidden="1">
      <c r="A205" s="149" t="s">
        <v>115</v>
      </c>
      <c r="B205" s="149" t="s">
        <v>126</v>
      </c>
      <c r="C205" s="149" t="s">
        <v>376</v>
      </c>
      <c r="D205" s="149">
        <v>556646</v>
      </c>
      <c r="E205" s="281" t="s">
        <v>3857</v>
      </c>
      <c r="F205" s="281" t="s">
        <v>3855</v>
      </c>
      <c r="G205" s="149">
        <v>16.399999999999999</v>
      </c>
      <c r="H205" s="149">
        <v>10</v>
      </c>
      <c r="I205" s="149">
        <v>162</v>
      </c>
      <c r="J205" s="149">
        <v>201</v>
      </c>
      <c r="K205" s="149" t="str">
        <f>РеестрЛКЕОД[[#This Row],[Ділянка]] &amp;" "&amp;РеестрЛКЕОД[[#This Row],[Номер]]</f>
        <v>43 кв (1 вид) 0 діл. 556646</v>
      </c>
      <c r="L205" s="149" t="str">
        <f>РеестрЛКЕОД[[#This Row],[Лісництво]] &amp;" "&amp;РеестрЛКЕОД[[#This Row],[Номер]]</f>
        <v>Шполянське 556646</v>
      </c>
      <c r="M205" s="149"/>
      <c r="N205" s="149"/>
      <c r="O205" s="149"/>
      <c r="P205" s="149"/>
      <c r="Q205" s="149"/>
      <c r="R205" s="149"/>
      <c r="S205" s="149" t="str">
        <f>IF(COUNTIF(L$5:L205,L205)=1,MAX(S$5:S205)+1,"")</f>
        <v/>
      </c>
      <c r="T205" s="149" t="str">
        <f t="shared" si="3"/>
        <v>Шполянське 556646</v>
      </c>
    </row>
    <row r="206" spans="1:20" hidden="1">
      <c r="A206" s="149" t="s">
        <v>115</v>
      </c>
      <c r="B206" s="149" t="s">
        <v>126</v>
      </c>
      <c r="C206" s="149" t="s">
        <v>3889</v>
      </c>
      <c r="D206" s="149">
        <v>556646</v>
      </c>
      <c r="E206" s="281" t="s">
        <v>3857</v>
      </c>
      <c r="F206" s="281" t="s">
        <v>3855</v>
      </c>
      <c r="G206" s="149">
        <v>3.3</v>
      </c>
      <c r="H206" s="149">
        <v>16</v>
      </c>
      <c r="I206" s="149">
        <v>77</v>
      </c>
      <c r="J206" s="149">
        <v>108</v>
      </c>
      <c r="K206" s="149" t="str">
        <f>РеестрЛКЕОД[[#This Row],[Ділянка]] &amp;" "&amp;РеестрЛКЕОД[[#This Row],[Номер]]</f>
        <v>68 кв (3 вид) 0 діл. 556646</v>
      </c>
      <c r="L206" s="149" t="str">
        <f>РеестрЛКЕОД[[#This Row],[Лісництво]] &amp;" "&amp;РеестрЛКЕОД[[#This Row],[Номер]]</f>
        <v>Шполянське 556646</v>
      </c>
      <c r="M206" s="149"/>
      <c r="N206" s="149"/>
      <c r="O206" s="149"/>
      <c r="P206" s="149"/>
      <c r="Q206" s="149"/>
      <c r="R206" s="149"/>
      <c r="S206" s="149" t="str">
        <f>IF(COUNTIF(L$5:L206,L206)=1,MAX(S$5:S206)+1,"")</f>
        <v/>
      </c>
      <c r="T206" s="149" t="str">
        <f t="shared" si="3"/>
        <v>Шполянське 556646</v>
      </c>
    </row>
    <row r="207" spans="1:20" hidden="1">
      <c r="A207" s="149" t="s">
        <v>115</v>
      </c>
      <c r="B207" s="149" t="s">
        <v>126</v>
      </c>
      <c r="C207" s="149" t="s">
        <v>3890</v>
      </c>
      <c r="D207" s="149">
        <v>556646</v>
      </c>
      <c r="E207" s="281" t="s">
        <v>3857</v>
      </c>
      <c r="F207" s="281" t="s">
        <v>3855</v>
      </c>
      <c r="G207" s="149">
        <v>3.4</v>
      </c>
      <c r="H207" s="149">
        <v>9</v>
      </c>
      <c r="I207" s="149">
        <v>71</v>
      </c>
      <c r="J207" s="149">
        <v>94</v>
      </c>
      <c r="K207" s="149" t="str">
        <f>РеестрЛКЕОД[[#This Row],[Ділянка]] &amp;" "&amp;РеестрЛКЕОД[[#This Row],[Номер]]</f>
        <v>68 кв (7 вид) 0 діл. 556646</v>
      </c>
      <c r="L207" s="149" t="str">
        <f>РеестрЛКЕОД[[#This Row],[Лісництво]] &amp;" "&amp;РеестрЛКЕОД[[#This Row],[Номер]]</f>
        <v>Шполянське 556646</v>
      </c>
      <c r="M207" s="149"/>
      <c r="N207" s="149"/>
      <c r="O207" s="149"/>
      <c r="P207" s="149"/>
      <c r="Q207" s="149"/>
      <c r="R207" s="149"/>
      <c r="S207" s="149" t="str">
        <f>IF(COUNTIF(L$5:L207,L207)=1,MAX(S$5:S207)+1,"")</f>
        <v/>
      </c>
      <c r="T207" s="149" t="str">
        <f t="shared" si="3"/>
        <v>Шполянське 556646</v>
      </c>
    </row>
    <row r="208" spans="1:20" hidden="1">
      <c r="A208" s="149" t="s">
        <v>115</v>
      </c>
      <c r="B208" s="149" t="s">
        <v>126</v>
      </c>
      <c r="C208" s="149" t="s">
        <v>3891</v>
      </c>
      <c r="D208" s="149">
        <v>556646</v>
      </c>
      <c r="E208" s="281" t="s">
        <v>3857</v>
      </c>
      <c r="F208" s="281" t="s">
        <v>3855</v>
      </c>
      <c r="G208" s="149">
        <v>0.8</v>
      </c>
      <c r="H208" s="149">
        <v>1</v>
      </c>
      <c r="I208" s="149">
        <v>23</v>
      </c>
      <c r="J208" s="149">
        <v>28</v>
      </c>
      <c r="K208" s="149" t="str">
        <f>РеестрЛКЕОД[[#This Row],[Ділянка]] &amp;" "&amp;РеестрЛКЕОД[[#This Row],[Номер]]</f>
        <v>7 кв (10 вид) 0 діл. 556646</v>
      </c>
      <c r="L208" s="149" t="str">
        <f>РеестрЛКЕОД[[#This Row],[Лісництво]] &amp;" "&amp;РеестрЛКЕОД[[#This Row],[Номер]]</f>
        <v>Шполянське 556646</v>
      </c>
      <c r="M208" s="149"/>
      <c r="N208" s="149"/>
      <c r="O208" s="149"/>
      <c r="P208" s="149"/>
      <c r="Q208" s="149"/>
      <c r="R208" s="149"/>
      <c r="S208" s="149" t="str">
        <f>IF(COUNTIF(L$5:L208,L208)=1,MAX(S$5:S208)+1,"")</f>
        <v/>
      </c>
      <c r="T208" s="149" t="str">
        <f t="shared" si="3"/>
        <v>Шполянське 556646</v>
      </c>
    </row>
    <row r="209" spans="1:20" hidden="1">
      <c r="A209" s="149" t="s">
        <v>115</v>
      </c>
      <c r="B209" s="149" t="s">
        <v>126</v>
      </c>
      <c r="C209" s="149" t="s">
        <v>3892</v>
      </c>
      <c r="D209" s="149">
        <v>556646</v>
      </c>
      <c r="E209" s="281" t="s">
        <v>3857</v>
      </c>
      <c r="F209" s="281" t="s">
        <v>3855</v>
      </c>
      <c r="G209" s="149">
        <v>2.2000000000000002</v>
      </c>
      <c r="H209" s="149">
        <v>2</v>
      </c>
      <c r="I209" s="149">
        <v>33</v>
      </c>
      <c r="J209" s="149">
        <v>41</v>
      </c>
      <c r="K209" s="149" t="str">
        <f>РеестрЛКЕОД[[#This Row],[Ділянка]] &amp;" "&amp;РеестрЛКЕОД[[#This Row],[Номер]]</f>
        <v>7 кв (7 вид) 0 діл. 556646</v>
      </c>
      <c r="L209" s="149" t="str">
        <f>РеестрЛКЕОД[[#This Row],[Лісництво]] &amp;" "&amp;РеестрЛКЕОД[[#This Row],[Номер]]</f>
        <v>Шполянське 556646</v>
      </c>
      <c r="M209" s="149"/>
      <c r="N209" s="149"/>
      <c r="O209" s="149"/>
      <c r="P209" s="149"/>
      <c r="Q209" s="149"/>
      <c r="R209" s="149"/>
      <c r="S209" s="149" t="str">
        <f>IF(COUNTIF(L$5:L209,L209)=1,MAX(S$5:S209)+1,"")</f>
        <v/>
      </c>
      <c r="T209" s="149" t="str">
        <f t="shared" si="3"/>
        <v>Шполянське 556646</v>
      </c>
    </row>
    <row r="210" spans="1:20" hidden="1">
      <c r="A210" s="149" t="s">
        <v>115</v>
      </c>
      <c r="B210" s="149" t="s">
        <v>126</v>
      </c>
      <c r="C210" s="149" t="s">
        <v>253</v>
      </c>
      <c r="D210" s="149">
        <v>556646</v>
      </c>
      <c r="E210" s="281" t="s">
        <v>3857</v>
      </c>
      <c r="F210" s="281" t="s">
        <v>3855</v>
      </c>
      <c r="G210" s="149">
        <v>0.9</v>
      </c>
      <c r="H210" s="149">
        <v>2</v>
      </c>
      <c r="I210" s="149">
        <v>31</v>
      </c>
      <c r="J210" s="149">
        <v>38</v>
      </c>
      <c r="K210" s="149" t="str">
        <f>РеестрЛКЕОД[[#This Row],[Ділянка]] &amp;" "&amp;РеестрЛКЕОД[[#This Row],[Номер]]</f>
        <v>94 кв (2 вид) 0 діл. 556646</v>
      </c>
      <c r="L210" s="149" t="str">
        <f>РеестрЛКЕОД[[#This Row],[Лісництво]] &amp;" "&amp;РеестрЛКЕОД[[#This Row],[Номер]]</f>
        <v>Шполянське 556646</v>
      </c>
      <c r="M210" s="149"/>
      <c r="N210" s="149"/>
      <c r="O210" s="149"/>
      <c r="P210" s="149"/>
      <c r="Q210" s="149"/>
      <c r="R210" s="149"/>
      <c r="S210" s="149" t="str">
        <f>IF(COUNTIF(L$5:L210,L210)=1,MAX(S$5:S210)+1,"")</f>
        <v/>
      </c>
      <c r="T210" s="149" t="str">
        <f t="shared" si="3"/>
        <v>Шполянське 556646</v>
      </c>
    </row>
    <row r="211" spans="1:20" hidden="1">
      <c r="A211" s="149" t="s">
        <v>115</v>
      </c>
      <c r="B211" s="149" t="s">
        <v>126</v>
      </c>
      <c r="C211" s="149" t="s">
        <v>858</v>
      </c>
      <c r="D211" s="149">
        <v>556646</v>
      </c>
      <c r="E211" s="281" t="s">
        <v>3857</v>
      </c>
      <c r="F211" s="281" t="s">
        <v>3855</v>
      </c>
      <c r="G211" s="149">
        <v>0.1</v>
      </c>
      <c r="H211" s="149">
        <v>2</v>
      </c>
      <c r="I211" s="149">
        <v>8</v>
      </c>
      <c r="J211" s="149">
        <v>11</v>
      </c>
      <c r="K211" s="149" t="str">
        <f>РеестрЛКЕОД[[#This Row],[Ділянка]] &amp;" "&amp;РеестрЛКЕОД[[#This Row],[Номер]]</f>
        <v>97 кв (3 вид) 0 діл. 556646</v>
      </c>
      <c r="L211" s="149" t="str">
        <f>РеестрЛКЕОД[[#This Row],[Лісництво]] &amp;" "&amp;РеестрЛКЕОД[[#This Row],[Номер]]</f>
        <v>Шполянське 556646</v>
      </c>
      <c r="M211" s="149"/>
      <c r="N211" s="149"/>
      <c r="O211" s="149"/>
      <c r="P211" s="149"/>
      <c r="Q211" s="149"/>
      <c r="R211" s="149"/>
      <c r="S211" s="149" t="str">
        <f>IF(COUNTIF(L$5:L211,L211)=1,MAX(S$5:S211)+1,"")</f>
        <v/>
      </c>
      <c r="T211" s="149" t="str">
        <f t="shared" si="3"/>
        <v>Шполянське 556646</v>
      </c>
    </row>
    <row r="212" spans="1:20" hidden="1">
      <c r="A212" s="149" t="s">
        <v>115</v>
      </c>
      <c r="B212" s="149" t="s">
        <v>126</v>
      </c>
      <c r="C212" s="149" t="s">
        <v>3893</v>
      </c>
      <c r="D212" s="149">
        <v>556646</v>
      </c>
      <c r="E212" s="281" t="s">
        <v>3857</v>
      </c>
      <c r="F212" s="281" t="s">
        <v>3855</v>
      </c>
      <c r="G212" s="149">
        <v>4.2</v>
      </c>
      <c r="H212" s="149"/>
      <c r="I212" s="149">
        <v>76</v>
      </c>
      <c r="J212" s="149">
        <v>90</v>
      </c>
      <c r="K212" s="149" t="str">
        <f>РеестрЛКЕОД[[#This Row],[Ділянка]] &amp;" "&amp;РеестрЛКЕОД[[#This Row],[Номер]]</f>
        <v>98 кв (2 вид) 0 діл. 556646</v>
      </c>
      <c r="L212" s="149" t="str">
        <f>РеестрЛКЕОД[[#This Row],[Лісництво]] &amp;" "&amp;РеестрЛКЕОД[[#This Row],[Номер]]</f>
        <v>Шполянське 556646</v>
      </c>
      <c r="M212" s="149"/>
      <c r="N212" s="149"/>
      <c r="O212" s="149"/>
      <c r="P212" s="149"/>
      <c r="Q212" s="149"/>
      <c r="R212" s="149"/>
      <c r="S212" s="149" t="str">
        <f>IF(COUNTIF(L$5:L212,L212)=1,MAX(S$5:S212)+1,"")</f>
        <v/>
      </c>
      <c r="T212" s="149" t="str">
        <f t="shared" si="3"/>
        <v>Шполянське 556646</v>
      </c>
    </row>
    <row r="213" spans="1:20" hidden="1">
      <c r="A213" s="149"/>
      <c r="B213" s="149"/>
      <c r="C213" s="149"/>
      <c r="D213" s="149"/>
      <c r="E213" s="281"/>
      <c r="F213" s="281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 t="str">
        <f>IF(COUNTIF(L$5:L213,L213)=1,MAX(S$5:S213)+1,"")</f>
        <v/>
      </c>
      <c r="T213" s="149">
        <f t="shared" si="3"/>
        <v>0</v>
      </c>
    </row>
    <row r="214" spans="1:20" hidden="1">
      <c r="A214" s="149"/>
      <c r="B214" s="149"/>
      <c r="C214" s="149"/>
      <c r="D214" s="149"/>
      <c r="E214" s="281"/>
      <c r="F214" s="281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 t="str">
        <f>IF(COUNTIF(L$5:L214,L214)=1,MAX(S$5:S214)+1,"")</f>
        <v/>
      </c>
      <c r="T214" s="149">
        <f t="shared" si="3"/>
        <v>0</v>
      </c>
    </row>
    <row r="215" spans="1:20" hidden="1">
      <c r="A215" s="149"/>
      <c r="B215" s="149"/>
      <c r="C215" s="149"/>
      <c r="D215" s="149"/>
      <c r="E215" s="281"/>
      <c r="F215" s="281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 t="str">
        <f>IF(COUNTIF(L$5:L215,L215)=1,MAX(S$5:S215)+1,"")</f>
        <v/>
      </c>
      <c r="T215" s="149">
        <f t="shared" si="3"/>
        <v>0</v>
      </c>
    </row>
    <row r="216" spans="1:20" hidden="1">
      <c r="A216" s="149"/>
      <c r="B216" s="149"/>
      <c r="C216" s="149"/>
      <c r="D216" s="149"/>
      <c r="E216" s="281"/>
      <c r="F216" s="281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 t="str">
        <f>IF(COUNTIF(L$5:L216,L216)=1,MAX(S$5:S216)+1,"")</f>
        <v/>
      </c>
      <c r="T216" s="149">
        <f t="shared" si="3"/>
        <v>0</v>
      </c>
    </row>
    <row r="217" spans="1:20" hidden="1">
      <c r="A217" s="149"/>
      <c r="B217" s="149"/>
      <c r="C217" s="149"/>
      <c r="D217" s="149"/>
      <c r="E217" s="281"/>
      <c r="F217" s="281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 t="str">
        <f>IF(COUNTIF(L$5:L217,L217)=1,MAX(S$5:S217)+1,"")</f>
        <v/>
      </c>
      <c r="T217" s="149">
        <f t="shared" si="3"/>
        <v>0</v>
      </c>
    </row>
    <row r="218" spans="1:20" hidden="1">
      <c r="A218" s="149"/>
      <c r="B218" s="149"/>
      <c r="C218" s="149"/>
      <c r="D218" s="149"/>
      <c r="E218" s="281"/>
      <c r="F218" s="281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 t="str">
        <f>IF(COUNTIF(L$5:L218,L218)=1,MAX(S$5:S218)+1,"")</f>
        <v/>
      </c>
      <c r="T218" s="149">
        <f t="shared" si="3"/>
        <v>0</v>
      </c>
    </row>
    <row r="219" spans="1:20" hidden="1">
      <c r="A219" s="149"/>
      <c r="B219" s="149"/>
      <c r="C219" s="149"/>
      <c r="D219" s="149"/>
      <c r="E219" s="281"/>
      <c r="F219" s="281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 t="str">
        <f>IF(COUNTIF(L$5:L219,L219)=1,MAX(S$5:S219)+1,"")</f>
        <v/>
      </c>
      <c r="T219" s="149">
        <f t="shared" si="3"/>
        <v>0</v>
      </c>
    </row>
    <row r="220" spans="1:20" hidden="1">
      <c r="A220" s="149"/>
      <c r="B220" s="149"/>
      <c r="C220" s="149"/>
      <c r="D220" s="149"/>
      <c r="E220" s="281"/>
      <c r="F220" s="281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 t="str">
        <f>IF(COUNTIF(L$5:L220,L220)=1,MAX(S$5:S220)+1,"")</f>
        <v/>
      </c>
      <c r="T220" s="149">
        <f t="shared" si="3"/>
        <v>0</v>
      </c>
    </row>
    <row r="221" spans="1:20" hidden="1">
      <c r="A221" s="149"/>
      <c r="B221" s="149"/>
      <c r="C221" s="149"/>
      <c r="D221" s="149"/>
      <c r="E221" s="281"/>
      <c r="F221" s="281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 t="str">
        <f>IF(COUNTIF(L$5:L221,L221)=1,MAX(S$5:S221)+1,"")</f>
        <v/>
      </c>
      <c r="T221" s="149">
        <f t="shared" si="3"/>
        <v>0</v>
      </c>
    </row>
    <row r="222" spans="1:20" hidden="1">
      <c r="A222" s="149"/>
      <c r="B222" s="149"/>
      <c r="C222" s="149"/>
      <c r="D222" s="149"/>
      <c r="E222" s="281"/>
      <c r="F222" s="281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 t="str">
        <f>IF(COUNTIF(L$5:L222,L222)=1,MAX(S$5:S222)+1,"")</f>
        <v/>
      </c>
      <c r="T222" s="149">
        <f t="shared" si="3"/>
        <v>0</v>
      </c>
    </row>
    <row r="223" spans="1:20" hidden="1">
      <c r="A223" s="149"/>
      <c r="B223" s="149"/>
      <c r="C223" s="149"/>
      <c r="D223" s="149"/>
      <c r="E223" s="281"/>
      <c r="F223" s="281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 t="str">
        <f>IF(COUNTIF(L$5:L223,L223)=1,MAX(S$5:S223)+1,"")</f>
        <v/>
      </c>
      <c r="T223" s="149">
        <f t="shared" si="3"/>
        <v>0</v>
      </c>
    </row>
    <row r="224" spans="1:20" hidden="1">
      <c r="A224" s="149"/>
      <c r="B224" s="149"/>
      <c r="C224" s="149"/>
      <c r="D224" s="149"/>
      <c r="E224" s="281"/>
      <c r="F224" s="281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 t="str">
        <f>IF(COUNTIF(L$5:L224,L224)=1,MAX(S$5:S224)+1,"")</f>
        <v/>
      </c>
      <c r="T224" s="149">
        <f t="shared" si="3"/>
        <v>0</v>
      </c>
    </row>
    <row r="225" spans="1:20" hidden="1">
      <c r="A225" s="149"/>
      <c r="B225" s="149"/>
      <c r="C225" s="149"/>
      <c r="D225" s="149"/>
      <c r="E225" s="281"/>
      <c r="F225" s="281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 t="str">
        <f>IF(COUNTIF(L$5:L225,L225)=1,MAX(S$5:S225)+1,"")</f>
        <v/>
      </c>
      <c r="T225" s="149">
        <f t="shared" si="3"/>
        <v>0</v>
      </c>
    </row>
    <row r="226" spans="1:20" hidden="1">
      <c r="A226" s="149"/>
      <c r="B226" s="149"/>
      <c r="C226" s="149"/>
      <c r="D226" s="149"/>
      <c r="E226" s="281"/>
      <c r="F226" s="281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 t="str">
        <f>IF(COUNTIF(L$5:L226,L226)=1,MAX(S$5:S226)+1,"")</f>
        <v/>
      </c>
      <c r="T226" s="149">
        <f t="shared" si="3"/>
        <v>0</v>
      </c>
    </row>
    <row r="227" spans="1:20" hidden="1">
      <c r="A227" s="149"/>
      <c r="B227" s="149"/>
      <c r="C227" s="149"/>
      <c r="D227" s="149"/>
      <c r="E227" s="281"/>
      <c r="F227" s="281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 t="str">
        <f>IF(COUNTIF(L$5:L227,L227)=1,MAX(S$5:S227)+1,"")</f>
        <v/>
      </c>
      <c r="T227" s="149">
        <f t="shared" si="3"/>
        <v>0</v>
      </c>
    </row>
    <row r="228" spans="1:20" hidden="1">
      <c r="A228" s="149"/>
      <c r="B228" s="149"/>
      <c r="C228" s="149"/>
      <c r="D228" s="149"/>
      <c r="E228" s="281"/>
      <c r="F228" s="281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 t="str">
        <f>IF(COUNTIF(L$5:L228,L228)=1,MAX(S$5:S228)+1,"")</f>
        <v/>
      </c>
      <c r="T228" s="149">
        <f t="shared" si="3"/>
        <v>0</v>
      </c>
    </row>
    <row r="229" spans="1:20" hidden="1">
      <c r="A229" s="149"/>
      <c r="B229" s="149"/>
      <c r="C229" s="149"/>
      <c r="D229" s="149"/>
      <c r="E229" s="281"/>
      <c r="F229" s="281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 t="str">
        <f>IF(COUNTIF(L$5:L229,L229)=1,MAX(S$5:S229)+1,"")</f>
        <v/>
      </c>
      <c r="T229" s="149">
        <f t="shared" si="3"/>
        <v>0</v>
      </c>
    </row>
    <row r="230" spans="1:20" hidden="1">
      <c r="A230" s="149"/>
      <c r="B230" s="149"/>
      <c r="C230" s="149"/>
      <c r="D230" s="149"/>
      <c r="E230" s="281"/>
      <c r="F230" s="281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 t="str">
        <f>IF(COUNTIF(L$5:L230,L230)=1,MAX(S$5:S230)+1,"")</f>
        <v/>
      </c>
      <c r="T230" s="149">
        <f t="shared" si="3"/>
        <v>0</v>
      </c>
    </row>
    <row r="231" spans="1:20" hidden="1">
      <c r="A231" s="149"/>
      <c r="B231" s="149"/>
      <c r="C231" s="149"/>
      <c r="D231" s="149"/>
      <c r="E231" s="281"/>
      <c r="F231" s="281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 t="str">
        <f>IF(COUNTIF(L$5:L231,L231)=1,MAX(S$5:S231)+1,"")</f>
        <v/>
      </c>
      <c r="T231" s="149">
        <f t="shared" si="3"/>
        <v>0</v>
      </c>
    </row>
    <row r="232" spans="1:20" hidden="1">
      <c r="A232" s="149"/>
      <c r="B232" s="149"/>
      <c r="C232" s="149"/>
      <c r="D232" s="149"/>
      <c r="E232" s="281"/>
      <c r="F232" s="281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 t="str">
        <f>IF(COUNTIF(L$5:L232,L232)=1,MAX(S$5:S232)+1,"")</f>
        <v/>
      </c>
      <c r="T232" s="149">
        <f t="shared" si="3"/>
        <v>0</v>
      </c>
    </row>
    <row r="233" spans="1:20" hidden="1">
      <c r="A233" s="149"/>
      <c r="B233" s="149"/>
      <c r="C233" s="149"/>
      <c r="D233" s="149"/>
      <c r="E233" s="281"/>
      <c r="F233" s="281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 t="str">
        <f>IF(COUNTIF(L$5:L233,L233)=1,MAX(S$5:S233)+1,"")</f>
        <v/>
      </c>
      <c r="T233" s="149">
        <f t="shared" si="3"/>
        <v>0</v>
      </c>
    </row>
    <row r="234" spans="1:20" hidden="1">
      <c r="A234" s="149"/>
      <c r="B234" s="149"/>
      <c r="C234" s="149"/>
      <c r="D234" s="149"/>
      <c r="E234" s="281"/>
      <c r="F234" s="281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 t="str">
        <f>IF(COUNTIF(L$5:L234,L234)=1,MAX(S$5:S234)+1,"")</f>
        <v/>
      </c>
      <c r="T234" s="149">
        <f t="shared" si="3"/>
        <v>0</v>
      </c>
    </row>
    <row r="235" spans="1:20" hidden="1">
      <c r="A235" s="149"/>
      <c r="B235" s="149"/>
      <c r="C235" s="149"/>
      <c r="D235" s="149"/>
      <c r="E235" s="281"/>
      <c r="F235" s="281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 t="str">
        <f>IF(COUNTIF(L$5:L235,L235)=1,MAX(S$5:S235)+1,"")</f>
        <v/>
      </c>
      <c r="T235" s="149">
        <f t="shared" si="3"/>
        <v>0</v>
      </c>
    </row>
    <row r="236" spans="1:20" hidden="1">
      <c r="A236" s="149"/>
      <c r="B236" s="149"/>
      <c r="C236" s="149"/>
      <c r="D236" s="149"/>
      <c r="E236" s="281"/>
      <c r="F236" s="281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 t="str">
        <f>IF(COUNTIF(L$5:L236,L236)=1,MAX(S$5:S236)+1,"")</f>
        <v/>
      </c>
      <c r="T236" s="149">
        <f t="shared" si="3"/>
        <v>0</v>
      </c>
    </row>
    <row r="237" spans="1:20" hidden="1">
      <c r="A237" s="149"/>
      <c r="B237" s="149"/>
      <c r="C237" s="149"/>
      <c r="D237" s="149"/>
      <c r="E237" s="281"/>
      <c r="F237" s="281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 t="str">
        <f>IF(COUNTIF(L$5:L237,L237)=1,MAX(S$5:S237)+1,"")</f>
        <v/>
      </c>
      <c r="T237" s="149">
        <f t="shared" si="3"/>
        <v>0</v>
      </c>
    </row>
    <row r="238" spans="1:20" hidden="1">
      <c r="A238" s="149"/>
      <c r="B238" s="149"/>
      <c r="C238" s="149"/>
      <c r="D238" s="149"/>
      <c r="E238" s="281"/>
      <c r="F238" s="281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 t="str">
        <f>IF(COUNTIF(L$5:L238,L238)=1,MAX(S$5:S238)+1,"")</f>
        <v/>
      </c>
      <c r="T238" s="149">
        <f t="shared" si="3"/>
        <v>0</v>
      </c>
    </row>
    <row r="239" spans="1:20" hidden="1">
      <c r="A239" s="149"/>
      <c r="B239" s="149"/>
      <c r="C239" s="149"/>
      <c r="D239" s="149"/>
      <c r="E239" s="281"/>
      <c r="F239" s="281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 t="str">
        <f>IF(COUNTIF(L$5:L239,L239)=1,MAX(S$5:S239)+1,"")</f>
        <v/>
      </c>
      <c r="T239" s="149">
        <f t="shared" si="3"/>
        <v>0</v>
      </c>
    </row>
    <row r="240" spans="1:20" hidden="1">
      <c r="A240" s="149"/>
      <c r="B240" s="149"/>
      <c r="C240" s="149"/>
      <c r="D240" s="149"/>
      <c r="E240" s="281"/>
      <c r="F240" s="281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 t="str">
        <f>IF(COUNTIF(L$5:L240,L240)=1,MAX(S$5:S240)+1,"")</f>
        <v/>
      </c>
      <c r="T240" s="149">
        <f t="shared" si="3"/>
        <v>0</v>
      </c>
    </row>
    <row r="241" spans="1:20" hidden="1">
      <c r="A241" s="149"/>
      <c r="B241" s="149"/>
      <c r="C241" s="149"/>
      <c r="D241" s="149"/>
      <c r="E241" s="281"/>
      <c r="F241" s="281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 t="str">
        <f>IF(COUNTIF(L$5:L241,L241)=1,MAX(S$5:S241)+1,"")</f>
        <v/>
      </c>
      <c r="T241" s="149">
        <f t="shared" si="3"/>
        <v>0</v>
      </c>
    </row>
    <row r="242" spans="1:20" hidden="1">
      <c r="A242" s="149"/>
      <c r="B242" s="149"/>
      <c r="C242" s="149"/>
      <c r="D242" s="149"/>
      <c r="E242" s="281"/>
      <c r="F242" s="281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 t="str">
        <f>IF(COUNTIF(L$5:L242,L242)=1,MAX(S$5:S242)+1,"")</f>
        <v/>
      </c>
      <c r="T242" s="149">
        <f t="shared" si="3"/>
        <v>0</v>
      </c>
    </row>
    <row r="243" spans="1:20" hidden="1">
      <c r="A243" s="149"/>
      <c r="B243" s="149"/>
      <c r="C243" s="149"/>
      <c r="D243" s="149"/>
      <c r="E243" s="281"/>
      <c r="F243" s="281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 t="str">
        <f>IF(COUNTIF(L$5:L243,L243)=1,MAX(S$5:S243)+1,"")</f>
        <v/>
      </c>
      <c r="T243" s="149">
        <f t="shared" si="3"/>
        <v>0</v>
      </c>
    </row>
    <row r="244" spans="1:20" hidden="1">
      <c r="A244" s="149"/>
      <c r="B244" s="149"/>
      <c r="C244" s="149"/>
      <c r="D244" s="149"/>
      <c r="E244" s="281"/>
      <c r="F244" s="281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 t="str">
        <f>IF(COUNTIF(L$5:L244,L244)=1,MAX(S$5:S244)+1,"")</f>
        <v/>
      </c>
      <c r="T244" s="149">
        <f t="shared" si="3"/>
        <v>0</v>
      </c>
    </row>
    <row r="245" spans="1:20" hidden="1">
      <c r="A245" s="149"/>
      <c r="B245" s="149"/>
      <c r="C245" s="149"/>
      <c r="D245" s="149"/>
      <c r="E245" s="281"/>
      <c r="F245" s="281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 t="str">
        <f>IF(COUNTIF(L$5:L245,L245)=1,MAX(S$5:S245)+1,"")</f>
        <v/>
      </c>
      <c r="T245" s="149">
        <f t="shared" si="3"/>
        <v>0</v>
      </c>
    </row>
    <row r="246" spans="1:20" hidden="1">
      <c r="A246" s="149"/>
      <c r="B246" s="149"/>
      <c r="C246" s="149"/>
      <c r="D246" s="149"/>
      <c r="E246" s="281"/>
      <c r="F246" s="281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 t="str">
        <f>IF(COUNTIF(L$5:L246,L246)=1,MAX(S$5:S246)+1,"")</f>
        <v/>
      </c>
      <c r="T246" s="149">
        <f t="shared" si="3"/>
        <v>0</v>
      </c>
    </row>
    <row r="247" spans="1:20" hidden="1">
      <c r="A247" s="149"/>
      <c r="B247" s="149"/>
      <c r="C247" s="149"/>
      <c r="D247" s="149"/>
      <c r="E247" s="281"/>
      <c r="F247" s="281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 t="str">
        <f>IF(COUNTIF(L$5:L247,L247)=1,MAX(S$5:S247)+1,"")</f>
        <v/>
      </c>
      <c r="T247" s="149">
        <f t="shared" si="3"/>
        <v>0</v>
      </c>
    </row>
    <row r="248" spans="1:20" hidden="1">
      <c r="A248" s="149"/>
      <c r="B248" s="149"/>
      <c r="C248" s="149"/>
      <c r="D248" s="149"/>
      <c r="E248" s="281"/>
      <c r="F248" s="281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 t="str">
        <f>IF(COUNTIF(L$5:L248,L248)=1,MAX(S$5:S248)+1,"")</f>
        <v/>
      </c>
      <c r="T248" s="149">
        <f t="shared" si="3"/>
        <v>0</v>
      </c>
    </row>
    <row r="249" spans="1:20" hidden="1">
      <c r="A249" s="149"/>
      <c r="B249" s="149"/>
      <c r="C249" s="149"/>
      <c r="D249" s="149"/>
      <c r="E249" s="281"/>
      <c r="F249" s="281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 t="str">
        <f>IF(COUNTIF(L$5:L249,L249)=1,MAX(S$5:S249)+1,"")</f>
        <v/>
      </c>
      <c r="T249" s="149">
        <f t="shared" si="3"/>
        <v>0</v>
      </c>
    </row>
    <row r="250" spans="1:20" hidden="1">
      <c r="A250" s="149"/>
      <c r="B250" s="149"/>
      <c r="C250" s="149"/>
      <c r="D250" s="149"/>
      <c r="E250" s="281"/>
      <c r="F250" s="281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 t="str">
        <f>IF(COUNTIF(L$5:L250,L250)=1,MAX(S$5:S250)+1,"")</f>
        <v/>
      </c>
      <c r="T250" s="149">
        <f t="shared" si="3"/>
        <v>0</v>
      </c>
    </row>
    <row r="251" spans="1:20" hidden="1">
      <c r="A251" s="149"/>
      <c r="B251" s="149"/>
      <c r="C251" s="149"/>
      <c r="D251" s="149"/>
      <c r="E251" s="281"/>
      <c r="F251" s="281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 t="str">
        <f>IF(COUNTIF(L$5:L251,L251)=1,MAX(S$5:S251)+1,"")</f>
        <v/>
      </c>
      <c r="T251" s="149">
        <f t="shared" si="3"/>
        <v>0</v>
      </c>
    </row>
    <row r="252" spans="1:20" hidden="1">
      <c r="A252" s="149"/>
      <c r="B252" s="149"/>
      <c r="C252" s="149"/>
      <c r="D252" s="149"/>
      <c r="E252" s="281"/>
      <c r="F252" s="281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 t="str">
        <f>IF(COUNTIF(L$5:L252,L252)=1,MAX(S$5:S252)+1,"")</f>
        <v/>
      </c>
      <c r="T252" s="149">
        <f t="shared" si="3"/>
        <v>0</v>
      </c>
    </row>
    <row r="253" spans="1:20" hidden="1">
      <c r="A253" s="149"/>
      <c r="B253" s="149"/>
      <c r="C253" s="149"/>
      <c r="D253" s="149"/>
      <c r="E253" s="281"/>
      <c r="F253" s="281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 t="str">
        <f>IF(COUNTIF(L$5:L253,L253)=1,MAX(S$5:S253)+1,"")</f>
        <v/>
      </c>
      <c r="T253" s="149">
        <f t="shared" si="3"/>
        <v>0</v>
      </c>
    </row>
    <row r="254" spans="1:20" hidden="1">
      <c r="A254" s="149"/>
      <c r="B254" s="149"/>
      <c r="C254" s="149"/>
      <c r="D254" s="149"/>
      <c r="E254" s="281"/>
      <c r="F254" s="281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 t="str">
        <f>IF(COUNTIF(L$5:L254,L254)=1,MAX(S$5:S254)+1,"")</f>
        <v/>
      </c>
      <c r="T254" s="149">
        <f t="shared" si="3"/>
        <v>0</v>
      </c>
    </row>
    <row r="255" spans="1:20" hidden="1">
      <c r="A255" s="149"/>
      <c r="B255" s="149"/>
      <c r="C255" s="149"/>
      <c r="D255" s="149"/>
      <c r="E255" s="281"/>
      <c r="F255" s="281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 t="str">
        <f>IF(COUNTIF(L$5:L255,L255)=1,MAX(S$5:S255)+1,"")</f>
        <v/>
      </c>
      <c r="T255" s="149">
        <f t="shared" si="3"/>
        <v>0</v>
      </c>
    </row>
    <row r="256" spans="1:20" hidden="1">
      <c r="A256" s="149"/>
      <c r="B256" s="149"/>
      <c r="C256" s="149"/>
      <c r="D256" s="149"/>
      <c r="E256" s="281"/>
      <c r="F256" s="281"/>
      <c r="G256" s="149"/>
      <c r="H256" s="149"/>
      <c r="I256" s="149"/>
      <c r="J256" s="149"/>
      <c r="K256" s="149"/>
      <c r="L256" s="149"/>
      <c r="M256" s="149"/>
      <c r="N256" s="149"/>
      <c r="O256" s="149"/>
      <c r="P256" s="149"/>
      <c r="Q256" s="149"/>
      <c r="R256" s="149"/>
      <c r="S256" s="149" t="str">
        <f>IF(COUNTIF(L$5:L256,L256)=1,MAX(S$5:S256)+1,"")</f>
        <v/>
      </c>
      <c r="T256" s="149">
        <f t="shared" si="3"/>
        <v>0</v>
      </c>
    </row>
    <row r="257" spans="1:20" hidden="1">
      <c r="A257" s="149"/>
      <c r="B257" s="149"/>
      <c r="C257" s="149"/>
      <c r="D257" s="149"/>
      <c r="E257" s="281"/>
      <c r="F257" s="281"/>
      <c r="G257" s="149"/>
      <c r="H257" s="149"/>
      <c r="I257" s="149"/>
      <c r="J257" s="149"/>
      <c r="K257" s="149"/>
      <c r="L257" s="149"/>
      <c r="M257" s="149"/>
      <c r="N257" s="149"/>
      <c r="O257" s="149"/>
      <c r="P257" s="149"/>
      <c r="Q257" s="149"/>
      <c r="R257" s="149"/>
      <c r="S257" s="149" t="str">
        <f>IF(COUNTIF(L$5:L257,L257)=1,MAX(S$5:S257)+1,"")</f>
        <v/>
      </c>
      <c r="T257" s="149">
        <f t="shared" si="3"/>
        <v>0</v>
      </c>
    </row>
    <row r="258" spans="1:20" hidden="1">
      <c r="A258" s="149"/>
      <c r="B258" s="149"/>
      <c r="C258" s="149"/>
      <c r="D258" s="149"/>
      <c r="E258" s="281"/>
      <c r="F258" s="281"/>
      <c r="G258" s="149"/>
      <c r="H258" s="149"/>
      <c r="I258" s="149"/>
      <c r="J258" s="149"/>
      <c r="K258" s="149"/>
      <c r="L258" s="149"/>
      <c r="M258" s="149"/>
      <c r="N258" s="149"/>
      <c r="O258" s="149"/>
      <c r="P258" s="149"/>
      <c r="Q258" s="149"/>
      <c r="R258" s="149"/>
      <c r="S258" s="149" t="str">
        <f>IF(COUNTIF(L$5:L258,L258)=1,MAX(S$5:S258)+1,"")</f>
        <v/>
      </c>
      <c r="T258" s="149">
        <f t="shared" si="3"/>
        <v>0</v>
      </c>
    </row>
    <row r="259" spans="1:20" hidden="1">
      <c r="A259" s="149"/>
      <c r="B259" s="149"/>
      <c r="C259" s="149"/>
      <c r="D259" s="149"/>
      <c r="E259" s="281"/>
      <c r="F259" s="281"/>
      <c r="G259" s="149"/>
      <c r="H259" s="149"/>
      <c r="I259" s="149"/>
      <c r="J259" s="149"/>
      <c r="K259" s="149"/>
      <c r="L259" s="149"/>
      <c r="M259" s="149"/>
      <c r="N259" s="149"/>
      <c r="O259" s="149"/>
      <c r="P259" s="149"/>
      <c r="Q259" s="149"/>
      <c r="R259" s="149"/>
      <c r="S259" s="149" t="str">
        <f>IF(COUNTIF(L$5:L259,L259)=1,MAX(S$5:S259)+1,"")</f>
        <v/>
      </c>
      <c r="T259" s="149">
        <f t="shared" si="3"/>
        <v>0</v>
      </c>
    </row>
    <row r="260" spans="1:20" hidden="1">
      <c r="A260" s="149"/>
      <c r="B260" s="149"/>
      <c r="C260" s="149"/>
      <c r="D260" s="149"/>
      <c r="E260" s="281"/>
      <c r="F260" s="281"/>
      <c r="G260" s="149"/>
      <c r="H260" s="149"/>
      <c r="I260" s="149"/>
      <c r="J260" s="149"/>
      <c r="K260" s="149"/>
      <c r="L260" s="149"/>
      <c r="M260" s="149"/>
      <c r="N260" s="149"/>
      <c r="O260" s="149"/>
      <c r="P260" s="149"/>
      <c r="Q260" s="149"/>
      <c r="R260" s="149"/>
      <c r="S260" s="149" t="str">
        <f>IF(COUNTIF(L$5:L260,L260)=1,MAX(S$5:S260)+1,"")</f>
        <v/>
      </c>
      <c r="T260" s="149">
        <f t="shared" si="3"/>
        <v>0</v>
      </c>
    </row>
    <row r="261" spans="1:20" hidden="1">
      <c r="A261" s="149"/>
      <c r="B261" s="149"/>
      <c r="C261" s="149"/>
      <c r="D261" s="149"/>
      <c r="E261" s="281"/>
      <c r="F261" s="281"/>
      <c r="G261" s="149"/>
      <c r="H261" s="149"/>
      <c r="I261" s="149"/>
      <c r="J261" s="149"/>
      <c r="K261" s="149"/>
      <c r="L261" s="149"/>
      <c r="M261" s="149"/>
      <c r="N261" s="149"/>
      <c r="O261" s="149"/>
      <c r="P261" s="149"/>
      <c r="Q261" s="149"/>
      <c r="R261" s="149"/>
      <c r="S261" s="149" t="str">
        <f>IF(COUNTIF(L$5:L261,L261)=1,MAX(S$5:S261)+1,"")</f>
        <v/>
      </c>
      <c r="T261" s="149">
        <f t="shared" ref="T261:T324" si="4">L261:L468</f>
        <v>0</v>
      </c>
    </row>
    <row r="262" spans="1:20" hidden="1">
      <c r="A262" s="149"/>
      <c r="B262" s="149"/>
      <c r="C262" s="149"/>
      <c r="D262" s="149"/>
      <c r="E262" s="281"/>
      <c r="F262" s="281"/>
      <c r="G262" s="149"/>
      <c r="H262" s="149"/>
      <c r="I262" s="149"/>
      <c r="J262" s="149"/>
      <c r="K262" s="149"/>
      <c r="L262" s="149"/>
      <c r="M262" s="149"/>
      <c r="N262" s="149"/>
      <c r="O262" s="149"/>
      <c r="P262" s="149"/>
      <c r="Q262" s="149"/>
      <c r="R262" s="149"/>
      <c r="S262" s="149" t="str">
        <f>IF(COUNTIF(L$5:L262,L262)=1,MAX(S$5:S262)+1,"")</f>
        <v/>
      </c>
      <c r="T262" s="149">
        <f t="shared" si="4"/>
        <v>0</v>
      </c>
    </row>
    <row r="263" spans="1:20" hidden="1">
      <c r="A263" s="149"/>
      <c r="B263" s="149"/>
      <c r="C263" s="149"/>
      <c r="D263" s="149"/>
      <c r="E263" s="281"/>
      <c r="F263" s="281"/>
      <c r="G263" s="149"/>
      <c r="H263" s="149"/>
      <c r="I263" s="149"/>
      <c r="J263" s="149"/>
      <c r="K263" s="149"/>
      <c r="L263" s="149"/>
      <c r="M263" s="149"/>
      <c r="N263" s="149"/>
      <c r="O263" s="149"/>
      <c r="P263" s="149"/>
      <c r="Q263" s="149"/>
      <c r="R263" s="149"/>
      <c r="S263" s="149" t="str">
        <f>IF(COUNTIF(L$5:L263,L263)=1,MAX(S$5:S263)+1,"")</f>
        <v/>
      </c>
      <c r="T263" s="149">
        <f t="shared" si="4"/>
        <v>0</v>
      </c>
    </row>
    <row r="264" spans="1:20" hidden="1">
      <c r="A264" s="149"/>
      <c r="B264" s="149"/>
      <c r="C264" s="149"/>
      <c r="D264" s="149"/>
      <c r="E264" s="281"/>
      <c r="F264" s="281"/>
      <c r="G264" s="149"/>
      <c r="H264" s="149"/>
      <c r="I264" s="149"/>
      <c r="J264" s="149"/>
      <c r="K264" s="149"/>
      <c r="L264" s="149"/>
      <c r="M264" s="149"/>
      <c r="N264" s="149"/>
      <c r="O264" s="149"/>
      <c r="P264" s="149"/>
      <c r="Q264" s="149"/>
      <c r="R264" s="149"/>
      <c r="S264" s="149" t="str">
        <f>IF(COUNTIF(L$5:L264,L264)=1,MAX(S$5:S264)+1,"")</f>
        <v/>
      </c>
      <c r="T264" s="149">
        <f t="shared" si="4"/>
        <v>0</v>
      </c>
    </row>
    <row r="265" spans="1:20" hidden="1">
      <c r="A265" s="149"/>
      <c r="B265" s="149"/>
      <c r="C265" s="149"/>
      <c r="D265" s="149"/>
      <c r="E265" s="281"/>
      <c r="F265" s="281"/>
      <c r="G265" s="149"/>
      <c r="H265" s="149"/>
      <c r="I265" s="149"/>
      <c r="J265" s="149"/>
      <c r="K265" s="149"/>
      <c r="L265" s="149"/>
      <c r="M265" s="149"/>
      <c r="N265" s="149"/>
      <c r="O265" s="149"/>
      <c r="P265" s="149"/>
      <c r="Q265" s="149"/>
      <c r="R265" s="149"/>
      <c r="S265" s="149" t="str">
        <f>IF(COUNTIF(L$5:L265,L265)=1,MAX(S$5:S265)+1,"")</f>
        <v/>
      </c>
      <c r="T265" s="149">
        <f t="shared" si="4"/>
        <v>0</v>
      </c>
    </row>
    <row r="266" spans="1:20" hidden="1">
      <c r="A266" s="149"/>
      <c r="B266" s="149"/>
      <c r="C266" s="149"/>
      <c r="D266" s="149"/>
      <c r="E266" s="281"/>
      <c r="F266" s="281"/>
      <c r="G266" s="149"/>
      <c r="H266" s="149"/>
      <c r="I266" s="149"/>
      <c r="J266" s="149"/>
      <c r="K266" s="149"/>
      <c r="L266" s="149"/>
      <c r="M266" s="149"/>
      <c r="N266" s="149"/>
      <c r="O266" s="149"/>
      <c r="P266" s="149"/>
      <c r="Q266" s="149"/>
      <c r="R266" s="149"/>
      <c r="S266" s="149" t="str">
        <f>IF(COUNTIF(L$5:L266,L266)=1,MAX(S$5:S266)+1,"")</f>
        <v/>
      </c>
      <c r="T266" s="149">
        <f t="shared" si="4"/>
        <v>0</v>
      </c>
    </row>
    <row r="267" spans="1:20" hidden="1">
      <c r="A267" s="149"/>
      <c r="B267" s="149"/>
      <c r="C267" s="149"/>
      <c r="D267" s="149"/>
      <c r="E267" s="281"/>
      <c r="F267" s="281"/>
      <c r="G267" s="149"/>
      <c r="H267" s="149"/>
      <c r="I267" s="149"/>
      <c r="J267" s="149"/>
      <c r="K267" s="149"/>
      <c r="L267" s="149"/>
      <c r="M267" s="149"/>
      <c r="N267" s="149"/>
      <c r="O267" s="149"/>
      <c r="P267" s="149"/>
      <c r="Q267" s="149"/>
      <c r="R267" s="149"/>
      <c r="S267" s="149" t="str">
        <f>IF(COUNTIF(L$5:L267,L267)=1,MAX(S$5:S267)+1,"")</f>
        <v/>
      </c>
      <c r="T267" s="149">
        <f t="shared" si="4"/>
        <v>0</v>
      </c>
    </row>
    <row r="268" spans="1:20" hidden="1">
      <c r="A268" s="149"/>
      <c r="B268" s="149"/>
      <c r="C268" s="149"/>
      <c r="D268" s="149"/>
      <c r="E268" s="281"/>
      <c r="F268" s="281"/>
      <c r="G268" s="149"/>
      <c r="H268" s="149"/>
      <c r="I268" s="149"/>
      <c r="J268" s="149"/>
      <c r="K268" s="149"/>
      <c r="L268" s="149"/>
      <c r="M268" s="149"/>
      <c r="N268" s="149"/>
      <c r="O268" s="149"/>
      <c r="P268" s="149"/>
      <c r="Q268" s="149"/>
      <c r="R268" s="149"/>
      <c r="S268" s="149" t="str">
        <f>IF(COUNTIF(L$5:L268,L268)=1,MAX(S$5:S268)+1,"")</f>
        <v/>
      </c>
      <c r="T268" s="149">
        <f t="shared" si="4"/>
        <v>0</v>
      </c>
    </row>
    <row r="269" spans="1:20" hidden="1">
      <c r="A269" s="149"/>
      <c r="B269" s="149"/>
      <c r="C269" s="149"/>
      <c r="D269" s="149"/>
      <c r="E269" s="281"/>
      <c r="F269" s="281"/>
      <c r="G269" s="149"/>
      <c r="H269" s="149"/>
      <c r="I269" s="149"/>
      <c r="J269" s="149"/>
      <c r="K269" s="149"/>
      <c r="L269" s="149"/>
      <c r="M269" s="149"/>
      <c r="N269" s="149"/>
      <c r="O269" s="149"/>
      <c r="P269" s="149"/>
      <c r="Q269" s="149"/>
      <c r="R269" s="149"/>
      <c r="S269" s="149" t="str">
        <f>IF(COUNTIF(L$5:L269,L269)=1,MAX(S$5:S269)+1,"")</f>
        <v/>
      </c>
      <c r="T269" s="149">
        <f t="shared" si="4"/>
        <v>0</v>
      </c>
    </row>
    <row r="270" spans="1:20" hidden="1">
      <c r="A270" s="149"/>
      <c r="B270" s="149"/>
      <c r="C270" s="149"/>
      <c r="D270" s="149"/>
      <c r="E270" s="281"/>
      <c r="F270" s="281"/>
      <c r="G270" s="149"/>
      <c r="H270" s="149"/>
      <c r="I270" s="149"/>
      <c r="J270" s="149"/>
      <c r="K270" s="149"/>
      <c r="L270" s="149"/>
      <c r="M270" s="149"/>
      <c r="N270" s="149"/>
      <c r="O270" s="149"/>
      <c r="P270" s="149"/>
      <c r="Q270" s="149"/>
      <c r="R270" s="149"/>
      <c r="S270" s="149" t="str">
        <f>IF(COUNTIF(L$5:L270,L270)=1,MAX(S$5:S270)+1,"")</f>
        <v/>
      </c>
      <c r="T270" s="149">
        <f t="shared" si="4"/>
        <v>0</v>
      </c>
    </row>
    <row r="271" spans="1:20" hidden="1">
      <c r="A271" s="149"/>
      <c r="B271" s="149"/>
      <c r="C271" s="149"/>
      <c r="D271" s="149"/>
      <c r="E271" s="281"/>
      <c r="F271" s="281"/>
      <c r="G271" s="149"/>
      <c r="H271" s="149"/>
      <c r="I271" s="149"/>
      <c r="J271" s="149"/>
      <c r="K271" s="149"/>
      <c r="L271" s="149"/>
      <c r="M271" s="149"/>
      <c r="N271" s="149"/>
      <c r="O271" s="149"/>
      <c r="P271" s="149"/>
      <c r="Q271" s="149"/>
      <c r="R271" s="149"/>
      <c r="S271" s="149" t="str">
        <f>IF(COUNTIF(L$5:L271,L271)=1,MAX(S$5:S271)+1,"")</f>
        <v/>
      </c>
      <c r="T271" s="149">
        <f t="shared" si="4"/>
        <v>0</v>
      </c>
    </row>
    <row r="272" spans="1:20" hidden="1">
      <c r="A272" s="149"/>
      <c r="B272" s="149"/>
      <c r="C272" s="149"/>
      <c r="D272" s="149"/>
      <c r="E272" s="281"/>
      <c r="F272" s="281"/>
      <c r="G272" s="149"/>
      <c r="H272" s="149"/>
      <c r="I272" s="149"/>
      <c r="J272" s="149"/>
      <c r="K272" s="149"/>
      <c r="L272" s="149"/>
      <c r="M272" s="149"/>
      <c r="N272" s="149"/>
      <c r="O272" s="149"/>
      <c r="P272" s="149"/>
      <c r="Q272" s="149"/>
      <c r="R272" s="149"/>
      <c r="S272" s="149" t="str">
        <f>IF(COUNTIF(L$5:L272,L272)=1,MAX(S$5:S272)+1,"")</f>
        <v/>
      </c>
      <c r="T272" s="149">
        <f t="shared" si="4"/>
        <v>0</v>
      </c>
    </row>
    <row r="273" spans="1:20" hidden="1">
      <c r="A273" s="149"/>
      <c r="B273" s="149"/>
      <c r="C273" s="149"/>
      <c r="D273" s="149"/>
      <c r="E273" s="281"/>
      <c r="F273" s="281"/>
      <c r="G273" s="149"/>
      <c r="H273" s="149"/>
      <c r="I273" s="149"/>
      <c r="J273" s="149"/>
      <c r="K273" s="149"/>
      <c r="L273" s="149"/>
      <c r="M273" s="149"/>
      <c r="N273" s="149"/>
      <c r="O273" s="149"/>
      <c r="P273" s="149"/>
      <c r="Q273" s="149"/>
      <c r="R273" s="149"/>
      <c r="S273" s="149" t="str">
        <f>IF(COUNTIF(L$5:L273,L273)=1,MAX(S$5:S273)+1,"")</f>
        <v/>
      </c>
      <c r="T273" s="149">
        <f t="shared" si="4"/>
        <v>0</v>
      </c>
    </row>
    <row r="274" spans="1:20" hidden="1">
      <c r="A274" s="149"/>
      <c r="B274" s="149"/>
      <c r="C274" s="149"/>
      <c r="D274" s="149"/>
      <c r="E274" s="281"/>
      <c r="F274" s="281"/>
      <c r="G274" s="149"/>
      <c r="H274" s="149"/>
      <c r="I274" s="149"/>
      <c r="J274" s="149"/>
      <c r="K274" s="149"/>
      <c r="L274" s="149"/>
      <c r="M274" s="149"/>
      <c r="N274" s="149"/>
      <c r="O274" s="149"/>
      <c r="P274" s="149"/>
      <c r="Q274" s="149"/>
      <c r="R274" s="149"/>
      <c r="S274" s="149" t="str">
        <f>IF(COUNTIF(L$5:L274,L274)=1,MAX(S$5:S274)+1,"")</f>
        <v/>
      </c>
      <c r="T274" s="149">
        <f t="shared" si="4"/>
        <v>0</v>
      </c>
    </row>
    <row r="275" spans="1:20" hidden="1">
      <c r="A275" s="149"/>
      <c r="B275" s="149"/>
      <c r="C275" s="149"/>
      <c r="D275" s="149"/>
      <c r="E275" s="281"/>
      <c r="F275" s="281"/>
      <c r="G275" s="149"/>
      <c r="H275" s="149"/>
      <c r="I275" s="149"/>
      <c r="J275" s="149"/>
      <c r="K275" s="149"/>
      <c r="L275" s="149"/>
      <c r="M275" s="149"/>
      <c r="N275" s="149"/>
      <c r="O275" s="149"/>
      <c r="P275" s="149"/>
      <c r="Q275" s="149"/>
      <c r="R275" s="149"/>
      <c r="S275" s="149" t="str">
        <f>IF(COUNTIF(L$5:L275,L275)=1,MAX(S$5:S275)+1,"")</f>
        <v/>
      </c>
      <c r="T275" s="149">
        <f t="shared" si="4"/>
        <v>0</v>
      </c>
    </row>
    <row r="276" spans="1:20" hidden="1">
      <c r="A276" s="149"/>
      <c r="B276" s="149"/>
      <c r="C276" s="149"/>
      <c r="D276" s="149"/>
      <c r="E276" s="281"/>
      <c r="F276" s="281"/>
      <c r="G276" s="149"/>
      <c r="H276" s="149"/>
      <c r="I276" s="149"/>
      <c r="J276" s="149"/>
      <c r="K276" s="149"/>
      <c r="L276" s="149"/>
      <c r="M276" s="149"/>
      <c r="N276" s="149"/>
      <c r="O276" s="149"/>
      <c r="P276" s="149"/>
      <c r="Q276" s="149"/>
      <c r="R276" s="149"/>
      <c r="S276" s="149" t="str">
        <f>IF(COUNTIF(L$5:L276,L276)=1,MAX(S$5:S276)+1,"")</f>
        <v/>
      </c>
      <c r="T276" s="149">
        <f t="shared" si="4"/>
        <v>0</v>
      </c>
    </row>
    <row r="277" spans="1:20" hidden="1">
      <c r="A277" s="149"/>
      <c r="B277" s="149"/>
      <c r="C277" s="149"/>
      <c r="D277" s="149"/>
      <c r="E277" s="281"/>
      <c r="F277" s="281"/>
      <c r="G277" s="149"/>
      <c r="H277" s="149"/>
      <c r="I277" s="149"/>
      <c r="J277" s="149"/>
      <c r="K277" s="149"/>
      <c r="L277" s="149"/>
      <c r="M277" s="149"/>
      <c r="N277" s="149"/>
      <c r="O277" s="149"/>
      <c r="P277" s="149"/>
      <c r="Q277" s="149"/>
      <c r="R277" s="149"/>
      <c r="S277" s="149" t="str">
        <f>IF(COUNTIF(L$5:L277,L277)=1,MAX(S$5:S277)+1,"")</f>
        <v/>
      </c>
      <c r="T277" s="149">
        <f t="shared" si="4"/>
        <v>0</v>
      </c>
    </row>
    <row r="278" spans="1:20" hidden="1">
      <c r="A278" s="149"/>
      <c r="B278" s="149"/>
      <c r="C278" s="149"/>
      <c r="D278" s="149"/>
      <c r="E278" s="281"/>
      <c r="F278" s="281"/>
      <c r="G278" s="149"/>
      <c r="H278" s="149"/>
      <c r="I278" s="149"/>
      <c r="J278" s="149"/>
      <c r="K278" s="149"/>
      <c r="L278" s="149"/>
      <c r="M278" s="149"/>
      <c r="N278" s="149"/>
      <c r="O278" s="149"/>
      <c r="P278" s="149"/>
      <c r="Q278" s="149"/>
      <c r="R278" s="149"/>
      <c r="S278" s="149" t="str">
        <f>IF(COUNTIF(L$5:L278,L278)=1,MAX(S$5:S278)+1,"")</f>
        <v/>
      </c>
      <c r="T278" s="149">
        <f t="shared" si="4"/>
        <v>0</v>
      </c>
    </row>
    <row r="279" spans="1:20" hidden="1">
      <c r="A279" s="149"/>
      <c r="B279" s="149"/>
      <c r="C279" s="149"/>
      <c r="D279" s="149"/>
      <c r="E279" s="281"/>
      <c r="F279" s="281"/>
      <c r="G279" s="149"/>
      <c r="H279" s="149"/>
      <c r="I279" s="149"/>
      <c r="J279" s="149"/>
      <c r="K279" s="149"/>
      <c r="L279" s="149"/>
      <c r="M279" s="149"/>
      <c r="N279" s="149"/>
      <c r="O279" s="149"/>
      <c r="P279" s="149"/>
      <c r="Q279" s="149"/>
      <c r="R279" s="149"/>
      <c r="S279" s="149" t="str">
        <f>IF(COUNTIF(L$5:L279,L279)=1,MAX(S$5:S279)+1,"")</f>
        <v/>
      </c>
      <c r="T279" s="149">
        <f t="shared" si="4"/>
        <v>0</v>
      </c>
    </row>
    <row r="280" spans="1:20" hidden="1">
      <c r="A280" s="149"/>
      <c r="B280" s="149"/>
      <c r="C280" s="149"/>
      <c r="D280" s="149"/>
      <c r="E280" s="281"/>
      <c r="F280" s="281"/>
      <c r="G280" s="149"/>
      <c r="H280" s="149"/>
      <c r="I280" s="149"/>
      <c r="J280" s="149"/>
      <c r="K280" s="149"/>
      <c r="L280" s="149"/>
      <c r="M280" s="149"/>
      <c r="N280" s="149"/>
      <c r="O280" s="149"/>
      <c r="P280" s="149"/>
      <c r="Q280" s="149"/>
      <c r="R280" s="149"/>
      <c r="S280" s="149" t="str">
        <f>IF(COUNTIF(L$5:L280,L280)=1,MAX(S$5:S280)+1,"")</f>
        <v/>
      </c>
      <c r="T280" s="149">
        <f t="shared" si="4"/>
        <v>0</v>
      </c>
    </row>
    <row r="281" spans="1:20" hidden="1">
      <c r="A281" s="149"/>
      <c r="B281" s="149"/>
      <c r="C281" s="149"/>
      <c r="D281" s="149"/>
      <c r="E281" s="281"/>
      <c r="F281" s="281"/>
      <c r="G281" s="149"/>
      <c r="H281" s="149"/>
      <c r="I281" s="149"/>
      <c r="J281" s="149"/>
      <c r="K281" s="149"/>
      <c r="L281" s="149"/>
      <c r="M281" s="149"/>
      <c r="N281" s="149"/>
      <c r="O281" s="149"/>
      <c r="P281" s="149"/>
      <c r="Q281" s="149"/>
      <c r="R281" s="149"/>
      <c r="S281" s="149" t="str">
        <f>IF(COUNTIF(L$5:L281,L281)=1,MAX(S$5:S281)+1,"")</f>
        <v/>
      </c>
      <c r="T281" s="149">
        <f t="shared" si="4"/>
        <v>0</v>
      </c>
    </row>
    <row r="282" spans="1:20" hidden="1">
      <c r="A282" s="149"/>
      <c r="B282" s="149"/>
      <c r="C282" s="149"/>
      <c r="D282" s="149"/>
      <c r="E282" s="281"/>
      <c r="F282" s="281"/>
      <c r="G282" s="149"/>
      <c r="H282" s="149"/>
      <c r="I282" s="149"/>
      <c r="J282" s="149"/>
      <c r="K282" s="149"/>
      <c r="L282" s="149"/>
      <c r="M282" s="149"/>
      <c r="N282" s="149"/>
      <c r="O282" s="149"/>
      <c r="P282" s="149"/>
      <c r="Q282" s="149"/>
      <c r="R282" s="149"/>
      <c r="S282" s="149" t="str">
        <f>IF(COUNTIF(L$5:L282,L282)=1,MAX(S$5:S282)+1,"")</f>
        <v/>
      </c>
      <c r="T282" s="149">
        <f t="shared" si="4"/>
        <v>0</v>
      </c>
    </row>
    <row r="283" spans="1:20" hidden="1">
      <c r="A283" s="149"/>
      <c r="B283" s="149"/>
      <c r="C283" s="149"/>
      <c r="D283" s="149"/>
      <c r="E283" s="281"/>
      <c r="F283" s="281"/>
      <c r="G283" s="149"/>
      <c r="H283" s="149"/>
      <c r="I283" s="149"/>
      <c r="J283" s="149"/>
      <c r="K283" s="149"/>
      <c r="L283" s="149"/>
      <c r="M283" s="149"/>
      <c r="N283" s="149"/>
      <c r="O283" s="149"/>
      <c r="P283" s="149"/>
      <c r="Q283" s="149"/>
      <c r="R283" s="149"/>
      <c r="S283" s="149" t="str">
        <f>IF(COUNTIF(L$5:L283,L283)=1,MAX(S$5:S283)+1,"")</f>
        <v/>
      </c>
      <c r="T283" s="149">
        <f t="shared" si="4"/>
        <v>0</v>
      </c>
    </row>
    <row r="284" spans="1:20" hidden="1">
      <c r="A284" s="149"/>
      <c r="B284" s="149"/>
      <c r="C284" s="149"/>
      <c r="D284" s="149"/>
      <c r="E284" s="281"/>
      <c r="F284" s="281"/>
      <c r="G284" s="149"/>
      <c r="H284" s="149"/>
      <c r="I284" s="149"/>
      <c r="J284" s="149"/>
      <c r="K284" s="149"/>
      <c r="L284" s="149"/>
      <c r="M284" s="149"/>
      <c r="N284" s="149"/>
      <c r="O284" s="149"/>
      <c r="P284" s="149"/>
      <c r="Q284" s="149"/>
      <c r="R284" s="149"/>
      <c r="S284" s="149" t="str">
        <f>IF(COUNTIF(L$5:L284,L284)=1,MAX(S$5:S284)+1,"")</f>
        <v/>
      </c>
      <c r="T284" s="149">
        <f t="shared" si="4"/>
        <v>0</v>
      </c>
    </row>
    <row r="285" spans="1:20" hidden="1">
      <c r="A285" s="149"/>
      <c r="B285" s="149"/>
      <c r="C285" s="149"/>
      <c r="D285" s="149"/>
      <c r="E285" s="281"/>
      <c r="F285" s="281"/>
      <c r="G285" s="149"/>
      <c r="H285" s="149"/>
      <c r="I285" s="149"/>
      <c r="J285" s="149"/>
      <c r="K285" s="149"/>
      <c r="L285" s="149"/>
      <c r="M285" s="149"/>
      <c r="N285" s="149"/>
      <c r="O285" s="149"/>
      <c r="P285" s="149"/>
      <c r="Q285" s="149"/>
      <c r="R285" s="149"/>
      <c r="S285" s="149" t="str">
        <f>IF(COUNTIF(L$5:L285,L285)=1,MAX(S$5:S285)+1,"")</f>
        <v/>
      </c>
      <c r="T285" s="149">
        <f t="shared" si="4"/>
        <v>0</v>
      </c>
    </row>
    <row r="286" spans="1:20" hidden="1">
      <c r="A286" s="149"/>
      <c r="B286" s="149"/>
      <c r="C286" s="149"/>
      <c r="D286" s="149"/>
      <c r="E286" s="281"/>
      <c r="F286" s="281"/>
      <c r="G286" s="149"/>
      <c r="H286" s="149"/>
      <c r="I286" s="149"/>
      <c r="J286" s="149"/>
      <c r="K286" s="149"/>
      <c r="L286" s="149"/>
      <c r="M286" s="149"/>
      <c r="N286" s="149"/>
      <c r="O286" s="149"/>
      <c r="P286" s="149"/>
      <c r="Q286" s="149"/>
      <c r="R286" s="149"/>
      <c r="S286" s="149" t="str">
        <f>IF(COUNTIF(L$5:L286,L286)=1,MAX(S$5:S286)+1,"")</f>
        <v/>
      </c>
      <c r="T286" s="149">
        <f t="shared" si="4"/>
        <v>0</v>
      </c>
    </row>
    <row r="287" spans="1:20" hidden="1">
      <c r="A287" s="149"/>
      <c r="B287" s="149"/>
      <c r="C287" s="149"/>
      <c r="D287" s="149"/>
      <c r="E287" s="281"/>
      <c r="F287" s="281"/>
      <c r="G287" s="149"/>
      <c r="H287" s="149"/>
      <c r="I287" s="149"/>
      <c r="J287" s="149"/>
      <c r="K287" s="149"/>
      <c r="L287" s="149"/>
      <c r="M287" s="149"/>
      <c r="N287" s="149"/>
      <c r="O287" s="149"/>
      <c r="P287" s="149"/>
      <c r="Q287" s="149"/>
      <c r="R287" s="149"/>
      <c r="S287" s="149" t="str">
        <f>IF(COUNTIF(L$5:L287,L287)=1,MAX(S$5:S287)+1,"")</f>
        <v/>
      </c>
      <c r="T287" s="149">
        <f t="shared" si="4"/>
        <v>0</v>
      </c>
    </row>
    <row r="288" spans="1:20" hidden="1">
      <c r="A288" s="149"/>
      <c r="B288" s="149"/>
      <c r="C288" s="149"/>
      <c r="D288" s="149"/>
      <c r="E288" s="281"/>
      <c r="F288" s="281"/>
      <c r="G288" s="149"/>
      <c r="H288" s="149"/>
      <c r="I288" s="149"/>
      <c r="J288" s="149"/>
      <c r="K288" s="149"/>
      <c r="L288" s="149"/>
      <c r="M288" s="149"/>
      <c r="N288" s="149"/>
      <c r="O288" s="149"/>
      <c r="P288" s="149"/>
      <c r="Q288" s="149"/>
      <c r="R288" s="149"/>
      <c r="S288" s="149" t="str">
        <f>IF(COUNTIF(L$5:L288,L288)=1,MAX(S$5:S288)+1,"")</f>
        <v/>
      </c>
      <c r="T288" s="149">
        <f t="shared" si="4"/>
        <v>0</v>
      </c>
    </row>
    <row r="289" spans="1:20" hidden="1">
      <c r="A289" s="149"/>
      <c r="B289" s="149"/>
      <c r="C289" s="149"/>
      <c r="D289" s="149"/>
      <c r="E289" s="281"/>
      <c r="F289" s="281"/>
      <c r="G289" s="149"/>
      <c r="H289" s="149"/>
      <c r="I289" s="149"/>
      <c r="J289" s="149"/>
      <c r="K289" s="149"/>
      <c r="L289" s="149"/>
      <c r="M289" s="149"/>
      <c r="N289" s="149"/>
      <c r="O289" s="149"/>
      <c r="P289" s="149"/>
      <c r="Q289" s="149"/>
      <c r="R289" s="149"/>
      <c r="S289" s="149" t="str">
        <f>IF(COUNTIF(L$5:L289,L289)=1,MAX(S$5:S289)+1,"")</f>
        <v/>
      </c>
      <c r="T289" s="149">
        <f t="shared" si="4"/>
        <v>0</v>
      </c>
    </row>
    <row r="290" spans="1:20" hidden="1">
      <c r="A290" s="149"/>
      <c r="B290" s="149"/>
      <c r="C290" s="149"/>
      <c r="D290" s="149"/>
      <c r="E290" s="281"/>
      <c r="F290" s="281"/>
      <c r="G290" s="149"/>
      <c r="H290" s="149"/>
      <c r="I290" s="149"/>
      <c r="J290" s="149"/>
      <c r="K290" s="149"/>
      <c r="L290" s="149"/>
      <c r="M290" s="149"/>
      <c r="N290" s="149"/>
      <c r="O290" s="149"/>
      <c r="P290" s="149"/>
      <c r="Q290" s="149"/>
      <c r="R290" s="149"/>
      <c r="S290" s="149" t="str">
        <f>IF(COUNTIF(L$5:L290,L290)=1,MAX(S$5:S290)+1,"")</f>
        <v/>
      </c>
      <c r="T290" s="149">
        <f t="shared" si="4"/>
        <v>0</v>
      </c>
    </row>
    <row r="291" spans="1:20" hidden="1">
      <c r="A291" s="149"/>
      <c r="B291" s="149"/>
      <c r="C291" s="149"/>
      <c r="D291" s="149"/>
      <c r="E291" s="281"/>
      <c r="F291" s="281"/>
      <c r="G291" s="149"/>
      <c r="H291" s="149"/>
      <c r="I291" s="149"/>
      <c r="J291" s="149"/>
      <c r="K291" s="149"/>
      <c r="L291" s="149"/>
      <c r="M291" s="149"/>
      <c r="N291" s="149"/>
      <c r="O291" s="149"/>
      <c r="P291" s="149"/>
      <c r="Q291" s="149"/>
      <c r="R291" s="149"/>
      <c r="S291" s="149" t="str">
        <f>IF(COUNTIF(L$5:L291,L291)=1,MAX(S$5:S291)+1,"")</f>
        <v/>
      </c>
      <c r="T291" s="149">
        <f t="shared" si="4"/>
        <v>0</v>
      </c>
    </row>
    <row r="292" spans="1:20" hidden="1">
      <c r="A292" s="149"/>
      <c r="B292" s="149"/>
      <c r="C292" s="149"/>
      <c r="D292" s="149"/>
      <c r="E292" s="281"/>
      <c r="F292" s="281"/>
      <c r="G292" s="149"/>
      <c r="H292" s="149"/>
      <c r="I292" s="149"/>
      <c r="J292" s="149"/>
      <c r="K292" s="149"/>
      <c r="L292" s="149"/>
      <c r="M292" s="149"/>
      <c r="N292" s="149"/>
      <c r="O292" s="149"/>
      <c r="P292" s="149"/>
      <c r="Q292" s="149"/>
      <c r="R292" s="149"/>
      <c r="S292" s="149" t="str">
        <f>IF(COUNTIF(L$5:L292,L292)=1,MAX(S$5:S292)+1,"")</f>
        <v/>
      </c>
      <c r="T292" s="149">
        <f t="shared" si="4"/>
        <v>0</v>
      </c>
    </row>
    <row r="293" spans="1:20" hidden="1">
      <c r="A293" s="149"/>
      <c r="B293" s="149"/>
      <c r="C293" s="149"/>
      <c r="D293" s="149"/>
      <c r="E293" s="281"/>
      <c r="F293" s="281"/>
      <c r="G293" s="149"/>
      <c r="H293" s="149"/>
      <c r="I293" s="149"/>
      <c r="J293" s="149"/>
      <c r="K293" s="149"/>
      <c r="L293" s="149"/>
      <c r="M293" s="149"/>
      <c r="N293" s="149"/>
      <c r="O293" s="149"/>
      <c r="P293" s="149"/>
      <c r="Q293" s="149"/>
      <c r="R293" s="149"/>
      <c r="S293" s="149" t="str">
        <f>IF(COUNTIF(L$5:L293,L293)=1,MAX(S$5:S293)+1,"")</f>
        <v/>
      </c>
      <c r="T293" s="149">
        <f t="shared" si="4"/>
        <v>0</v>
      </c>
    </row>
    <row r="294" spans="1:20" hidden="1">
      <c r="A294" s="149"/>
      <c r="B294" s="149"/>
      <c r="C294" s="149"/>
      <c r="D294" s="149"/>
      <c r="E294" s="281"/>
      <c r="F294" s="281"/>
      <c r="G294" s="149"/>
      <c r="H294" s="149"/>
      <c r="I294" s="149"/>
      <c r="J294" s="149"/>
      <c r="K294" s="149"/>
      <c r="L294" s="149"/>
      <c r="M294" s="149"/>
      <c r="N294" s="149"/>
      <c r="O294" s="149"/>
      <c r="P294" s="149"/>
      <c r="Q294" s="149"/>
      <c r="R294" s="149"/>
      <c r="S294" s="149" t="str">
        <f>IF(COUNTIF(L$5:L294,L294)=1,MAX(S$5:S294)+1,"")</f>
        <v/>
      </c>
      <c r="T294" s="149">
        <f t="shared" si="4"/>
        <v>0</v>
      </c>
    </row>
    <row r="295" spans="1:20" hidden="1">
      <c r="A295" s="149"/>
      <c r="B295" s="149"/>
      <c r="C295" s="149"/>
      <c r="D295" s="149"/>
      <c r="E295" s="281"/>
      <c r="F295" s="281"/>
      <c r="G295" s="149"/>
      <c r="H295" s="149"/>
      <c r="I295" s="149"/>
      <c r="J295" s="149"/>
      <c r="K295" s="149"/>
      <c r="L295" s="149"/>
      <c r="M295" s="149"/>
      <c r="N295" s="149"/>
      <c r="O295" s="149"/>
      <c r="P295" s="149"/>
      <c r="Q295" s="149"/>
      <c r="R295" s="149"/>
      <c r="S295" s="149" t="str">
        <f>IF(COUNTIF(L$5:L295,L295)=1,MAX(S$5:S295)+1,"")</f>
        <v/>
      </c>
      <c r="T295" s="149">
        <f t="shared" si="4"/>
        <v>0</v>
      </c>
    </row>
    <row r="296" spans="1:20" hidden="1">
      <c r="A296" s="149"/>
      <c r="B296" s="149"/>
      <c r="C296" s="149"/>
      <c r="D296" s="149"/>
      <c r="E296" s="281"/>
      <c r="F296" s="281"/>
      <c r="G296" s="149"/>
      <c r="H296" s="149"/>
      <c r="I296" s="149"/>
      <c r="J296" s="149"/>
      <c r="K296" s="149"/>
      <c r="L296" s="149"/>
      <c r="M296" s="149"/>
      <c r="N296" s="149"/>
      <c r="O296" s="149"/>
      <c r="P296" s="149"/>
      <c r="Q296" s="149"/>
      <c r="R296" s="149"/>
      <c r="S296" s="149" t="str">
        <f>IF(COUNTIF(L$5:L296,L296)=1,MAX(S$5:S296)+1,"")</f>
        <v/>
      </c>
      <c r="T296" s="149">
        <f t="shared" si="4"/>
        <v>0</v>
      </c>
    </row>
    <row r="297" spans="1:20" hidden="1">
      <c r="A297" s="149"/>
      <c r="B297" s="149"/>
      <c r="C297" s="149"/>
      <c r="D297" s="149"/>
      <c r="E297" s="281"/>
      <c r="F297" s="281"/>
      <c r="G297" s="149"/>
      <c r="H297" s="149"/>
      <c r="I297" s="149"/>
      <c r="J297" s="149"/>
      <c r="K297" s="149"/>
      <c r="L297" s="149"/>
      <c r="M297" s="149"/>
      <c r="N297" s="149"/>
      <c r="O297" s="149"/>
      <c r="P297" s="149"/>
      <c r="Q297" s="149"/>
      <c r="R297" s="149"/>
      <c r="S297" s="149" t="str">
        <f>IF(COUNTIF(L$5:L297,L297)=1,MAX(S$5:S297)+1,"")</f>
        <v/>
      </c>
      <c r="T297" s="149">
        <f t="shared" si="4"/>
        <v>0</v>
      </c>
    </row>
    <row r="298" spans="1:20" hidden="1">
      <c r="A298" s="149"/>
      <c r="B298" s="149"/>
      <c r="C298" s="149"/>
      <c r="D298" s="149"/>
      <c r="E298" s="281"/>
      <c r="F298" s="281"/>
      <c r="G298" s="149"/>
      <c r="H298" s="149"/>
      <c r="I298" s="149"/>
      <c r="J298" s="149"/>
      <c r="K298" s="149"/>
      <c r="L298" s="149"/>
      <c r="M298" s="149"/>
      <c r="N298" s="149"/>
      <c r="O298" s="149"/>
      <c r="P298" s="149"/>
      <c r="Q298" s="149"/>
      <c r="R298" s="149"/>
      <c r="S298" s="149" t="str">
        <f>IF(COUNTIF(L$5:L298,L298)=1,MAX(S$5:S298)+1,"")</f>
        <v/>
      </c>
      <c r="T298" s="149">
        <f t="shared" si="4"/>
        <v>0</v>
      </c>
    </row>
    <row r="299" spans="1:20" hidden="1">
      <c r="A299" s="149"/>
      <c r="B299" s="149"/>
      <c r="C299" s="149"/>
      <c r="D299" s="149"/>
      <c r="E299" s="281"/>
      <c r="F299" s="281"/>
      <c r="G299" s="149"/>
      <c r="H299" s="149"/>
      <c r="I299" s="149"/>
      <c r="J299" s="149"/>
      <c r="K299" s="149"/>
      <c r="L299" s="149"/>
      <c r="M299" s="149"/>
      <c r="N299" s="149"/>
      <c r="O299" s="149"/>
      <c r="P299" s="149"/>
      <c r="Q299" s="149"/>
      <c r="R299" s="149"/>
      <c r="S299" s="149" t="str">
        <f>IF(COUNTIF(L$5:L299,L299)=1,MAX(S$5:S299)+1,"")</f>
        <v/>
      </c>
      <c r="T299" s="149">
        <f t="shared" si="4"/>
        <v>0</v>
      </c>
    </row>
    <row r="300" spans="1:20" hidden="1">
      <c r="A300" s="149"/>
      <c r="B300" s="149"/>
      <c r="C300" s="149"/>
      <c r="D300" s="149"/>
      <c r="E300" s="281"/>
      <c r="F300" s="281"/>
      <c r="G300" s="149"/>
      <c r="H300" s="149"/>
      <c r="I300" s="149"/>
      <c r="J300" s="149"/>
      <c r="K300" s="149"/>
      <c r="L300" s="149"/>
      <c r="M300" s="149"/>
      <c r="N300" s="149"/>
      <c r="O300" s="149"/>
      <c r="P300" s="149"/>
      <c r="Q300" s="149"/>
      <c r="R300" s="149"/>
      <c r="S300" s="149" t="str">
        <f>IF(COUNTIF(L$5:L300,L300)=1,MAX(S$5:S300)+1,"")</f>
        <v/>
      </c>
      <c r="T300" s="149">
        <f t="shared" si="4"/>
        <v>0</v>
      </c>
    </row>
    <row r="301" spans="1:20" hidden="1">
      <c r="A301" s="149"/>
      <c r="B301" s="149"/>
      <c r="C301" s="149"/>
      <c r="D301" s="149"/>
      <c r="E301" s="281"/>
      <c r="F301" s="281"/>
      <c r="G301" s="149"/>
      <c r="H301" s="149"/>
      <c r="I301" s="149"/>
      <c r="J301" s="149"/>
      <c r="K301" s="149"/>
      <c r="L301" s="149"/>
      <c r="M301" s="149"/>
      <c r="N301" s="149"/>
      <c r="O301" s="149"/>
      <c r="P301" s="149"/>
      <c r="Q301" s="149"/>
      <c r="R301" s="149"/>
      <c r="S301" s="149" t="str">
        <f>IF(COUNTIF(L$5:L301,L301)=1,MAX(S$5:S301)+1,"")</f>
        <v/>
      </c>
      <c r="T301" s="149">
        <f t="shared" si="4"/>
        <v>0</v>
      </c>
    </row>
    <row r="302" spans="1:20" hidden="1">
      <c r="A302" s="149"/>
      <c r="B302" s="149"/>
      <c r="C302" s="149"/>
      <c r="D302" s="149"/>
      <c r="E302" s="281"/>
      <c r="F302" s="281"/>
      <c r="G302" s="149"/>
      <c r="H302" s="149"/>
      <c r="I302" s="149"/>
      <c r="J302" s="149"/>
      <c r="K302" s="149"/>
      <c r="L302" s="149"/>
      <c r="M302" s="149"/>
      <c r="N302" s="149"/>
      <c r="O302" s="149"/>
      <c r="P302" s="149"/>
      <c r="Q302" s="149"/>
      <c r="R302" s="149"/>
      <c r="S302" s="149" t="str">
        <f>IF(COUNTIF(L$5:L302,L302)=1,MAX(S$5:S302)+1,"")</f>
        <v/>
      </c>
      <c r="T302" s="149">
        <f t="shared" si="4"/>
        <v>0</v>
      </c>
    </row>
    <row r="303" spans="1:20" hidden="1">
      <c r="A303" s="149"/>
      <c r="B303" s="149"/>
      <c r="C303" s="149"/>
      <c r="D303" s="149"/>
      <c r="E303" s="281"/>
      <c r="F303" s="281"/>
      <c r="G303" s="149"/>
      <c r="H303" s="149"/>
      <c r="I303" s="149"/>
      <c r="J303" s="149"/>
      <c r="K303" s="149"/>
      <c r="L303" s="149"/>
      <c r="M303" s="149"/>
      <c r="N303" s="149"/>
      <c r="O303" s="149"/>
      <c r="P303" s="149"/>
      <c r="Q303" s="149"/>
      <c r="R303" s="149"/>
      <c r="S303" s="149" t="str">
        <f>IF(COUNTIF(L$5:L303,L303)=1,MAX(S$5:S303)+1,"")</f>
        <v/>
      </c>
      <c r="T303" s="149">
        <f t="shared" si="4"/>
        <v>0</v>
      </c>
    </row>
    <row r="304" spans="1:20" hidden="1">
      <c r="A304" s="149"/>
      <c r="B304" s="149"/>
      <c r="C304" s="149"/>
      <c r="D304" s="149"/>
      <c r="E304" s="281"/>
      <c r="F304" s="281"/>
      <c r="G304" s="149"/>
      <c r="H304" s="149"/>
      <c r="I304" s="149"/>
      <c r="J304" s="149"/>
      <c r="K304" s="149"/>
      <c r="L304" s="149"/>
      <c r="M304" s="149"/>
      <c r="N304" s="149"/>
      <c r="O304" s="149"/>
      <c r="P304" s="149"/>
      <c r="Q304" s="149"/>
      <c r="R304" s="149"/>
      <c r="S304" s="149" t="str">
        <f>IF(COUNTIF(L$5:L304,L304)=1,MAX(S$5:S304)+1,"")</f>
        <v/>
      </c>
      <c r="T304" s="149">
        <f t="shared" si="4"/>
        <v>0</v>
      </c>
    </row>
    <row r="305" spans="1:20" hidden="1">
      <c r="A305" s="149"/>
      <c r="B305" s="149"/>
      <c r="C305" s="149"/>
      <c r="D305" s="149"/>
      <c r="E305" s="281"/>
      <c r="F305" s="281"/>
      <c r="G305" s="149"/>
      <c r="H305" s="149"/>
      <c r="I305" s="149"/>
      <c r="J305" s="149"/>
      <c r="K305" s="149"/>
      <c r="L305" s="149"/>
      <c r="M305" s="149"/>
      <c r="N305" s="149"/>
      <c r="O305" s="149"/>
      <c r="P305" s="149"/>
      <c r="Q305" s="149"/>
      <c r="R305" s="149"/>
      <c r="S305" s="149" t="str">
        <f>IF(COUNTIF(L$5:L305,L305)=1,MAX(S$5:S305)+1,"")</f>
        <v/>
      </c>
      <c r="T305" s="149">
        <f t="shared" si="4"/>
        <v>0</v>
      </c>
    </row>
    <row r="306" spans="1:20" hidden="1">
      <c r="A306" s="149"/>
      <c r="B306" s="149"/>
      <c r="C306" s="149"/>
      <c r="D306" s="149"/>
      <c r="E306" s="281"/>
      <c r="F306" s="281"/>
      <c r="G306" s="149"/>
      <c r="H306" s="149"/>
      <c r="I306" s="149"/>
      <c r="J306" s="149"/>
      <c r="K306" s="149"/>
      <c r="L306" s="149"/>
      <c r="M306" s="149"/>
      <c r="N306" s="149"/>
      <c r="O306" s="149"/>
      <c r="P306" s="149"/>
      <c r="Q306" s="149"/>
      <c r="R306" s="149"/>
      <c r="S306" s="149" t="str">
        <f>IF(COUNTIF(L$5:L306,L306)=1,MAX(S$5:S306)+1,"")</f>
        <v/>
      </c>
      <c r="T306" s="149">
        <f t="shared" si="4"/>
        <v>0</v>
      </c>
    </row>
    <row r="307" spans="1:20" hidden="1">
      <c r="A307" s="149"/>
      <c r="B307" s="149"/>
      <c r="C307" s="149"/>
      <c r="D307" s="149"/>
      <c r="E307" s="281"/>
      <c r="F307" s="281"/>
      <c r="G307" s="149"/>
      <c r="H307" s="149"/>
      <c r="I307" s="149"/>
      <c r="J307" s="149"/>
      <c r="K307" s="149"/>
      <c r="L307" s="149"/>
      <c r="M307" s="149"/>
      <c r="N307" s="149"/>
      <c r="O307" s="149"/>
      <c r="P307" s="149"/>
      <c r="Q307" s="149"/>
      <c r="R307" s="149"/>
      <c r="S307" s="149" t="str">
        <f>IF(COUNTIF(L$5:L307,L307)=1,MAX(S$5:S307)+1,"")</f>
        <v/>
      </c>
      <c r="T307" s="149">
        <f t="shared" si="4"/>
        <v>0</v>
      </c>
    </row>
    <row r="308" spans="1:20" hidden="1">
      <c r="A308" s="149"/>
      <c r="B308" s="149"/>
      <c r="C308" s="149"/>
      <c r="D308" s="149"/>
      <c r="E308" s="281"/>
      <c r="F308" s="281"/>
      <c r="G308" s="149"/>
      <c r="H308" s="149"/>
      <c r="I308" s="149"/>
      <c r="J308" s="149"/>
      <c r="K308" s="149"/>
      <c r="L308" s="149"/>
      <c r="M308" s="149"/>
      <c r="N308" s="149"/>
      <c r="O308" s="149"/>
      <c r="P308" s="149"/>
      <c r="Q308" s="149"/>
      <c r="R308" s="149"/>
      <c r="S308" s="149" t="str">
        <f>IF(COUNTIF(L$5:L308,L308)=1,MAX(S$5:S308)+1,"")</f>
        <v/>
      </c>
      <c r="T308" s="149">
        <f t="shared" si="4"/>
        <v>0</v>
      </c>
    </row>
    <row r="309" spans="1:20" hidden="1">
      <c r="A309" s="149"/>
      <c r="B309" s="149"/>
      <c r="C309" s="149"/>
      <c r="D309" s="149"/>
      <c r="E309" s="281"/>
      <c r="F309" s="281"/>
      <c r="G309" s="149"/>
      <c r="H309" s="149"/>
      <c r="I309" s="149"/>
      <c r="J309" s="149"/>
      <c r="K309" s="149"/>
      <c r="L309" s="149"/>
      <c r="M309" s="149"/>
      <c r="N309" s="149"/>
      <c r="O309" s="149"/>
      <c r="P309" s="149"/>
      <c r="Q309" s="149"/>
      <c r="R309" s="149"/>
      <c r="S309" s="149" t="str">
        <f>IF(COUNTIF(L$5:L309,L309)=1,MAX(S$5:S309)+1,"")</f>
        <v/>
      </c>
      <c r="T309" s="149">
        <f t="shared" si="4"/>
        <v>0</v>
      </c>
    </row>
    <row r="310" spans="1:20" hidden="1">
      <c r="A310" s="149"/>
      <c r="B310" s="149"/>
      <c r="C310" s="149"/>
      <c r="D310" s="149"/>
      <c r="E310" s="281"/>
      <c r="F310" s="281"/>
      <c r="G310" s="149"/>
      <c r="H310" s="149"/>
      <c r="I310" s="149"/>
      <c r="J310" s="149"/>
      <c r="K310" s="149"/>
      <c r="L310" s="149"/>
      <c r="M310" s="149"/>
      <c r="N310" s="149"/>
      <c r="O310" s="149"/>
      <c r="P310" s="149"/>
      <c r="Q310" s="149"/>
      <c r="R310" s="149"/>
      <c r="S310" s="149" t="str">
        <f>IF(COUNTIF(L$5:L310,L310)=1,MAX(S$5:S310)+1,"")</f>
        <v/>
      </c>
      <c r="T310" s="149">
        <f t="shared" si="4"/>
        <v>0</v>
      </c>
    </row>
    <row r="311" spans="1:20" hidden="1">
      <c r="A311" s="149"/>
      <c r="B311" s="149"/>
      <c r="C311" s="149"/>
      <c r="D311" s="149"/>
      <c r="E311" s="281"/>
      <c r="F311" s="281"/>
      <c r="G311" s="149"/>
      <c r="H311" s="149"/>
      <c r="I311" s="149"/>
      <c r="J311" s="149"/>
      <c r="K311" s="149"/>
      <c r="L311" s="149"/>
      <c r="M311" s="149"/>
      <c r="N311" s="149"/>
      <c r="O311" s="149"/>
      <c r="P311" s="149"/>
      <c r="Q311" s="149"/>
      <c r="R311" s="149"/>
      <c r="S311" s="149" t="str">
        <f>IF(COUNTIF(L$5:L311,L311)=1,MAX(S$5:S311)+1,"")</f>
        <v/>
      </c>
      <c r="T311" s="149">
        <f t="shared" si="4"/>
        <v>0</v>
      </c>
    </row>
    <row r="312" spans="1:20" hidden="1">
      <c r="A312" s="149"/>
      <c r="B312" s="149"/>
      <c r="C312" s="149"/>
      <c r="D312" s="149"/>
      <c r="E312" s="281"/>
      <c r="F312" s="281"/>
      <c r="G312" s="149"/>
      <c r="H312" s="149"/>
      <c r="I312" s="149"/>
      <c r="J312" s="149"/>
      <c r="K312" s="149"/>
      <c r="L312" s="149"/>
      <c r="M312" s="149"/>
      <c r="N312" s="149"/>
      <c r="O312" s="149"/>
      <c r="P312" s="149"/>
      <c r="Q312" s="149"/>
      <c r="R312" s="149"/>
      <c r="S312" s="149" t="str">
        <f>IF(COUNTIF(L$5:L312,L312)=1,MAX(S$5:S312)+1,"")</f>
        <v/>
      </c>
      <c r="T312" s="149">
        <f t="shared" si="4"/>
        <v>0</v>
      </c>
    </row>
    <row r="313" spans="1:20" hidden="1">
      <c r="A313" s="149"/>
      <c r="B313" s="149"/>
      <c r="C313" s="149"/>
      <c r="D313" s="149"/>
      <c r="E313" s="281"/>
      <c r="F313" s="281"/>
      <c r="G313" s="149"/>
      <c r="H313" s="149"/>
      <c r="I313" s="149"/>
      <c r="J313" s="149"/>
      <c r="K313" s="149"/>
      <c r="L313" s="149"/>
      <c r="M313" s="149"/>
      <c r="N313" s="149"/>
      <c r="O313" s="149"/>
      <c r="P313" s="149"/>
      <c r="Q313" s="149"/>
      <c r="R313" s="149"/>
      <c r="S313" s="149" t="str">
        <f>IF(COUNTIF(L$5:L313,L313)=1,MAX(S$5:S313)+1,"")</f>
        <v/>
      </c>
      <c r="T313" s="149">
        <f t="shared" si="4"/>
        <v>0</v>
      </c>
    </row>
    <row r="314" spans="1:20" hidden="1">
      <c r="A314" s="149"/>
      <c r="B314" s="149"/>
      <c r="C314" s="149"/>
      <c r="D314" s="149"/>
      <c r="E314" s="281"/>
      <c r="F314" s="281"/>
      <c r="G314" s="149"/>
      <c r="H314" s="149"/>
      <c r="I314" s="149"/>
      <c r="J314" s="149"/>
      <c r="K314" s="149"/>
      <c r="L314" s="149"/>
      <c r="M314" s="149"/>
      <c r="N314" s="149"/>
      <c r="O314" s="149"/>
      <c r="P314" s="149"/>
      <c r="Q314" s="149"/>
      <c r="R314" s="149"/>
      <c r="S314" s="149" t="str">
        <f>IF(COUNTIF(L$5:L314,L314)=1,MAX(S$5:S314)+1,"")</f>
        <v/>
      </c>
      <c r="T314" s="149">
        <f t="shared" si="4"/>
        <v>0</v>
      </c>
    </row>
    <row r="315" spans="1:20" hidden="1">
      <c r="A315" s="149"/>
      <c r="B315" s="149"/>
      <c r="C315" s="149"/>
      <c r="D315" s="149"/>
      <c r="E315" s="281"/>
      <c r="F315" s="281"/>
      <c r="G315" s="149"/>
      <c r="H315" s="149"/>
      <c r="I315" s="149"/>
      <c r="J315" s="149"/>
      <c r="K315" s="149"/>
      <c r="L315" s="149"/>
      <c r="M315" s="149"/>
      <c r="N315" s="149"/>
      <c r="O315" s="149"/>
      <c r="P315" s="149"/>
      <c r="Q315" s="149"/>
      <c r="R315" s="149"/>
      <c r="S315" s="149" t="str">
        <f>IF(COUNTIF(L$5:L315,L315)=1,MAX(S$5:S315)+1,"")</f>
        <v/>
      </c>
      <c r="T315" s="149">
        <f t="shared" si="4"/>
        <v>0</v>
      </c>
    </row>
    <row r="316" spans="1:20" hidden="1">
      <c r="A316" s="149"/>
      <c r="B316" s="149"/>
      <c r="C316" s="149"/>
      <c r="D316" s="149"/>
      <c r="E316" s="281"/>
      <c r="F316" s="281"/>
      <c r="G316" s="149"/>
      <c r="H316" s="149"/>
      <c r="I316" s="149"/>
      <c r="J316" s="149"/>
      <c r="K316" s="149"/>
      <c r="L316" s="149"/>
      <c r="M316" s="149"/>
      <c r="N316" s="149"/>
      <c r="O316" s="149"/>
      <c r="P316" s="149"/>
      <c r="Q316" s="149"/>
      <c r="R316" s="149"/>
      <c r="S316" s="149" t="str">
        <f>IF(COUNTIF(L$5:L316,L316)=1,MAX(S$5:S316)+1,"")</f>
        <v/>
      </c>
      <c r="T316" s="149">
        <f t="shared" si="4"/>
        <v>0</v>
      </c>
    </row>
    <row r="317" spans="1:20" hidden="1">
      <c r="A317" s="149"/>
      <c r="B317" s="149"/>
      <c r="C317" s="149"/>
      <c r="D317" s="149"/>
      <c r="E317" s="281"/>
      <c r="F317" s="281"/>
      <c r="G317" s="149"/>
      <c r="H317" s="149"/>
      <c r="I317" s="149"/>
      <c r="J317" s="149"/>
      <c r="K317" s="149"/>
      <c r="L317" s="149"/>
      <c r="M317" s="149"/>
      <c r="N317" s="149"/>
      <c r="O317" s="149"/>
      <c r="P317" s="149"/>
      <c r="Q317" s="149"/>
      <c r="R317" s="149"/>
      <c r="S317" s="149" t="str">
        <f>IF(COUNTIF(L$5:L317,L317)=1,MAX(S$5:S317)+1,"")</f>
        <v/>
      </c>
      <c r="T317" s="149">
        <f t="shared" si="4"/>
        <v>0</v>
      </c>
    </row>
    <row r="318" spans="1:20" hidden="1">
      <c r="A318" s="149"/>
      <c r="B318" s="149"/>
      <c r="C318" s="149"/>
      <c r="D318" s="149"/>
      <c r="E318" s="281"/>
      <c r="F318" s="281"/>
      <c r="G318" s="149"/>
      <c r="H318" s="149"/>
      <c r="I318" s="149"/>
      <c r="J318" s="149"/>
      <c r="K318" s="149"/>
      <c r="L318" s="149"/>
      <c r="M318" s="149"/>
      <c r="N318" s="149"/>
      <c r="O318" s="149"/>
      <c r="P318" s="149"/>
      <c r="Q318" s="149"/>
      <c r="R318" s="149"/>
      <c r="S318" s="149" t="str">
        <f>IF(COUNTIF(L$5:L318,L318)=1,MAX(S$5:S318)+1,"")</f>
        <v/>
      </c>
      <c r="T318" s="149">
        <f t="shared" si="4"/>
        <v>0</v>
      </c>
    </row>
    <row r="319" spans="1:20" hidden="1">
      <c r="A319" s="149"/>
      <c r="B319" s="149"/>
      <c r="C319" s="149"/>
      <c r="D319" s="149"/>
      <c r="E319" s="281"/>
      <c r="F319" s="281"/>
      <c r="G319" s="149"/>
      <c r="H319" s="149"/>
      <c r="I319" s="149"/>
      <c r="J319" s="149"/>
      <c r="K319" s="149"/>
      <c r="L319" s="149"/>
      <c r="M319" s="149"/>
      <c r="N319" s="149"/>
      <c r="O319" s="149"/>
      <c r="P319" s="149"/>
      <c r="Q319" s="149"/>
      <c r="R319" s="149"/>
      <c r="S319" s="149" t="str">
        <f>IF(COUNTIF(L$5:L319,L319)=1,MAX(S$5:S319)+1,"")</f>
        <v/>
      </c>
      <c r="T319" s="149">
        <f t="shared" si="4"/>
        <v>0</v>
      </c>
    </row>
    <row r="320" spans="1:20" hidden="1">
      <c r="A320" s="149"/>
      <c r="B320" s="149"/>
      <c r="C320" s="149"/>
      <c r="D320" s="149"/>
      <c r="E320" s="281"/>
      <c r="F320" s="281"/>
      <c r="G320" s="149"/>
      <c r="H320" s="149"/>
      <c r="I320" s="149"/>
      <c r="J320" s="149"/>
      <c r="K320" s="149"/>
      <c r="L320" s="149"/>
      <c r="M320" s="149"/>
      <c r="N320" s="149"/>
      <c r="O320" s="149"/>
      <c r="P320" s="149"/>
      <c r="Q320" s="149"/>
      <c r="R320" s="149"/>
      <c r="S320" s="149" t="str">
        <f>IF(COUNTIF(L$5:L320,L320)=1,MAX(S$5:S320)+1,"")</f>
        <v/>
      </c>
      <c r="T320" s="149">
        <f t="shared" si="4"/>
        <v>0</v>
      </c>
    </row>
    <row r="321" spans="1:20" hidden="1">
      <c r="A321" s="149"/>
      <c r="B321" s="149"/>
      <c r="C321" s="149"/>
      <c r="D321" s="149"/>
      <c r="E321" s="281"/>
      <c r="F321" s="281"/>
      <c r="G321" s="149"/>
      <c r="H321" s="149"/>
      <c r="I321" s="149"/>
      <c r="J321" s="149"/>
      <c r="K321" s="149"/>
      <c r="L321" s="149"/>
      <c r="M321" s="149"/>
      <c r="N321" s="149"/>
      <c r="O321" s="149"/>
      <c r="P321" s="149"/>
      <c r="Q321" s="149"/>
      <c r="R321" s="149"/>
      <c r="S321" s="149" t="str">
        <f>IF(COUNTIF(L$5:L321,L321)=1,MAX(S$5:S321)+1,"")</f>
        <v/>
      </c>
      <c r="T321" s="149">
        <f t="shared" si="4"/>
        <v>0</v>
      </c>
    </row>
    <row r="322" spans="1:20" hidden="1">
      <c r="A322" s="149"/>
      <c r="B322" s="149"/>
      <c r="C322" s="149"/>
      <c r="D322" s="149"/>
      <c r="E322" s="281"/>
      <c r="F322" s="281"/>
      <c r="G322" s="149"/>
      <c r="H322" s="149"/>
      <c r="I322" s="149"/>
      <c r="J322" s="149"/>
      <c r="K322" s="149"/>
      <c r="L322" s="149"/>
      <c r="M322" s="149"/>
      <c r="N322" s="149"/>
      <c r="O322" s="149"/>
      <c r="P322" s="149"/>
      <c r="Q322" s="149"/>
      <c r="R322" s="149"/>
      <c r="S322" s="149" t="str">
        <f>IF(COUNTIF(L$5:L322,L322)=1,MAX(S$5:S322)+1,"")</f>
        <v/>
      </c>
      <c r="T322" s="149">
        <f t="shared" si="4"/>
        <v>0</v>
      </c>
    </row>
    <row r="323" spans="1:20" hidden="1">
      <c r="A323" s="149"/>
      <c r="B323" s="149"/>
      <c r="C323" s="149"/>
      <c r="D323" s="149"/>
      <c r="E323" s="281"/>
      <c r="F323" s="281"/>
      <c r="G323" s="149"/>
      <c r="H323" s="149"/>
      <c r="I323" s="149"/>
      <c r="J323" s="149"/>
      <c r="K323" s="149"/>
      <c r="L323" s="149"/>
      <c r="M323" s="149"/>
      <c r="N323" s="149"/>
      <c r="O323" s="149"/>
      <c r="P323" s="149"/>
      <c r="Q323" s="149"/>
      <c r="R323" s="149"/>
      <c r="S323" s="149" t="str">
        <f>IF(COUNTIF(L$5:L323,L323)=1,MAX(S$5:S323)+1,"")</f>
        <v/>
      </c>
      <c r="T323" s="149">
        <f t="shared" si="4"/>
        <v>0</v>
      </c>
    </row>
    <row r="324" spans="1:20" hidden="1">
      <c r="A324" s="149"/>
      <c r="B324" s="149"/>
      <c r="C324" s="149"/>
      <c r="D324" s="149"/>
      <c r="E324" s="281"/>
      <c r="F324" s="281"/>
      <c r="G324" s="149"/>
      <c r="H324" s="149"/>
      <c r="I324" s="149"/>
      <c r="J324" s="149"/>
      <c r="K324" s="149"/>
      <c r="L324" s="149"/>
      <c r="M324" s="149"/>
      <c r="N324" s="149"/>
      <c r="O324" s="149"/>
      <c r="P324" s="149"/>
      <c r="Q324" s="149"/>
      <c r="R324" s="149"/>
      <c r="S324" s="149" t="str">
        <f>IF(COUNTIF(L$5:L324,L324)=1,MAX(S$5:S324)+1,"")</f>
        <v/>
      </c>
      <c r="T324" s="149">
        <f t="shared" si="4"/>
        <v>0</v>
      </c>
    </row>
    <row r="325" spans="1:20" hidden="1">
      <c r="A325" s="149"/>
      <c r="B325" s="149"/>
      <c r="C325" s="149"/>
      <c r="D325" s="149"/>
      <c r="E325" s="281"/>
      <c r="F325" s="281"/>
      <c r="G325" s="149"/>
      <c r="H325" s="149"/>
      <c r="I325" s="149"/>
      <c r="J325" s="149"/>
      <c r="K325" s="149"/>
      <c r="L325" s="149"/>
      <c r="M325" s="149"/>
      <c r="N325" s="149"/>
      <c r="O325" s="149"/>
      <c r="P325" s="149"/>
      <c r="Q325" s="149"/>
      <c r="R325" s="149"/>
      <c r="S325" s="149" t="str">
        <f>IF(COUNTIF(L$5:L325,L325)=1,MAX(S$5:S325)+1,"")</f>
        <v/>
      </c>
      <c r="T325" s="149">
        <f t="shared" ref="T325:T388" si="5">L325:L532</f>
        <v>0</v>
      </c>
    </row>
    <row r="326" spans="1:20" hidden="1">
      <c r="A326" s="149"/>
      <c r="B326" s="149"/>
      <c r="C326" s="149"/>
      <c r="D326" s="149"/>
      <c r="E326" s="281"/>
      <c r="F326" s="281"/>
      <c r="G326" s="149"/>
      <c r="H326" s="149"/>
      <c r="I326" s="149"/>
      <c r="J326" s="149"/>
      <c r="K326" s="149"/>
      <c r="L326" s="149"/>
      <c r="M326" s="149"/>
      <c r="N326" s="149"/>
      <c r="O326" s="149"/>
      <c r="P326" s="149"/>
      <c r="Q326" s="149"/>
      <c r="R326" s="149"/>
      <c r="S326" s="149" t="str">
        <f>IF(COUNTIF(L$5:L326,L326)=1,MAX(S$5:S326)+1,"")</f>
        <v/>
      </c>
      <c r="T326" s="149">
        <f t="shared" si="5"/>
        <v>0</v>
      </c>
    </row>
    <row r="327" spans="1:20" hidden="1">
      <c r="A327" s="149"/>
      <c r="B327" s="149"/>
      <c r="C327" s="149"/>
      <c r="D327" s="149"/>
      <c r="E327" s="281"/>
      <c r="F327" s="281"/>
      <c r="G327" s="149"/>
      <c r="H327" s="149"/>
      <c r="I327" s="149"/>
      <c r="J327" s="149"/>
      <c r="K327" s="149"/>
      <c r="L327" s="149"/>
      <c r="M327" s="149"/>
      <c r="N327" s="149"/>
      <c r="O327" s="149"/>
      <c r="P327" s="149"/>
      <c r="Q327" s="149"/>
      <c r="R327" s="149"/>
      <c r="S327" s="149" t="str">
        <f>IF(COUNTIF(L$5:L327,L327)=1,MAX(S$5:S327)+1,"")</f>
        <v/>
      </c>
      <c r="T327" s="149">
        <f t="shared" si="5"/>
        <v>0</v>
      </c>
    </row>
    <row r="328" spans="1:20" hidden="1">
      <c r="A328" s="149"/>
      <c r="B328" s="149"/>
      <c r="C328" s="149"/>
      <c r="D328" s="149"/>
      <c r="E328" s="281"/>
      <c r="F328" s="281"/>
      <c r="G328" s="149"/>
      <c r="H328" s="149"/>
      <c r="I328" s="149"/>
      <c r="J328" s="149"/>
      <c r="K328" s="149"/>
      <c r="L328" s="149"/>
      <c r="M328" s="149"/>
      <c r="N328" s="149"/>
      <c r="O328" s="149"/>
      <c r="P328" s="149"/>
      <c r="Q328" s="149"/>
      <c r="R328" s="149"/>
      <c r="S328" s="149" t="str">
        <f>IF(COUNTIF(L$5:L328,L328)=1,MAX(S$5:S328)+1,"")</f>
        <v/>
      </c>
      <c r="T328" s="149">
        <f t="shared" si="5"/>
        <v>0</v>
      </c>
    </row>
    <row r="329" spans="1:20" hidden="1">
      <c r="A329" s="149"/>
      <c r="B329" s="149"/>
      <c r="C329" s="149"/>
      <c r="D329" s="149"/>
      <c r="E329" s="281"/>
      <c r="F329" s="281"/>
      <c r="G329" s="149"/>
      <c r="H329" s="149"/>
      <c r="I329" s="149"/>
      <c r="J329" s="149"/>
      <c r="K329" s="149"/>
      <c r="L329" s="149"/>
      <c r="M329" s="149"/>
      <c r="N329" s="149"/>
      <c r="O329" s="149"/>
      <c r="P329" s="149"/>
      <c r="Q329" s="149"/>
      <c r="R329" s="149"/>
      <c r="S329" s="149" t="str">
        <f>IF(COUNTIF(L$5:L329,L329)=1,MAX(S$5:S329)+1,"")</f>
        <v/>
      </c>
      <c r="T329" s="149">
        <f t="shared" si="5"/>
        <v>0</v>
      </c>
    </row>
    <row r="330" spans="1:20" hidden="1">
      <c r="A330" s="149"/>
      <c r="B330" s="149"/>
      <c r="C330" s="149"/>
      <c r="D330" s="149"/>
      <c r="E330" s="281"/>
      <c r="F330" s="281"/>
      <c r="G330" s="149"/>
      <c r="H330" s="149"/>
      <c r="I330" s="149"/>
      <c r="J330" s="149"/>
      <c r="K330" s="149"/>
      <c r="L330" s="149"/>
      <c r="M330" s="149"/>
      <c r="N330" s="149"/>
      <c r="O330" s="149"/>
      <c r="P330" s="149"/>
      <c r="Q330" s="149"/>
      <c r="R330" s="149"/>
      <c r="S330" s="149" t="str">
        <f>IF(COUNTIF(L$5:L330,L330)=1,MAX(S$5:S330)+1,"")</f>
        <v/>
      </c>
      <c r="T330" s="149">
        <f t="shared" si="5"/>
        <v>0</v>
      </c>
    </row>
    <row r="331" spans="1:20" hidden="1">
      <c r="A331" s="149"/>
      <c r="B331" s="149"/>
      <c r="C331" s="149"/>
      <c r="D331" s="149"/>
      <c r="E331" s="281"/>
      <c r="F331" s="281"/>
      <c r="G331" s="149"/>
      <c r="H331" s="149"/>
      <c r="I331" s="149"/>
      <c r="J331" s="149"/>
      <c r="K331" s="149"/>
      <c r="L331" s="149"/>
      <c r="M331" s="149"/>
      <c r="N331" s="149"/>
      <c r="O331" s="149"/>
      <c r="P331" s="149"/>
      <c r="Q331" s="149"/>
      <c r="R331" s="149"/>
      <c r="S331" s="149" t="str">
        <f>IF(COUNTIF(L$5:L331,L331)=1,MAX(S$5:S331)+1,"")</f>
        <v/>
      </c>
      <c r="T331" s="149">
        <f t="shared" si="5"/>
        <v>0</v>
      </c>
    </row>
    <row r="332" spans="1:20" hidden="1">
      <c r="A332" s="149"/>
      <c r="B332" s="149"/>
      <c r="C332" s="149"/>
      <c r="D332" s="149"/>
      <c r="E332" s="281"/>
      <c r="F332" s="281"/>
      <c r="G332" s="149"/>
      <c r="H332" s="149"/>
      <c r="I332" s="149"/>
      <c r="J332" s="149"/>
      <c r="K332" s="149"/>
      <c r="L332" s="149"/>
      <c r="M332" s="149"/>
      <c r="N332" s="149"/>
      <c r="O332" s="149"/>
      <c r="P332" s="149"/>
      <c r="Q332" s="149"/>
      <c r="R332" s="149"/>
      <c r="S332" s="149" t="str">
        <f>IF(COUNTIF(L$5:L332,L332)=1,MAX(S$5:S332)+1,"")</f>
        <v/>
      </c>
      <c r="T332" s="149">
        <f t="shared" si="5"/>
        <v>0</v>
      </c>
    </row>
    <row r="333" spans="1:20" hidden="1">
      <c r="A333" s="149"/>
      <c r="B333" s="149"/>
      <c r="C333" s="149"/>
      <c r="D333" s="149"/>
      <c r="E333" s="281"/>
      <c r="F333" s="281"/>
      <c r="G333" s="149"/>
      <c r="H333" s="149"/>
      <c r="I333" s="149"/>
      <c r="J333" s="149"/>
      <c r="K333" s="149"/>
      <c r="L333" s="149"/>
      <c r="M333" s="149"/>
      <c r="N333" s="149"/>
      <c r="O333" s="149"/>
      <c r="P333" s="149"/>
      <c r="Q333" s="149"/>
      <c r="R333" s="149"/>
      <c r="S333" s="149" t="str">
        <f>IF(COUNTIF(L$5:L333,L333)=1,MAX(S$5:S333)+1,"")</f>
        <v/>
      </c>
      <c r="T333" s="149">
        <f t="shared" si="5"/>
        <v>0</v>
      </c>
    </row>
    <row r="334" spans="1:20" hidden="1">
      <c r="A334" s="149"/>
      <c r="B334" s="149"/>
      <c r="C334" s="149"/>
      <c r="D334" s="149"/>
      <c r="E334" s="281"/>
      <c r="F334" s="281"/>
      <c r="G334" s="149"/>
      <c r="H334" s="149"/>
      <c r="I334" s="149"/>
      <c r="J334" s="149"/>
      <c r="K334" s="149"/>
      <c r="L334" s="149"/>
      <c r="M334" s="149"/>
      <c r="N334" s="149"/>
      <c r="O334" s="149"/>
      <c r="P334" s="149"/>
      <c r="Q334" s="149"/>
      <c r="R334" s="149"/>
      <c r="S334" s="149" t="str">
        <f>IF(COUNTIF(L$5:L334,L334)=1,MAX(S$5:S334)+1,"")</f>
        <v/>
      </c>
      <c r="T334" s="149">
        <f t="shared" si="5"/>
        <v>0</v>
      </c>
    </row>
    <row r="335" spans="1:20" hidden="1">
      <c r="A335" s="149"/>
      <c r="B335" s="149"/>
      <c r="C335" s="149"/>
      <c r="D335" s="149"/>
      <c r="E335" s="281"/>
      <c r="F335" s="281"/>
      <c r="G335" s="149"/>
      <c r="H335" s="149"/>
      <c r="I335" s="149"/>
      <c r="J335" s="149"/>
      <c r="K335" s="149"/>
      <c r="L335" s="149"/>
      <c r="M335" s="149"/>
      <c r="N335" s="149"/>
      <c r="O335" s="149"/>
      <c r="P335" s="149"/>
      <c r="Q335" s="149"/>
      <c r="R335" s="149"/>
      <c r="S335" s="149" t="str">
        <f>IF(COUNTIF(L$5:L335,L335)=1,MAX(S$5:S335)+1,"")</f>
        <v/>
      </c>
      <c r="T335" s="149">
        <f t="shared" si="5"/>
        <v>0</v>
      </c>
    </row>
    <row r="336" spans="1:20" hidden="1">
      <c r="A336" s="149"/>
      <c r="B336" s="149"/>
      <c r="C336" s="149"/>
      <c r="D336" s="149"/>
      <c r="E336" s="281"/>
      <c r="F336" s="281"/>
      <c r="G336" s="149"/>
      <c r="H336" s="149"/>
      <c r="I336" s="149"/>
      <c r="J336" s="149"/>
      <c r="K336" s="149"/>
      <c r="L336" s="149"/>
      <c r="M336" s="149"/>
      <c r="N336" s="149"/>
      <c r="O336" s="149"/>
      <c r="P336" s="149"/>
      <c r="Q336" s="149"/>
      <c r="R336" s="149"/>
      <c r="S336" s="149" t="str">
        <f>IF(COUNTIF(L$5:L336,L336)=1,MAX(S$5:S336)+1,"")</f>
        <v/>
      </c>
      <c r="T336" s="149">
        <f t="shared" si="5"/>
        <v>0</v>
      </c>
    </row>
    <row r="337" spans="1:20" hidden="1">
      <c r="A337" s="149"/>
      <c r="B337" s="149"/>
      <c r="C337" s="149"/>
      <c r="D337" s="149"/>
      <c r="E337" s="281"/>
      <c r="F337" s="281"/>
      <c r="G337" s="149"/>
      <c r="H337" s="149"/>
      <c r="I337" s="149"/>
      <c r="J337" s="149"/>
      <c r="K337" s="149"/>
      <c r="L337" s="149"/>
      <c r="M337" s="149"/>
      <c r="N337" s="149"/>
      <c r="O337" s="149"/>
      <c r="P337" s="149"/>
      <c r="Q337" s="149"/>
      <c r="R337" s="149"/>
      <c r="S337" s="149" t="str">
        <f>IF(COUNTIF(L$5:L337,L337)=1,MAX(S$5:S337)+1,"")</f>
        <v/>
      </c>
      <c r="T337" s="149">
        <f t="shared" si="5"/>
        <v>0</v>
      </c>
    </row>
    <row r="338" spans="1:20" hidden="1">
      <c r="A338" s="149"/>
      <c r="B338" s="149"/>
      <c r="C338" s="149"/>
      <c r="D338" s="149"/>
      <c r="E338" s="281"/>
      <c r="F338" s="281"/>
      <c r="G338" s="149"/>
      <c r="H338" s="149"/>
      <c r="I338" s="149"/>
      <c r="J338" s="149"/>
      <c r="K338" s="149"/>
      <c r="L338" s="149"/>
      <c r="M338" s="149"/>
      <c r="N338" s="149"/>
      <c r="O338" s="149"/>
      <c r="P338" s="149"/>
      <c r="Q338" s="149"/>
      <c r="R338" s="149"/>
      <c r="S338" s="149" t="str">
        <f>IF(COUNTIF(L$5:L338,L338)=1,MAX(S$5:S338)+1,"")</f>
        <v/>
      </c>
      <c r="T338" s="149">
        <f t="shared" si="5"/>
        <v>0</v>
      </c>
    </row>
    <row r="339" spans="1:20" hidden="1">
      <c r="A339" s="149"/>
      <c r="B339" s="149"/>
      <c r="C339" s="149"/>
      <c r="D339" s="149"/>
      <c r="E339" s="281"/>
      <c r="F339" s="281"/>
      <c r="G339" s="149"/>
      <c r="H339" s="149"/>
      <c r="I339" s="149"/>
      <c r="J339" s="149"/>
      <c r="K339" s="149"/>
      <c r="L339" s="149"/>
      <c r="M339" s="149"/>
      <c r="N339" s="149"/>
      <c r="O339" s="149"/>
      <c r="P339" s="149"/>
      <c r="Q339" s="149"/>
      <c r="R339" s="149"/>
      <c r="S339" s="149" t="str">
        <f>IF(COUNTIF(L$5:L339,L339)=1,MAX(S$5:S339)+1,"")</f>
        <v/>
      </c>
      <c r="T339" s="149">
        <f t="shared" si="5"/>
        <v>0</v>
      </c>
    </row>
    <row r="340" spans="1:20" hidden="1">
      <c r="A340" s="149"/>
      <c r="B340" s="149"/>
      <c r="C340" s="149"/>
      <c r="D340" s="149"/>
      <c r="E340" s="281"/>
      <c r="F340" s="281"/>
      <c r="G340" s="149"/>
      <c r="H340" s="149"/>
      <c r="I340" s="149"/>
      <c r="J340" s="149"/>
      <c r="K340" s="149"/>
      <c r="L340" s="149"/>
      <c r="M340" s="149"/>
      <c r="N340" s="149"/>
      <c r="O340" s="149"/>
      <c r="P340" s="149"/>
      <c r="Q340" s="149"/>
      <c r="R340" s="149"/>
      <c r="S340" s="149" t="str">
        <f>IF(COUNTIF(L$5:L340,L340)=1,MAX(S$5:S340)+1,"")</f>
        <v/>
      </c>
      <c r="T340" s="149">
        <f t="shared" si="5"/>
        <v>0</v>
      </c>
    </row>
    <row r="341" spans="1:20" hidden="1">
      <c r="A341" s="149"/>
      <c r="B341" s="149"/>
      <c r="C341" s="149"/>
      <c r="D341" s="149"/>
      <c r="E341" s="281"/>
      <c r="F341" s="281"/>
      <c r="G341" s="149"/>
      <c r="H341" s="149"/>
      <c r="I341" s="149"/>
      <c r="J341" s="149"/>
      <c r="K341" s="149"/>
      <c r="L341" s="149"/>
      <c r="M341" s="149"/>
      <c r="N341" s="149"/>
      <c r="O341" s="149"/>
      <c r="P341" s="149"/>
      <c r="Q341" s="149"/>
      <c r="R341" s="149"/>
      <c r="S341" s="149" t="str">
        <f>IF(COUNTIF(L$5:L341,L341)=1,MAX(S$5:S341)+1,"")</f>
        <v/>
      </c>
      <c r="T341" s="149">
        <f t="shared" si="5"/>
        <v>0</v>
      </c>
    </row>
    <row r="342" spans="1:20" hidden="1">
      <c r="A342" s="149"/>
      <c r="B342" s="149"/>
      <c r="C342" s="149"/>
      <c r="D342" s="149"/>
      <c r="E342" s="281"/>
      <c r="F342" s="281"/>
      <c r="G342" s="149"/>
      <c r="H342" s="149"/>
      <c r="I342" s="149"/>
      <c r="J342" s="149"/>
      <c r="K342" s="149"/>
      <c r="L342" s="149"/>
      <c r="M342" s="149"/>
      <c r="N342" s="149"/>
      <c r="O342" s="149"/>
      <c r="P342" s="149"/>
      <c r="Q342" s="149"/>
      <c r="R342" s="149"/>
      <c r="S342" s="149" t="str">
        <f>IF(COUNTIF(L$5:L342,L342)=1,MAX(S$5:S342)+1,"")</f>
        <v/>
      </c>
      <c r="T342" s="149">
        <f t="shared" si="5"/>
        <v>0</v>
      </c>
    </row>
    <row r="343" spans="1:20" hidden="1">
      <c r="A343" s="149"/>
      <c r="B343" s="149"/>
      <c r="C343" s="149"/>
      <c r="D343" s="149"/>
      <c r="E343" s="281"/>
      <c r="F343" s="281"/>
      <c r="G343" s="149"/>
      <c r="H343" s="149"/>
      <c r="I343" s="149"/>
      <c r="J343" s="149"/>
      <c r="K343" s="149"/>
      <c r="L343" s="149"/>
      <c r="M343" s="149"/>
      <c r="N343" s="149"/>
      <c r="O343" s="149"/>
      <c r="P343" s="149"/>
      <c r="Q343" s="149"/>
      <c r="R343" s="149"/>
      <c r="S343" s="149" t="str">
        <f>IF(COUNTIF(L$5:L343,L343)=1,MAX(S$5:S343)+1,"")</f>
        <v/>
      </c>
      <c r="T343" s="149">
        <f t="shared" si="5"/>
        <v>0</v>
      </c>
    </row>
    <row r="344" spans="1:20" hidden="1">
      <c r="A344" s="149"/>
      <c r="B344" s="149"/>
      <c r="C344" s="149"/>
      <c r="D344" s="149"/>
      <c r="E344" s="281"/>
      <c r="F344" s="281"/>
      <c r="G344" s="149"/>
      <c r="H344" s="149"/>
      <c r="I344" s="149"/>
      <c r="J344" s="149"/>
      <c r="K344" s="149"/>
      <c r="L344" s="149"/>
      <c r="M344" s="149"/>
      <c r="N344" s="149"/>
      <c r="O344" s="149"/>
      <c r="P344" s="149"/>
      <c r="Q344" s="149"/>
      <c r="R344" s="149"/>
      <c r="S344" s="149" t="str">
        <f>IF(COUNTIF(L$5:L344,L344)=1,MAX(S$5:S344)+1,"")</f>
        <v/>
      </c>
      <c r="T344" s="149">
        <f t="shared" si="5"/>
        <v>0</v>
      </c>
    </row>
    <row r="345" spans="1:20" hidden="1">
      <c r="A345" s="149"/>
      <c r="B345" s="149"/>
      <c r="C345" s="149"/>
      <c r="D345" s="149"/>
      <c r="E345" s="281"/>
      <c r="F345" s="281"/>
      <c r="G345" s="149"/>
      <c r="H345" s="149"/>
      <c r="I345" s="149"/>
      <c r="J345" s="149"/>
      <c r="K345" s="149"/>
      <c r="L345" s="149"/>
      <c r="M345" s="149"/>
      <c r="N345" s="149"/>
      <c r="O345" s="149"/>
      <c r="P345" s="149"/>
      <c r="Q345" s="149"/>
      <c r="R345" s="149"/>
      <c r="S345" s="149" t="str">
        <f>IF(COUNTIF(L$5:L345,L345)=1,MAX(S$5:S345)+1,"")</f>
        <v/>
      </c>
      <c r="T345" s="149">
        <f t="shared" si="5"/>
        <v>0</v>
      </c>
    </row>
    <row r="346" spans="1:20" hidden="1">
      <c r="A346" s="149"/>
      <c r="B346" s="149"/>
      <c r="C346" s="149"/>
      <c r="D346" s="149"/>
      <c r="E346" s="281"/>
      <c r="F346" s="281"/>
      <c r="G346" s="149"/>
      <c r="H346" s="149"/>
      <c r="I346" s="149"/>
      <c r="J346" s="149"/>
      <c r="K346" s="149"/>
      <c r="L346" s="149"/>
      <c r="M346" s="149"/>
      <c r="N346" s="149"/>
      <c r="O346" s="149"/>
      <c r="P346" s="149"/>
      <c r="Q346" s="149"/>
      <c r="R346" s="149"/>
      <c r="S346" s="149" t="str">
        <f>IF(COUNTIF(L$5:L346,L346)=1,MAX(S$5:S346)+1,"")</f>
        <v/>
      </c>
      <c r="T346" s="149">
        <f t="shared" si="5"/>
        <v>0</v>
      </c>
    </row>
    <row r="347" spans="1:20" hidden="1">
      <c r="A347" s="149"/>
      <c r="B347" s="149"/>
      <c r="C347" s="149"/>
      <c r="D347" s="149"/>
      <c r="E347" s="281"/>
      <c r="F347" s="281"/>
      <c r="G347" s="149"/>
      <c r="H347" s="149"/>
      <c r="I347" s="149"/>
      <c r="J347" s="149"/>
      <c r="K347" s="149"/>
      <c r="L347" s="149"/>
      <c r="M347" s="149"/>
      <c r="N347" s="149"/>
      <c r="O347" s="149"/>
      <c r="P347" s="149"/>
      <c r="Q347" s="149"/>
      <c r="R347" s="149"/>
      <c r="S347" s="149" t="str">
        <f>IF(COUNTIF(L$5:L347,L347)=1,MAX(S$5:S347)+1,"")</f>
        <v/>
      </c>
      <c r="T347" s="149">
        <f t="shared" si="5"/>
        <v>0</v>
      </c>
    </row>
    <row r="348" spans="1:20" hidden="1">
      <c r="A348" s="149"/>
      <c r="B348" s="149"/>
      <c r="C348" s="149"/>
      <c r="D348" s="149"/>
      <c r="E348" s="281"/>
      <c r="F348" s="281"/>
      <c r="G348" s="149"/>
      <c r="H348" s="149"/>
      <c r="I348" s="149"/>
      <c r="J348" s="149"/>
      <c r="K348" s="149"/>
      <c r="L348" s="149"/>
      <c r="M348" s="149"/>
      <c r="N348" s="149"/>
      <c r="O348" s="149"/>
      <c r="P348" s="149"/>
      <c r="Q348" s="149"/>
      <c r="R348" s="149"/>
      <c r="S348" s="149" t="str">
        <f>IF(COUNTIF(L$5:L348,L348)=1,MAX(S$5:S348)+1,"")</f>
        <v/>
      </c>
      <c r="T348" s="149">
        <f t="shared" si="5"/>
        <v>0</v>
      </c>
    </row>
    <row r="349" spans="1:20" hidden="1">
      <c r="A349" s="149"/>
      <c r="B349" s="149"/>
      <c r="C349" s="149"/>
      <c r="D349" s="149"/>
      <c r="E349" s="281"/>
      <c r="F349" s="281"/>
      <c r="G349" s="149"/>
      <c r="H349" s="149"/>
      <c r="I349" s="149"/>
      <c r="J349" s="149"/>
      <c r="K349" s="149"/>
      <c r="L349" s="149"/>
      <c r="M349" s="149"/>
      <c r="N349" s="149"/>
      <c r="O349" s="149"/>
      <c r="P349" s="149"/>
      <c r="Q349" s="149"/>
      <c r="R349" s="149"/>
      <c r="S349" s="149" t="str">
        <f>IF(COUNTIF(L$5:L349,L349)=1,MAX(S$5:S349)+1,"")</f>
        <v/>
      </c>
      <c r="T349" s="149">
        <f t="shared" si="5"/>
        <v>0</v>
      </c>
    </row>
    <row r="350" spans="1:20" hidden="1">
      <c r="A350" s="149"/>
      <c r="B350" s="149"/>
      <c r="C350" s="149"/>
      <c r="D350" s="149"/>
      <c r="E350" s="281"/>
      <c r="F350" s="281"/>
      <c r="G350" s="149"/>
      <c r="H350" s="149"/>
      <c r="I350" s="149"/>
      <c r="J350" s="149"/>
      <c r="K350" s="149"/>
      <c r="L350" s="149"/>
      <c r="M350" s="149"/>
      <c r="N350" s="149"/>
      <c r="O350" s="149"/>
      <c r="P350" s="149"/>
      <c r="Q350" s="149"/>
      <c r="R350" s="149"/>
      <c r="S350" s="149" t="str">
        <f>IF(COUNTIF(L$5:L350,L350)=1,MAX(S$5:S350)+1,"")</f>
        <v/>
      </c>
      <c r="T350" s="149">
        <f t="shared" si="5"/>
        <v>0</v>
      </c>
    </row>
    <row r="351" spans="1:20" hidden="1">
      <c r="A351" s="149"/>
      <c r="B351" s="149"/>
      <c r="C351" s="149"/>
      <c r="D351" s="149"/>
      <c r="E351" s="281"/>
      <c r="F351" s="281"/>
      <c r="G351" s="149"/>
      <c r="H351" s="149"/>
      <c r="I351" s="149"/>
      <c r="J351" s="149"/>
      <c r="K351" s="149"/>
      <c r="L351" s="149"/>
      <c r="M351" s="149"/>
      <c r="N351" s="149"/>
      <c r="O351" s="149"/>
      <c r="P351" s="149"/>
      <c r="Q351" s="149"/>
      <c r="R351" s="149"/>
      <c r="S351" s="149" t="str">
        <f>IF(COUNTIF(L$5:L351,L351)=1,MAX(S$5:S351)+1,"")</f>
        <v/>
      </c>
      <c r="T351" s="149">
        <f t="shared" si="5"/>
        <v>0</v>
      </c>
    </row>
    <row r="352" spans="1:20" hidden="1">
      <c r="A352" s="149"/>
      <c r="B352" s="149"/>
      <c r="C352" s="149"/>
      <c r="D352" s="149"/>
      <c r="E352" s="281"/>
      <c r="F352" s="281"/>
      <c r="G352" s="149"/>
      <c r="H352" s="149"/>
      <c r="I352" s="149"/>
      <c r="J352" s="149"/>
      <c r="K352" s="149"/>
      <c r="L352" s="149"/>
      <c r="M352" s="149"/>
      <c r="N352" s="149"/>
      <c r="O352" s="149"/>
      <c r="P352" s="149"/>
      <c r="Q352" s="149"/>
      <c r="R352" s="149"/>
      <c r="S352" s="149" t="str">
        <f>IF(COUNTIF(L$5:L352,L352)=1,MAX(S$5:S352)+1,"")</f>
        <v/>
      </c>
      <c r="T352" s="149">
        <f t="shared" si="5"/>
        <v>0</v>
      </c>
    </row>
    <row r="353" spans="1:20" hidden="1">
      <c r="A353" s="149"/>
      <c r="B353" s="149"/>
      <c r="C353" s="149"/>
      <c r="D353" s="149"/>
      <c r="E353" s="281"/>
      <c r="F353" s="281"/>
      <c r="G353" s="149"/>
      <c r="H353" s="149"/>
      <c r="I353" s="149"/>
      <c r="J353" s="149"/>
      <c r="K353" s="149"/>
      <c r="L353" s="149"/>
      <c r="M353" s="149"/>
      <c r="N353" s="149"/>
      <c r="O353" s="149"/>
      <c r="P353" s="149"/>
      <c r="Q353" s="149"/>
      <c r="R353" s="149"/>
      <c r="S353" s="149" t="str">
        <f>IF(COUNTIF(L$5:L353,L353)=1,MAX(S$5:S353)+1,"")</f>
        <v/>
      </c>
      <c r="T353" s="149">
        <f t="shared" si="5"/>
        <v>0</v>
      </c>
    </row>
    <row r="354" spans="1:20" hidden="1">
      <c r="A354" s="149"/>
      <c r="B354" s="149"/>
      <c r="C354" s="149"/>
      <c r="D354" s="149"/>
      <c r="E354" s="281"/>
      <c r="F354" s="281"/>
      <c r="G354" s="149"/>
      <c r="H354" s="149"/>
      <c r="I354" s="149"/>
      <c r="J354" s="149"/>
      <c r="K354" s="149"/>
      <c r="L354" s="149"/>
      <c r="M354" s="149"/>
      <c r="N354" s="149"/>
      <c r="O354" s="149"/>
      <c r="P354" s="149"/>
      <c r="Q354" s="149"/>
      <c r="R354" s="149"/>
      <c r="S354" s="149" t="str">
        <f>IF(COUNTIF(L$5:L354,L354)=1,MAX(S$5:S354)+1,"")</f>
        <v/>
      </c>
      <c r="T354" s="149">
        <f t="shared" si="5"/>
        <v>0</v>
      </c>
    </row>
    <row r="355" spans="1:20" hidden="1">
      <c r="A355" s="149"/>
      <c r="B355" s="149"/>
      <c r="C355" s="149"/>
      <c r="D355" s="149"/>
      <c r="E355" s="281"/>
      <c r="F355" s="281"/>
      <c r="G355" s="149"/>
      <c r="H355" s="149"/>
      <c r="I355" s="149"/>
      <c r="J355" s="149"/>
      <c r="K355" s="149"/>
      <c r="L355" s="149"/>
      <c r="M355" s="149"/>
      <c r="N355" s="149"/>
      <c r="O355" s="149"/>
      <c r="P355" s="149"/>
      <c r="Q355" s="149"/>
      <c r="R355" s="149"/>
      <c r="S355" s="149" t="str">
        <f>IF(COUNTIF(L$5:L355,L355)=1,MAX(S$5:S355)+1,"")</f>
        <v/>
      </c>
      <c r="T355" s="149">
        <f t="shared" si="5"/>
        <v>0</v>
      </c>
    </row>
    <row r="356" spans="1:20" hidden="1">
      <c r="A356" s="149"/>
      <c r="B356" s="149"/>
      <c r="C356" s="149"/>
      <c r="D356" s="149"/>
      <c r="E356" s="281"/>
      <c r="F356" s="281"/>
      <c r="G356" s="149"/>
      <c r="H356" s="149"/>
      <c r="I356" s="149"/>
      <c r="J356" s="149"/>
      <c r="K356" s="149"/>
      <c r="L356" s="149"/>
      <c r="M356" s="149"/>
      <c r="N356" s="149"/>
      <c r="O356" s="149"/>
      <c r="P356" s="149"/>
      <c r="Q356" s="149"/>
      <c r="R356" s="149"/>
      <c r="S356" s="149" t="str">
        <f>IF(COUNTIF(L$5:L356,L356)=1,MAX(S$5:S356)+1,"")</f>
        <v/>
      </c>
      <c r="T356" s="149">
        <f t="shared" si="5"/>
        <v>0</v>
      </c>
    </row>
    <row r="357" spans="1:20" hidden="1">
      <c r="A357" s="149"/>
      <c r="B357" s="149"/>
      <c r="C357" s="149"/>
      <c r="D357" s="149"/>
      <c r="E357" s="281"/>
      <c r="F357" s="281"/>
      <c r="G357" s="149"/>
      <c r="H357" s="149"/>
      <c r="I357" s="149"/>
      <c r="J357" s="149"/>
      <c r="K357" s="149"/>
      <c r="L357" s="149"/>
      <c r="M357" s="149"/>
      <c r="N357" s="149"/>
      <c r="O357" s="149"/>
      <c r="P357" s="149"/>
      <c r="Q357" s="149"/>
      <c r="R357" s="149"/>
      <c r="S357" s="149" t="str">
        <f>IF(COUNTIF(L$5:L357,L357)=1,MAX(S$5:S357)+1,"")</f>
        <v/>
      </c>
      <c r="T357" s="149">
        <f t="shared" si="5"/>
        <v>0</v>
      </c>
    </row>
    <row r="358" spans="1:20" hidden="1">
      <c r="A358" s="149"/>
      <c r="B358" s="149"/>
      <c r="C358" s="149"/>
      <c r="D358" s="149"/>
      <c r="E358" s="281"/>
      <c r="F358" s="281"/>
      <c r="G358" s="149"/>
      <c r="H358" s="149"/>
      <c r="I358" s="149"/>
      <c r="J358" s="149"/>
      <c r="K358" s="149"/>
      <c r="L358" s="149"/>
      <c r="M358" s="149"/>
      <c r="N358" s="149"/>
      <c r="O358" s="149"/>
      <c r="P358" s="149"/>
      <c r="Q358" s="149"/>
      <c r="R358" s="149"/>
      <c r="S358" s="149" t="str">
        <f>IF(COUNTIF(L$5:L358,L358)=1,MAX(S$5:S358)+1,"")</f>
        <v/>
      </c>
      <c r="T358" s="149">
        <f t="shared" si="5"/>
        <v>0</v>
      </c>
    </row>
    <row r="359" spans="1:20" hidden="1">
      <c r="A359" s="149"/>
      <c r="B359" s="149"/>
      <c r="C359" s="149"/>
      <c r="D359" s="149"/>
      <c r="E359" s="281"/>
      <c r="F359" s="281"/>
      <c r="G359" s="149"/>
      <c r="H359" s="149"/>
      <c r="I359" s="149"/>
      <c r="J359" s="149"/>
      <c r="K359" s="149"/>
      <c r="L359" s="149"/>
      <c r="M359" s="149"/>
      <c r="N359" s="149"/>
      <c r="O359" s="149"/>
      <c r="P359" s="149"/>
      <c r="Q359" s="149"/>
      <c r="R359" s="149"/>
      <c r="S359" s="149" t="str">
        <f>IF(COUNTIF(L$5:L359,L359)=1,MAX(S$5:S359)+1,"")</f>
        <v/>
      </c>
      <c r="T359" s="149">
        <f t="shared" si="5"/>
        <v>0</v>
      </c>
    </row>
    <row r="360" spans="1:20" hidden="1">
      <c r="A360" s="149"/>
      <c r="B360" s="149"/>
      <c r="C360" s="149"/>
      <c r="D360" s="149"/>
      <c r="E360" s="281"/>
      <c r="F360" s="281"/>
      <c r="G360" s="149"/>
      <c r="H360" s="149"/>
      <c r="I360" s="149"/>
      <c r="J360" s="149"/>
      <c r="K360" s="149"/>
      <c r="L360" s="149"/>
      <c r="M360" s="149"/>
      <c r="N360" s="149"/>
      <c r="O360" s="149"/>
      <c r="P360" s="149"/>
      <c r="Q360" s="149"/>
      <c r="R360" s="149"/>
      <c r="S360" s="149" t="str">
        <f>IF(COUNTIF(L$5:L360,L360)=1,MAX(S$5:S360)+1,"")</f>
        <v/>
      </c>
      <c r="T360" s="149">
        <f t="shared" si="5"/>
        <v>0</v>
      </c>
    </row>
    <row r="361" spans="1:20" hidden="1">
      <c r="A361" s="149"/>
      <c r="B361" s="149"/>
      <c r="C361" s="149"/>
      <c r="D361" s="149"/>
      <c r="E361" s="281"/>
      <c r="F361" s="281"/>
      <c r="G361" s="149"/>
      <c r="H361" s="149"/>
      <c r="I361" s="149"/>
      <c r="J361" s="149"/>
      <c r="K361" s="149"/>
      <c r="L361" s="149"/>
      <c r="M361" s="149"/>
      <c r="N361" s="149"/>
      <c r="O361" s="149"/>
      <c r="P361" s="149"/>
      <c r="Q361" s="149"/>
      <c r="R361" s="149"/>
      <c r="S361" s="149" t="str">
        <f>IF(COUNTIF(L$5:L361,L361)=1,MAX(S$5:S361)+1,"")</f>
        <v/>
      </c>
      <c r="T361" s="149">
        <f t="shared" si="5"/>
        <v>0</v>
      </c>
    </row>
    <row r="362" spans="1:20" hidden="1">
      <c r="A362" s="149"/>
      <c r="B362" s="149"/>
      <c r="C362" s="149"/>
      <c r="D362" s="149"/>
      <c r="E362" s="281"/>
      <c r="F362" s="281"/>
      <c r="G362" s="149"/>
      <c r="H362" s="149"/>
      <c r="I362" s="149"/>
      <c r="J362" s="149"/>
      <c r="K362" s="149"/>
      <c r="L362" s="149"/>
      <c r="M362" s="149"/>
      <c r="N362" s="149"/>
      <c r="O362" s="149"/>
      <c r="P362" s="149"/>
      <c r="Q362" s="149"/>
      <c r="R362" s="149"/>
      <c r="S362" s="149" t="str">
        <f>IF(COUNTIF(L$5:L362,L362)=1,MAX(S$5:S362)+1,"")</f>
        <v/>
      </c>
      <c r="T362" s="149">
        <f t="shared" si="5"/>
        <v>0</v>
      </c>
    </row>
    <row r="363" spans="1:20" hidden="1">
      <c r="A363" s="149"/>
      <c r="B363" s="149"/>
      <c r="C363" s="149"/>
      <c r="D363" s="149"/>
      <c r="E363" s="281"/>
      <c r="F363" s="281"/>
      <c r="G363" s="149"/>
      <c r="H363" s="149"/>
      <c r="I363" s="149"/>
      <c r="J363" s="149"/>
      <c r="K363" s="149"/>
      <c r="L363" s="149"/>
      <c r="M363" s="149"/>
      <c r="N363" s="149"/>
      <c r="O363" s="149"/>
      <c r="P363" s="149"/>
      <c r="Q363" s="149"/>
      <c r="R363" s="149"/>
      <c r="S363" s="149" t="str">
        <f>IF(COUNTIF(L$5:L363,L363)=1,MAX(S$5:S363)+1,"")</f>
        <v/>
      </c>
      <c r="T363" s="149">
        <f t="shared" si="5"/>
        <v>0</v>
      </c>
    </row>
    <row r="364" spans="1:20" hidden="1">
      <c r="A364" s="149"/>
      <c r="B364" s="149"/>
      <c r="C364" s="149"/>
      <c r="D364" s="149"/>
      <c r="E364" s="281"/>
      <c r="F364" s="281"/>
      <c r="G364" s="149"/>
      <c r="H364" s="149"/>
      <c r="I364" s="149"/>
      <c r="J364" s="149"/>
      <c r="K364" s="149"/>
      <c r="L364" s="149"/>
      <c r="M364" s="149"/>
      <c r="N364" s="149"/>
      <c r="O364" s="149"/>
      <c r="P364" s="149"/>
      <c r="Q364" s="149"/>
      <c r="R364" s="149"/>
      <c r="S364" s="149" t="str">
        <f>IF(COUNTIF(L$5:L364,L364)=1,MAX(S$5:S364)+1,"")</f>
        <v/>
      </c>
      <c r="T364" s="149">
        <f t="shared" si="5"/>
        <v>0</v>
      </c>
    </row>
    <row r="365" spans="1:20" hidden="1">
      <c r="A365" s="149"/>
      <c r="B365" s="149"/>
      <c r="C365" s="149"/>
      <c r="D365" s="149"/>
      <c r="E365" s="281"/>
      <c r="F365" s="281"/>
      <c r="G365" s="149"/>
      <c r="H365" s="149"/>
      <c r="I365" s="149"/>
      <c r="J365" s="149"/>
      <c r="K365" s="149"/>
      <c r="L365" s="149"/>
      <c r="M365" s="149"/>
      <c r="N365" s="149"/>
      <c r="O365" s="149"/>
      <c r="P365" s="149"/>
      <c r="Q365" s="149"/>
      <c r="R365" s="149"/>
      <c r="S365" s="149" t="str">
        <f>IF(COUNTIF(L$5:L365,L365)=1,MAX(S$5:S365)+1,"")</f>
        <v/>
      </c>
      <c r="T365" s="149">
        <f t="shared" si="5"/>
        <v>0</v>
      </c>
    </row>
    <row r="366" spans="1:20" hidden="1">
      <c r="A366" s="149"/>
      <c r="B366" s="149"/>
      <c r="C366" s="149"/>
      <c r="D366" s="149"/>
      <c r="E366" s="281"/>
      <c r="F366" s="281"/>
      <c r="G366" s="149"/>
      <c r="H366" s="149"/>
      <c r="I366" s="149"/>
      <c r="J366" s="149"/>
      <c r="K366" s="149"/>
      <c r="L366" s="149"/>
      <c r="M366" s="149"/>
      <c r="N366" s="149"/>
      <c r="O366" s="149"/>
      <c r="P366" s="149"/>
      <c r="Q366" s="149"/>
      <c r="R366" s="149"/>
      <c r="S366" s="149" t="str">
        <f>IF(COUNTIF(L$5:L366,L366)=1,MAX(S$5:S366)+1,"")</f>
        <v/>
      </c>
      <c r="T366" s="149">
        <f t="shared" si="5"/>
        <v>0</v>
      </c>
    </row>
    <row r="367" spans="1:20" hidden="1">
      <c r="A367" s="149"/>
      <c r="B367" s="149"/>
      <c r="C367" s="149"/>
      <c r="D367" s="149"/>
      <c r="E367" s="281"/>
      <c r="F367" s="281"/>
      <c r="G367" s="149"/>
      <c r="H367" s="149"/>
      <c r="I367" s="149"/>
      <c r="J367" s="149"/>
      <c r="K367" s="149"/>
      <c r="L367" s="149"/>
      <c r="M367" s="149"/>
      <c r="N367" s="149"/>
      <c r="O367" s="149"/>
      <c r="P367" s="149"/>
      <c r="Q367" s="149"/>
      <c r="R367" s="149"/>
      <c r="S367" s="149" t="str">
        <f>IF(COUNTIF(L$5:L367,L367)=1,MAX(S$5:S367)+1,"")</f>
        <v/>
      </c>
      <c r="T367" s="149">
        <f t="shared" si="5"/>
        <v>0</v>
      </c>
    </row>
    <row r="368" spans="1:20" hidden="1">
      <c r="A368" s="149"/>
      <c r="B368" s="149"/>
      <c r="C368" s="149"/>
      <c r="D368" s="149"/>
      <c r="E368" s="281"/>
      <c r="F368" s="281"/>
      <c r="G368" s="149"/>
      <c r="H368" s="149"/>
      <c r="I368" s="149"/>
      <c r="J368" s="149"/>
      <c r="K368" s="149"/>
      <c r="L368" s="149"/>
      <c r="M368" s="149"/>
      <c r="N368" s="149"/>
      <c r="O368" s="149"/>
      <c r="P368" s="149"/>
      <c r="Q368" s="149"/>
      <c r="R368" s="149"/>
      <c r="S368" s="149" t="str">
        <f>IF(COUNTIF(L$5:L368,L368)=1,MAX(S$5:S368)+1,"")</f>
        <v/>
      </c>
      <c r="T368" s="149">
        <f t="shared" si="5"/>
        <v>0</v>
      </c>
    </row>
    <row r="369" spans="1:20" hidden="1">
      <c r="A369" s="149"/>
      <c r="B369" s="149"/>
      <c r="C369" s="149"/>
      <c r="D369" s="149"/>
      <c r="E369" s="281"/>
      <c r="F369" s="281"/>
      <c r="G369" s="149"/>
      <c r="H369" s="149"/>
      <c r="I369" s="149"/>
      <c r="J369" s="149"/>
      <c r="K369" s="149"/>
      <c r="L369" s="149"/>
      <c r="M369" s="149"/>
      <c r="N369" s="149"/>
      <c r="O369" s="149"/>
      <c r="P369" s="149"/>
      <c r="Q369" s="149"/>
      <c r="R369" s="149"/>
      <c r="S369" s="149" t="str">
        <f>IF(COUNTIF(L$5:L369,L369)=1,MAX(S$5:S369)+1,"")</f>
        <v/>
      </c>
      <c r="T369" s="149">
        <f t="shared" si="5"/>
        <v>0</v>
      </c>
    </row>
    <row r="370" spans="1:20" hidden="1">
      <c r="A370" s="149"/>
      <c r="B370" s="149"/>
      <c r="C370" s="149"/>
      <c r="D370" s="149"/>
      <c r="E370" s="281"/>
      <c r="F370" s="281"/>
      <c r="G370" s="149"/>
      <c r="H370" s="149"/>
      <c r="I370" s="149"/>
      <c r="J370" s="149"/>
      <c r="K370" s="149"/>
      <c r="L370" s="149"/>
      <c r="M370" s="149"/>
      <c r="N370" s="149"/>
      <c r="O370" s="149"/>
      <c r="P370" s="149"/>
      <c r="Q370" s="149"/>
      <c r="R370" s="149"/>
      <c r="S370" s="149" t="str">
        <f>IF(COUNTIF(L$5:L370,L370)=1,MAX(S$5:S370)+1,"")</f>
        <v/>
      </c>
      <c r="T370" s="149">
        <f t="shared" si="5"/>
        <v>0</v>
      </c>
    </row>
    <row r="371" spans="1:20" hidden="1">
      <c r="A371" s="149"/>
      <c r="B371" s="149"/>
      <c r="C371" s="149"/>
      <c r="D371" s="149"/>
      <c r="E371" s="281"/>
      <c r="F371" s="281"/>
      <c r="G371" s="149"/>
      <c r="H371" s="149"/>
      <c r="I371" s="149"/>
      <c r="J371" s="149"/>
      <c r="K371" s="149"/>
      <c r="L371" s="149"/>
      <c r="M371" s="149"/>
      <c r="N371" s="149"/>
      <c r="O371" s="149"/>
      <c r="P371" s="149"/>
      <c r="Q371" s="149"/>
      <c r="R371" s="149"/>
      <c r="S371" s="149" t="str">
        <f>IF(COUNTIF(L$5:L371,L371)=1,MAX(S$5:S371)+1,"")</f>
        <v/>
      </c>
      <c r="T371" s="149">
        <f t="shared" si="5"/>
        <v>0</v>
      </c>
    </row>
    <row r="372" spans="1:20" hidden="1">
      <c r="A372" s="149"/>
      <c r="B372" s="149"/>
      <c r="C372" s="149"/>
      <c r="D372" s="149"/>
      <c r="E372" s="281"/>
      <c r="F372" s="281"/>
      <c r="G372" s="149"/>
      <c r="H372" s="149"/>
      <c r="I372" s="149"/>
      <c r="J372" s="149"/>
      <c r="K372" s="149"/>
      <c r="L372" s="149"/>
      <c r="M372" s="149"/>
      <c r="N372" s="149"/>
      <c r="O372" s="149"/>
      <c r="P372" s="149"/>
      <c r="Q372" s="149"/>
      <c r="R372" s="149"/>
      <c r="S372" s="149" t="str">
        <f>IF(COUNTIF(L$5:L372,L372)=1,MAX(S$5:S372)+1,"")</f>
        <v/>
      </c>
      <c r="T372" s="149">
        <f t="shared" si="5"/>
        <v>0</v>
      </c>
    </row>
    <row r="373" spans="1:20" hidden="1">
      <c r="A373" s="149"/>
      <c r="B373" s="149"/>
      <c r="C373" s="149"/>
      <c r="D373" s="149"/>
      <c r="E373" s="281"/>
      <c r="F373" s="281"/>
      <c r="G373" s="149"/>
      <c r="H373" s="149"/>
      <c r="I373" s="149"/>
      <c r="J373" s="149"/>
      <c r="K373" s="149"/>
      <c r="L373" s="149"/>
      <c r="M373" s="149"/>
      <c r="N373" s="149"/>
      <c r="O373" s="149"/>
      <c r="P373" s="149"/>
      <c r="Q373" s="149"/>
      <c r="R373" s="149"/>
      <c r="S373" s="149" t="str">
        <f>IF(COUNTIF(L$5:L373,L373)=1,MAX(S$5:S373)+1,"")</f>
        <v/>
      </c>
      <c r="T373" s="149">
        <f t="shared" si="5"/>
        <v>0</v>
      </c>
    </row>
    <row r="374" spans="1:20" hidden="1">
      <c r="A374" s="149"/>
      <c r="B374" s="149"/>
      <c r="C374" s="149"/>
      <c r="D374" s="149"/>
      <c r="E374" s="281"/>
      <c r="F374" s="281"/>
      <c r="G374" s="149"/>
      <c r="H374" s="149"/>
      <c r="I374" s="149"/>
      <c r="J374" s="149"/>
      <c r="K374" s="149"/>
      <c r="L374" s="149"/>
      <c r="M374" s="149"/>
      <c r="N374" s="149"/>
      <c r="O374" s="149"/>
      <c r="P374" s="149"/>
      <c r="Q374" s="149"/>
      <c r="R374" s="149"/>
      <c r="S374" s="149" t="str">
        <f>IF(COUNTIF(L$5:L374,L374)=1,MAX(S$5:S374)+1,"")</f>
        <v/>
      </c>
      <c r="T374" s="149">
        <f t="shared" si="5"/>
        <v>0</v>
      </c>
    </row>
    <row r="375" spans="1:20" hidden="1">
      <c r="A375" s="149"/>
      <c r="B375" s="149"/>
      <c r="C375" s="149"/>
      <c r="D375" s="149"/>
      <c r="E375" s="281"/>
      <c r="F375" s="281"/>
      <c r="G375" s="149"/>
      <c r="H375" s="149"/>
      <c r="I375" s="149"/>
      <c r="J375" s="149"/>
      <c r="K375" s="149"/>
      <c r="L375" s="149"/>
      <c r="M375" s="149"/>
      <c r="N375" s="149"/>
      <c r="O375" s="149"/>
      <c r="P375" s="149"/>
      <c r="Q375" s="149"/>
      <c r="R375" s="149"/>
      <c r="S375" s="149" t="str">
        <f>IF(COUNTIF(L$5:L375,L375)=1,MAX(S$5:S375)+1,"")</f>
        <v/>
      </c>
      <c r="T375" s="149">
        <f t="shared" si="5"/>
        <v>0</v>
      </c>
    </row>
    <row r="376" spans="1:20" hidden="1">
      <c r="A376" s="149"/>
      <c r="B376" s="149"/>
      <c r="C376" s="149"/>
      <c r="D376" s="149"/>
      <c r="E376" s="281"/>
      <c r="F376" s="281"/>
      <c r="G376" s="149"/>
      <c r="H376" s="149"/>
      <c r="I376" s="149"/>
      <c r="J376" s="149"/>
      <c r="K376" s="149"/>
      <c r="L376" s="149"/>
      <c r="M376" s="149"/>
      <c r="N376" s="149"/>
      <c r="O376" s="149"/>
      <c r="P376" s="149"/>
      <c r="Q376" s="149"/>
      <c r="R376" s="149"/>
      <c r="S376" s="149" t="str">
        <f>IF(COUNTIF(L$5:L376,L376)=1,MAX(S$5:S376)+1,"")</f>
        <v/>
      </c>
      <c r="T376" s="149">
        <f t="shared" si="5"/>
        <v>0</v>
      </c>
    </row>
    <row r="377" spans="1:20" hidden="1">
      <c r="A377" s="149"/>
      <c r="B377" s="149"/>
      <c r="C377" s="149"/>
      <c r="D377" s="149"/>
      <c r="E377" s="281"/>
      <c r="F377" s="281"/>
      <c r="G377" s="149"/>
      <c r="H377" s="149"/>
      <c r="I377" s="149"/>
      <c r="J377" s="149"/>
      <c r="K377" s="149"/>
      <c r="L377" s="149"/>
      <c r="M377" s="149"/>
      <c r="N377" s="149"/>
      <c r="O377" s="149"/>
      <c r="P377" s="149"/>
      <c r="Q377" s="149"/>
      <c r="R377" s="149"/>
      <c r="S377" s="149" t="str">
        <f>IF(COUNTIF(L$5:L377,L377)=1,MAX(S$5:S377)+1,"")</f>
        <v/>
      </c>
      <c r="T377" s="149">
        <f t="shared" si="5"/>
        <v>0</v>
      </c>
    </row>
    <row r="378" spans="1:20" hidden="1">
      <c r="A378" s="149"/>
      <c r="B378" s="149"/>
      <c r="C378" s="149"/>
      <c r="D378" s="149"/>
      <c r="E378" s="281"/>
      <c r="F378" s="281"/>
      <c r="G378" s="149"/>
      <c r="H378" s="149"/>
      <c r="I378" s="149"/>
      <c r="J378" s="149"/>
      <c r="K378" s="149"/>
      <c r="L378" s="149"/>
      <c r="M378" s="149"/>
      <c r="N378" s="149"/>
      <c r="O378" s="149"/>
      <c r="P378" s="149"/>
      <c r="Q378" s="149"/>
      <c r="R378" s="149"/>
      <c r="S378" s="149" t="str">
        <f>IF(COUNTIF(L$5:L378,L378)=1,MAX(S$5:S378)+1,"")</f>
        <v/>
      </c>
      <c r="T378" s="149">
        <f t="shared" si="5"/>
        <v>0</v>
      </c>
    </row>
    <row r="379" spans="1:20" hidden="1">
      <c r="A379" s="149"/>
      <c r="B379" s="149"/>
      <c r="C379" s="149"/>
      <c r="D379" s="149"/>
      <c r="E379" s="281"/>
      <c r="F379" s="281"/>
      <c r="G379" s="149"/>
      <c r="H379" s="149"/>
      <c r="I379" s="149"/>
      <c r="J379" s="149"/>
      <c r="K379" s="149"/>
      <c r="L379" s="149"/>
      <c r="M379" s="149"/>
      <c r="N379" s="149"/>
      <c r="O379" s="149"/>
      <c r="P379" s="149"/>
      <c r="Q379" s="149"/>
      <c r="R379" s="149"/>
      <c r="S379" s="149" t="str">
        <f>IF(COUNTIF(L$5:L379,L379)=1,MAX(S$5:S379)+1,"")</f>
        <v/>
      </c>
      <c r="T379" s="149">
        <f t="shared" si="5"/>
        <v>0</v>
      </c>
    </row>
    <row r="380" spans="1:20" hidden="1">
      <c r="A380" s="149"/>
      <c r="B380" s="149"/>
      <c r="C380" s="149"/>
      <c r="D380" s="149"/>
      <c r="E380" s="281"/>
      <c r="F380" s="281"/>
      <c r="G380" s="149"/>
      <c r="H380" s="149"/>
      <c r="I380" s="149"/>
      <c r="J380" s="149"/>
      <c r="K380" s="149"/>
      <c r="L380" s="149"/>
      <c r="M380" s="149"/>
      <c r="N380" s="149"/>
      <c r="O380" s="149"/>
      <c r="P380" s="149"/>
      <c r="Q380" s="149"/>
      <c r="R380" s="149"/>
      <c r="S380" s="149" t="str">
        <f>IF(COUNTIF(L$5:L380,L380)=1,MAX(S$5:S380)+1,"")</f>
        <v/>
      </c>
      <c r="T380" s="149">
        <f t="shared" si="5"/>
        <v>0</v>
      </c>
    </row>
    <row r="381" spans="1:20" hidden="1">
      <c r="A381" s="149"/>
      <c r="B381" s="149"/>
      <c r="C381" s="149"/>
      <c r="D381" s="149"/>
      <c r="E381" s="281"/>
      <c r="F381" s="281"/>
      <c r="G381" s="149"/>
      <c r="H381" s="149"/>
      <c r="I381" s="149"/>
      <c r="J381" s="149"/>
      <c r="K381" s="149"/>
      <c r="L381" s="149"/>
      <c r="M381" s="149"/>
      <c r="N381" s="149"/>
      <c r="O381" s="149"/>
      <c r="P381" s="149"/>
      <c r="Q381" s="149"/>
      <c r="R381" s="149"/>
      <c r="S381" s="149" t="str">
        <f>IF(COUNTIF(L$5:L381,L381)=1,MAX(S$5:S381)+1,"")</f>
        <v/>
      </c>
      <c r="T381" s="149">
        <f t="shared" si="5"/>
        <v>0</v>
      </c>
    </row>
    <row r="382" spans="1:20" hidden="1">
      <c r="A382" s="149"/>
      <c r="B382" s="149"/>
      <c r="C382" s="149"/>
      <c r="D382" s="149"/>
      <c r="E382" s="281"/>
      <c r="F382" s="281"/>
      <c r="G382" s="149"/>
      <c r="H382" s="149"/>
      <c r="I382" s="149"/>
      <c r="J382" s="149"/>
      <c r="K382" s="149"/>
      <c r="L382" s="149"/>
      <c r="M382" s="149"/>
      <c r="N382" s="149"/>
      <c r="O382" s="149"/>
      <c r="P382" s="149"/>
      <c r="Q382" s="149"/>
      <c r="R382" s="149"/>
      <c r="S382" s="149" t="str">
        <f>IF(COUNTIF(L$5:L382,L382)=1,MAX(S$5:S382)+1,"")</f>
        <v/>
      </c>
      <c r="T382" s="149">
        <f t="shared" si="5"/>
        <v>0</v>
      </c>
    </row>
    <row r="383" spans="1:20" hidden="1">
      <c r="A383" s="149"/>
      <c r="B383" s="149"/>
      <c r="C383" s="149"/>
      <c r="D383" s="149"/>
      <c r="E383" s="281"/>
      <c r="F383" s="281"/>
      <c r="G383" s="149"/>
      <c r="H383" s="149"/>
      <c r="I383" s="149"/>
      <c r="J383" s="149"/>
      <c r="K383" s="149"/>
      <c r="L383" s="149"/>
      <c r="M383" s="149"/>
      <c r="N383" s="149"/>
      <c r="O383" s="149"/>
      <c r="P383" s="149"/>
      <c r="Q383" s="149"/>
      <c r="R383" s="149"/>
      <c r="S383" s="149" t="str">
        <f>IF(COUNTIF(L$5:L383,L383)=1,MAX(S$5:S383)+1,"")</f>
        <v/>
      </c>
      <c r="T383" s="149">
        <f t="shared" si="5"/>
        <v>0</v>
      </c>
    </row>
    <row r="384" spans="1:20" hidden="1">
      <c r="A384" s="149"/>
      <c r="B384" s="149"/>
      <c r="C384" s="149"/>
      <c r="D384" s="149"/>
      <c r="E384" s="281"/>
      <c r="F384" s="281"/>
      <c r="G384" s="149"/>
      <c r="H384" s="149"/>
      <c r="I384" s="149"/>
      <c r="J384" s="149"/>
      <c r="K384" s="149"/>
      <c r="L384" s="149"/>
      <c r="M384" s="149"/>
      <c r="N384" s="149"/>
      <c r="O384" s="149"/>
      <c r="P384" s="149"/>
      <c r="Q384" s="149"/>
      <c r="R384" s="149"/>
      <c r="S384" s="149" t="str">
        <f>IF(COUNTIF(L$5:L384,L384)=1,MAX(S$5:S384)+1,"")</f>
        <v/>
      </c>
      <c r="T384" s="149">
        <f t="shared" si="5"/>
        <v>0</v>
      </c>
    </row>
    <row r="385" spans="1:20" hidden="1">
      <c r="A385" s="149"/>
      <c r="B385" s="149"/>
      <c r="C385" s="149"/>
      <c r="D385" s="149"/>
      <c r="E385" s="281"/>
      <c r="F385" s="281"/>
      <c r="G385" s="149"/>
      <c r="H385" s="149"/>
      <c r="I385" s="149"/>
      <c r="J385" s="149"/>
      <c r="K385" s="149"/>
      <c r="L385" s="149"/>
      <c r="M385" s="149"/>
      <c r="N385" s="149"/>
      <c r="O385" s="149"/>
      <c r="P385" s="149"/>
      <c r="Q385" s="149"/>
      <c r="R385" s="149"/>
      <c r="S385" s="149" t="str">
        <f>IF(COUNTIF(L$5:L385,L385)=1,MAX(S$5:S385)+1,"")</f>
        <v/>
      </c>
      <c r="T385" s="149">
        <f t="shared" si="5"/>
        <v>0</v>
      </c>
    </row>
    <row r="386" spans="1:20" hidden="1">
      <c r="A386" s="149"/>
      <c r="B386" s="149"/>
      <c r="C386" s="149"/>
      <c r="D386" s="149"/>
      <c r="E386" s="281"/>
      <c r="F386" s="281"/>
      <c r="G386" s="149"/>
      <c r="H386" s="149"/>
      <c r="I386" s="149"/>
      <c r="J386" s="149"/>
      <c r="K386" s="149"/>
      <c r="L386" s="149"/>
      <c r="M386" s="149"/>
      <c r="N386" s="149"/>
      <c r="O386" s="149"/>
      <c r="P386" s="149"/>
      <c r="Q386" s="149"/>
      <c r="R386" s="149"/>
      <c r="S386" s="149" t="str">
        <f>IF(COUNTIF(L$5:L386,L386)=1,MAX(S$5:S386)+1,"")</f>
        <v/>
      </c>
      <c r="T386" s="149">
        <f t="shared" si="5"/>
        <v>0</v>
      </c>
    </row>
    <row r="387" spans="1:20" hidden="1">
      <c r="A387" s="149"/>
      <c r="B387" s="149"/>
      <c r="C387" s="149"/>
      <c r="D387" s="149"/>
      <c r="E387" s="281"/>
      <c r="F387" s="281"/>
      <c r="G387" s="149"/>
      <c r="H387" s="149"/>
      <c r="I387" s="149"/>
      <c r="J387" s="149"/>
      <c r="K387" s="149"/>
      <c r="L387" s="149"/>
      <c r="M387" s="149"/>
      <c r="N387" s="149"/>
      <c r="O387" s="149"/>
      <c r="P387" s="149"/>
      <c r="Q387" s="149"/>
      <c r="R387" s="149"/>
      <c r="S387" s="149" t="str">
        <f>IF(COUNTIF(L$5:L387,L387)=1,MAX(S$5:S387)+1,"")</f>
        <v/>
      </c>
      <c r="T387" s="149">
        <f t="shared" si="5"/>
        <v>0</v>
      </c>
    </row>
    <row r="388" spans="1:20" hidden="1">
      <c r="A388" s="149"/>
      <c r="B388" s="149"/>
      <c r="C388" s="149"/>
      <c r="D388" s="149"/>
      <c r="E388" s="281"/>
      <c r="F388" s="281"/>
      <c r="G388" s="149"/>
      <c r="H388" s="149"/>
      <c r="I388" s="149"/>
      <c r="J388" s="149"/>
      <c r="K388" s="149"/>
      <c r="L388" s="149"/>
      <c r="M388" s="149"/>
      <c r="N388" s="149"/>
      <c r="O388" s="149"/>
      <c r="P388" s="149"/>
      <c r="Q388" s="149"/>
      <c r="R388" s="149"/>
      <c r="S388" s="149" t="str">
        <f>IF(COUNTIF(L$5:L388,L388)=1,MAX(S$5:S388)+1,"")</f>
        <v/>
      </c>
      <c r="T388" s="149">
        <f t="shared" si="5"/>
        <v>0</v>
      </c>
    </row>
    <row r="389" spans="1:20" hidden="1">
      <c r="A389" s="149"/>
      <c r="B389" s="149"/>
      <c r="C389" s="149"/>
      <c r="D389" s="149"/>
      <c r="E389" s="281"/>
      <c r="F389" s="281"/>
      <c r="G389" s="149"/>
      <c r="H389" s="149"/>
      <c r="I389" s="149"/>
      <c r="J389" s="149"/>
      <c r="K389" s="149"/>
      <c r="L389" s="149"/>
      <c r="M389" s="149"/>
      <c r="N389" s="149"/>
      <c r="O389" s="149"/>
      <c r="P389" s="149"/>
      <c r="Q389" s="149"/>
      <c r="R389" s="149"/>
      <c r="S389" s="149" t="str">
        <f>IF(COUNTIF(L$5:L389,L389)=1,MAX(S$5:S389)+1,"")</f>
        <v/>
      </c>
      <c r="T389" s="149">
        <f t="shared" ref="T389:T452" si="6">L389:L596</f>
        <v>0</v>
      </c>
    </row>
    <row r="390" spans="1:20" hidden="1">
      <c r="A390" s="149"/>
      <c r="B390" s="149"/>
      <c r="C390" s="149"/>
      <c r="D390" s="149"/>
      <c r="E390" s="281"/>
      <c r="F390" s="281"/>
      <c r="G390" s="149"/>
      <c r="H390" s="149"/>
      <c r="I390" s="149"/>
      <c r="J390" s="149"/>
      <c r="K390" s="149"/>
      <c r="L390" s="149"/>
      <c r="M390" s="149"/>
      <c r="N390" s="149"/>
      <c r="O390" s="149"/>
      <c r="P390" s="149"/>
      <c r="Q390" s="149"/>
      <c r="R390" s="149"/>
      <c r="S390" s="149" t="str">
        <f>IF(COUNTIF(L$5:L390,L390)=1,MAX(S$5:S390)+1,"")</f>
        <v/>
      </c>
      <c r="T390" s="149">
        <f t="shared" si="6"/>
        <v>0</v>
      </c>
    </row>
    <row r="391" spans="1:20" hidden="1">
      <c r="A391" s="149"/>
      <c r="B391" s="149"/>
      <c r="C391" s="149"/>
      <c r="D391" s="149"/>
      <c r="E391" s="281"/>
      <c r="F391" s="281"/>
      <c r="G391" s="149"/>
      <c r="H391" s="149"/>
      <c r="I391" s="149"/>
      <c r="J391" s="149"/>
      <c r="K391" s="149"/>
      <c r="L391" s="149"/>
      <c r="M391" s="149"/>
      <c r="N391" s="149"/>
      <c r="O391" s="149"/>
      <c r="P391" s="149"/>
      <c r="Q391" s="149"/>
      <c r="R391" s="149"/>
      <c r="S391" s="149" t="str">
        <f>IF(COUNTIF(L$5:L391,L391)=1,MAX(S$5:S391)+1,"")</f>
        <v/>
      </c>
      <c r="T391" s="149">
        <f t="shared" si="6"/>
        <v>0</v>
      </c>
    </row>
    <row r="392" spans="1:20" hidden="1">
      <c r="A392" s="149"/>
      <c r="B392" s="149"/>
      <c r="C392" s="149"/>
      <c r="D392" s="149"/>
      <c r="E392" s="281"/>
      <c r="F392" s="281"/>
      <c r="G392" s="149"/>
      <c r="H392" s="149"/>
      <c r="I392" s="149"/>
      <c r="J392" s="149"/>
      <c r="K392" s="149"/>
      <c r="L392" s="149"/>
      <c r="M392" s="149"/>
      <c r="N392" s="149"/>
      <c r="O392" s="149"/>
      <c r="P392" s="149"/>
      <c r="Q392" s="149"/>
      <c r="R392" s="149"/>
      <c r="S392" s="149" t="str">
        <f>IF(COUNTIF(L$5:L392,L392)=1,MAX(S$5:S392)+1,"")</f>
        <v/>
      </c>
      <c r="T392" s="149">
        <f t="shared" si="6"/>
        <v>0</v>
      </c>
    </row>
    <row r="393" spans="1:20" hidden="1">
      <c r="A393" s="149"/>
      <c r="B393" s="149"/>
      <c r="C393" s="149"/>
      <c r="D393" s="149"/>
      <c r="E393" s="281"/>
      <c r="F393" s="281"/>
      <c r="G393" s="149"/>
      <c r="H393" s="149"/>
      <c r="I393" s="149"/>
      <c r="J393" s="149"/>
      <c r="K393" s="149"/>
      <c r="L393" s="149"/>
      <c r="M393" s="149"/>
      <c r="N393" s="149"/>
      <c r="O393" s="149"/>
      <c r="P393" s="149"/>
      <c r="Q393" s="149"/>
      <c r="R393" s="149"/>
      <c r="S393" s="149" t="str">
        <f>IF(COUNTIF(L$5:L393,L393)=1,MAX(S$5:S393)+1,"")</f>
        <v/>
      </c>
      <c r="T393" s="149">
        <f t="shared" si="6"/>
        <v>0</v>
      </c>
    </row>
    <row r="394" spans="1:20" hidden="1">
      <c r="A394" s="149"/>
      <c r="B394" s="149"/>
      <c r="C394" s="149"/>
      <c r="D394" s="149"/>
      <c r="E394" s="281"/>
      <c r="F394" s="281"/>
      <c r="G394" s="149"/>
      <c r="H394" s="149"/>
      <c r="I394" s="149"/>
      <c r="J394" s="149"/>
      <c r="K394" s="149"/>
      <c r="L394" s="149"/>
      <c r="M394" s="149"/>
      <c r="N394" s="149"/>
      <c r="O394" s="149"/>
      <c r="P394" s="149"/>
      <c r="Q394" s="149"/>
      <c r="R394" s="149"/>
      <c r="S394" s="149" t="str">
        <f>IF(COUNTIF(L$5:L394,L394)=1,MAX(S$5:S394)+1,"")</f>
        <v/>
      </c>
      <c r="T394" s="149">
        <f t="shared" si="6"/>
        <v>0</v>
      </c>
    </row>
    <row r="395" spans="1:20" hidden="1">
      <c r="A395" s="149"/>
      <c r="B395" s="149"/>
      <c r="C395" s="149"/>
      <c r="D395" s="149"/>
      <c r="E395" s="281"/>
      <c r="F395" s="281"/>
      <c r="G395" s="149"/>
      <c r="H395" s="149"/>
      <c r="I395" s="149"/>
      <c r="J395" s="149"/>
      <c r="K395" s="149"/>
      <c r="L395" s="149"/>
      <c r="M395" s="149"/>
      <c r="N395" s="149"/>
      <c r="O395" s="149"/>
      <c r="P395" s="149"/>
      <c r="Q395" s="149"/>
      <c r="R395" s="149"/>
      <c r="S395" s="149" t="str">
        <f>IF(COUNTIF(L$5:L395,L395)=1,MAX(S$5:S395)+1,"")</f>
        <v/>
      </c>
      <c r="T395" s="149">
        <f t="shared" si="6"/>
        <v>0</v>
      </c>
    </row>
    <row r="396" spans="1:20" hidden="1">
      <c r="A396" s="149"/>
      <c r="B396" s="149"/>
      <c r="C396" s="149"/>
      <c r="D396" s="149"/>
      <c r="E396" s="281"/>
      <c r="F396" s="281"/>
      <c r="G396" s="149"/>
      <c r="H396" s="149"/>
      <c r="I396" s="149"/>
      <c r="J396" s="149"/>
      <c r="K396" s="149"/>
      <c r="L396" s="149"/>
      <c r="M396" s="149"/>
      <c r="N396" s="149"/>
      <c r="O396" s="149"/>
      <c r="P396" s="149"/>
      <c r="Q396" s="149"/>
      <c r="R396" s="149"/>
      <c r="S396" s="149" t="str">
        <f>IF(COUNTIF(L$5:L396,L396)=1,MAX(S$5:S396)+1,"")</f>
        <v/>
      </c>
      <c r="T396" s="149">
        <f t="shared" si="6"/>
        <v>0</v>
      </c>
    </row>
    <row r="397" spans="1:20" hidden="1">
      <c r="A397" s="149"/>
      <c r="B397" s="149"/>
      <c r="C397" s="149"/>
      <c r="D397" s="149"/>
      <c r="E397" s="281"/>
      <c r="F397" s="281"/>
      <c r="G397" s="149"/>
      <c r="H397" s="149"/>
      <c r="I397" s="149"/>
      <c r="J397" s="149"/>
      <c r="K397" s="149"/>
      <c r="L397" s="149"/>
      <c r="M397" s="149"/>
      <c r="N397" s="149"/>
      <c r="O397" s="149"/>
      <c r="P397" s="149"/>
      <c r="Q397" s="149"/>
      <c r="R397" s="149"/>
      <c r="S397" s="149" t="str">
        <f>IF(COUNTIF(L$5:L397,L397)=1,MAX(S$5:S397)+1,"")</f>
        <v/>
      </c>
      <c r="T397" s="149">
        <f t="shared" si="6"/>
        <v>0</v>
      </c>
    </row>
    <row r="398" spans="1:20" hidden="1">
      <c r="A398" s="149"/>
      <c r="B398" s="149"/>
      <c r="C398" s="149"/>
      <c r="D398" s="149"/>
      <c r="E398" s="281"/>
      <c r="F398" s="281"/>
      <c r="G398" s="149"/>
      <c r="H398" s="149"/>
      <c r="I398" s="149"/>
      <c r="J398" s="149"/>
      <c r="K398" s="149"/>
      <c r="L398" s="149"/>
      <c r="M398" s="149"/>
      <c r="N398" s="149"/>
      <c r="O398" s="149"/>
      <c r="P398" s="149"/>
      <c r="Q398" s="149"/>
      <c r="R398" s="149"/>
      <c r="S398" s="149" t="str">
        <f>IF(COUNTIF(L$5:L398,L398)=1,MAX(S$5:S398)+1,"")</f>
        <v/>
      </c>
      <c r="T398" s="149">
        <f t="shared" si="6"/>
        <v>0</v>
      </c>
    </row>
    <row r="399" spans="1:20" hidden="1">
      <c r="A399" s="149"/>
      <c r="B399" s="149"/>
      <c r="C399" s="149"/>
      <c r="D399" s="149"/>
      <c r="E399" s="281"/>
      <c r="F399" s="281"/>
      <c r="G399" s="149"/>
      <c r="H399" s="149"/>
      <c r="I399" s="149"/>
      <c r="J399" s="149"/>
      <c r="K399" s="149"/>
      <c r="L399" s="149"/>
      <c r="M399" s="149"/>
      <c r="N399" s="149"/>
      <c r="O399" s="149"/>
      <c r="P399" s="149"/>
      <c r="Q399" s="149"/>
      <c r="R399" s="149"/>
      <c r="S399" s="149" t="str">
        <f>IF(COUNTIF(L$5:L399,L399)=1,MAX(S$5:S399)+1,"")</f>
        <v/>
      </c>
      <c r="T399" s="149">
        <f t="shared" si="6"/>
        <v>0</v>
      </c>
    </row>
    <row r="400" spans="1:20" hidden="1">
      <c r="A400" s="149"/>
      <c r="B400" s="149"/>
      <c r="C400" s="149"/>
      <c r="D400" s="149"/>
      <c r="E400" s="281"/>
      <c r="F400" s="281"/>
      <c r="G400" s="149"/>
      <c r="H400" s="149"/>
      <c r="I400" s="149"/>
      <c r="J400" s="149"/>
      <c r="K400" s="149"/>
      <c r="L400" s="149"/>
      <c r="M400" s="149"/>
      <c r="N400" s="149"/>
      <c r="O400" s="149"/>
      <c r="P400" s="149"/>
      <c r="Q400" s="149"/>
      <c r="R400" s="149"/>
      <c r="S400" s="149" t="str">
        <f>IF(COUNTIF(L$5:L400,L400)=1,MAX(S$5:S400)+1,"")</f>
        <v/>
      </c>
      <c r="T400" s="149">
        <f t="shared" si="6"/>
        <v>0</v>
      </c>
    </row>
    <row r="401" spans="1:20" hidden="1">
      <c r="A401" s="149"/>
      <c r="B401" s="149"/>
      <c r="C401" s="149"/>
      <c r="D401" s="149"/>
      <c r="E401" s="281"/>
      <c r="F401" s="281"/>
      <c r="G401" s="149"/>
      <c r="H401" s="149"/>
      <c r="I401" s="149"/>
      <c r="J401" s="149"/>
      <c r="K401" s="149"/>
      <c r="L401" s="149"/>
      <c r="M401" s="149"/>
      <c r="N401" s="149"/>
      <c r="O401" s="149"/>
      <c r="P401" s="149"/>
      <c r="Q401" s="149"/>
      <c r="R401" s="149"/>
      <c r="S401" s="149" t="str">
        <f>IF(COUNTIF(L$5:L401,L401)=1,MAX(S$5:S401)+1,"")</f>
        <v/>
      </c>
      <c r="T401" s="149">
        <f t="shared" si="6"/>
        <v>0</v>
      </c>
    </row>
    <row r="402" spans="1:20" hidden="1">
      <c r="A402" s="149"/>
      <c r="B402" s="149"/>
      <c r="C402" s="149"/>
      <c r="D402" s="149"/>
      <c r="E402" s="281"/>
      <c r="F402" s="281"/>
      <c r="G402" s="149"/>
      <c r="H402" s="149"/>
      <c r="I402" s="149"/>
      <c r="J402" s="149"/>
      <c r="K402" s="149"/>
      <c r="L402" s="149"/>
      <c r="M402" s="149"/>
      <c r="N402" s="149"/>
      <c r="O402" s="149"/>
      <c r="P402" s="149"/>
      <c r="Q402" s="149"/>
      <c r="R402" s="149"/>
      <c r="S402" s="149" t="str">
        <f>IF(COUNTIF(L$5:L402,L402)=1,MAX(S$5:S402)+1,"")</f>
        <v/>
      </c>
      <c r="T402" s="149">
        <f t="shared" si="6"/>
        <v>0</v>
      </c>
    </row>
    <row r="403" spans="1:20" hidden="1">
      <c r="A403" s="149"/>
      <c r="B403" s="149"/>
      <c r="C403" s="149"/>
      <c r="D403" s="149"/>
      <c r="E403" s="281"/>
      <c r="F403" s="281"/>
      <c r="G403" s="149"/>
      <c r="H403" s="149"/>
      <c r="I403" s="149"/>
      <c r="J403" s="149"/>
      <c r="K403" s="149"/>
      <c r="L403" s="149"/>
      <c r="M403" s="149"/>
      <c r="N403" s="149"/>
      <c r="O403" s="149"/>
      <c r="P403" s="149"/>
      <c r="Q403" s="149"/>
      <c r="R403" s="149"/>
      <c r="S403" s="149" t="str">
        <f>IF(COUNTIF(L$5:L403,L403)=1,MAX(S$5:S403)+1,"")</f>
        <v/>
      </c>
      <c r="T403" s="149">
        <f t="shared" si="6"/>
        <v>0</v>
      </c>
    </row>
    <row r="404" spans="1:20" hidden="1">
      <c r="A404" s="149"/>
      <c r="B404" s="149"/>
      <c r="C404" s="149"/>
      <c r="D404" s="149"/>
      <c r="E404" s="281"/>
      <c r="F404" s="281"/>
      <c r="G404" s="149"/>
      <c r="H404" s="149"/>
      <c r="I404" s="149"/>
      <c r="J404" s="149"/>
      <c r="K404" s="149"/>
      <c r="L404" s="149"/>
      <c r="M404" s="149"/>
      <c r="N404" s="149"/>
      <c r="O404" s="149"/>
      <c r="P404" s="149"/>
      <c r="Q404" s="149"/>
      <c r="R404" s="149"/>
      <c r="S404" s="149" t="str">
        <f>IF(COUNTIF(L$5:L404,L404)=1,MAX(S$5:S404)+1,"")</f>
        <v/>
      </c>
      <c r="T404" s="149">
        <f t="shared" si="6"/>
        <v>0</v>
      </c>
    </row>
    <row r="405" spans="1:20" hidden="1">
      <c r="A405" s="149"/>
      <c r="B405" s="149"/>
      <c r="C405" s="149"/>
      <c r="D405" s="149"/>
      <c r="E405" s="281"/>
      <c r="F405" s="281"/>
      <c r="G405" s="149"/>
      <c r="H405" s="149"/>
      <c r="I405" s="149"/>
      <c r="J405" s="149"/>
      <c r="K405" s="149"/>
      <c r="L405" s="149"/>
      <c r="M405" s="149"/>
      <c r="N405" s="149"/>
      <c r="O405" s="149"/>
      <c r="P405" s="149"/>
      <c r="Q405" s="149"/>
      <c r="R405" s="149"/>
      <c r="S405" s="149" t="str">
        <f>IF(COUNTIF(L$5:L405,L405)=1,MAX(S$5:S405)+1,"")</f>
        <v/>
      </c>
      <c r="T405" s="149">
        <f t="shared" si="6"/>
        <v>0</v>
      </c>
    </row>
    <row r="406" spans="1:20" hidden="1">
      <c r="A406" s="149"/>
      <c r="B406" s="149"/>
      <c r="C406" s="149"/>
      <c r="D406" s="149"/>
      <c r="E406" s="281"/>
      <c r="F406" s="281"/>
      <c r="G406" s="149"/>
      <c r="H406" s="149"/>
      <c r="I406" s="149"/>
      <c r="J406" s="149"/>
      <c r="K406" s="149"/>
      <c r="L406" s="149"/>
      <c r="M406" s="149"/>
      <c r="N406" s="149"/>
      <c r="O406" s="149"/>
      <c r="P406" s="149"/>
      <c r="Q406" s="149"/>
      <c r="R406" s="149"/>
      <c r="S406" s="149" t="str">
        <f>IF(COUNTIF(L$5:L406,L406)=1,MAX(S$5:S406)+1,"")</f>
        <v/>
      </c>
      <c r="T406" s="149">
        <f t="shared" si="6"/>
        <v>0</v>
      </c>
    </row>
    <row r="407" spans="1:20" hidden="1">
      <c r="A407" s="149"/>
      <c r="B407" s="149"/>
      <c r="C407" s="149"/>
      <c r="D407" s="149"/>
      <c r="E407" s="281"/>
      <c r="F407" s="281"/>
      <c r="G407" s="149"/>
      <c r="H407" s="149"/>
      <c r="I407" s="149"/>
      <c r="J407" s="149"/>
      <c r="K407" s="149"/>
      <c r="L407" s="149"/>
      <c r="M407" s="149"/>
      <c r="N407" s="149"/>
      <c r="O407" s="149"/>
      <c r="P407" s="149"/>
      <c r="Q407" s="149"/>
      <c r="R407" s="149"/>
      <c r="S407" s="149" t="str">
        <f>IF(COUNTIF(L$5:L407,L407)=1,MAX(S$5:S407)+1,"")</f>
        <v/>
      </c>
      <c r="T407" s="149">
        <f t="shared" si="6"/>
        <v>0</v>
      </c>
    </row>
    <row r="408" spans="1:20" hidden="1">
      <c r="A408" s="149"/>
      <c r="B408" s="149"/>
      <c r="C408" s="149"/>
      <c r="D408" s="149"/>
      <c r="E408" s="281"/>
      <c r="F408" s="281"/>
      <c r="G408" s="149"/>
      <c r="H408" s="149"/>
      <c r="I408" s="149"/>
      <c r="J408" s="149"/>
      <c r="K408" s="149"/>
      <c r="L408" s="149"/>
      <c r="M408" s="149"/>
      <c r="N408" s="149"/>
      <c r="O408" s="149"/>
      <c r="P408" s="149"/>
      <c r="Q408" s="149"/>
      <c r="R408" s="149"/>
      <c r="S408" s="149" t="str">
        <f>IF(COUNTIF(L$5:L408,L408)=1,MAX(S$5:S408)+1,"")</f>
        <v/>
      </c>
      <c r="T408" s="149">
        <f t="shared" si="6"/>
        <v>0</v>
      </c>
    </row>
    <row r="409" spans="1:20" hidden="1">
      <c r="A409" s="149"/>
      <c r="B409" s="149"/>
      <c r="C409" s="149"/>
      <c r="D409" s="149"/>
      <c r="E409" s="281"/>
      <c r="F409" s="281"/>
      <c r="G409" s="149"/>
      <c r="H409" s="149"/>
      <c r="I409" s="149"/>
      <c r="J409" s="149"/>
      <c r="K409" s="149"/>
      <c r="L409" s="149"/>
      <c r="M409" s="149"/>
      <c r="N409" s="149"/>
      <c r="O409" s="149"/>
      <c r="P409" s="149"/>
      <c r="Q409" s="149"/>
      <c r="R409" s="149"/>
      <c r="S409" s="149" t="str">
        <f>IF(COUNTIF(L$5:L409,L409)=1,MAX(S$5:S409)+1,"")</f>
        <v/>
      </c>
      <c r="T409" s="149">
        <f t="shared" si="6"/>
        <v>0</v>
      </c>
    </row>
    <row r="410" spans="1:20" hidden="1">
      <c r="A410" s="149"/>
      <c r="B410" s="149"/>
      <c r="C410" s="149"/>
      <c r="D410" s="149"/>
      <c r="E410" s="281"/>
      <c r="F410" s="281"/>
      <c r="G410" s="149"/>
      <c r="H410" s="149"/>
      <c r="I410" s="149"/>
      <c r="J410" s="149"/>
      <c r="K410" s="149"/>
      <c r="L410" s="149"/>
      <c r="M410" s="149"/>
      <c r="N410" s="149"/>
      <c r="O410" s="149"/>
      <c r="P410" s="149"/>
      <c r="Q410" s="149"/>
      <c r="R410" s="149"/>
      <c r="S410" s="149" t="str">
        <f>IF(COUNTIF(L$5:L410,L410)=1,MAX(S$5:S410)+1,"")</f>
        <v/>
      </c>
      <c r="T410" s="149">
        <f t="shared" si="6"/>
        <v>0</v>
      </c>
    </row>
    <row r="411" spans="1:20" hidden="1">
      <c r="A411" s="149"/>
      <c r="B411" s="149"/>
      <c r="C411" s="149"/>
      <c r="D411" s="149"/>
      <c r="E411" s="281"/>
      <c r="F411" s="281"/>
      <c r="G411" s="149"/>
      <c r="H411" s="149"/>
      <c r="I411" s="149"/>
      <c r="J411" s="149"/>
      <c r="K411" s="149"/>
      <c r="L411" s="149"/>
      <c r="M411" s="149"/>
      <c r="N411" s="149"/>
      <c r="O411" s="149"/>
      <c r="P411" s="149"/>
      <c r="Q411" s="149"/>
      <c r="R411" s="149"/>
      <c r="S411" s="149" t="str">
        <f>IF(COUNTIF(L$5:L411,L411)=1,MAX(S$5:S411)+1,"")</f>
        <v/>
      </c>
      <c r="T411" s="149">
        <f t="shared" si="6"/>
        <v>0</v>
      </c>
    </row>
    <row r="412" spans="1:20" hidden="1">
      <c r="A412" s="149"/>
      <c r="B412" s="149"/>
      <c r="C412" s="149"/>
      <c r="D412" s="149"/>
      <c r="E412" s="281"/>
      <c r="F412" s="281"/>
      <c r="G412" s="149"/>
      <c r="H412" s="149"/>
      <c r="I412" s="149"/>
      <c r="J412" s="149"/>
      <c r="K412" s="149"/>
      <c r="L412" s="149"/>
      <c r="M412" s="149"/>
      <c r="N412" s="149"/>
      <c r="O412" s="149"/>
      <c r="P412" s="149"/>
      <c r="Q412" s="149"/>
      <c r="R412" s="149"/>
      <c r="S412" s="149" t="str">
        <f>IF(COUNTIF(L$5:L412,L412)=1,MAX(S$5:S412)+1,"")</f>
        <v/>
      </c>
      <c r="T412" s="149">
        <f t="shared" si="6"/>
        <v>0</v>
      </c>
    </row>
    <row r="413" spans="1:20" hidden="1">
      <c r="A413" s="149"/>
      <c r="B413" s="149"/>
      <c r="C413" s="149"/>
      <c r="D413" s="149"/>
      <c r="E413" s="281"/>
      <c r="F413" s="281"/>
      <c r="G413" s="149"/>
      <c r="H413" s="149"/>
      <c r="I413" s="149"/>
      <c r="J413" s="149"/>
      <c r="K413" s="149"/>
      <c r="L413" s="149"/>
      <c r="M413" s="149"/>
      <c r="N413" s="149"/>
      <c r="O413" s="149"/>
      <c r="P413" s="149"/>
      <c r="Q413" s="149"/>
      <c r="R413" s="149"/>
      <c r="S413" s="149" t="str">
        <f>IF(COUNTIF(L$5:L413,L413)=1,MAX(S$5:S413)+1,"")</f>
        <v/>
      </c>
      <c r="T413" s="149">
        <f t="shared" si="6"/>
        <v>0</v>
      </c>
    </row>
    <row r="414" spans="1:20" hidden="1">
      <c r="A414" s="149"/>
      <c r="B414" s="149"/>
      <c r="C414" s="149"/>
      <c r="D414" s="149"/>
      <c r="E414" s="281"/>
      <c r="F414" s="281"/>
      <c r="G414" s="149"/>
      <c r="H414" s="149"/>
      <c r="I414" s="149"/>
      <c r="J414" s="149"/>
      <c r="K414" s="149"/>
      <c r="L414" s="149"/>
      <c r="M414" s="149"/>
      <c r="N414" s="149"/>
      <c r="O414" s="149"/>
      <c r="P414" s="149"/>
      <c r="Q414" s="149"/>
      <c r="R414" s="149"/>
      <c r="S414" s="149" t="str">
        <f>IF(COUNTIF(L$5:L414,L414)=1,MAX(S$5:S414)+1,"")</f>
        <v/>
      </c>
      <c r="T414" s="149">
        <f t="shared" si="6"/>
        <v>0</v>
      </c>
    </row>
    <row r="415" spans="1:20" hidden="1">
      <c r="A415" s="149"/>
      <c r="B415" s="149"/>
      <c r="C415" s="149"/>
      <c r="D415" s="149"/>
      <c r="E415" s="281"/>
      <c r="F415" s="281"/>
      <c r="G415" s="149"/>
      <c r="H415" s="149"/>
      <c r="I415" s="149"/>
      <c r="J415" s="149"/>
      <c r="K415" s="149"/>
      <c r="L415" s="149"/>
      <c r="M415" s="149"/>
      <c r="N415" s="149"/>
      <c r="O415" s="149"/>
      <c r="P415" s="149"/>
      <c r="Q415" s="149"/>
      <c r="R415" s="149"/>
      <c r="S415" s="149" t="str">
        <f>IF(COUNTIF(L$5:L415,L415)=1,MAX(S$5:S415)+1,"")</f>
        <v/>
      </c>
      <c r="T415" s="149">
        <f t="shared" si="6"/>
        <v>0</v>
      </c>
    </row>
    <row r="416" spans="1:20" hidden="1">
      <c r="A416" s="149"/>
      <c r="B416" s="149"/>
      <c r="C416" s="149"/>
      <c r="D416" s="149"/>
      <c r="E416" s="281"/>
      <c r="F416" s="281"/>
      <c r="G416" s="149"/>
      <c r="H416" s="149"/>
      <c r="I416" s="149"/>
      <c r="J416" s="149"/>
      <c r="K416" s="149"/>
      <c r="L416" s="149"/>
      <c r="M416" s="149"/>
      <c r="N416" s="149"/>
      <c r="O416" s="149"/>
      <c r="P416" s="149"/>
      <c r="Q416" s="149"/>
      <c r="R416" s="149"/>
      <c r="S416" s="149" t="str">
        <f>IF(COUNTIF(L$5:L416,L416)=1,MAX(S$5:S416)+1,"")</f>
        <v/>
      </c>
      <c r="T416" s="149">
        <f t="shared" si="6"/>
        <v>0</v>
      </c>
    </row>
    <row r="417" spans="1:20" hidden="1">
      <c r="A417" s="149"/>
      <c r="B417" s="149"/>
      <c r="C417" s="149"/>
      <c r="D417" s="149"/>
      <c r="E417" s="281"/>
      <c r="F417" s="281"/>
      <c r="G417" s="149"/>
      <c r="H417" s="149"/>
      <c r="I417" s="149"/>
      <c r="J417" s="149"/>
      <c r="K417" s="149"/>
      <c r="L417" s="149"/>
      <c r="M417" s="149"/>
      <c r="N417" s="149"/>
      <c r="O417" s="149"/>
      <c r="P417" s="149"/>
      <c r="Q417" s="149"/>
      <c r="R417" s="149"/>
      <c r="S417" s="149" t="str">
        <f>IF(COUNTIF(L$5:L417,L417)=1,MAX(S$5:S417)+1,"")</f>
        <v/>
      </c>
      <c r="T417" s="149">
        <f t="shared" si="6"/>
        <v>0</v>
      </c>
    </row>
    <row r="418" spans="1:20" hidden="1">
      <c r="A418" s="149"/>
      <c r="B418" s="149"/>
      <c r="C418" s="149"/>
      <c r="D418" s="149"/>
      <c r="E418" s="281"/>
      <c r="F418" s="281"/>
      <c r="G418" s="149"/>
      <c r="H418" s="149"/>
      <c r="I418" s="149"/>
      <c r="J418" s="149"/>
      <c r="K418" s="149"/>
      <c r="L418" s="149"/>
      <c r="M418" s="149"/>
      <c r="N418" s="149"/>
      <c r="O418" s="149"/>
      <c r="P418" s="149"/>
      <c r="Q418" s="149"/>
      <c r="R418" s="149"/>
      <c r="S418" s="149" t="str">
        <f>IF(COUNTIF(L$5:L418,L418)=1,MAX(S$5:S418)+1,"")</f>
        <v/>
      </c>
      <c r="T418" s="149">
        <f t="shared" si="6"/>
        <v>0</v>
      </c>
    </row>
    <row r="419" spans="1:20" hidden="1">
      <c r="A419" s="149"/>
      <c r="B419" s="149"/>
      <c r="C419" s="149"/>
      <c r="D419" s="149"/>
      <c r="E419" s="281"/>
      <c r="F419" s="281"/>
      <c r="G419" s="149"/>
      <c r="H419" s="149"/>
      <c r="I419" s="149"/>
      <c r="J419" s="149"/>
      <c r="K419" s="149"/>
      <c r="L419" s="149"/>
      <c r="M419" s="149"/>
      <c r="N419" s="149"/>
      <c r="O419" s="149"/>
      <c r="P419" s="149"/>
      <c r="Q419" s="149"/>
      <c r="R419" s="149"/>
      <c r="S419" s="149" t="str">
        <f>IF(COUNTIF(L$5:L419,L419)=1,MAX(S$5:S419)+1,"")</f>
        <v/>
      </c>
      <c r="T419" s="149">
        <f t="shared" si="6"/>
        <v>0</v>
      </c>
    </row>
    <row r="420" spans="1:20" hidden="1">
      <c r="A420" s="149"/>
      <c r="B420" s="149"/>
      <c r="C420" s="149"/>
      <c r="D420" s="149"/>
      <c r="E420" s="281"/>
      <c r="F420" s="281"/>
      <c r="G420" s="149"/>
      <c r="H420" s="149"/>
      <c r="I420" s="149"/>
      <c r="J420" s="149"/>
      <c r="K420" s="149"/>
      <c r="L420" s="149"/>
      <c r="M420" s="149"/>
      <c r="N420" s="149"/>
      <c r="O420" s="149"/>
      <c r="P420" s="149"/>
      <c r="Q420" s="149"/>
      <c r="R420" s="149"/>
      <c r="S420" s="149" t="str">
        <f>IF(COUNTIF(L$5:L420,L420)=1,MAX(S$5:S420)+1,"")</f>
        <v/>
      </c>
      <c r="T420" s="149">
        <f t="shared" si="6"/>
        <v>0</v>
      </c>
    </row>
    <row r="421" spans="1:20" hidden="1">
      <c r="A421" s="149"/>
      <c r="B421" s="149"/>
      <c r="C421" s="149"/>
      <c r="D421" s="149"/>
      <c r="E421" s="281"/>
      <c r="F421" s="281"/>
      <c r="G421" s="149"/>
      <c r="H421" s="149"/>
      <c r="I421" s="149"/>
      <c r="J421" s="149"/>
      <c r="K421" s="149"/>
      <c r="L421" s="149"/>
      <c r="M421" s="149"/>
      <c r="N421" s="149"/>
      <c r="O421" s="149"/>
      <c r="P421" s="149"/>
      <c r="Q421" s="149"/>
      <c r="R421" s="149"/>
      <c r="S421" s="149" t="str">
        <f>IF(COUNTIF(L$5:L421,L421)=1,MAX(S$5:S421)+1,"")</f>
        <v/>
      </c>
      <c r="T421" s="149">
        <f t="shared" si="6"/>
        <v>0</v>
      </c>
    </row>
    <row r="422" spans="1:20" hidden="1">
      <c r="A422" s="149"/>
      <c r="B422" s="149"/>
      <c r="C422" s="149"/>
      <c r="D422" s="149"/>
      <c r="E422" s="281"/>
      <c r="F422" s="281"/>
      <c r="G422" s="149"/>
      <c r="H422" s="149"/>
      <c r="I422" s="149"/>
      <c r="J422" s="149"/>
      <c r="K422" s="149"/>
      <c r="L422" s="149"/>
      <c r="M422" s="149"/>
      <c r="N422" s="149"/>
      <c r="O422" s="149"/>
      <c r="P422" s="149"/>
      <c r="Q422" s="149"/>
      <c r="R422" s="149"/>
      <c r="S422" s="149" t="str">
        <f>IF(COUNTIF(L$5:L422,L422)=1,MAX(S$5:S422)+1,"")</f>
        <v/>
      </c>
      <c r="T422" s="149">
        <f t="shared" si="6"/>
        <v>0</v>
      </c>
    </row>
    <row r="423" spans="1:20" hidden="1">
      <c r="A423" s="149"/>
      <c r="B423" s="149"/>
      <c r="C423" s="149"/>
      <c r="D423" s="149"/>
      <c r="E423" s="281"/>
      <c r="F423" s="281"/>
      <c r="G423" s="149"/>
      <c r="H423" s="149"/>
      <c r="I423" s="149"/>
      <c r="J423" s="149"/>
      <c r="K423" s="149"/>
      <c r="L423" s="149"/>
      <c r="M423" s="149"/>
      <c r="N423" s="149"/>
      <c r="O423" s="149"/>
      <c r="P423" s="149"/>
      <c r="Q423" s="149"/>
      <c r="R423" s="149"/>
      <c r="S423" s="149" t="str">
        <f>IF(COUNTIF(L$5:L423,L423)=1,MAX(S$5:S423)+1,"")</f>
        <v/>
      </c>
      <c r="T423" s="149">
        <f t="shared" si="6"/>
        <v>0</v>
      </c>
    </row>
    <row r="424" spans="1:20" hidden="1">
      <c r="A424" s="149"/>
      <c r="B424" s="149"/>
      <c r="C424" s="149"/>
      <c r="D424" s="149"/>
      <c r="E424" s="281"/>
      <c r="F424" s="281"/>
      <c r="G424" s="149"/>
      <c r="H424" s="149"/>
      <c r="I424" s="149"/>
      <c r="J424" s="149"/>
      <c r="K424" s="149"/>
      <c r="L424" s="149"/>
      <c r="M424" s="149"/>
      <c r="N424" s="149"/>
      <c r="O424" s="149"/>
      <c r="P424" s="149"/>
      <c r="Q424" s="149"/>
      <c r="R424" s="149"/>
      <c r="S424" s="149" t="str">
        <f>IF(COUNTIF(L$5:L424,L424)=1,MAX(S$5:S424)+1,"")</f>
        <v/>
      </c>
      <c r="T424" s="149">
        <f t="shared" si="6"/>
        <v>0</v>
      </c>
    </row>
    <row r="425" spans="1:20" hidden="1">
      <c r="A425" s="149"/>
      <c r="B425" s="149"/>
      <c r="C425" s="149"/>
      <c r="D425" s="149"/>
      <c r="E425" s="281"/>
      <c r="F425" s="281"/>
      <c r="G425" s="149"/>
      <c r="H425" s="149"/>
      <c r="I425" s="149"/>
      <c r="J425" s="149"/>
      <c r="K425" s="149"/>
      <c r="L425" s="149"/>
      <c r="M425" s="149"/>
      <c r="N425" s="149"/>
      <c r="O425" s="149"/>
      <c r="P425" s="149"/>
      <c r="Q425" s="149"/>
      <c r="R425" s="149"/>
      <c r="S425" s="149" t="str">
        <f>IF(COUNTIF(L$5:L425,L425)=1,MAX(S$5:S425)+1,"")</f>
        <v/>
      </c>
      <c r="T425" s="149">
        <f t="shared" si="6"/>
        <v>0</v>
      </c>
    </row>
    <row r="426" spans="1:20" hidden="1">
      <c r="A426" s="149"/>
      <c r="B426" s="149"/>
      <c r="C426" s="149"/>
      <c r="D426" s="149"/>
      <c r="E426" s="281"/>
      <c r="F426" s="281"/>
      <c r="G426" s="149"/>
      <c r="H426" s="149"/>
      <c r="I426" s="149"/>
      <c r="J426" s="149"/>
      <c r="K426" s="149"/>
      <c r="L426" s="149"/>
      <c r="M426" s="149"/>
      <c r="N426" s="149"/>
      <c r="O426" s="149"/>
      <c r="P426" s="149"/>
      <c r="Q426" s="149"/>
      <c r="R426" s="149"/>
      <c r="S426" s="149" t="str">
        <f>IF(COUNTIF(L$5:L426,L426)=1,MAX(S$5:S426)+1,"")</f>
        <v/>
      </c>
      <c r="T426" s="149">
        <f t="shared" si="6"/>
        <v>0</v>
      </c>
    </row>
    <row r="427" spans="1:20" hidden="1">
      <c r="A427" s="149"/>
      <c r="B427" s="149"/>
      <c r="C427" s="149"/>
      <c r="D427" s="149"/>
      <c r="E427" s="281"/>
      <c r="F427" s="281"/>
      <c r="G427" s="149"/>
      <c r="H427" s="149"/>
      <c r="I427" s="149"/>
      <c r="J427" s="149"/>
      <c r="K427" s="149"/>
      <c r="L427" s="149"/>
      <c r="M427" s="149"/>
      <c r="N427" s="149"/>
      <c r="O427" s="149"/>
      <c r="P427" s="149"/>
      <c r="Q427" s="149"/>
      <c r="R427" s="149"/>
      <c r="S427" s="149" t="str">
        <f>IF(COUNTIF(L$5:L427,L427)=1,MAX(S$5:S427)+1,"")</f>
        <v/>
      </c>
      <c r="T427" s="149">
        <f t="shared" si="6"/>
        <v>0</v>
      </c>
    </row>
    <row r="428" spans="1:20" hidden="1">
      <c r="A428" s="149"/>
      <c r="B428" s="149"/>
      <c r="C428" s="149"/>
      <c r="D428" s="149"/>
      <c r="E428" s="281"/>
      <c r="F428" s="281"/>
      <c r="G428" s="149"/>
      <c r="H428" s="149"/>
      <c r="I428" s="149"/>
      <c r="J428" s="149"/>
      <c r="K428" s="149"/>
      <c r="L428" s="149"/>
      <c r="M428" s="149"/>
      <c r="N428" s="149"/>
      <c r="O428" s="149"/>
      <c r="P428" s="149"/>
      <c r="Q428" s="149"/>
      <c r="R428" s="149"/>
      <c r="S428" s="149" t="str">
        <f>IF(COUNTIF(L$5:L428,L428)=1,MAX(S$5:S428)+1,"")</f>
        <v/>
      </c>
      <c r="T428" s="149">
        <f t="shared" si="6"/>
        <v>0</v>
      </c>
    </row>
    <row r="429" spans="1:20" hidden="1">
      <c r="A429" s="149"/>
      <c r="B429" s="149"/>
      <c r="C429" s="149"/>
      <c r="D429" s="149"/>
      <c r="E429" s="281"/>
      <c r="F429" s="281"/>
      <c r="G429" s="149"/>
      <c r="H429" s="149"/>
      <c r="I429" s="149"/>
      <c r="J429" s="149"/>
      <c r="K429" s="149"/>
      <c r="L429" s="149"/>
      <c r="M429" s="149"/>
      <c r="N429" s="149"/>
      <c r="O429" s="149"/>
      <c r="P429" s="149"/>
      <c r="Q429" s="149"/>
      <c r="R429" s="149"/>
      <c r="S429" s="149" t="str">
        <f>IF(COUNTIF(L$5:L429,L429)=1,MAX(S$5:S429)+1,"")</f>
        <v/>
      </c>
      <c r="T429" s="149">
        <f t="shared" si="6"/>
        <v>0</v>
      </c>
    </row>
    <row r="430" spans="1:20" hidden="1">
      <c r="A430" s="149"/>
      <c r="B430" s="149"/>
      <c r="C430" s="149"/>
      <c r="D430" s="149"/>
      <c r="E430" s="281"/>
      <c r="F430" s="281"/>
      <c r="G430" s="149"/>
      <c r="H430" s="149"/>
      <c r="I430" s="149"/>
      <c r="J430" s="149"/>
      <c r="K430" s="149"/>
      <c r="L430" s="149"/>
      <c r="M430" s="149"/>
      <c r="N430" s="149"/>
      <c r="O430" s="149"/>
      <c r="P430" s="149"/>
      <c r="Q430" s="149"/>
      <c r="R430" s="149"/>
      <c r="S430" s="149" t="str">
        <f>IF(COUNTIF(L$5:L430,L430)=1,MAX(S$5:S430)+1,"")</f>
        <v/>
      </c>
      <c r="T430" s="149">
        <f t="shared" si="6"/>
        <v>0</v>
      </c>
    </row>
    <row r="431" spans="1:20" hidden="1">
      <c r="A431" s="149"/>
      <c r="B431" s="149"/>
      <c r="C431" s="149"/>
      <c r="D431" s="149"/>
      <c r="E431" s="281"/>
      <c r="F431" s="281"/>
      <c r="G431" s="149"/>
      <c r="H431" s="149"/>
      <c r="I431" s="149"/>
      <c r="J431" s="149"/>
      <c r="K431" s="149"/>
      <c r="L431" s="149"/>
      <c r="M431" s="149"/>
      <c r="N431" s="149"/>
      <c r="O431" s="149"/>
      <c r="P431" s="149"/>
      <c r="Q431" s="149"/>
      <c r="R431" s="149"/>
      <c r="S431" s="149" t="str">
        <f>IF(COUNTIF(L$5:L431,L431)=1,MAX(S$5:S431)+1,"")</f>
        <v/>
      </c>
      <c r="T431" s="149">
        <f t="shared" si="6"/>
        <v>0</v>
      </c>
    </row>
    <row r="432" spans="1:20" hidden="1">
      <c r="A432" s="149"/>
      <c r="B432" s="149"/>
      <c r="C432" s="149"/>
      <c r="D432" s="149"/>
      <c r="E432" s="281"/>
      <c r="F432" s="281"/>
      <c r="G432" s="149"/>
      <c r="H432" s="149"/>
      <c r="I432" s="149"/>
      <c r="J432" s="149"/>
      <c r="K432" s="149"/>
      <c r="L432" s="149"/>
      <c r="M432" s="149"/>
      <c r="N432" s="149"/>
      <c r="O432" s="149"/>
      <c r="P432" s="149"/>
      <c r="Q432" s="149"/>
      <c r="R432" s="149"/>
      <c r="S432" s="149" t="str">
        <f>IF(COUNTIF(L$5:L432,L432)=1,MAX(S$5:S432)+1,"")</f>
        <v/>
      </c>
      <c r="T432" s="149">
        <f t="shared" si="6"/>
        <v>0</v>
      </c>
    </row>
    <row r="433" spans="1:20" hidden="1">
      <c r="A433" s="149"/>
      <c r="B433" s="149"/>
      <c r="C433" s="149"/>
      <c r="D433" s="149"/>
      <c r="E433" s="281"/>
      <c r="F433" s="281"/>
      <c r="G433" s="149"/>
      <c r="H433" s="149"/>
      <c r="I433" s="149"/>
      <c r="J433" s="149"/>
      <c r="K433" s="149"/>
      <c r="L433" s="149"/>
      <c r="M433" s="149"/>
      <c r="N433" s="149"/>
      <c r="O433" s="149"/>
      <c r="P433" s="149"/>
      <c r="Q433" s="149"/>
      <c r="R433" s="149"/>
      <c r="S433" s="149" t="str">
        <f>IF(COUNTIF(L$5:L433,L433)=1,MAX(S$5:S433)+1,"")</f>
        <v/>
      </c>
      <c r="T433" s="149">
        <f t="shared" si="6"/>
        <v>0</v>
      </c>
    </row>
    <row r="434" spans="1:20" hidden="1">
      <c r="A434" s="149"/>
      <c r="B434" s="149"/>
      <c r="C434" s="149"/>
      <c r="D434" s="149"/>
      <c r="E434" s="281"/>
      <c r="F434" s="281"/>
      <c r="G434" s="149"/>
      <c r="H434" s="149"/>
      <c r="I434" s="149"/>
      <c r="J434" s="149"/>
      <c r="K434" s="149"/>
      <c r="L434" s="149"/>
      <c r="M434" s="149"/>
      <c r="N434" s="149"/>
      <c r="O434" s="149"/>
      <c r="P434" s="149"/>
      <c r="Q434" s="149"/>
      <c r="R434" s="149"/>
      <c r="S434" s="149" t="str">
        <f>IF(COUNTIF(L$5:L434,L434)=1,MAX(S$5:S434)+1,"")</f>
        <v/>
      </c>
      <c r="T434" s="149">
        <f t="shared" si="6"/>
        <v>0</v>
      </c>
    </row>
    <row r="435" spans="1:20" hidden="1">
      <c r="A435" s="149"/>
      <c r="B435" s="149"/>
      <c r="C435" s="149"/>
      <c r="D435" s="149"/>
      <c r="E435" s="281"/>
      <c r="F435" s="281"/>
      <c r="G435" s="149"/>
      <c r="H435" s="149"/>
      <c r="I435" s="149"/>
      <c r="J435" s="149"/>
      <c r="K435" s="149"/>
      <c r="L435" s="149"/>
      <c r="M435" s="149"/>
      <c r="N435" s="149"/>
      <c r="O435" s="149"/>
      <c r="P435" s="149"/>
      <c r="Q435" s="149"/>
      <c r="R435" s="149"/>
      <c r="S435" s="149" t="str">
        <f>IF(COUNTIF(L$5:L435,L435)=1,MAX(S$5:S435)+1,"")</f>
        <v/>
      </c>
      <c r="T435" s="149">
        <f t="shared" si="6"/>
        <v>0</v>
      </c>
    </row>
    <row r="436" spans="1:20" hidden="1">
      <c r="A436" s="149"/>
      <c r="B436" s="149"/>
      <c r="C436" s="149"/>
      <c r="D436" s="149"/>
      <c r="E436" s="281"/>
      <c r="F436" s="281"/>
      <c r="G436" s="149"/>
      <c r="H436" s="149"/>
      <c r="I436" s="149"/>
      <c r="J436" s="149"/>
      <c r="K436" s="149"/>
      <c r="L436" s="149"/>
      <c r="M436" s="149"/>
      <c r="N436" s="149"/>
      <c r="O436" s="149"/>
      <c r="P436" s="149"/>
      <c r="Q436" s="149"/>
      <c r="R436" s="149"/>
      <c r="S436" s="149" t="str">
        <f>IF(COUNTIF(L$5:L436,L436)=1,MAX(S$5:S436)+1,"")</f>
        <v/>
      </c>
      <c r="T436" s="149">
        <f t="shared" si="6"/>
        <v>0</v>
      </c>
    </row>
    <row r="437" spans="1:20" hidden="1">
      <c r="A437" s="149"/>
      <c r="B437" s="149"/>
      <c r="C437" s="149"/>
      <c r="D437" s="149"/>
      <c r="E437" s="281"/>
      <c r="F437" s="281"/>
      <c r="G437" s="149"/>
      <c r="H437" s="149"/>
      <c r="I437" s="149"/>
      <c r="J437" s="149"/>
      <c r="K437" s="149"/>
      <c r="L437" s="149"/>
      <c r="M437" s="149"/>
      <c r="N437" s="149"/>
      <c r="O437" s="149"/>
      <c r="P437" s="149"/>
      <c r="Q437" s="149"/>
      <c r="R437" s="149"/>
      <c r="S437" s="149" t="str">
        <f>IF(COUNTIF(L$5:L437,L437)=1,MAX(S$5:S437)+1,"")</f>
        <v/>
      </c>
      <c r="T437" s="149">
        <f t="shared" si="6"/>
        <v>0</v>
      </c>
    </row>
    <row r="438" spans="1:20" hidden="1">
      <c r="A438" s="149"/>
      <c r="B438" s="149"/>
      <c r="C438" s="149"/>
      <c r="D438" s="149"/>
      <c r="E438" s="281"/>
      <c r="F438" s="281"/>
      <c r="G438" s="149"/>
      <c r="H438" s="149"/>
      <c r="I438" s="149"/>
      <c r="J438" s="149"/>
      <c r="K438" s="149"/>
      <c r="L438" s="149"/>
      <c r="M438" s="149"/>
      <c r="N438" s="149"/>
      <c r="O438" s="149"/>
      <c r="P438" s="149"/>
      <c r="Q438" s="149"/>
      <c r="R438" s="149"/>
      <c r="S438" s="149" t="str">
        <f>IF(COUNTIF(L$5:L438,L438)=1,MAX(S$5:S438)+1,"")</f>
        <v/>
      </c>
      <c r="T438" s="149">
        <f t="shared" si="6"/>
        <v>0</v>
      </c>
    </row>
    <row r="439" spans="1:20" hidden="1">
      <c r="A439" s="149"/>
      <c r="B439" s="149"/>
      <c r="C439" s="149"/>
      <c r="D439" s="149"/>
      <c r="E439" s="281"/>
      <c r="F439" s="281"/>
      <c r="G439" s="149"/>
      <c r="H439" s="149"/>
      <c r="I439" s="149"/>
      <c r="J439" s="149"/>
      <c r="K439" s="149"/>
      <c r="L439" s="149"/>
      <c r="M439" s="149"/>
      <c r="N439" s="149"/>
      <c r="O439" s="149"/>
      <c r="P439" s="149"/>
      <c r="Q439" s="149"/>
      <c r="R439" s="149"/>
      <c r="S439" s="149" t="str">
        <f>IF(COUNTIF(L$5:L439,L439)=1,MAX(S$5:S439)+1,"")</f>
        <v/>
      </c>
      <c r="T439" s="149">
        <f t="shared" si="6"/>
        <v>0</v>
      </c>
    </row>
    <row r="440" spans="1:20" hidden="1">
      <c r="A440" s="149"/>
      <c r="B440" s="149"/>
      <c r="C440" s="149"/>
      <c r="D440" s="149"/>
      <c r="E440" s="281"/>
      <c r="F440" s="281"/>
      <c r="G440" s="149"/>
      <c r="H440" s="149"/>
      <c r="I440" s="149"/>
      <c r="J440" s="149"/>
      <c r="K440" s="149"/>
      <c r="L440" s="149"/>
      <c r="M440" s="149"/>
      <c r="N440" s="149"/>
      <c r="O440" s="149"/>
      <c r="P440" s="149"/>
      <c r="Q440" s="149"/>
      <c r="R440" s="149"/>
      <c r="S440" s="149" t="str">
        <f>IF(COUNTIF(L$5:L440,L440)=1,MAX(S$5:S440)+1,"")</f>
        <v/>
      </c>
      <c r="T440" s="149">
        <f t="shared" si="6"/>
        <v>0</v>
      </c>
    </row>
    <row r="441" spans="1:20" hidden="1">
      <c r="A441" s="149"/>
      <c r="B441" s="149"/>
      <c r="C441" s="149"/>
      <c r="D441" s="149"/>
      <c r="E441" s="281"/>
      <c r="F441" s="281"/>
      <c r="G441" s="149"/>
      <c r="H441" s="149"/>
      <c r="I441" s="149"/>
      <c r="J441" s="149"/>
      <c r="K441" s="149"/>
      <c r="L441" s="149"/>
      <c r="M441" s="149"/>
      <c r="N441" s="149"/>
      <c r="O441" s="149"/>
      <c r="P441" s="149"/>
      <c r="Q441" s="149"/>
      <c r="R441" s="149"/>
      <c r="S441" s="149" t="str">
        <f>IF(COUNTIF(L$5:L441,L441)=1,MAX(S$5:S441)+1,"")</f>
        <v/>
      </c>
      <c r="T441" s="149">
        <f t="shared" si="6"/>
        <v>0</v>
      </c>
    </row>
    <row r="442" spans="1:20" hidden="1">
      <c r="A442" s="149"/>
      <c r="B442" s="149"/>
      <c r="C442" s="149"/>
      <c r="D442" s="149"/>
      <c r="E442" s="281"/>
      <c r="F442" s="281"/>
      <c r="G442" s="149"/>
      <c r="H442" s="149"/>
      <c r="I442" s="149"/>
      <c r="J442" s="149"/>
      <c r="K442" s="149"/>
      <c r="L442" s="149"/>
      <c r="M442" s="149"/>
      <c r="N442" s="149"/>
      <c r="O442" s="149"/>
      <c r="P442" s="149"/>
      <c r="Q442" s="149"/>
      <c r="R442" s="149"/>
      <c r="S442" s="149" t="str">
        <f>IF(COUNTIF(L$5:L442,L442)=1,MAX(S$5:S442)+1,"")</f>
        <v/>
      </c>
      <c r="T442" s="149">
        <f t="shared" si="6"/>
        <v>0</v>
      </c>
    </row>
    <row r="443" spans="1:20" hidden="1">
      <c r="A443" s="149"/>
      <c r="B443" s="149"/>
      <c r="C443" s="149"/>
      <c r="D443" s="149"/>
      <c r="E443" s="281"/>
      <c r="F443" s="281"/>
      <c r="G443" s="149"/>
      <c r="H443" s="149"/>
      <c r="I443" s="149"/>
      <c r="J443" s="149"/>
      <c r="K443" s="149"/>
      <c r="L443" s="149"/>
      <c r="M443" s="149"/>
      <c r="N443" s="149"/>
      <c r="O443" s="149"/>
      <c r="P443" s="149"/>
      <c r="Q443" s="149"/>
      <c r="R443" s="149"/>
      <c r="S443" s="149" t="str">
        <f>IF(COUNTIF(L$5:L443,L443)=1,MAX(S$5:S443)+1,"")</f>
        <v/>
      </c>
      <c r="T443" s="149">
        <f t="shared" si="6"/>
        <v>0</v>
      </c>
    </row>
    <row r="444" spans="1:20" hidden="1">
      <c r="A444" s="149"/>
      <c r="B444" s="149"/>
      <c r="C444" s="149"/>
      <c r="D444" s="149"/>
      <c r="E444" s="281"/>
      <c r="F444" s="281"/>
      <c r="G444" s="149"/>
      <c r="H444" s="149"/>
      <c r="I444" s="149"/>
      <c r="J444" s="149"/>
      <c r="K444" s="149"/>
      <c r="L444" s="149"/>
      <c r="M444" s="149"/>
      <c r="N444" s="149"/>
      <c r="O444" s="149"/>
      <c r="P444" s="149"/>
      <c r="Q444" s="149"/>
      <c r="R444" s="149"/>
      <c r="S444" s="149" t="str">
        <f>IF(COUNTIF(L$5:L444,L444)=1,MAX(S$5:S444)+1,"")</f>
        <v/>
      </c>
      <c r="T444" s="149">
        <f t="shared" si="6"/>
        <v>0</v>
      </c>
    </row>
    <row r="445" spans="1:20" hidden="1">
      <c r="A445" s="149"/>
      <c r="B445" s="149"/>
      <c r="C445" s="149"/>
      <c r="D445" s="149"/>
      <c r="E445" s="281"/>
      <c r="F445" s="281"/>
      <c r="G445" s="149"/>
      <c r="H445" s="149"/>
      <c r="I445" s="149"/>
      <c r="J445" s="149"/>
      <c r="K445" s="149"/>
      <c r="L445" s="149"/>
      <c r="M445" s="149"/>
      <c r="N445" s="149"/>
      <c r="O445" s="149"/>
      <c r="P445" s="149"/>
      <c r="Q445" s="149"/>
      <c r="R445" s="149"/>
      <c r="S445" s="149" t="str">
        <f>IF(COUNTIF(L$5:L445,L445)=1,MAX(S$5:S445)+1,"")</f>
        <v/>
      </c>
      <c r="T445" s="149">
        <f t="shared" si="6"/>
        <v>0</v>
      </c>
    </row>
    <row r="446" spans="1:20" hidden="1">
      <c r="A446" s="149"/>
      <c r="B446" s="149"/>
      <c r="C446" s="149"/>
      <c r="D446" s="149"/>
      <c r="E446" s="281"/>
      <c r="F446" s="281"/>
      <c r="G446" s="149"/>
      <c r="H446" s="149"/>
      <c r="I446" s="149"/>
      <c r="J446" s="149"/>
      <c r="K446" s="149"/>
      <c r="L446" s="149"/>
      <c r="M446" s="149"/>
      <c r="N446" s="149"/>
      <c r="O446" s="149"/>
      <c r="P446" s="149"/>
      <c r="Q446" s="149"/>
      <c r="R446" s="149"/>
      <c r="S446" s="149" t="str">
        <f>IF(COUNTIF(L$5:L446,L446)=1,MAX(S$5:S446)+1,"")</f>
        <v/>
      </c>
      <c r="T446" s="149">
        <f t="shared" si="6"/>
        <v>0</v>
      </c>
    </row>
    <row r="447" spans="1:20" hidden="1">
      <c r="A447" s="149"/>
      <c r="B447" s="149"/>
      <c r="C447" s="149"/>
      <c r="D447" s="149"/>
      <c r="E447" s="281"/>
      <c r="F447" s="281"/>
      <c r="G447" s="149"/>
      <c r="H447" s="149"/>
      <c r="I447" s="149"/>
      <c r="J447" s="149"/>
      <c r="K447" s="149"/>
      <c r="L447" s="149"/>
      <c r="M447" s="149"/>
      <c r="N447" s="149"/>
      <c r="O447" s="149"/>
      <c r="P447" s="149"/>
      <c r="Q447" s="149"/>
      <c r="R447" s="149"/>
      <c r="S447" s="149" t="str">
        <f>IF(COUNTIF(L$5:L447,L447)=1,MAX(S$5:S447)+1,"")</f>
        <v/>
      </c>
      <c r="T447" s="149">
        <f t="shared" si="6"/>
        <v>0</v>
      </c>
    </row>
    <row r="448" spans="1:20" hidden="1">
      <c r="A448" s="149"/>
      <c r="B448" s="149"/>
      <c r="C448" s="149"/>
      <c r="D448" s="149"/>
      <c r="E448" s="281"/>
      <c r="F448" s="281"/>
      <c r="G448" s="149"/>
      <c r="H448" s="149"/>
      <c r="I448" s="149"/>
      <c r="J448" s="149"/>
      <c r="K448" s="149"/>
      <c r="L448" s="149"/>
      <c r="M448" s="149"/>
      <c r="N448" s="149"/>
      <c r="O448" s="149"/>
      <c r="P448" s="149"/>
      <c r="Q448" s="149"/>
      <c r="R448" s="149"/>
      <c r="S448" s="149" t="str">
        <f>IF(COUNTIF(L$5:L448,L448)=1,MAX(S$5:S448)+1,"")</f>
        <v/>
      </c>
      <c r="T448" s="149">
        <f t="shared" si="6"/>
        <v>0</v>
      </c>
    </row>
    <row r="449" spans="1:20" hidden="1">
      <c r="A449" s="149"/>
      <c r="B449" s="149"/>
      <c r="C449" s="149"/>
      <c r="D449" s="149"/>
      <c r="E449" s="281"/>
      <c r="F449" s="281"/>
      <c r="G449" s="149"/>
      <c r="H449" s="149"/>
      <c r="I449" s="149"/>
      <c r="J449" s="149"/>
      <c r="K449" s="149"/>
      <c r="L449" s="149"/>
      <c r="M449" s="149"/>
      <c r="N449" s="149"/>
      <c r="O449" s="149"/>
      <c r="P449" s="149"/>
      <c r="Q449" s="149"/>
      <c r="R449" s="149"/>
      <c r="S449" s="149" t="str">
        <f>IF(COUNTIF(L$5:L449,L449)=1,MAX(S$5:S449)+1,"")</f>
        <v/>
      </c>
      <c r="T449" s="149">
        <f t="shared" si="6"/>
        <v>0</v>
      </c>
    </row>
    <row r="450" spans="1:20" hidden="1">
      <c r="A450" s="149"/>
      <c r="B450" s="149"/>
      <c r="C450" s="149"/>
      <c r="D450" s="149"/>
      <c r="E450" s="281"/>
      <c r="F450" s="281"/>
      <c r="G450" s="149"/>
      <c r="H450" s="149"/>
      <c r="I450" s="149"/>
      <c r="J450" s="149"/>
      <c r="K450" s="149"/>
      <c r="L450" s="149"/>
      <c r="M450" s="149"/>
      <c r="N450" s="149"/>
      <c r="O450" s="149"/>
      <c r="P450" s="149"/>
      <c r="Q450" s="149"/>
      <c r="R450" s="149"/>
      <c r="S450" s="149" t="str">
        <f>IF(COUNTIF(L$5:L450,L450)=1,MAX(S$5:S450)+1,"")</f>
        <v/>
      </c>
      <c r="T450" s="149">
        <f t="shared" si="6"/>
        <v>0</v>
      </c>
    </row>
    <row r="451" spans="1:20" hidden="1">
      <c r="A451" s="149"/>
      <c r="B451" s="149"/>
      <c r="C451" s="149"/>
      <c r="D451" s="149"/>
      <c r="E451" s="281"/>
      <c r="F451" s="281"/>
      <c r="G451" s="149"/>
      <c r="H451" s="149"/>
      <c r="I451" s="149"/>
      <c r="J451" s="149"/>
      <c r="K451" s="149"/>
      <c r="L451" s="149"/>
      <c r="M451" s="149"/>
      <c r="N451" s="149"/>
      <c r="O451" s="149"/>
      <c r="P451" s="149"/>
      <c r="Q451" s="149"/>
      <c r="R451" s="149"/>
      <c r="S451" s="149" t="str">
        <f>IF(COUNTIF(L$5:L451,L451)=1,MAX(S$5:S451)+1,"")</f>
        <v/>
      </c>
      <c r="T451" s="149">
        <f t="shared" si="6"/>
        <v>0</v>
      </c>
    </row>
    <row r="452" spans="1:20" hidden="1">
      <c r="A452" s="149"/>
      <c r="B452" s="149"/>
      <c r="C452" s="149"/>
      <c r="D452" s="149"/>
      <c r="E452" s="281"/>
      <c r="F452" s="281"/>
      <c r="G452" s="149"/>
      <c r="H452" s="149"/>
      <c r="I452" s="149"/>
      <c r="J452" s="149"/>
      <c r="K452" s="149"/>
      <c r="L452" s="149"/>
      <c r="M452" s="149"/>
      <c r="N452" s="149"/>
      <c r="O452" s="149"/>
      <c r="P452" s="149"/>
      <c r="Q452" s="149"/>
      <c r="R452" s="149"/>
      <c r="S452" s="149" t="str">
        <f>IF(COUNTIF(L$5:L452,L452)=1,MAX(S$5:S452)+1,"")</f>
        <v/>
      </c>
      <c r="T452" s="149">
        <f t="shared" si="6"/>
        <v>0</v>
      </c>
    </row>
    <row r="453" spans="1:20" hidden="1">
      <c r="A453" s="149"/>
      <c r="B453" s="149"/>
      <c r="C453" s="149"/>
      <c r="D453" s="149"/>
      <c r="E453" s="281"/>
      <c r="F453" s="281"/>
      <c r="G453" s="149"/>
      <c r="H453" s="149"/>
      <c r="I453" s="149"/>
      <c r="J453" s="149"/>
      <c r="K453" s="149"/>
      <c r="L453" s="149"/>
      <c r="M453" s="149"/>
      <c r="N453" s="149"/>
      <c r="O453" s="149"/>
      <c r="P453" s="149"/>
      <c r="Q453" s="149"/>
      <c r="R453" s="149"/>
      <c r="S453" s="149" t="str">
        <f>IF(COUNTIF(L$5:L453,L453)=1,MAX(S$5:S453)+1,"")</f>
        <v/>
      </c>
      <c r="T453" s="149">
        <f t="shared" ref="T453:T516" si="7">L453:L660</f>
        <v>0</v>
      </c>
    </row>
    <row r="454" spans="1:20" hidden="1">
      <c r="A454" s="149"/>
      <c r="B454" s="149"/>
      <c r="C454" s="149"/>
      <c r="D454" s="149"/>
      <c r="E454" s="281"/>
      <c r="F454" s="281"/>
      <c r="G454" s="149"/>
      <c r="H454" s="149"/>
      <c r="I454" s="149"/>
      <c r="J454" s="149"/>
      <c r="K454" s="149"/>
      <c r="L454" s="149"/>
      <c r="M454" s="149"/>
      <c r="N454" s="149"/>
      <c r="O454" s="149"/>
      <c r="P454" s="149"/>
      <c r="Q454" s="149"/>
      <c r="R454" s="149"/>
      <c r="S454" s="149" t="str">
        <f>IF(COUNTIF(L$5:L454,L454)=1,MAX(S$5:S454)+1,"")</f>
        <v/>
      </c>
      <c r="T454" s="149">
        <f t="shared" si="7"/>
        <v>0</v>
      </c>
    </row>
    <row r="455" spans="1:20" hidden="1">
      <c r="A455" s="149"/>
      <c r="B455" s="149"/>
      <c r="C455" s="149"/>
      <c r="D455" s="149"/>
      <c r="E455" s="281"/>
      <c r="F455" s="281"/>
      <c r="G455" s="149"/>
      <c r="H455" s="149"/>
      <c r="I455" s="149"/>
      <c r="J455" s="149"/>
      <c r="K455" s="149"/>
      <c r="L455" s="149"/>
      <c r="M455" s="149"/>
      <c r="N455" s="149"/>
      <c r="O455" s="149"/>
      <c r="P455" s="149"/>
      <c r="Q455" s="149"/>
      <c r="R455" s="149"/>
      <c r="S455" s="149" t="str">
        <f>IF(COUNTIF(L$5:L455,L455)=1,MAX(S$5:S455)+1,"")</f>
        <v/>
      </c>
      <c r="T455" s="149">
        <f t="shared" si="7"/>
        <v>0</v>
      </c>
    </row>
    <row r="456" spans="1:20" hidden="1">
      <c r="A456" s="149"/>
      <c r="B456" s="149"/>
      <c r="C456" s="149"/>
      <c r="D456" s="149"/>
      <c r="E456" s="281"/>
      <c r="F456" s="281"/>
      <c r="G456" s="149"/>
      <c r="H456" s="149"/>
      <c r="I456" s="149"/>
      <c r="J456" s="149"/>
      <c r="K456" s="149"/>
      <c r="L456" s="149"/>
      <c r="M456" s="149"/>
      <c r="N456" s="149"/>
      <c r="O456" s="149"/>
      <c r="P456" s="149"/>
      <c r="Q456" s="149"/>
      <c r="R456" s="149"/>
      <c r="S456" s="149" t="str">
        <f>IF(COUNTIF(L$5:L456,L456)=1,MAX(S$5:S456)+1,"")</f>
        <v/>
      </c>
      <c r="T456" s="149">
        <f t="shared" si="7"/>
        <v>0</v>
      </c>
    </row>
    <row r="457" spans="1:20" hidden="1">
      <c r="A457" s="149"/>
      <c r="B457" s="149"/>
      <c r="C457" s="149"/>
      <c r="D457" s="149"/>
      <c r="E457" s="281"/>
      <c r="F457" s="281"/>
      <c r="G457" s="149"/>
      <c r="H457" s="149"/>
      <c r="I457" s="149"/>
      <c r="J457" s="149"/>
      <c r="K457" s="149"/>
      <c r="L457" s="149"/>
      <c r="M457" s="149"/>
      <c r="N457" s="149"/>
      <c r="O457" s="149"/>
      <c r="P457" s="149"/>
      <c r="Q457" s="149"/>
      <c r="R457" s="149"/>
      <c r="S457" s="149" t="str">
        <f>IF(COUNTIF(L$5:L457,L457)=1,MAX(S$5:S457)+1,"")</f>
        <v/>
      </c>
      <c r="T457" s="149">
        <f t="shared" si="7"/>
        <v>0</v>
      </c>
    </row>
    <row r="458" spans="1:20" hidden="1">
      <c r="A458" s="149"/>
      <c r="B458" s="149"/>
      <c r="C458" s="149"/>
      <c r="D458" s="149"/>
      <c r="E458" s="281"/>
      <c r="F458" s="281"/>
      <c r="G458" s="149"/>
      <c r="H458" s="149"/>
      <c r="I458" s="149"/>
      <c r="J458" s="149"/>
      <c r="K458" s="149"/>
      <c r="L458" s="149"/>
      <c r="M458" s="149"/>
      <c r="N458" s="149"/>
      <c r="O458" s="149"/>
      <c r="P458" s="149"/>
      <c r="Q458" s="149"/>
      <c r="R458" s="149"/>
      <c r="S458" s="149" t="str">
        <f>IF(COUNTIF(L$5:L458,L458)=1,MAX(S$5:S458)+1,"")</f>
        <v/>
      </c>
      <c r="T458" s="149">
        <f t="shared" si="7"/>
        <v>0</v>
      </c>
    </row>
    <row r="459" spans="1:20" hidden="1">
      <c r="A459" s="149"/>
      <c r="B459" s="149"/>
      <c r="C459" s="149"/>
      <c r="D459" s="149"/>
      <c r="E459" s="281"/>
      <c r="F459" s="281"/>
      <c r="G459" s="149"/>
      <c r="H459" s="149"/>
      <c r="I459" s="149"/>
      <c r="J459" s="149"/>
      <c r="K459" s="149"/>
      <c r="L459" s="149"/>
      <c r="M459" s="149"/>
      <c r="N459" s="149"/>
      <c r="O459" s="149"/>
      <c r="P459" s="149"/>
      <c r="Q459" s="149"/>
      <c r="R459" s="149"/>
      <c r="S459" s="149" t="str">
        <f>IF(COUNTIF(L$5:L459,L459)=1,MAX(S$5:S459)+1,"")</f>
        <v/>
      </c>
      <c r="T459" s="149">
        <f t="shared" si="7"/>
        <v>0</v>
      </c>
    </row>
    <row r="460" spans="1:20" hidden="1">
      <c r="A460" s="149"/>
      <c r="B460" s="149"/>
      <c r="C460" s="149"/>
      <c r="D460" s="149"/>
      <c r="E460" s="281"/>
      <c r="F460" s="281"/>
      <c r="G460" s="149"/>
      <c r="H460" s="149"/>
      <c r="I460" s="149"/>
      <c r="J460" s="149"/>
      <c r="K460" s="149"/>
      <c r="L460" s="149"/>
      <c r="M460" s="149"/>
      <c r="N460" s="149"/>
      <c r="O460" s="149"/>
      <c r="P460" s="149"/>
      <c r="Q460" s="149"/>
      <c r="R460" s="149"/>
      <c r="S460" s="149" t="str">
        <f>IF(COUNTIF(L$5:L460,L460)=1,MAX(S$5:S460)+1,"")</f>
        <v/>
      </c>
      <c r="T460" s="149">
        <f t="shared" si="7"/>
        <v>0</v>
      </c>
    </row>
    <row r="461" spans="1:20" hidden="1">
      <c r="A461" s="149"/>
      <c r="B461" s="149"/>
      <c r="C461" s="149"/>
      <c r="D461" s="149"/>
      <c r="E461" s="281"/>
      <c r="F461" s="281"/>
      <c r="G461" s="149"/>
      <c r="H461" s="149"/>
      <c r="I461" s="149"/>
      <c r="J461" s="149"/>
      <c r="K461" s="149"/>
      <c r="L461" s="149"/>
      <c r="M461" s="149"/>
      <c r="N461" s="149"/>
      <c r="O461" s="149"/>
      <c r="P461" s="149"/>
      <c r="Q461" s="149"/>
      <c r="R461" s="149"/>
      <c r="S461" s="149" t="str">
        <f>IF(COUNTIF(L$5:L461,L461)=1,MAX(S$5:S461)+1,"")</f>
        <v/>
      </c>
      <c r="T461" s="149">
        <f t="shared" si="7"/>
        <v>0</v>
      </c>
    </row>
    <row r="462" spans="1:20" hidden="1">
      <c r="A462" s="149"/>
      <c r="B462" s="149"/>
      <c r="C462" s="149"/>
      <c r="D462" s="149"/>
      <c r="E462" s="281"/>
      <c r="F462" s="281"/>
      <c r="G462" s="149"/>
      <c r="H462" s="149"/>
      <c r="I462" s="149"/>
      <c r="J462" s="149"/>
      <c r="K462" s="149"/>
      <c r="L462" s="149"/>
      <c r="M462" s="149"/>
      <c r="N462" s="149"/>
      <c r="O462" s="149"/>
      <c r="P462" s="149"/>
      <c r="Q462" s="149"/>
      <c r="R462" s="149"/>
      <c r="S462" s="149" t="str">
        <f>IF(COUNTIF(L$5:L462,L462)=1,MAX(S$5:S462)+1,"")</f>
        <v/>
      </c>
      <c r="T462" s="149">
        <f t="shared" si="7"/>
        <v>0</v>
      </c>
    </row>
    <row r="463" spans="1:20" hidden="1">
      <c r="A463" s="149"/>
      <c r="B463" s="149"/>
      <c r="C463" s="149"/>
      <c r="D463" s="149"/>
      <c r="E463" s="281"/>
      <c r="F463" s="281"/>
      <c r="G463" s="149"/>
      <c r="H463" s="149"/>
      <c r="I463" s="149"/>
      <c r="J463" s="149"/>
      <c r="K463" s="149"/>
      <c r="L463" s="149"/>
      <c r="M463" s="149"/>
      <c r="N463" s="149"/>
      <c r="O463" s="149"/>
      <c r="P463" s="149"/>
      <c r="Q463" s="149"/>
      <c r="R463" s="149"/>
      <c r="S463" s="149" t="str">
        <f>IF(COUNTIF(L$5:L463,L463)=1,MAX(S$5:S463)+1,"")</f>
        <v/>
      </c>
      <c r="T463" s="149">
        <f t="shared" si="7"/>
        <v>0</v>
      </c>
    </row>
    <row r="464" spans="1:20" hidden="1">
      <c r="A464" s="149"/>
      <c r="B464" s="149"/>
      <c r="C464" s="149"/>
      <c r="D464" s="149"/>
      <c r="E464" s="281"/>
      <c r="F464" s="281"/>
      <c r="G464" s="149"/>
      <c r="H464" s="149"/>
      <c r="I464" s="149"/>
      <c r="J464" s="149"/>
      <c r="K464" s="149"/>
      <c r="L464" s="149"/>
      <c r="M464" s="149"/>
      <c r="N464" s="149"/>
      <c r="O464" s="149"/>
      <c r="P464" s="149"/>
      <c r="Q464" s="149"/>
      <c r="R464" s="149"/>
      <c r="S464" s="149" t="str">
        <f>IF(COUNTIF(L$5:L464,L464)=1,MAX(S$5:S464)+1,"")</f>
        <v/>
      </c>
      <c r="T464" s="149">
        <f t="shared" si="7"/>
        <v>0</v>
      </c>
    </row>
    <row r="465" spans="1:20" hidden="1">
      <c r="A465" s="149"/>
      <c r="B465" s="149"/>
      <c r="C465" s="149"/>
      <c r="D465" s="149"/>
      <c r="E465" s="281"/>
      <c r="F465" s="281"/>
      <c r="G465" s="149"/>
      <c r="H465" s="149"/>
      <c r="I465" s="149"/>
      <c r="J465" s="149"/>
      <c r="K465" s="149"/>
      <c r="L465" s="149"/>
      <c r="M465" s="149"/>
      <c r="N465" s="149"/>
      <c r="O465" s="149"/>
      <c r="P465" s="149"/>
      <c r="Q465" s="149"/>
      <c r="R465" s="149"/>
      <c r="S465" s="149" t="str">
        <f>IF(COUNTIF(L$5:L465,L465)=1,MAX(S$5:S465)+1,"")</f>
        <v/>
      </c>
      <c r="T465" s="149">
        <f t="shared" si="7"/>
        <v>0</v>
      </c>
    </row>
    <row r="466" spans="1:20" hidden="1">
      <c r="A466" s="149"/>
      <c r="B466" s="149"/>
      <c r="C466" s="149"/>
      <c r="D466" s="149"/>
      <c r="E466" s="281"/>
      <c r="F466" s="281"/>
      <c r="G466" s="149"/>
      <c r="H466" s="149"/>
      <c r="I466" s="149"/>
      <c r="J466" s="149"/>
      <c r="K466" s="149"/>
      <c r="L466" s="149"/>
      <c r="M466" s="149"/>
      <c r="N466" s="149"/>
      <c r="O466" s="149"/>
      <c r="P466" s="149"/>
      <c r="Q466" s="149"/>
      <c r="R466" s="149"/>
      <c r="S466" s="149" t="str">
        <f>IF(COUNTIF(L$5:L466,L466)=1,MAX(S$5:S466)+1,"")</f>
        <v/>
      </c>
      <c r="T466" s="149">
        <f t="shared" si="7"/>
        <v>0</v>
      </c>
    </row>
    <row r="467" spans="1:20" hidden="1">
      <c r="A467" s="149"/>
      <c r="B467" s="149"/>
      <c r="C467" s="149"/>
      <c r="D467" s="149"/>
      <c r="E467" s="281"/>
      <c r="F467" s="281"/>
      <c r="G467" s="149"/>
      <c r="H467" s="149"/>
      <c r="I467" s="149"/>
      <c r="J467" s="149"/>
      <c r="K467" s="149"/>
      <c r="L467" s="149"/>
      <c r="M467" s="149"/>
      <c r="N467" s="149"/>
      <c r="O467" s="149"/>
      <c r="P467" s="149"/>
      <c r="Q467" s="149"/>
      <c r="R467" s="149"/>
      <c r="S467" s="149" t="str">
        <f>IF(COUNTIF(L$5:L467,L467)=1,MAX(S$5:S467)+1,"")</f>
        <v/>
      </c>
      <c r="T467" s="149">
        <f t="shared" si="7"/>
        <v>0</v>
      </c>
    </row>
    <row r="468" spans="1:20" hidden="1">
      <c r="A468" s="149"/>
      <c r="B468" s="149"/>
      <c r="C468" s="149"/>
      <c r="D468" s="149"/>
      <c r="E468" s="281"/>
      <c r="F468" s="281"/>
      <c r="G468" s="149"/>
      <c r="H468" s="149"/>
      <c r="I468" s="149"/>
      <c r="J468" s="149"/>
      <c r="K468" s="149"/>
      <c r="L468" s="149"/>
      <c r="M468" s="149"/>
      <c r="N468" s="149"/>
      <c r="O468" s="149"/>
      <c r="P468" s="149"/>
      <c r="Q468" s="149"/>
      <c r="R468" s="149"/>
      <c r="S468" s="149" t="str">
        <f>IF(COUNTIF(L$5:L468,L468)=1,MAX(S$5:S468)+1,"")</f>
        <v/>
      </c>
      <c r="T468" s="149">
        <f t="shared" si="7"/>
        <v>0</v>
      </c>
    </row>
    <row r="469" spans="1:20" hidden="1">
      <c r="A469" s="149"/>
      <c r="B469" s="149"/>
      <c r="C469" s="149"/>
      <c r="D469" s="149"/>
      <c r="E469" s="281"/>
      <c r="F469" s="281"/>
      <c r="G469" s="149"/>
      <c r="H469" s="149"/>
      <c r="I469" s="149"/>
      <c r="J469" s="149"/>
      <c r="K469" s="149"/>
      <c r="L469" s="149"/>
      <c r="M469" s="149"/>
      <c r="N469" s="149"/>
      <c r="O469" s="149"/>
      <c r="P469" s="149"/>
      <c r="Q469" s="149"/>
      <c r="R469" s="149"/>
      <c r="S469" s="149" t="str">
        <f>IF(COUNTIF(L$5:L469,L469)=1,MAX(S$5:S469)+1,"")</f>
        <v/>
      </c>
      <c r="T469" s="149">
        <f t="shared" si="7"/>
        <v>0</v>
      </c>
    </row>
    <row r="470" spans="1:20" hidden="1">
      <c r="A470" s="149"/>
      <c r="B470" s="149"/>
      <c r="C470" s="149"/>
      <c r="D470" s="149"/>
      <c r="E470" s="281"/>
      <c r="F470" s="281"/>
      <c r="G470" s="149"/>
      <c r="H470" s="149"/>
      <c r="I470" s="149"/>
      <c r="J470" s="149"/>
      <c r="K470" s="149"/>
      <c r="L470" s="149"/>
      <c r="M470" s="149"/>
      <c r="N470" s="149"/>
      <c r="O470" s="149"/>
      <c r="P470" s="149"/>
      <c r="Q470" s="149"/>
      <c r="R470" s="149"/>
      <c r="S470" s="149" t="str">
        <f>IF(COUNTIF(L$5:L470,L470)=1,MAX(S$5:S470)+1,"")</f>
        <v/>
      </c>
      <c r="T470" s="149">
        <f t="shared" si="7"/>
        <v>0</v>
      </c>
    </row>
    <row r="471" spans="1:20" hidden="1">
      <c r="A471" s="149"/>
      <c r="B471" s="149"/>
      <c r="C471" s="149"/>
      <c r="D471" s="149"/>
      <c r="E471" s="281"/>
      <c r="F471" s="281"/>
      <c r="G471" s="149"/>
      <c r="H471" s="149"/>
      <c r="I471" s="149"/>
      <c r="J471" s="149"/>
      <c r="K471" s="149"/>
      <c r="L471" s="149"/>
      <c r="M471" s="149"/>
      <c r="N471" s="149"/>
      <c r="O471" s="149"/>
      <c r="P471" s="149"/>
      <c r="Q471" s="149"/>
      <c r="R471" s="149"/>
      <c r="S471" s="149" t="str">
        <f>IF(COUNTIF(L$5:L471,L471)=1,MAX(S$5:S471)+1,"")</f>
        <v/>
      </c>
      <c r="T471" s="149">
        <f t="shared" si="7"/>
        <v>0</v>
      </c>
    </row>
    <row r="472" spans="1:20" hidden="1">
      <c r="A472" s="149"/>
      <c r="B472" s="149"/>
      <c r="C472" s="149"/>
      <c r="D472" s="149"/>
      <c r="E472" s="281"/>
      <c r="F472" s="281"/>
      <c r="G472" s="149"/>
      <c r="H472" s="149"/>
      <c r="I472" s="149"/>
      <c r="J472" s="149"/>
      <c r="K472" s="149"/>
      <c r="L472" s="149"/>
      <c r="M472" s="149"/>
      <c r="N472" s="149"/>
      <c r="O472" s="149"/>
      <c r="P472" s="149"/>
      <c r="Q472" s="149"/>
      <c r="R472" s="149"/>
      <c r="S472" s="149" t="str">
        <f>IF(COUNTIF(L$5:L472,L472)=1,MAX(S$5:S472)+1,"")</f>
        <v/>
      </c>
      <c r="T472" s="149">
        <f t="shared" si="7"/>
        <v>0</v>
      </c>
    </row>
    <row r="473" spans="1:20" hidden="1">
      <c r="A473" s="149"/>
      <c r="B473" s="149"/>
      <c r="C473" s="149"/>
      <c r="D473" s="149"/>
      <c r="E473" s="281"/>
      <c r="F473" s="281"/>
      <c r="G473" s="149"/>
      <c r="H473" s="149"/>
      <c r="I473" s="149"/>
      <c r="J473" s="149"/>
      <c r="K473" s="149"/>
      <c r="L473" s="149"/>
      <c r="M473" s="149"/>
      <c r="N473" s="149"/>
      <c r="O473" s="149"/>
      <c r="P473" s="149"/>
      <c r="Q473" s="149"/>
      <c r="R473" s="149"/>
      <c r="S473" s="149" t="str">
        <f>IF(COUNTIF(L$5:L473,L473)=1,MAX(S$5:S473)+1,"")</f>
        <v/>
      </c>
      <c r="T473" s="149">
        <f t="shared" si="7"/>
        <v>0</v>
      </c>
    </row>
    <row r="474" spans="1:20" hidden="1">
      <c r="A474" s="149"/>
      <c r="B474" s="149"/>
      <c r="C474" s="149"/>
      <c r="D474" s="149"/>
      <c r="E474" s="281"/>
      <c r="F474" s="281"/>
      <c r="G474" s="149"/>
      <c r="H474" s="149"/>
      <c r="I474" s="149"/>
      <c r="J474" s="149"/>
      <c r="K474" s="149"/>
      <c r="L474" s="149"/>
      <c r="M474" s="149"/>
      <c r="N474" s="149"/>
      <c r="O474" s="149"/>
      <c r="P474" s="149"/>
      <c r="Q474" s="149"/>
      <c r="R474" s="149"/>
      <c r="S474" s="149" t="str">
        <f>IF(COUNTIF(L$5:L474,L474)=1,MAX(S$5:S474)+1,"")</f>
        <v/>
      </c>
      <c r="T474" s="149">
        <f t="shared" si="7"/>
        <v>0</v>
      </c>
    </row>
    <row r="475" spans="1:20" hidden="1">
      <c r="A475" s="149"/>
      <c r="B475" s="149"/>
      <c r="C475" s="149"/>
      <c r="D475" s="149"/>
      <c r="E475" s="281"/>
      <c r="F475" s="281"/>
      <c r="G475" s="149"/>
      <c r="H475" s="149"/>
      <c r="I475" s="149"/>
      <c r="J475" s="149"/>
      <c r="K475" s="149"/>
      <c r="L475" s="149"/>
      <c r="M475" s="149"/>
      <c r="N475" s="149"/>
      <c r="O475" s="149"/>
      <c r="P475" s="149"/>
      <c r="Q475" s="149"/>
      <c r="R475" s="149"/>
      <c r="S475" s="149" t="str">
        <f>IF(COUNTIF(L$5:L475,L475)=1,MAX(S$5:S475)+1,"")</f>
        <v/>
      </c>
      <c r="T475" s="149">
        <f t="shared" si="7"/>
        <v>0</v>
      </c>
    </row>
    <row r="476" spans="1:20" hidden="1">
      <c r="A476" s="149"/>
      <c r="B476" s="149"/>
      <c r="C476" s="149"/>
      <c r="D476" s="149"/>
      <c r="E476" s="281"/>
      <c r="F476" s="281"/>
      <c r="G476" s="149"/>
      <c r="H476" s="149"/>
      <c r="I476" s="149"/>
      <c r="J476" s="149"/>
      <c r="K476" s="149"/>
      <c r="L476" s="149"/>
      <c r="M476" s="149"/>
      <c r="N476" s="149"/>
      <c r="O476" s="149"/>
      <c r="P476" s="149"/>
      <c r="Q476" s="149"/>
      <c r="R476" s="149"/>
      <c r="S476" s="149" t="str">
        <f>IF(COUNTIF(L$5:L476,L476)=1,MAX(S$5:S476)+1,"")</f>
        <v/>
      </c>
      <c r="T476" s="149">
        <f t="shared" si="7"/>
        <v>0</v>
      </c>
    </row>
    <row r="477" spans="1:20" hidden="1">
      <c r="A477" s="149"/>
      <c r="B477" s="149"/>
      <c r="C477" s="149"/>
      <c r="D477" s="149"/>
      <c r="E477" s="281"/>
      <c r="F477" s="281"/>
      <c r="G477" s="149"/>
      <c r="H477" s="149"/>
      <c r="I477" s="149"/>
      <c r="J477" s="149"/>
      <c r="K477" s="149"/>
      <c r="L477" s="149"/>
      <c r="M477" s="149"/>
      <c r="N477" s="149"/>
      <c r="O477" s="149"/>
      <c r="P477" s="149"/>
      <c r="Q477" s="149"/>
      <c r="R477" s="149"/>
      <c r="S477" s="149" t="str">
        <f>IF(COUNTIF(L$5:L477,L477)=1,MAX(S$5:S477)+1,"")</f>
        <v/>
      </c>
      <c r="T477" s="149">
        <f t="shared" si="7"/>
        <v>0</v>
      </c>
    </row>
    <row r="478" spans="1:20" hidden="1">
      <c r="A478" s="149"/>
      <c r="B478" s="149"/>
      <c r="C478" s="149"/>
      <c r="D478" s="149"/>
      <c r="E478" s="281"/>
      <c r="F478" s="281"/>
      <c r="G478" s="149"/>
      <c r="H478" s="149"/>
      <c r="I478" s="149"/>
      <c r="J478" s="149"/>
      <c r="K478" s="149"/>
      <c r="L478" s="149"/>
      <c r="M478" s="149"/>
      <c r="N478" s="149"/>
      <c r="O478" s="149"/>
      <c r="P478" s="149"/>
      <c r="Q478" s="149"/>
      <c r="R478" s="149"/>
      <c r="S478" s="149" t="str">
        <f>IF(COUNTIF(L$5:L478,L478)=1,MAX(S$5:S478)+1,"")</f>
        <v/>
      </c>
      <c r="T478" s="149">
        <f t="shared" si="7"/>
        <v>0</v>
      </c>
    </row>
    <row r="479" spans="1:20" hidden="1">
      <c r="A479" s="149"/>
      <c r="B479" s="149"/>
      <c r="C479" s="149"/>
      <c r="D479" s="149"/>
      <c r="E479" s="281"/>
      <c r="F479" s="281"/>
      <c r="G479" s="149"/>
      <c r="H479" s="149"/>
      <c r="I479" s="149"/>
      <c r="J479" s="149"/>
      <c r="K479" s="149"/>
      <c r="L479" s="149"/>
      <c r="M479" s="149"/>
      <c r="N479" s="149"/>
      <c r="O479" s="149"/>
      <c r="P479" s="149"/>
      <c r="Q479" s="149"/>
      <c r="R479" s="149"/>
      <c r="S479" s="149" t="str">
        <f>IF(COUNTIF(L$5:L479,L479)=1,MAX(S$5:S479)+1,"")</f>
        <v/>
      </c>
      <c r="T479" s="149">
        <f t="shared" si="7"/>
        <v>0</v>
      </c>
    </row>
    <row r="480" spans="1:20" hidden="1">
      <c r="A480" s="149"/>
      <c r="B480" s="149"/>
      <c r="C480" s="149"/>
      <c r="D480" s="149"/>
      <c r="E480" s="281"/>
      <c r="F480" s="281"/>
      <c r="G480" s="149"/>
      <c r="H480" s="149"/>
      <c r="I480" s="149"/>
      <c r="J480" s="149"/>
      <c r="K480" s="149"/>
      <c r="L480" s="149"/>
      <c r="M480" s="149"/>
      <c r="N480" s="149"/>
      <c r="O480" s="149"/>
      <c r="P480" s="149"/>
      <c r="Q480" s="149"/>
      <c r="R480" s="149"/>
      <c r="S480" s="149" t="str">
        <f>IF(COUNTIF(L$5:L480,L480)=1,MAX(S$5:S480)+1,"")</f>
        <v/>
      </c>
      <c r="T480" s="149">
        <f t="shared" si="7"/>
        <v>0</v>
      </c>
    </row>
    <row r="481" spans="1:20" hidden="1">
      <c r="A481" s="149"/>
      <c r="B481" s="149"/>
      <c r="C481" s="149"/>
      <c r="D481" s="149"/>
      <c r="E481" s="281"/>
      <c r="F481" s="281"/>
      <c r="G481" s="149"/>
      <c r="H481" s="149"/>
      <c r="I481" s="149"/>
      <c r="J481" s="149"/>
      <c r="K481" s="149"/>
      <c r="L481" s="149"/>
      <c r="M481" s="149"/>
      <c r="N481" s="149"/>
      <c r="O481" s="149"/>
      <c r="P481" s="149"/>
      <c r="Q481" s="149"/>
      <c r="R481" s="149"/>
      <c r="S481" s="149" t="str">
        <f>IF(COUNTIF(L$5:L481,L481)=1,MAX(S$5:S481)+1,"")</f>
        <v/>
      </c>
      <c r="T481" s="149">
        <f t="shared" si="7"/>
        <v>0</v>
      </c>
    </row>
    <row r="482" spans="1:20" hidden="1">
      <c r="A482" s="149"/>
      <c r="B482" s="149"/>
      <c r="C482" s="149"/>
      <c r="D482" s="149"/>
      <c r="E482" s="281"/>
      <c r="F482" s="281"/>
      <c r="G482" s="149"/>
      <c r="H482" s="149"/>
      <c r="I482" s="149"/>
      <c r="J482" s="149"/>
      <c r="K482" s="149"/>
      <c r="L482" s="149"/>
      <c r="M482" s="149"/>
      <c r="N482" s="149"/>
      <c r="O482" s="149"/>
      <c r="P482" s="149"/>
      <c r="Q482" s="149"/>
      <c r="R482" s="149"/>
      <c r="S482" s="149" t="str">
        <f>IF(COUNTIF(L$5:L482,L482)=1,MAX(S$5:S482)+1,"")</f>
        <v/>
      </c>
      <c r="T482" s="149">
        <f t="shared" si="7"/>
        <v>0</v>
      </c>
    </row>
    <row r="483" spans="1:20" hidden="1">
      <c r="A483" s="149"/>
      <c r="B483" s="149"/>
      <c r="C483" s="149"/>
      <c r="D483" s="149"/>
      <c r="E483" s="281"/>
      <c r="F483" s="281"/>
      <c r="G483" s="149"/>
      <c r="H483" s="149"/>
      <c r="I483" s="149"/>
      <c r="J483" s="149"/>
      <c r="K483" s="149"/>
      <c r="L483" s="149"/>
      <c r="M483" s="149"/>
      <c r="N483" s="149"/>
      <c r="O483" s="149"/>
      <c r="P483" s="149"/>
      <c r="Q483" s="149"/>
      <c r="R483" s="149"/>
      <c r="S483" s="149" t="str">
        <f>IF(COUNTIF(L$5:L483,L483)=1,MAX(S$5:S483)+1,"")</f>
        <v/>
      </c>
      <c r="T483" s="149">
        <f t="shared" si="7"/>
        <v>0</v>
      </c>
    </row>
    <row r="484" spans="1:20" hidden="1">
      <c r="A484" s="149"/>
      <c r="B484" s="149"/>
      <c r="C484" s="149"/>
      <c r="D484" s="149"/>
      <c r="E484" s="281"/>
      <c r="F484" s="281"/>
      <c r="G484" s="149"/>
      <c r="H484" s="149"/>
      <c r="I484" s="149"/>
      <c r="J484" s="149"/>
      <c r="K484" s="149"/>
      <c r="L484" s="149"/>
      <c r="M484" s="149"/>
      <c r="N484" s="149"/>
      <c r="O484" s="149"/>
      <c r="P484" s="149"/>
      <c r="Q484" s="149"/>
      <c r="R484" s="149"/>
      <c r="S484" s="149" t="str">
        <f>IF(COUNTIF(L$5:L484,L484)=1,MAX(S$5:S484)+1,"")</f>
        <v/>
      </c>
      <c r="T484" s="149">
        <f t="shared" si="7"/>
        <v>0</v>
      </c>
    </row>
    <row r="485" spans="1:20" hidden="1">
      <c r="A485" s="149"/>
      <c r="B485" s="149"/>
      <c r="C485" s="149"/>
      <c r="D485" s="149"/>
      <c r="E485" s="281"/>
      <c r="F485" s="281"/>
      <c r="G485" s="149"/>
      <c r="H485" s="149"/>
      <c r="I485" s="149"/>
      <c r="J485" s="149"/>
      <c r="K485" s="149"/>
      <c r="L485" s="149"/>
      <c r="M485" s="149"/>
      <c r="N485" s="149"/>
      <c r="O485" s="149"/>
      <c r="P485" s="149"/>
      <c r="Q485" s="149"/>
      <c r="R485" s="149"/>
      <c r="S485" s="149" t="str">
        <f>IF(COUNTIF(L$5:L485,L485)=1,MAX(S$5:S485)+1,"")</f>
        <v/>
      </c>
      <c r="T485" s="149">
        <f t="shared" si="7"/>
        <v>0</v>
      </c>
    </row>
    <row r="486" spans="1:20" hidden="1">
      <c r="A486" s="149"/>
      <c r="B486" s="149"/>
      <c r="C486" s="149"/>
      <c r="D486" s="149"/>
      <c r="E486" s="281"/>
      <c r="F486" s="281"/>
      <c r="G486" s="149"/>
      <c r="H486" s="149"/>
      <c r="I486" s="149"/>
      <c r="J486" s="149"/>
      <c r="K486" s="149"/>
      <c r="L486" s="149"/>
      <c r="M486" s="149"/>
      <c r="N486" s="149"/>
      <c r="O486" s="149"/>
      <c r="P486" s="149"/>
      <c r="Q486" s="149"/>
      <c r="R486" s="149"/>
      <c r="S486" s="149" t="str">
        <f>IF(COUNTIF(L$5:L486,L486)=1,MAX(S$5:S486)+1,"")</f>
        <v/>
      </c>
      <c r="T486" s="149">
        <f t="shared" si="7"/>
        <v>0</v>
      </c>
    </row>
    <row r="487" spans="1:20" hidden="1">
      <c r="A487" s="149"/>
      <c r="B487" s="149"/>
      <c r="C487" s="149"/>
      <c r="D487" s="149"/>
      <c r="E487" s="281"/>
      <c r="F487" s="281"/>
      <c r="G487" s="149"/>
      <c r="H487" s="149"/>
      <c r="I487" s="149"/>
      <c r="J487" s="149"/>
      <c r="K487" s="149"/>
      <c r="L487" s="149"/>
      <c r="M487" s="149"/>
      <c r="N487" s="149"/>
      <c r="O487" s="149"/>
      <c r="P487" s="149"/>
      <c r="Q487" s="149"/>
      <c r="R487" s="149"/>
      <c r="S487" s="149" t="str">
        <f>IF(COUNTIF(L$5:L487,L487)=1,MAX(S$5:S487)+1,"")</f>
        <v/>
      </c>
      <c r="T487" s="149">
        <f t="shared" si="7"/>
        <v>0</v>
      </c>
    </row>
    <row r="488" spans="1:20" hidden="1">
      <c r="A488" s="149"/>
      <c r="B488" s="149"/>
      <c r="C488" s="149"/>
      <c r="D488" s="149"/>
      <c r="E488" s="281"/>
      <c r="F488" s="281"/>
      <c r="G488" s="149"/>
      <c r="H488" s="149"/>
      <c r="I488" s="149"/>
      <c r="J488" s="149"/>
      <c r="K488" s="149"/>
      <c r="L488" s="149"/>
      <c r="M488" s="149"/>
      <c r="N488" s="149"/>
      <c r="O488" s="149"/>
      <c r="P488" s="149"/>
      <c r="Q488" s="149"/>
      <c r="R488" s="149"/>
      <c r="S488" s="149" t="str">
        <f>IF(COUNTIF(L$5:L488,L488)=1,MAX(S$5:S488)+1,"")</f>
        <v/>
      </c>
      <c r="T488" s="149">
        <f t="shared" si="7"/>
        <v>0</v>
      </c>
    </row>
    <row r="489" spans="1:20" hidden="1">
      <c r="A489" s="149"/>
      <c r="B489" s="149"/>
      <c r="C489" s="149"/>
      <c r="D489" s="149"/>
      <c r="E489" s="281"/>
      <c r="F489" s="281"/>
      <c r="G489" s="149"/>
      <c r="H489" s="149"/>
      <c r="I489" s="149"/>
      <c r="J489" s="149"/>
      <c r="K489" s="149"/>
      <c r="L489" s="149"/>
      <c r="M489" s="149"/>
      <c r="N489" s="149"/>
      <c r="O489" s="149"/>
      <c r="P489" s="149"/>
      <c r="Q489" s="149"/>
      <c r="R489" s="149"/>
      <c r="S489" s="149" t="str">
        <f>IF(COUNTIF(L$5:L489,L489)=1,MAX(S$5:S489)+1,"")</f>
        <v/>
      </c>
      <c r="T489" s="149">
        <f t="shared" si="7"/>
        <v>0</v>
      </c>
    </row>
    <row r="490" spans="1:20" hidden="1">
      <c r="A490" s="149"/>
      <c r="B490" s="149"/>
      <c r="C490" s="149"/>
      <c r="D490" s="149"/>
      <c r="E490" s="281"/>
      <c r="F490" s="281"/>
      <c r="G490" s="149"/>
      <c r="H490" s="149"/>
      <c r="I490" s="149"/>
      <c r="J490" s="149"/>
      <c r="K490" s="149"/>
      <c r="L490" s="149"/>
      <c r="M490" s="149"/>
      <c r="N490" s="149"/>
      <c r="O490" s="149"/>
      <c r="P490" s="149"/>
      <c r="Q490" s="149"/>
      <c r="R490" s="149"/>
      <c r="S490" s="149" t="str">
        <f>IF(COUNTIF(L$5:L490,L490)=1,MAX(S$5:S490)+1,"")</f>
        <v/>
      </c>
      <c r="T490" s="149">
        <f t="shared" si="7"/>
        <v>0</v>
      </c>
    </row>
    <row r="491" spans="1:20" hidden="1">
      <c r="A491" s="149"/>
      <c r="B491" s="149"/>
      <c r="C491" s="149"/>
      <c r="D491" s="149"/>
      <c r="E491" s="281"/>
      <c r="F491" s="281"/>
      <c r="G491" s="149"/>
      <c r="H491" s="149"/>
      <c r="I491" s="149"/>
      <c r="J491" s="149"/>
      <c r="K491" s="149"/>
      <c r="L491" s="149"/>
      <c r="M491" s="149"/>
      <c r="N491" s="149"/>
      <c r="O491" s="149"/>
      <c r="P491" s="149"/>
      <c r="Q491" s="149"/>
      <c r="R491" s="149"/>
      <c r="S491" s="149" t="str">
        <f>IF(COUNTIF(L$5:L491,L491)=1,MAX(S$5:S491)+1,"")</f>
        <v/>
      </c>
      <c r="T491" s="149">
        <f t="shared" si="7"/>
        <v>0</v>
      </c>
    </row>
    <row r="492" spans="1:20" hidden="1">
      <c r="A492" s="149"/>
      <c r="B492" s="149"/>
      <c r="C492" s="149"/>
      <c r="D492" s="149"/>
      <c r="E492" s="281"/>
      <c r="F492" s="281"/>
      <c r="G492" s="149"/>
      <c r="H492" s="149"/>
      <c r="I492" s="149"/>
      <c r="J492" s="149"/>
      <c r="K492" s="149"/>
      <c r="L492" s="149"/>
      <c r="M492" s="149"/>
      <c r="N492" s="149"/>
      <c r="O492" s="149"/>
      <c r="P492" s="149"/>
      <c r="Q492" s="149"/>
      <c r="R492" s="149"/>
      <c r="S492" s="149" t="str">
        <f>IF(COUNTIF(L$5:L492,L492)=1,MAX(S$5:S492)+1,"")</f>
        <v/>
      </c>
      <c r="T492" s="149">
        <f t="shared" si="7"/>
        <v>0</v>
      </c>
    </row>
    <row r="493" spans="1:20" hidden="1">
      <c r="A493" s="149"/>
      <c r="B493" s="149"/>
      <c r="C493" s="149"/>
      <c r="D493" s="149"/>
      <c r="E493" s="281"/>
      <c r="F493" s="281"/>
      <c r="G493" s="149"/>
      <c r="H493" s="149"/>
      <c r="I493" s="149"/>
      <c r="J493" s="149"/>
      <c r="K493" s="149"/>
      <c r="L493" s="149"/>
      <c r="M493" s="149"/>
      <c r="N493" s="149"/>
      <c r="O493" s="149"/>
      <c r="P493" s="149"/>
      <c r="Q493" s="149"/>
      <c r="R493" s="149"/>
      <c r="S493" s="149" t="str">
        <f>IF(COUNTIF(L$5:L493,L493)=1,MAX(S$5:S493)+1,"")</f>
        <v/>
      </c>
      <c r="T493" s="149">
        <f t="shared" si="7"/>
        <v>0</v>
      </c>
    </row>
    <row r="494" spans="1:20" hidden="1">
      <c r="A494" s="149"/>
      <c r="B494" s="149"/>
      <c r="C494" s="149"/>
      <c r="D494" s="149"/>
      <c r="E494" s="281"/>
      <c r="F494" s="281"/>
      <c r="G494" s="149"/>
      <c r="H494" s="149"/>
      <c r="I494" s="149"/>
      <c r="J494" s="149"/>
      <c r="K494" s="149"/>
      <c r="L494" s="149"/>
      <c r="M494" s="149"/>
      <c r="N494" s="149"/>
      <c r="O494" s="149"/>
      <c r="P494" s="149"/>
      <c r="Q494" s="149"/>
      <c r="R494" s="149"/>
      <c r="S494" s="149" t="str">
        <f>IF(COUNTIF(L$5:L494,L494)=1,MAX(S$5:S494)+1,"")</f>
        <v/>
      </c>
      <c r="T494" s="149">
        <f t="shared" si="7"/>
        <v>0</v>
      </c>
    </row>
    <row r="495" spans="1:20" hidden="1">
      <c r="A495" s="149"/>
      <c r="B495" s="149"/>
      <c r="C495" s="149"/>
      <c r="D495" s="149"/>
      <c r="E495" s="281"/>
      <c r="F495" s="281"/>
      <c r="G495" s="149"/>
      <c r="H495" s="149"/>
      <c r="I495" s="149"/>
      <c r="J495" s="149"/>
      <c r="K495" s="149"/>
      <c r="L495" s="149"/>
      <c r="M495" s="149"/>
      <c r="N495" s="149"/>
      <c r="O495" s="149"/>
      <c r="P495" s="149"/>
      <c r="Q495" s="149"/>
      <c r="R495" s="149"/>
      <c r="S495" s="149" t="str">
        <f>IF(COUNTIF(L$5:L495,L495)=1,MAX(S$5:S495)+1,"")</f>
        <v/>
      </c>
      <c r="T495" s="149">
        <f t="shared" si="7"/>
        <v>0</v>
      </c>
    </row>
    <row r="496" spans="1:20" hidden="1">
      <c r="A496" s="149"/>
      <c r="B496" s="149"/>
      <c r="C496" s="149"/>
      <c r="D496" s="149"/>
      <c r="E496" s="281"/>
      <c r="F496" s="281"/>
      <c r="G496" s="149"/>
      <c r="H496" s="149"/>
      <c r="I496" s="149"/>
      <c r="J496" s="149"/>
      <c r="K496" s="149"/>
      <c r="L496" s="149"/>
      <c r="M496" s="149"/>
      <c r="N496" s="149"/>
      <c r="O496" s="149"/>
      <c r="P496" s="149"/>
      <c r="Q496" s="149"/>
      <c r="R496" s="149"/>
      <c r="S496" s="149" t="str">
        <f>IF(COUNTIF(L$5:L496,L496)=1,MAX(S$5:S496)+1,"")</f>
        <v/>
      </c>
      <c r="T496" s="149">
        <f t="shared" si="7"/>
        <v>0</v>
      </c>
    </row>
    <row r="497" spans="1:20" hidden="1">
      <c r="A497" s="149"/>
      <c r="B497" s="149"/>
      <c r="C497" s="149"/>
      <c r="D497" s="149"/>
      <c r="E497" s="281"/>
      <c r="F497" s="281"/>
      <c r="G497" s="149"/>
      <c r="H497" s="149"/>
      <c r="I497" s="149"/>
      <c r="J497" s="149"/>
      <c r="K497" s="149"/>
      <c r="L497" s="149"/>
      <c r="M497" s="149"/>
      <c r="N497" s="149"/>
      <c r="O497" s="149"/>
      <c r="P497" s="149"/>
      <c r="Q497" s="149"/>
      <c r="R497" s="149"/>
      <c r="S497" s="149" t="str">
        <f>IF(COUNTIF(L$5:L497,L497)=1,MAX(S$5:S497)+1,"")</f>
        <v/>
      </c>
      <c r="T497" s="149">
        <f t="shared" si="7"/>
        <v>0</v>
      </c>
    </row>
    <row r="498" spans="1:20" hidden="1">
      <c r="A498" s="149"/>
      <c r="B498" s="149"/>
      <c r="C498" s="149"/>
      <c r="D498" s="149"/>
      <c r="E498" s="281"/>
      <c r="F498" s="281"/>
      <c r="G498" s="149"/>
      <c r="H498" s="149"/>
      <c r="I498" s="149"/>
      <c r="J498" s="149"/>
      <c r="K498" s="149"/>
      <c r="L498" s="149"/>
      <c r="M498" s="149"/>
      <c r="N498" s="149"/>
      <c r="O498" s="149"/>
      <c r="P498" s="149"/>
      <c r="Q498" s="149"/>
      <c r="R498" s="149"/>
      <c r="S498" s="149" t="str">
        <f>IF(COUNTIF(L$5:L498,L498)=1,MAX(S$5:S498)+1,"")</f>
        <v/>
      </c>
      <c r="T498" s="149">
        <f t="shared" si="7"/>
        <v>0</v>
      </c>
    </row>
    <row r="499" spans="1:20" hidden="1">
      <c r="A499" s="149"/>
      <c r="B499" s="149"/>
      <c r="C499" s="149"/>
      <c r="D499" s="149"/>
      <c r="E499" s="281"/>
      <c r="F499" s="281"/>
      <c r="G499" s="149"/>
      <c r="H499" s="149"/>
      <c r="I499" s="149"/>
      <c r="J499" s="149"/>
      <c r="K499" s="149"/>
      <c r="L499" s="149"/>
      <c r="M499" s="149"/>
      <c r="N499" s="149"/>
      <c r="O499" s="149"/>
      <c r="P499" s="149"/>
      <c r="Q499" s="149"/>
      <c r="R499" s="149"/>
      <c r="S499" s="149" t="str">
        <f>IF(COUNTIF(L$5:L499,L499)=1,MAX(S$5:S499)+1,"")</f>
        <v/>
      </c>
      <c r="T499" s="149">
        <f t="shared" si="7"/>
        <v>0</v>
      </c>
    </row>
    <row r="500" spans="1:20" hidden="1">
      <c r="A500" s="149"/>
      <c r="B500" s="149"/>
      <c r="C500" s="149"/>
      <c r="D500" s="149"/>
      <c r="E500" s="281"/>
      <c r="F500" s="281"/>
      <c r="G500" s="149"/>
      <c r="H500" s="149"/>
      <c r="I500" s="149"/>
      <c r="J500" s="149"/>
      <c r="K500" s="149"/>
      <c r="L500" s="149"/>
      <c r="M500" s="149"/>
      <c r="N500" s="149"/>
      <c r="O500" s="149"/>
      <c r="P500" s="149"/>
      <c r="Q500" s="149"/>
      <c r="R500" s="149"/>
      <c r="S500" s="149" t="str">
        <f>IF(COUNTIF(L$5:L500,L500)=1,MAX(S$5:S500)+1,"")</f>
        <v/>
      </c>
      <c r="T500" s="149">
        <f t="shared" si="7"/>
        <v>0</v>
      </c>
    </row>
    <row r="501" spans="1:20" hidden="1">
      <c r="A501" s="149"/>
      <c r="B501" s="149"/>
      <c r="C501" s="149"/>
      <c r="D501" s="149"/>
      <c r="E501" s="281"/>
      <c r="F501" s="281"/>
      <c r="G501" s="149"/>
      <c r="H501" s="149"/>
      <c r="I501" s="149"/>
      <c r="J501" s="149"/>
      <c r="K501" s="149"/>
      <c r="L501" s="149"/>
      <c r="M501" s="149"/>
      <c r="N501" s="149"/>
      <c r="O501" s="149"/>
      <c r="P501" s="149"/>
      <c r="Q501" s="149"/>
      <c r="R501" s="149"/>
      <c r="S501" s="149" t="str">
        <f>IF(COUNTIF(L$5:L501,L501)=1,MAX(S$5:S501)+1,"")</f>
        <v/>
      </c>
      <c r="T501" s="149">
        <f t="shared" si="7"/>
        <v>0</v>
      </c>
    </row>
    <row r="502" spans="1:20" hidden="1">
      <c r="A502" s="149"/>
      <c r="B502" s="149"/>
      <c r="C502" s="149"/>
      <c r="D502" s="149"/>
      <c r="E502" s="281"/>
      <c r="F502" s="281"/>
      <c r="G502" s="149"/>
      <c r="H502" s="149"/>
      <c r="I502" s="149"/>
      <c r="J502" s="149"/>
      <c r="K502" s="149"/>
      <c r="L502" s="149"/>
      <c r="M502" s="149"/>
      <c r="N502" s="149"/>
      <c r="O502" s="149"/>
      <c r="P502" s="149"/>
      <c r="Q502" s="149"/>
      <c r="R502" s="149"/>
      <c r="S502" s="149" t="str">
        <f>IF(COUNTIF(L$5:L502,L502)=1,MAX(S$5:S502)+1,"")</f>
        <v/>
      </c>
      <c r="T502" s="149">
        <f t="shared" si="7"/>
        <v>0</v>
      </c>
    </row>
    <row r="503" spans="1:20" hidden="1">
      <c r="A503" s="149"/>
      <c r="B503" s="149"/>
      <c r="C503" s="149"/>
      <c r="D503" s="149"/>
      <c r="E503" s="281"/>
      <c r="F503" s="281"/>
      <c r="G503" s="149"/>
      <c r="H503" s="149"/>
      <c r="I503" s="149"/>
      <c r="J503" s="149"/>
      <c r="K503" s="149"/>
      <c r="L503" s="149"/>
      <c r="M503" s="149"/>
      <c r="N503" s="149"/>
      <c r="O503" s="149"/>
      <c r="P503" s="149"/>
      <c r="Q503" s="149"/>
      <c r="R503" s="149"/>
      <c r="S503" s="149" t="str">
        <f>IF(COUNTIF(L$5:L503,L503)=1,MAX(S$5:S503)+1,"")</f>
        <v/>
      </c>
      <c r="T503" s="149">
        <f t="shared" si="7"/>
        <v>0</v>
      </c>
    </row>
    <row r="504" spans="1:20" hidden="1">
      <c r="A504" s="149"/>
      <c r="B504" s="149"/>
      <c r="C504" s="149"/>
      <c r="D504" s="149"/>
      <c r="E504" s="281"/>
      <c r="F504" s="281"/>
      <c r="G504" s="149"/>
      <c r="H504" s="149"/>
      <c r="I504" s="149"/>
      <c r="J504" s="149"/>
      <c r="K504" s="149"/>
      <c r="L504" s="149"/>
      <c r="M504" s="149"/>
      <c r="N504" s="149"/>
      <c r="O504" s="149"/>
      <c r="P504" s="149"/>
      <c r="Q504" s="149"/>
      <c r="R504" s="149"/>
      <c r="S504" s="149" t="str">
        <f>IF(COUNTIF(L$5:L504,L504)=1,MAX(S$5:S504)+1,"")</f>
        <v/>
      </c>
      <c r="T504" s="149">
        <f t="shared" si="7"/>
        <v>0</v>
      </c>
    </row>
    <row r="505" spans="1:20" hidden="1">
      <c r="A505" s="149"/>
      <c r="B505" s="149"/>
      <c r="C505" s="149"/>
      <c r="D505" s="149"/>
      <c r="E505" s="281"/>
      <c r="F505" s="281"/>
      <c r="G505" s="149"/>
      <c r="H505" s="149"/>
      <c r="I505" s="149"/>
      <c r="J505" s="149"/>
      <c r="K505" s="149"/>
      <c r="L505" s="149"/>
      <c r="M505" s="149"/>
      <c r="N505" s="149"/>
      <c r="O505" s="149"/>
      <c r="P505" s="149"/>
      <c r="Q505" s="149"/>
      <c r="R505" s="149"/>
      <c r="S505" s="149" t="str">
        <f>IF(COUNTIF(L$5:L505,L505)=1,MAX(S$5:S505)+1,"")</f>
        <v/>
      </c>
      <c r="T505" s="149">
        <f t="shared" si="7"/>
        <v>0</v>
      </c>
    </row>
    <row r="506" spans="1:20" hidden="1">
      <c r="A506" s="149"/>
      <c r="B506" s="149"/>
      <c r="C506" s="149"/>
      <c r="D506" s="149"/>
      <c r="E506" s="281"/>
      <c r="F506" s="281"/>
      <c r="G506" s="149"/>
      <c r="H506" s="149"/>
      <c r="I506" s="149"/>
      <c r="J506" s="149"/>
      <c r="K506" s="149"/>
      <c r="L506" s="149"/>
      <c r="M506" s="149"/>
      <c r="N506" s="149"/>
      <c r="O506" s="149"/>
      <c r="P506" s="149"/>
      <c r="Q506" s="149"/>
      <c r="R506" s="149"/>
      <c r="S506" s="149" t="str">
        <f>IF(COUNTIF(L$5:L506,L506)=1,MAX(S$5:S506)+1,"")</f>
        <v/>
      </c>
      <c r="T506" s="149">
        <f t="shared" si="7"/>
        <v>0</v>
      </c>
    </row>
    <row r="507" spans="1:20" hidden="1">
      <c r="A507" s="149"/>
      <c r="B507" s="149"/>
      <c r="C507" s="149"/>
      <c r="D507" s="149"/>
      <c r="E507" s="281"/>
      <c r="F507" s="281"/>
      <c r="G507" s="149"/>
      <c r="H507" s="149"/>
      <c r="I507" s="149"/>
      <c r="J507" s="149"/>
      <c r="K507" s="149"/>
      <c r="L507" s="149"/>
      <c r="M507" s="149"/>
      <c r="N507" s="149"/>
      <c r="O507" s="149"/>
      <c r="P507" s="149"/>
      <c r="Q507" s="149"/>
      <c r="R507" s="149"/>
      <c r="S507" s="149" t="str">
        <f>IF(COUNTIF(L$5:L507,L507)=1,MAX(S$5:S507)+1,"")</f>
        <v/>
      </c>
      <c r="T507" s="149">
        <f t="shared" si="7"/>
        <v>0</v>
      </c>
    </row>
    <row r="508" spans="1:20" hidden="1">
      <c r="A508" s="149"/>
      <c r="B508" s="149"/>
      <c r="C508" s="149"/>
      <c r="D508" s="149"/>
      <c r="E508" s="281"/>
      <c r="F508" s="281"/>
      <c r="G508" s="149"/>
      <c r="H508" s="149"/>
      <c r="I508" s="149"/>
      <c r="J508" s="149"/>
      <c r="K508" s="149"/>
      <c r="L508" s="149"/>
      <c r="M508" s="149"/>
      <c r="N508" s="149"/>
      <c r="O508" s="149"/>
      <c r="P508" s="149"/>
      <c r="Q508" s="149"/>
      <c r="R508" s="149"/>
      <c r="S508" s="149" t="str">
        <f>IF(COUNTIF(L$5:L508,L508)=1,MAX(S$5:S508)+1,"")</f>
        <v/>
      </c>
      <c r="T508" s="149">
        <f t="shared" si="7"/>
        <v>0</v>
      </c>
    </row>
    <row r="509" spans="1:20" hidden="1">
      <c r="A509" s="149"/>
      <c r="B509" s="149"/>
      <c r="C509" s="149"/>
      <c r="D509" s="149"/>
      <c r="E509" s="281"/>
      <c r="F509" s="281"/>
      <c r="G509" s="149"/>
      <c r="H509" s="149"/>
      <c r="I509" s="149"/>
      <c r="J509" s="149"/>
      <c r="K509" s="149"/>
      <c r="L509" s="149"/>
      <c r="M509" s="149"/>
      <c r="N509" s="149"/>
      <c r="O509" s="149"/>
      <c r="P509" s="149"/>
      <c r="Q509" s="149"/>
      <c r="R509" s="149"/>
      <c r="S509" s="149" t="str">
        <f>IF(COUNTIF(L$5:L509,L509)=1,MAX(S$5:S509)+1,"")</f>
        <v/>
      </c>
      <c r="T509" s="149">
        <f t="shared" si="7"/>
        <v>0</v>
      </c>
    </row>
    <row r="510" spans="1:20" hidden="1">
      <c r="A510" s="149"/>
      <c r="B510" s="149"/>
      <c r="C510" s="149"/>
      <c r="D510" s="149"/>
      <c r="E510" s="281"/>
      <c r="F510" s="281"/>
      <c r="G510" s="149"/>
      <c r="H510" s="149"/>
      <c r="I510" s="149"/>
      <c r="J510" s="149"/>
      <c r="K510" s="149"/>
      <c r="L510" s="149"/>
      <c r="M510" s="149"/>
      <c r="N510" s="149"/>
      <c r="O510" s="149"/>
      <c r="P510" s="149"/>
      <c r="Q510" s="149"/>
      <c r="R510" s="149"/>
      <c r="S510" s="149" t="str">
        <f>IF(COUNTIF(L$5:L510,L510)=1,MAX(S$5:S510)+1,"")</f>
        <v/>
      </c>
      <c r="T510" s="149">
        <f t="shared" si="7"/>
        <v>0</v>
      </c>
    </row>
    <row r="511" spans="1:20" hidden="1">
      <c r="A511" s="149"/>
      <c r="B511" s="149"/>
      <c r="C511" s="149"/>
      <c r="D511" s="149"/>
      <c r="E511" s="281"/>
      <c r="F511" s="281"/>
      <c r="G511" s="149"/>
      <c r="H511" s="149"/>
      <c r="I511" s="149"/>
      <c r="J511" s="149"/>
      <c r="K511" s="149"/>
      <c r="L511" s="149"/>
      <c r="M511" s="149"/>
      <c r="N511" s="149"/>
      <c r="O511" s="149"/>
      <c r="P511" s="149"/>
      <c r="Q511" s="149"/>
      <c r="R511" s="149"/>
      <c r="S511" s="149" t="str">
        <f>IF(COUNTIF(L$5:L511,L511)=1,MAX(S$5:S511)+1,"")</f>
        <v/>
      </c>
      <c r="T511" s="149">
        <f t="shared" si="7"/>
        <v>0</v>
      </c>
    </row>
    <row r="512" spans="1:20" hidden="1">
      <c r="A512" s="149"/>
      <c r="B512" s="149"/>
      <c r="C512" s="149"/>
      <c r="D512" s="149"/>
      <c r="E512" s="281"/>
      <c r="F512" s="281"/>
      <c r="G512" s="149"/>
      <c r="H512" s="149"/>
      <c r="I512" s="149"/>
      <c r="J512" s="149"/>
      <c r="K512" s="149"/>
      <c r="L512" s="149"/>
      <c r="M512" s="149"/>
      <c r="N512" s="149"/>
      <c r="O512" s="149"/>
      <c r="P512" s="149"/>
      <c r="Q512" s="149"/>
      <c r="R512" s="149"/>
      <c r="S512" s="149" t="str">
        <f>IF(COUNTIF(L$5:L512,L512)=1,MAX(S$5:S512)+1,"")</f>
        <v/>
      </c>
      <c r="T512" s="149">
        <f t="shared" si="7"/>
        <v>0</v>
      </c>
    </row>
    <row r="513" spans="1:20" hidden="1">
      <c r="A513" s="149"/>
      <c r="B513" s="149"/>
      <c r="C513" s="149"/>
      <c r="D513" s="149"/>
      <c r="E513" s="281"/>
      <c r="F513" s="281"/>
      <c r="G513" s="149"/>
      <c r="H513" s="149"/>
      <c r="I513" s="149"/>
      <c r="J513" s="149"/>
      <c r="K513" s="149"/>
      <c r="L513" s="149"/>
      <c r="M513" s="149"/>
      <c r="N513" s="149"/>
      <c r="O513" s="149"/>
      <c r="P513" s="149"/>
      <c r="Q513" s="149"/>
      <c r="R513" s="149"/>
      <c r="S513" s="149" t="str">
        <f>IF(COUNTIF(L$5:L513,L513)=1,MAX(S$5:S513)+1,"")</f>
        <v/>
      </c>
      <c r="T513" s="149">
        <f t="shared" si="7"/>
        <v>0</v>
      </c>
    </row>
    <row r="514" spans="1:20" hidden="1">
      <c r="A514" s="149"/>
      <c r="B514" s="149"/>
      <c r="C514" s="149"/>
      <c r="D514" s="149"/>
      <c r="E514" s="281"/>
      <c r="F514" s="281"/>
      <c r="G514" s="149"/>
      <c r="H514" s="149"/>
      <c r="I514" s="149"/>
      <c r="J514" s="149"/>
      <c r="K514" s="149"/>
      <c r="L514" s="149"/>
      <c r="M514" s="149"/>
      <c r="N514" s="149"/>
      <c r="O514" s="149"/>
      <c r="P514" s="149"/>
      <c r="Q514" s="149"/>
      <c r="R514" s="149"/>
      <c r="S514" s="149" t="str">
        <f>IF(COUNTIF(L$5:L514,L514)=1,MAX(S$5:S514)+1,"")</f>
        <v/>
      </c>
      <c r="T514" s="149">
        <f t="shared" si="7"/>
        <v>0</v>
      </c>
    </row>
    <row r="515" spans="1:20" hidden="1">
      <c r="A515" s="149"/>
      <c r="B515" s="149"/>
      <c r="C515" s="149"/>
      <c r="D515" s="149"/>
      <c r="E515" s="281"/>
      <c r="F515" s="281"/>
      <c r="G515" s="149"/>
      <c r="H515" s="149"/>
      <c r="I515" s="149"/>
      <c r="J515" s="149"/>
      <c r="K515" s="149"/>
      <c r="L515" s="149"/>
      <c r="M515" s="149"/>
      <c r="N515" s="149"/>
      <c r="O515" s="149"/>
      <c r="P515" s="149"/>
      <c r="Q515" s="149"/>
      <c r="R515" s="149"/>
      <c r="S515" s="149" t="str">
        <f>IF(COUNTIF(L$5:L515,L515)=1,MAX(S$5:S515)+1,"")</f>
        <v/>
      </c>
      <c r="T515" s="149">
        <f t="shared" si="7"/>
        <v>0</v>
      </c>
    </row>
    <row r="516" spans="1:20" hidden="1">
      <c r="A516" s="149"/>
      <c r="B516" s="149"/>
      <c r="C516" s="149"/>
      <c r="D516" s="149"/>
      <c r="E516" s="281"/>
      <c r="F516" s="281"/>
      <c r="G516" s="149"/>
      <c r="H516" s="149"/>
      <c r="I516" s="149"/>
      <c r="J516" s="149"/>
      <c r="K516" s="149"/>
      <c r="L516" s="149"/>
      <c r="M516" s="149"/>
      <c r="N516" s="149"/>
      <c r="O516" s="149"/>
      <c r="P516" s="149"/>
      <c r="Q516" s="149"/>
      <c r="R516" s="149"/>
      <c r="S516" s="149" t="str">
        <f>IF(COUNTIF(L$5:L516,L516)=1,MAX(S$5:S516)+1,"")</f>
        <v/>
      </c>
      <c r="T516" s="149">
        <f t="shared" si="7"/>
        <v>0</v>
      </c>
    </row>
    <row r="517" spans="1:20" hidden="1">
      <c r="A517" s="149"/>
      <c r="B517" s="149"/>
      <c r="C517" s="149"/>
      <c r="D517" s="149"/>
      <c r="E517" s="281"/>
      <c r="F517" s="281"/>
      <c r="G517" s="149"/>
      <c r="H517" s="149"/>
      <c r="I517" s="149"/>
      <c r="J517" s="149"/>
      <c r="K517" s="149"/>
      <c r="L517" s="149"/>
      <c r="M517" s="149"/>
      <c r="N517" s="149"/>
      <c r="O517" s="149"/>
      <c r="P517" s="149"/>
      <c r="Q517" s="149"/>
      <c r="R517" s="149"/>
      <c r="S517" s="149" t="str">
        <f>IF(COUNTIF(L$5:L517,L517)=1,MAX(S$5:S517)+1,"")</f>
        <v/>
      </c>
      <c r="T517" s="149">
        <f t="shared" ref="T517:T580" si="8">L517:L724</f>
        <v>0</v>
      </c>
    </row>
    <row r="518" spans="1:20" hidden="1">
      <c r="A518" s="149"/>
      <c r="B518" s="149"/>
      <c r="C518" s="149"/>
      <c r="D518" s="149"/>
      <c r="E518" s="281"/>
      <c r="F518" s="281"/>
      <c r="G518" s="149"/>
      <c r="H518" s="149"/>
      <c r="I518" s="149"/>
      <c r="J518" s="149"/>
      <c r="K518" s="149"/>
      <c r="L518" s="149"/>
      <c r="M518" s="149"/>
      <c r="N518" s="149"/>
      <c r="O518" s="149"/>
      <c r="P518" s="149"/>
      <c r="Q518" s="149"/>
      <c r="R518" s="149"/>
      <c r="S518" s="149" t="str">
        <f>IF(COUNTIF(L$5:L518,L518)=1,MAX(S$5:S518)+1,"")</f>
        <v/>
      </c>
      <c r="T518" s="149">
        <f t="shared" si="8"/>
        <v>0</v>
      </c>
    </row>
    <row r="519" spans="1:20" hidden="1">
      <c r="A519" s="149"/>
      <c r="B519" s="149"/>
      <c r="C519" s="149"/>
      <c r="D519" s="149"/>
      <c r="E519" s="281"/>
      <c r="F519" s="281"/>
      <c r="G519" s="149"/>
      <c r="H519" s="149"/>
      <c r="I519" s="149"/>
      <c r="J519" s="149"/>
      <c r="K519" s="149"/>
      <c r="L519" s="149"/>
      <c r="M519" s="149"/>
      <c r="N519" s="149"/>
      <c r="O519" s="149"/>
      <c r="P519" s="149"/>
      <c r="Q519" s="149"/>
      <c r="R519" s="149"/>
      <c r="S519" s="149" t="str">
        <f>IF(COUNTIF(L$5:L519,L519)=1,MAX(S$5:S519)+1,"")</f>
        <v/>
      </c>
      <c r="T519" s="149">
        <f t="shared" si="8"/>
        <v>0</v>
      </c>
    </row>
    <row r="520" spans="1:20" hidden="1">
      <c r="A520" s="149"/>
      <c r="B520" s="149"/>
      <c r="C520" s="149"/>
      <c r="D520" s="149"/>
      <c r="E520" s="281"/>
      <c r="F520" s="281"/>
      <c r="G520" s="149"/>
      <c r="H520" s="149"/>
      <c r="I520" s="149"/>
      <c r="J520" s="149"/>
      <c r="K520" s="149"/>
      <c r="L520" s="149"/>
      <c r="M520" s="149"/>
      <c r="N520" s="149"/>
      <c r="O520" s="149"/>
      <c r="P520" s="149"/>
      <c r="Q520" s="149"/>
      <c r="R520" s="149"/>
      <c r="S520" s="149" t="str">
        <f>IF(COUNTIF(L$5:L520,L520)=1,MAX(S$5:S520)+1,"")</f>
        <v/>
      </c>
      <c r="T520" s="149">
        <f t="shared" si="8"/>
        <v>0</v>
      </c>
    </row>
    <row r="521" spans="1:20" hidden="1">
      <c r="A521" s="149"/>
      <c r="B521" s="149"/>
      <c r="C521" s="149"/>
      <c r="D521" s="149"/>
      <c r="E521" s="281"/>
      <c r="F521" s="281"/>
      <c r="G521" s="149"/>
      <c r="H521" s="149"/>
      <c r="I521" s="149"/>
      <c r="J521" s="149"/>
      <c r="K521" s="149"/>
      <c r="L521" s="149"/>
      <c r="M521" s="149"/>
      <c r="N521" s="149"/>
      <c r="O521" s="149"/>
      <c r="P521" s="149"/>
      <c r="Q521" s="149"/>
      <c r="R521" s="149"/>
      <c r="S521" s="149" t="str">
        <f>IF(COUNTIF(L$5:L521,L521)=1,MAX(S$5:S521)+1,"")</f>
        <v/>
      </c>
      <c r="T521" s="149">
        <f t="shared" si="8"/>
        <v>0</v>
      </c>
    </row>
    <row r="522" spans="1:20" hidden="1">
      <c r="A522" s="149"/>
      <c r="B522" s="149"/>
      <c r="C522" s="149"/>
      <c r="D522" s="149"/>
      <c r="E522" s="281"/>
      <c r="F522" s="281"/>
      <c r="G522" s="149"/>
      <c r="H522" s="149"/>
      <c r="I522" s="149"/>
      <c r="J522" s="149"/>
      <c r="K522" s="149"/>
      <c r="L522" s="149"/>
      <c r="M522" s="149"/>
      <c r="N522" s="149"/>
      <c r="O522" s="149"/>
      <c r="P522" s="149"/>
      <c r="Q522" s="149"/>
      <c r="R522" s="149"/>
      <c r="S522" s="149" t="str">
        <f>IF(COUNTIF(L$5:L522,L522)=1,MAX(S$5:S522)+1,"")</f>
        <v/>
      </c>
      <c r="T522" s="149">
        <f t="shared" si="8"/>
        <v>0</v>
      </c>
    </row>
    <row r="523" spans="1:20" hidden="1">
      <c r="A523" s="149"/>
      <c r="B523" s="149"/>
      <c r="C523" s="149"/>
      <c r="D523" s="149"/>
      <c r="E523" s="281"/>
      <c r="F523" s="281"/>
      <c r="G523" s="149"/>
      <c r="H523" s="149"/>
      <c r="I523" s="149"/>
      <c r="J523" s="149"/>
      <c r="K523" s="149"/>
      <c r="L523" s="149"/>
      <c r="M523" s="149"/>
      <c r="N523" s="149"/>
      <c r="O523" s="149"/>
      <c r="P523" s="149"/>
      <c r="Q523" s="149"/>
      <c r="R523" s="149"/>
      <c r="S523" s="149" t="str">
        <f>IF(COUNTIF(L$5:L523,L523)=1,MAX(S$5:S523)+1,"")</f>
        <v/>
      </c>
      <c r="T523" s="149">
        <f t="shared" si="8"/>
        <v>0</v>
      </c>
    </row>
    <row r="524" spans="1:20" hidden="1">
      <c r="A524" s="149"/>
      <c r="B524" s="149"/>
      <c r="C524" s="149"/>
      <c r="D524" s="149"/>
      <c r="E524" s="281"/>
      <c r="F524" s="281"/>
      <c r="G524" s="149"/>
      <c r="H524" s="149"/>
      <c r="I524" s="149"/>
      <c r="J524" s="149"/>
      <c r="K524" s="149"/>
      <c r="L524" s="149"/>
      <c r="M524" s="149"/>
      <c r="N524" s="149"/>
      <c r="O524" s="149"/>
      <c r="P524" s="149"/>
      <c r="Q524" s="149"/>
      <c r="R524" s="149"/>
      <c r="S524" s="149" t="str">
        <f>IF(COUNTIF(L$5:L524,L524)=1,MAX(S$5:S524)+1,"")</f>
        <v/>
      </c>
      <c r="T524" s="149">
        <f t="shared" si="8"/>
        <v>0</v>
      </c>
    </row>
    <row r="525" spans="1:20" hidden="1">
      <c r="A525" s="149"/>
      <c r="B525" s="149"/>
      <c r="C525" s="149"/>
      <c r="D525" s="149"/>
      <c r="E525" s="281"/>
      <c r="F525" s="281"/>
      <c r="G525" s="149"/>
      <c r="H525" s="149"/>
      <c r="I525" s="149"/>
      <c r="J525" s="149"/>
      <c r="K525" s="149"/>
      <c r="L525" s="149"/>
      <c r="M525" s="149"/>
      <c r="N525" s="149"/>
      <c r="O525" s="149"/>
      <c r="P525" s="149"/>
      <c r="Q525" s="149"/>
      <c r="R525" s="149"/>
      <c r="S525" s="149" t="str">
        <f>IF(COUNTIF(L$5:L525,L525)=1,MAX(S$5:S525)+1,"")</f>
        <v/>
      </c>
      <c r="T525" s="149">
        <f t="shared" si="8"/>
        <v>0</v>
      </c>
    </row>
    <row r="526" spans="1:20" hidden="1">
      <c r="A526" s="149"/>
      <c r="B526" s="149"/>
      <c r="C526" s="149"/>
      <c r="D526" s="149"/>
      <c r="E526" s="281"/>
      <c r="F526" s="281"/>
      <c r="G526" s="149"/>
      <c r="H526" s="149"/>
      <c r="I526" s="149"/>
      <c r="J526" s="149"/>
      <c r="K526" s="149"/>
      <c r="L526" s="149"/>
      <c r="M526" s="149"/>
      <c r="N526" s="149"/>
      <c r="O526" s="149"/>
      <c r="P526" s="149"/>
      <c r="Q526" s="149"/>
      <c r="R526" s="149"/>
      <c r="S526" s="149" t="str">
        <f>IF(COUNTIF(L$5:L526,L526)=1,MAX(S$5:S526)+1,"")</f>
        <v/>
      </c>
      <c r="T526" s="149">
        <f t="shared" si="8"/>
        <v>0</v>
      </c>
    </row>
    <row r="527" spans="1:20" hidden="1">
      <c r="A527" s="149"/>
      <c r="B527" s="149"/>
      <c r="C527" s="149"/>
      <c r="D527" s="149"/>
      <c r="E527" s="281"/>
      <c r="F527" s="281"/>
      <c r="G527" s="149"/>
      <c r="H527" s="149"/>
      <c r="I527" s="149"/>
      <c r="J527" s="149"/>
      <c r="K527" s="149"/>
      <c r="L527" s="149"/>
      <c r="M527" s="149"/>
      <c r="N527" s="149"/>
      <c r="O527" s="149"/>
      <c r="P527" s="149"/>
      <c r="Q527" s="149"/>
      <c r="R527" s="149"/>
      <c r="S527" s="149" t="str">
        <f>IF(COUNTIF(L$5:L527,L527)=1,MAX(S$5:S527)+1,"")</f>
        <v/>
      </c>
      <c r="T527" s="149">
        <f t="shared" si="8"/>
        <v>0</v>
      </c>
    </row>
    <row r="528" spans="1:20" hidden="1">
      <c r="A528" s="149"/>
      <c r="B528" s="149"/>
      <c r="C528" s="149"/>
      <c r="D528" s="149"/>
      <c r="E528" s="281"/>
      <c r="F528" s="281"/>
      <c r="G528" s="149"/>
      <c r="H528" s="149"/>
      <c r="I528" s="149"/>
      <c r="J528" s="149"/>
      <c r="K528" s="149"/>
      <c r="L528" s="149"/>
      <c r="M528" s="149"/>
      <c r="N528" s="149"/>
      <c r="O528" s="149"/>
      <c r="P528" s="149"/>
      <c r="Q528" s="149"/>
      <c r="R528" s="149"/>
      <c r="S528" s="149" t="str">
        <f>IF(COUNTIF(L$5:L528,L528)=1,MAX(S$5:S528)+1,"")</f>
        <v/>
      </c>
      <c r="T528" s="149">
        <f t="shared" si="8"/>
        <v>0</v>
      </c>
    </row>
    <row r="529" spans="1:20" hidden="1">
      <c r="A529" s="149"/>
      <c r="B529" s="149"/>
      <c r="C529" s="149"/>
      <c r="D529" s="149"/>
      <c r="E529" s="281"/>
      <c r="F529" s="281"/>
      <c r="G529" s="149"/>
      <c r="H529" s="149"/>
      <c r="I529" s="149"/>
      <c r="J529" s="149"/>
      <c r="K529" s="149"/>
      <c r="L529" s="149"/>
      <c r="M529" s="149"/>
      <c r="N529" s="149"/>
      <c r="O529" s="149"/>
      <c r="P529" s="149"/>
      <c r="Q529" s="149"/>
      <c r="R529" s="149"/>
      <c r="S529" s="149" t="str">
        <f>IF(COUNTIF(L$5:L529,L529)=1,MAX(S$5:S529)+1,"")</f>
        <v/>
      </c>
      <c r="T529" s="149">
        <f t="shared" si="8"/>
        <v>0</v>
      </c>
    </row>
    <row r="530" spans="1:20" hidden="1">
      <c r="A530" s="149"/>
      <c r="B530" s="149"/>
      <c r="C530" s="149"/>
      <c r="D530" s="149"/>
      <c r="E530" s="281"/>
      <c r="F530" s="281"/>
      <c r="G530" s="149"/>
      <c r="H530" s="149"/>
      <c r="I530" s="149"/>
      <c r="J530" s="149"/>
      <c r="K530" s="149"/>
      <c r="L530" s="149"/>
      <c r="M530" s="149"/>
      <c r="N530" s="149"/>
      <c r="O530" s="149"/>
      <c r="P530" s="149"/>
      <c r="Q530" s="149"/>
      <c r="R530" s="149"/>
      <c r="S530" s="149" t="str">
        <f>IF(COUNTIF(L$5:L530,L530)=1,MAX(S$5:S530)+1,"")</f>
        <v/>
      </c>
      <c r="T530" s="149">
        <f t="shared" si="8"/>
        <v>0</v>
      </c>
    </row>
    <row r="531" spans="1:20" hidden="1">
      <c r="A531" s="149"/>
      <c r="B531" s="149"/>
      <c r="C531" s="149"/>
      <c r="D531" s="149"/>
      <c r="E531" s="281"/>
      <c r="F531" s="281"/>
      <c r="G531" s="149"/>
      <c r="H531" s="149"/>
      <c r="I531" s="149"/>
      <c r="J531" s="149"/>
      <c r="K531" s="149"/>
      <c r="L531" s="149"/>
      <c r="M531" s="149"/>
      <c r="N531" s="149"/>
      <c r="O531" s="149"/>
      <c r="P531" s="149"/>
      <c r="Q531" s="149"/>
      <c r="R531" s="149"/>
      <c r="S531" s="149" t="str">
        <f>IF(COUNTIF(L$5:L531,L531)=1,MAX(S$5:S531)+1,"")</f>
        <v/>
      </c>
      <c r="T531" s="149">
        <f t="shared" si="8"/>
        <v>0</v>
      </c>
    </row>
    <row r="532" spans="1:20" hidden="1">
      <c r="A532" s="149"/>
      <c r="B532" s="149"/>
      <c r="C532" s="149"/>
      <c r="D532" s="149"/>
      <c r="E532" s="281"/>
      <c r="F532" s="281"/>
      <c r="G532" s="149"/>
      <c r="H532" s="149"/>
      <c r="I532" s="149"/>
      <c r="J532" s="149"/>
      <c r="K532" s="149"/>
      <c r="L532" s="149"/>
      <c r="M532" s="149"/>
      <c r="N532" s="149"/>
      <c r="O532" s="149"/>
      <c r="P532" s="149"/>
      <c r="Q532" s="149"/>
      <c r="R532" s="149"/>
      <c r="S532" s="149" t="str">
        <f>IF(COUNTIF(L$5:L532,L532)=1,MAX(S$5:S532)+1,"")</f>
        <v/>
      </c>
      <c r="T532" s="149">
        <f t="shared" si="8"/>
        <v>0</v>
      </c>
    </row>
    <row r="533" spans="1:20" hidden="1">
      <c r="A533" s="149"/>
      <c r="B533" s="149"/>
      <c r="C533" s="149"/>
      <c r="D533" s="149"/>
      <c r="E533" s="281"/>
      <c r="F533" s="281"/>
      <c r="G533" s="149"/>
      <c r="H533" s="149"/>
      <c r="I533" s="149"/>
      <c r="J533" s="149"/>
      <c r="K533" s="149"/>
      <c r="L533" s="149"/>
      <c r="M533" s="149"/>
      <c r="N533" s="149"/>
      <c r="O533" s="149"/>
      <c r="P533" s="149"/>
      <c r="Q533" s="149"/>
      <c r="R533" s="149"/>
      <c r="S533" s="149" t="str">
        <f>IF(COUNTIF(L$5:L533,L533)=1,MAX(S$5:S533)+1,"")</f>
        <v/>
      </c>
      <c r="T533" s="149">
        <f t="shared" si="8"/>
        <v>0</v>
      </c>
    </row>
    <row r="534" spans="1:20" hidden="1">
      <c r="A534" s="149"/>
      <c r="B534" s="149"/>
      <c r="C534" s="149"/>
      <c r="D534" s="149"/>
      <c r="E534" s="281"/>
      <c r="F534" s="281"/>
      <c r="G534" s="149"/>
      <c r="H534" s="149"/>
      <c r="I534" s="149"/>
      <c r="J534" s="149"/>
      <c r="K534" s="149"/>
      <c r="L534" s="149"/>
      <c r="M534" s="149"/>
      <c r="N534" s="149"/>
      <c r="O534" s="149"/>
      <c r="P534" s="149"/>
      <c r="Q534" s="149"/>
      <c r="R534" s="149"/>
      <c r="S534" s="149" t="str">
        <f>IF(COUNTIF(L$5:L534,L534)=1,MAX(S$5:S534)+1,"")</f>
        <v/>
      </c>
      <c r="T534" s="149">
        <f t="shared" si="8"/>
        <v>0</v>
      </c>
    </row>
    <row r="535" spans="1:20" hidden="1">
      <c r="A535" s="149"/>
      <c r="B535" s="149"/>
      <c r="C535" s="149"/>
      <c r="D535" s="149"/>
      <c r="E535" s="281"/>
      <c r="F535" s="281"/>
      <c r="G535" s="149"/>
      <c r="H535" s="149"/>
      <c r="I535" s="149"/>
      <c r="J535" s="149"/>
      <c r="K535" s="149"/>
      <c r="L535" s="149"/>
      <c r="M535" s="149"/>
      <c r="N535" s="149"/>
      <c r="O535" s="149"/>
      <c r="P535" s="149"/>
      <c r="Q535" s="149"/>
      <c r="R535" s="149"/>
      <c r="S535" s="149" t="str">
        <f>IF(COUNTIF(L$5:L535,L535)=1,MAX(S$5:S535)+1,"")</f>
        <v/>
      </c>
      <c r="T535" s="149">
        <f t="shared" si="8"/>
        <v>0</v>
      </c>
    </row>
    <row r="536" spans="1:20" hidden="1">
      <c r="A536" s="149"/>
      <c r="B536" s="149"/>
      <c r="C536" s="149"/>
      <c r="D536" s="149"/>
      <c r="E536" s="281"/>
      <c r="F536" s="281"/>
      <c r="G536" s="149"/>
      <c r="H536" s="149"/>
      <c r="I536" s="149"/>
      <c r="J536" s="149"/>
      <c r="K536" s="149"/>
      <c r="L536" s="149"/>
      <c r="M536" s="149"/>
      <c r="N536" s="149"/>
      <c r="O536" s="149"/>
      <c r="P536" s="149"/>
      <c r="Q536" s="149"/>
      <c r="R536" s="149"/>
      <c r="S536" s="149" t="str">
        <f>IF(COUNTIF(L$5:L536,L536)=1,MAX(S$5:S536)+1,"")</f>
        <v/>
      </c>
      <c r="T536" s="149">
        <f t="shared" si="8"/>
        <v>0</v>
      </c>
    </row>
    <row r="537" spans="1:20" hidden="1">
      <c r="A537" s="149"/>
      <c r="B537" s="149"/>
      <c r="C537" s="149"/>
      <c r="D537" s="149"/>
      <c r="E537" s="281"/>
      <c r="F537" s="281"/>
      <c r="G537" s="149"/>
      <c r="H537" s="149"/>
      <c r="I537" s="149"/>
      <c r="J537" s="149"/>
      <c r="K537" s="149"/>
      <c r="L537" s="149"/>
      <c r="M537" s="149"/>
      <c r="N537" s="149"/>
      <c r="O537" s="149"/>
      <c r="P537" s="149"/>
      <c r="Q537" s="149"/>
      <c r="R537" s="149"/>
      <c r="S537" s="149" t="str">
        <f>IF(COUNTIF(L$5:L537,L537)=1,MAX(S$5:S537)+1,"")</f>
        <v/>
      </c>
      <c r="T537" s="149">
        <f t="shared" si="8"/>
        <v>0</v>
      </c>
    </row>
    <row r="538" spans="1:20" hidden="1">
      <c r="A538" s="149"/>
      <c r="B538" s="149"/>
      <c r="C538" s="149"/>
      <c r="D538" s="149"/>
      <c r="E538" s="281"/>
      <c r="F538" s="281"/>
      <c r="G538" s="149"/>
      <c r="H538" s="149"/>
      <c r="I538" s="149"/>
      <c r="J538" s="149"/>
      <c r="K538" s="149"/>
      <c r="L538" s="149"/>
      <c r="M538" s="149"/>
      <c r="N538" s="149"/>
      <c r="O538" s="149"/>
      <c r="P538" s="149"/>
      <c r="Q538" s="149"/>
      <c r="R538" s="149"/>
      <c r="S538" s="149" t="str">
        <f>IF(COUNTIF(L$5:L538,L538)=1,MAX(S$5:S538)+1,"")</f>
        <v/>
      </c>
      <c r="T538" s="149">
        <f t="shared" si="8"/>
        <v>0</v>
      </c>
    </row>
    <row r="539" spans="1:20" hidden="1">
      <c r="A539" s="149"/>
      <c r="B539" s="149"/>
      <c r="C539" s="149"/>
      <c r="D539" s="149"/>
      <c r="E539" s="281"/>
      <c r="F539" s="281"/>
      <c r="G539" s="149"/>
      <c r="H539" s="149"/>
      <c r="I539" s="149"/>
      <c r="J539" s="149"/>
      <c r="K539" s="149"/>
      <c r="L539" s="149"/>
      <c r="M539" s="149"/>
      <c r="N539" s="149"/>
      <c r="O539" s="149"/>
      <c r="P539" s="149"/>
      <c r="Q539" s="149"/>
      <c r="R539" s="149"/>
      <c r="S539" s="149" t="str">
        <f>IF(COUNTIF(L$5:L539,L539)=1,MAX(S$5:S539)+1,"")</f>
        <v/>
      </c>
      <c r="T539" s="149">
        <f t="shared" si="8"/>
        <v>0</v>
      </c>
    </row>
    <row r="540" spans="1:20" hidden="1">
      <c r="A540" s="149"/>
      <c r="B540" s="149"/>
      <c r="C540" s="149"/>
      <c r="D540" s="149"/>
      <c r="E540" s="281"/>
      <c r="F540" s="281"/>
      <c r="G540" s="149"/>
      <c r="H540" s="149"/>
      <c r="I540" s="149"/>
      <c r="J540" s="149"/>
      <c r="K540" s="149"/>
      <c r="L540" s="149"/>
      <c r="M540" s="149"/>
      <c r="N540" s="149"/>
      <c r="O540" s="149"/>
      <c r="P540" s="149"/>
      <c r="Q540" s="149"/>
      <c r="R540" s="149"/>
      <c r="S540" s="149" t="str">
        <f>IF(COUNTIF(L$5:L540,L540)=1,MAX(S$5:S540)+1,"")</f>
        <v/>
      </c>
      <c r="T540" s="149">
        <f t="shared" si="8"/>
        <v>0</v>
      </c>
    </row>
    <row r="541" spans="1:20" hidden="1">
      <c r="A541" s="149"/>
      <c r="B541" s="149"/>
      <c r="C541" s="149"/>
      <c r="D541" s="149"/>
      <c r="E541" s="281"/>
      <c r="F541" s="281"/>
      <c r="G541" s="149"/>
      <c r="H541" s="149"/>
      <c r="I541" s="149"/>
      <c r="J541" s="149"/>
      <c r="K541" s="149"/>
      <c r="L541" s="149"/>
      <c r="M541" s="149"/>
      <c r="N541" s="149"/>
      <c r="O541" s="149"/>
      <c r="P541" s="149"/>
      <c r="Q541" s="149"/>
      <c r="R541" s="149"/>
      <c r="S541" s="149" t="str">
        <f>IF(COUNTIF(L$5:L541,L541)=1,MAX(S$5:S541)+1,"")</f>
        <v/>
      </c>
      <c r="T541" s="149">
        <f t="shared" si="8"/>
        <v>0</v>
      </c>
    </row>
    <row r="542" spans="1:20" hidden="1">
      <c r="A542" s="149"/>
      <c r="B542" s="149"/>
      <c r="C542" s="149"/>
      <c r="D542" s="149"/>
      <c r="E542" s="281"/>
      <c r="F542" s="281"/>
      <c r="G542" s="149"/>
      <c r="H542" s="149"/>
      <c r="I542" s="149"/>
      <c r="J542" s="149"/>
      <c r="K542" s="149"/>
      <c r="L542" s="149"/>
      <c r="M542" s="149"/>
      <c r="N542" s="149"/>
      <c r="O542" s="149"/>
      <c r="P542" s="149"/>
      <c r="Q542" s="149"/>
      <c r="R542" s="149"/>
      <c r="S542" s="149" t="str">
        <f>IF(COUNTIF(L$5:L542,L542)=1,MAX(S$5:S542)+1,"")</f>
        <v/>
      </c>
      <c r="T542" s="149">
        <f t="shared" si="8"/>
        <v>0</v>
      </c>
    </row>
    <row r="543" spans="1:20" hidden="1">
      <c r="A543" s="149"/>
      <c r="B543" s="149"/>
      <c r="C543" s="149"/>
      <c r="D543" s="149"/>
      <c r="E543" s="281"/>
      <c r="F543" s="281"/>
      <c r="G543" s="149"/>
      <c r="H543" s="149"/>
      <c r="I543" s="149"/>
      <c r="J543" s="149"/>
      <c r="K543" s="149"/>
      <c r="L543" s="149"/>
      <c r="M543" s="149"/>
      <c r="N543" s="149"/>
      <c r="O543" s="149"/>
      <c r="P543" s="149"/>
      <c r="Q543" s="149"/>
      <c r="R543" s="149"/>
      <c r="S543" s="149" t="str">
        <f>IF(COUNTIF(L$5:L543,L543)=1,MAX(S$5:S543)+1,"")</f>
        <v/>
      </c>
      <c r="T543" s="149">
        <f t="shared" si="8"/>
        <v>0</v>
      </c>
    </row>
    <row r="544" spans="1:20" hidden="1">
      <c r="A544" s="149"/>
      <c r="B544" s="149"/>
      <c r="C544" s="149"/>
      <c r="D544" s="149"/>
      <c r="E544" s="281"/>
      <c r="F544" s="281"/>
      <c r="G544" s="149"/>
      <c r="H544" s="149"/>
      <c r="I544" s="149"/>
      <c r="J544" s="149"/>
      <c r="K544" s="149"/>
      <c r="L544" s="149"/>
      <c r="M544" s="149"/>
      <c r="N544" s="149"/>
      <c r="O544" s="149"/>
      <c r="P544" s="149"/>
      <c r="Q544" s="149"/>
      <c r="R544" s="149"/>
      <c r="S544" s="149" t="str">
        <f>IF(COUNTIF(L$5:L544,L544)=1,MAX(S$5:S544)+1,"")</f>
        <v/>
      </c>
      <c r="T544" s="149">
        <f t="shared" si="8"/>
        <v>0</v>
      </c>
    </row>
    <row r="545" spans="1:20" hidden="1">
      <c r="A545" s="149"/>
      <c r="B545" s="149"/>
      <c r="C545" s="149"/>
      <c r="D545" s="149"/>
      <c r="E545" s="281"/>
      <c r="F545" s="281"/>
      <c r="G545" s="149"/>
      <c r="H545" s="149"/>
      <c r="I545" s="149"/>
      <c r="J545" s="149"/>
      <c r="K545" s="149"/>
      <c r="L545" s="149"/>
      <c r="M545" s="149"/>
      <c r="N545" s="149"/>
      <c r="O545" s="149"/>
      <c r="P545" s="149"/>
      <c r="Q545" s="149"/>
      <c r="R545" s="149"/>
      <c r="S545" s="149" t="str">
        <f>IF(COUNTIF(L$5:L545,L545)=1,MAX(S$5:S545)+1,"")</f>
        <v/>
      </c>
      <c r="T545" s="149">
        <f t="shared" si="8"/>
        <v>0</v>
      </c>
    </row>
    <row r="546" spans="1:20" hidden="1">
      <c r="A546" s="149"/>
      <c r="B546" s="149"/>
      <c r="C546" s="149"/>
      <c r="D546" s="149"/>
      <c r="E546" s="281"/>
      <c r="F546" s="281"/>
      <c r="G546" s="149"/>
      <c r="H546" s="149"/>
      <c r="I546" s="149"/>
      <c r="J546" s="149"/>
      <c r="K546" s="149"/>
      <c r="L546" s="149"/>
      <c r="M546" s="149"/>
      <c r="N546" s="149"/>
      <c r="O546" s="149"/>
      <c r="P546" s="149"/>
      <c r="Q546" s="149"/>
      <c r="R546" s="149"/>
      <c r="S546" s="149" t="str">
        <f>IF(COUNTIF(L$5:L546,L546)=1,MAX(S$5:S546)+1,"")</f>
        <v/>
      </c>
      <c r="T546" s="149">
        <f t="shared" si="8"/>
        <v>0</v>
      </c>
    </row>
    <row r="547" spans="1:20" hidden="1">
      <c r="A547" s="149"/>
      <c r="B547" s="149"/>
      <c r="C547" s="149"/>
      <c r="D547" s="149"/>
      <c r="E547" s="281"/>
      <c r="F547" s="281"/>
      <c r="G547" s="149"/>
      <c r="H547" s="149"/>
      <c r="I547" s="149"/>
      <c r="J547" s="149"/>
      <c r="K547" s="149"/>
      <c r="L547" s="149"/>
      <c r="M547" s="149"/>
      <c r="N547" s="149"/>
      <c r="O547" s="149"/>
      <c r="P547" s="149"/>
      <c r="Q547" s="149"/>
      <c r="R547" s="149"/>
      <c r="S547" s="149" t="str">
        <f>IF(COUNTIF(L$5:L547,L547)=1,MAX(S$5:S547)+1,"")</f>
        <v/>
      </c>
      <c r="T547" s="149">
        <f t="shared" si="8"/>
        <v>0</v>
      </c>
    </row>
    <row r="548" spans="1:20" hidden="1">
      <c r="A548" s="149"/>
      <c r="B548" s="149"/>
      <c r="C548" s="149"/>
      <c r="D548" s="149"/>
      <c r="E548" s="281"/>
      <c r="F548" s="281"/>
      <c r="G548" s="149"/>
      <c r="H548" s="149"/>
      <c r="I548" s="149"/>
      <c r="J548" s="149"/>
      <c r="K548" s="149"/>
      <c r="L548" s="149"/>
      <c r="M548" s="149"/>
      <c r="N548" s="149"/>
      <c r="O548" s="149"/>
      <c r="P548" s="149"/>
      <c r="Q548" s="149"/>
      <c r="R548" s="149"/>
      <c r="S548" s="149" t="str">
        <f>IF(COUNTIF(L$5:L548,L548)=1,MAX(S$5:S548)+1,"")</f>
        <v/>
      </c>
      <c r="T548" s="149">
        <f t="shared" si="8"/>
        <v>0</v>
      </c>
    </row>
    <row r="549" spans="1:20" hidden="1">
      <c r="A549" s="149"/>
      <c r="B549" s="149"/>
      <c r="C549" s="149"/>
      <c r="D549" s="149"/>
      <c r="E549" s="281"/>
      <c r="F549" s="281"/>
      <c r="G549" s="149"/>
      <c r="H549" s="149"/>
      <c r="I549" s="149"/>
      <c r="J549" s="149"/>
      <c r="K549" s="149"/>
      <c r="L549" s="149"/>
      <c r="M549" s="149"/>
      <c r="N549" s="149"/>
      <c r="O549" s="149"/>
      <c r="P549" s="149"/>
      <c r="Q549" s="149"/>
      <c r="R549" s="149"/>
      <c r="S549" s="149" t="str">
        <f>IF(COUNTIF(L$5:L549,L549)=1,MAX(S$5:S549)+1,"")</f>
        <v/>
      </c>
      <c r="T549" s="149">
        <f t="shared" si="8"/>
        <v>0</v>
      </c>
    </row>
    <row r="550" spans="1:20" hidden="1">
      <c r="A550" s="149"/>
      <c r="B550" s="149"/>
      <c r="C550" s="149"/>
      <c r="D550" s="149"/>
      <c r="E550" s="281"/>
      <c r="F550" s="281"/>
      <c r="G550" s="149"/>
      <c r="H550" s="149"/>
      <c r="I550" s="149"/>
      <c r="J550" s="149"/>
      <c r="K550" s="149"/>
      <c r="L550" s="149"/>
      <c r="M550" s="149"/>
      <c r="N550" s="149"/>
      <c r="O550" s="149"/>
      <c r="P550" s="149"/>
      <c r="Q550" s="149"/>
      <c r="R550" s="149"/>
      <c r="S550" s="149" t="str">
        <f>IF(COUNTIF(L$5:L550,L550)=1,MAX(S$5:S550)+1,"")</f>
        <v/>
      </c>
      <c r="T550" s="149">
        <f t="shared" si="8"/>
        <v>0</v>
      </c>
    </row>
    <row r="551" spans="1:20" hidden="1">
      <c r="A551" s="149"/>
      <c r="B551" s="149"/>
      <c r="C551" s="149"/>
      <c r="D551" s="149"/>
      <c r="E551" s="281"/>
      <c r="F551" s="281"/>
      <c r="G551" s="149"/>
      <c r="H551" s="149"/>
      <c r="I551" s="149"/>
      <c r="J551" s="149"/>
      <c r="K551" s="149"/>
      <c r="L551" s="149"/>
      <c r="M551" s="149"/>
      <c r="N551" s="149"/>
      <c r="O551" s="149"/>
      <c r="P551" s="149"/>
      <c r="Q551" s="149"/>
      <c r="R551" s="149"/>
      <c r="S551" s="149" t="str">
        <f>IF(COUNTIF(L$5:L551,L551)=1,MAX(S$5:S551)+1,"")</f>
        <v/>
      </c>
      <c r="T551" s="149">
        <f t="shared" si="8"/>
        <v>0</v>
      </c>
    </row>
    <row r="552" spans="1:20" hidden="1">
      <c r="A552" s="149"/>
      <c r="B552" s="149"/>
      <c r="C552" s="149"/>
      <c r="D552" s="149"/>
      <c r="E552" s="281"/>
      <c r="F552" s="281"/>
      <c r="G552" s="149"/>
      <c r="H552" s="149"/>
      <c r="I552" s="149"/>
      <c r="J552" s="149"/>
      <c r="K552" s="149"/>
      <c r="L552" s="149"/>
      <c r="M552" s="149"/>
      <c r="N552" s="149"/>
      <c r="O552" s="149"/>
      <c r="P552" s="149"/>
      <c r="Q552" s="149"/>
      <c r="R552" s="149"/>
      <c r="S552" s="149" t="str">
        <f>IF(COUNTIF(L$5:L552,L552)=1,MAX(S$5:S552)+1,"")</f>
        <v/>
      </c>
      <c r="T552" s="149">
        <f t="shared" si="8"/>
        <v>0</v>
      </c>
    </row>
    <row r="553" spans="1:20" hidden="1">
      <c r="A553" s="149"/>
      <c r="B553" s="149"/>
      <c r="C553" s="149"/>
      <c r="D553" s="149"/>
      <c r="E553" s="281"/>
      <c r="F553" s="281"/>
      <c r="G553" s="149"/>
      <c r="H553" s="149"/>
      <c r="I553" s="149"/>
      <c r="J553" s="149"/>
      <c r="K553" s="149"/>
      <c r="L553" s="149"/>
      <c r="M553" s="149"/>
      <c r="N553" s="149"/>
      <c r="O553" s="149"/>
      <c r="P553" s="149"/>
      <c r="Q553" s="149"/>
      <c r="R553" s="149"/>
      <c r="S553" s="149" t="str">
        <f>IF(COUNTIF(L$5:L553,L553)=1,MAX(S$5:S553)+1,"")</f>
        <v/>
      </c>
      <c r="T553" s="149">
        <f t="shared" si="8"/>
        <v>0</v>
      </c>
    </row>
    <row r="554" spans="1:20" hidden="1">
      <c r="A554" s="149"/>
      <c r="B554" s="149"/>
      <c r="C554" s="149"/>
      <c r="D554" s="149"/>
      <c r="E554" s="281"/>
      <c r="F554" s="281"/>
      <c r="G554" s="149"/>
      <c r="H554" s="149"/>
      <c r="I554" s="149"/>
      <c r="J554" s="149"/>
      <c r="K554" s="149"/>
      <c r="L554" s="149"/>
      <c r="M554" s="149"/>
      <c r="N554" s="149"/>
      <c r="O554" s="149"/>
      <c r="P554" s="149"/>
      <c r="Q554" s="149"/>
      <c r="R554" s="149"/>
      <c r="S554" s="149" t="str">
        <f>IF(COUNTIF(L$5:L554,L554)=1,MAX(S$5:S554)+1,"")</f>
        <v/>
      </c>
      <c r="T554" s="149">
        <f t="shared" si="8"/>
        <v>0</v>
      </c>
    </row>
    <row r="555" spans="1:20" hidden="1">
      <c r="A555" s="149"/>
      <c r="B555" s="149"/>
      <c r="C555" s="149"/>
      <c r="D555" s="149"/>
      <c r="E555" s="281"/>
      <c r="F555" s="281"/>
      <c r="G555" s="149"/>
      <c r="H555" s="149"/>
      <c r="I555" s="149"/>
      <c r="J555" s="149"/>
      <c r="K555" s="149"/>
      <c r="L555" s="149"/>
      <c r="M555" s="149"/>
      <c r="N555" s="149"/>
      <c r="O555" s="149"/>
      <c r="P555" s="149"/>
      <c r="Q555" s="149"/>
      <c r="R555" s="149"/>
      <c r="S555" s="149" t="str">
        <f>IF(COUNTIF(L$5:L555,L555)=1,MAX(S$5:S555)+1,"")</f>
        <v/>
      </c>
      <c r="T555" s="149">
        <f t="shared" si="8"/>
        <v>0</v>
      </c>
    </row>
    <row r="556" spans="1:20" hidden="1">
      <c r="A556" s="149"/>
      <c r="B556" s="149"/>
      <c r="C556" s="149"/>
      <c r="D556" s="149"/>
      <c r="E556" s="281"/>
      <c r="F556" s="281"/>
      <c r="G556" s="149"/>
      <c r="H556" s="149"/>
      <c r="I556" s="149"/>
      <c r="J556" s="149"/>
      <c r="K556" s="149"/>
      <c r="L556" s="149"/>
      <c r="M556" s="149"/>
      <c r="N556" s="149"/>
      <c r="O556" s="149"/>
      <c r="P556" s="149"/>
      <c r="Q556" s="149"/>
      <c r="R556" s="149"/>
      <c r="S556" s="149" t="str">
        <f>IF(COUNTIF(L$5:L556,L556)=1,MAX(S$5:S556)+1,"")</f>
        <v/>
      </c>
      <c r="T556" s="149">
        <f t="shared" si="8"/>
        <v>0</v>
      </c>
    </row>
    <row r="557" spans="1:20" hidden="1">
      <c r="A557" s="149"/>
      <c r="B557" s="149"/>
      <c r="C557" s="149"/>
      <c r="D557" s="149"/>
      <c r="E557" s="281"/>
      <c r="F557" s="281"/>
      <c r="G557" s="149"/>
      <c r="H557" s="149"/>
      <c r="I557" s="149"/>
      <c r="J557" s="149"/>
      <c r="K557" s="149"/>
      <c r="L557" s="149"/>
      <c r="M557" s="149"/>
      <c r="N557" s="149"/>
      <c r="O557" s="149"/>
      <c r="P557" s="149"/>
      <c r="Q557" s="149"/>
      <c r="R557" s="149"/>
      <c r="S557" s="149" t="str">
        <f>IF(COUNTIF(L$5:L557,L557)=1,MAX(S$5:S557)+1,"")</f>
        <v/>
      </c>
      <c r="T557" s="149">
        <f t="shared" si="8"/>
        <v>0</v>
      </c>
    </row>
    <row r="558" spans="1:20" hidden="1">
      <c r="A558" s="149"/>
      <c r="B558" s="149"/>
      <c r="C558" s="149"/>
      <c r="D558" s="149"/>
      <c r="E558" s="281"/>
      <c r="F558" s="281"/>
      <c r="G558" s="149"/>
      <c r="H558" s="149"/>
      <c r="I558" s="149"/>
      <c r="J558" s="149"/>
      <c r="K558" s="149"/>
      <c r="L558" s="149"/>
      <c r="M558" s="149"/>
      <c r="N558" s="149"/>
      <c r="O558" s="149"/>
      <c r="P558" s="149"/>
      <c r="Q558" s="149"/>
      <c r="R558" s="149"/>
      <c r="S558" s="149" t="str">
        <f>IF(COUNTIF(L$5:L558,L558)=1,MAX(S$5:S558)+1,"")</f>
        <v/>
      </c>
      <c r="T558" s="149">
        <f t="shared" si="8"/>
        <v>0</v>
      </c>
    </row>
    <row r="559" spans="1:20" hidden="1">
      <c r="A559" s="149"/>
      <c r="B559" s="149"/>
      <c r="C559" s="149"/>
      <c r="D559" s="149"/>
      <c r="E559" s="281"/>
      <c r="F559" s="281"/>
      <c r="G559" s="149"/>
      <c r="H559" s="149"/>
      <c r="I559" s="149"/>
      <c r="J559" s="149"/>
      <c r="K559" s="149"/>
      <c r="L559" s="149"/>
      <c r="M559" s="149"/>
      <c r="N559" s="149"/>
      <c r="O559" s="149"/>
      <c r="P559" s="149"/>
      <c r="Q559" s="149"/>
      <c r="R559" s="149"/>
      <c r="S559" s="149" t="str">
        <f>IF(COUNTIF(L$5:L559,L559)=1,MAX(S$5:S559)+1,"")</f>
        <v/>
      </c>
      <c r="T559" s="149">
        <f t="shared" si="8"/>
        <v>0</v>
      </c>
    </row>
    <row r="560" spans="1:20" hidden="1">
      <c r="A560" s="149"/>
      <c r="B560" s="149"/>
      <c r="C560" s="149"/>
      <c r="D560" s="149"/>
      <c r="E560" s="281"/>
      <c r="F560" s="281"/>
      <c r="G560" s="149"/>
      <c r="H560" s="149"/>
      <c r="I560" s="149"/>
      <c r="J560" s="149"/>
      <c r="K560" s="149"/>
      <c r="L560" s="149"/>
      <c r="M560" s="149"/>
      <c r="N560" s="149"/>
      <c r="O560" s="149"/>
      <c r="P560" s="149"/>
      <c r="Q560" s="149"/>
      <c r="R560" s="149"/>
      <c r="S560" s="149" t="str">
        <f>IF(COUNTIF(L$5:L560,L560)=1,MAX(S$5:S560)+1,"")</f>
        <v/>
      </c>
      <c r="T560" s="149">
        <f t="shared" si="8"/>
        <v>0</v>
      </c>
    </row>
    <row r="561" spans="1:20" hidden="1">
      <c r="A561" s="149"/>
      <c r="B561" s="149"/>
      <c r="C561" s="149"/>
      <c r="D561" s="149"/>
      <c r="E561" s="281"/>
      <c r="F561" s="281"/>
      <c r="G561" s="149"/>
      <c r="H561" s="149"/>
      <c r="I561" s="149"/>
      <c r="J561" s="149"/>
      <c r="K561" s="149"/>
      <c r="L561" s="149"/>
      <c r="M561" s="149"/>
      <c r="N561" s="149"/>
      <c r="O561" s="149"/>
      <c r="P561" s="149"/>
      <c r="Q561" s="149"/>
      <c r="R561" s="149"/>
      <c r="S561" s="149" t="str">
        <f>IF(COUNTIF(L$5:L561,L561)=1,MAX(S$5:S561)+1,"")</f>
        <v/>
      </c>
      <c r="T561" s="149">
        <f t="shared" si="8"/>
        <v>0</v>
      </c>
    </row>
    <row r="562" spans="1:20" hidden="1">
      <c r="A562" s="149"/>
      <c r="B562" s="149"/>
      <c r="C562" s="149"/>
      <c r="D562" s="149"/>
      <c r="E562" s="281"/>
      <c r="F562" s="281"/>
      <c r="G562" s="149"/>
      <c r="H562" s="149"/>
      <c r="I562" s="149"/>
      <c r="J562" s="149"/>
      <c r="K562" s="149"/>
      <c r="L562" s="149"/>
      <c r="M562" s="149"/>
      <c r="N562" s="149"/>
      <c r="O562" s="149"/>
      <c r="P562" s="149"/>
      <c r="Q562" s="149"/>
      <c r="R562" s="149"/>
      <c r="S562" s="149" t="str">
        <f>IF(COUNTIF(L$5:L562,L562)=1,MAX(S$5:S562)+1,"")</f>
        <v/>
      </c>
      <c r="T562" s="149">
        <f t="shared" si="8"/>
        <v>0</v>
      </c>
    </row>
    <row r="563" spans="1:20" hidden="1">
      <c r="A563" s="149"/>
      <c r="B563" s="149"/>
      <c r="C563" s="149"/>
      <c r="D563" s="149"/>
      <c r="E563" s="281"/>
      <c r="F563" s="281"/>
      <c r="G563" s="149"/>
      <c r="H563" s="149"/>
      <c r="I563" s="149"/>
      <c r="J563" s="149"/>
      <c r="K563" s="149"/>
      <c r="L563" s="149"/>
      <c r="M563" s="149"/>
      <c r="N563" s="149"/>
      <c r="O563" s="149"/>
      <c r="P563" s="149"/>
      <c r="Q563" s="149"/>
      <c r="R563" s="149"/>
      <c r="S563" s="149" t="str">
        <f>IF(COUNTIF(L$5:L563,L563)=1,MAX(S$5:S563)+1,"")</f>
        <v/>
      </c>
      <c r="T563" s="149">
        <f t="shared" si="8"/>
        <v>0</v>
      </c>
    </row>
    <row r="564" spans="1:20" hidden="1">
      <c r="A564" s="149"/>
      <c r="B564" s="149"/>
      <c r="C564" s="149"/>
      <c r="D564" s="149"/>
      <c r="E564" s="281"/>
      <c r="F564" s="281"/>
      <c r="G564" s="149"/>
      <c r="H564" s="149"/>
      <c r="I564" s="149"/>
      <c r="J564" s="149"/>
      <c r="K564" s="149"/>
      <c r="L564" s="149"/>
      <c r="M564" s="149"/>
      <c r="N564" s="149"/>
      <c r="O564" s="149"/>
      <c r="P564" s="149"/>
      <c r="Q564" s="149"/>
      <c r="R564" s="149"/>
      <c r="S564" s="149" t="str">
        <f>IF(COUNTIF(L$5:L564,L564)=1,MAX(S$5:S564)+1,"")</f>
        <v/>
      </c>
      <c r="T564" s="149">
        <f t="shared" si="8"/>
        <v>0</v>
      </c>
    </row>
    <row r="565" spans="1:20" hidden="1">
      <c r="A565" s="149"/>
      <c r="B565" s="149"/>
      <c r="C565" s="149"/>
      <c r="D565" s="149"/>
      <c r="E565" s="281"/>
      <c r="F565" s="281"/>
      <c r="G565" s="149"/>
      <c r="H565" s="149"/>
      <c r="I565" s="149"/>
      <c r="J565" s="149"/>
      <c r="K565" s="149"/>
      <c r="L565" s="149"/>
      <c r="M565" s="149"/>
      <c r="N565" s="149"/>
      <c r="O565" s="149"/>
      <c r="P565" s="149"/>
      <c r="Q565" s="149"/>
      <c r="R565" s="149"/>
      <c r="S565" s="149" t="str">
        <f>IF(COUNTIF(L$5:L565,L565)=1,MAX(S$5:S565)+1,"")</f>
        <v/>
      </c>
      <c r="T565" s="149">
        <f t="shared" si="8"/>
        <v>0</v>
      </c>
    </row>
    <row r="566" spans="1:20" hidden="1">
      <c r="A566" s="149"/>
      <c r="B566" s="149"/>
      <c r="C566" s="149"/>
      <c r="D566" s="149"/>
      <c r="E566" s="281"/>
      <c r="F566" s="281"/>
      <c r="G566" s="149"/>
      <c r="H566" s="149"/>
      <c r="I566" s="149"/>
      <c r="J566" s="149"/>
      <c r="K566" s="149"/>
      <c r="L566" s="149"/>
      <c r="M566" s="149"/>
      <c r="N566" s="149"/>
      <c r="O566" s="149"/>
      <c r="P566" s="149"/>
      <c r="Q566" s="149"/>
      <c r="R566" s="149"/>
      <c r="S566" s="149" t="str">
        <f>IF(COUNTIF(L$5:L566,L566)=1,MAX(S$5:S566)+1,"")</f>
        <v/>
      </c>
      <c r="T566" s="149">
        <f t="shared" si="8"/>
        <v>0</v>
      </c>
    </row>
    <row r="567" spans="1:20" hidden="1">
      <c r="A567" s="149"/>
      <c r="B567" s="149"/>
      <c r="C567" s="149"/>
      <c r="D567" s="149"/>
      <c r="E567" s="281"/>
      <c r="F567" s="281"/>
      <c r="G567" s="149"/>
      <c r="H567" s="149"/>
      <c r="I567" s="149"/>
      <c r="J567" s="149"/>
      <c r="K567" s="149"/>
      <c r="L567" s="149"/>
      <c r="M567" s="149"/>
      <c r="N567" s="149"/>
      <c r="O567" s="149"/>
      <c r="P567" s="149"/>
      <c r="Q567" s="149"/>
      <c r="R567" s="149"/>
      <c r="S567" s="149" t="str">
        <f>IF(COUNTIF(L$5:L567,L567)=1,MAX(S$5:S567)+1,"")</f>
        <v/>
      </c>
      <c r="T567" s="149">
        <f t="shared" si="8"/>
        <v>0</v>
      </c>
    </row>
    <row r="568" spans="1:20" hidden="1">
      <c r="A568" s="149"/>
      <c r="B568" s="149"/>
      <c r="C568" s="149"/>
      <c r="D568" s="149"/>
      <c r="E568" s="281"/>
      <c r="F568" s="281"/>
      <c r="G568" s="149"/>
      <c r="H568" s="149"/>
      <c r="I568" s="149"/>
      <c r="J568" s="149"/>
      <c r="K568" s="149"/>
      <c r="L568" s="149"/>
      <c r="M568" s="149"/>
      <c r="N568" s="149"/>
      <c r="O568" s="149"/>
      <c r="P568" s="149"/>
      <c r="Q568" s="149"/>
      <c r="R568" s="149"/>
      <c r="S568" s="149" t="str">
        <f>IF(COUNTIF(L$5:L568,L568)=1,MAX(S$5:S568)+1,"")</f>
        <v/>
      </c>
      <c r="T568" s="149">
        <f t="shared" si="8"/>
        <v>0</v>
      </c>
    </row>
    <row r="569" spans="1:20" hidden="1">
      <c r="A569" s="149"/>
      <c r="B569" s="149"/>
      <c r="C569" s="149"/>
      <c r="D569" s="149"/>
      <c r="E569" s="281"/>
      <c r="F569" s="281"/>
      <c r="G569" s="149"/>
      <c r="H569" s="149"/>
      <c r="I569" s="149"/>
      <c r="J569" s="149"/>
      <c r="K569" s="149"/>
      <c r="L569" s="149"/>
      <c r="M569" s="149"/>
      <c r="N569" s="149"/>
      <c r="O569" s="149"/>
      <c r="P569" s="149"/>
      <c r="Q569" s="149"/>
      <c r="R569" s="149"/>
      <c r="S569" s="149" t="str">
        <f>IF(COUNTIF(L$5:L569,L569)=1,MAX(S$5:S569)+1,"")</f>
        <v/>
      </c>
      <c r="T569" s="149">
        <f t="shared" si="8"/>
        <v>0</v>
      </c>
    </row>
    <row r="570" spans="1:20" hidden="1">
      <c r="A570" s="149"/>
      <c r="B570" s="149"/>
      <c r="C570" s="149"/>
      <c r="D570" s="149"/>
      <c r="E570" s="281"/>
      <c r="F570" s="281"/>
      <c r="G570" s="149"/>
      <c r="H570" s="149"/>
      <c r="I570" s="149"/>
      <c r="J570" s="149"/>
      <c r="K570" s="149"/>
      <c r="L570" s="149"/>
      <c r="M570" s="149"/>
      <c r="N570" s="149"/>
      <c r="O570" s="149"/>
      <c r="P570" s="149"/>
      <c r="Q570" s="149"/>
      <c r="R570" s="149"/>
      <c r="S570" s="149" t="str">
        <f>IF(COUNTIF(L$5:L570,L570)=1,MAX(S$5:S570)+1,"")</f>
        <v/>
      </c>
      <c r="T570" s="149">
        <f t="shared" si="8"/>
        <v>0</v>
      </c>
    </row>
    <row r="571" spans="1:20" hidden="1">
      <c r="A571" s="149"/>
      <c r="B571" s="149"/>
      <c r="C571" s="149"/>
      <c r="D571" s="149"/>
      <c r="E571" s="281"/>
      <c r="F571" s="281"/>
      <c r="G571" s="149"/>
      <c r="H571" s="149"/>
      <c r="I571" s="149"/>
      <c r="J571" s="149"/>
      <c r="K571" s="149"/>
      <c r="L571" s="149"/>
      <c r="M571" s="149"/>
      <c r="N571" s="149"/>
      <c r="O571" s="149"/>
      <c r="P571" s="149"/>
      <c r="Q571" s="149"/>
      <c r="R571" s="149"/>
      <c r="S571" s="149" t="str">
        <f>IF(COUNTIF(L$5:L571,L571)=1,MAX(S$5:S571)+1,"")</f>
        <v/>
      </c>
      <c r="T571" s="149">
        <f t="shared" si="8"/>
        <v>0</v>
      </c>
    </row>
    <row r="572" spans="1:20" hidden="1">
      <c r="A572" s="149"/>
      <c r="B572" s="149"/>
      <c r="C572" s="149"/>
      <c r="D572" s="149"/>
      <c r="E572" s="281"/>
      <c r="F572" s="281"/>
      <c r="G572" s="149"/>
      <c r="H572" s="149"/>
      <c r="I572" s="149"/>
      <c r="J572" s="149"/>
      <c r="K572" s="149"/>
      <c r="L572" s="149"/>
      <c r="M572" s="149"/>
      <c r="N572" s="149"/>
      <c r="O572" s="149"/>
      <c r="P572" s="149"/>
      <c r="Q572" s="149"/>
      <c r="R572" s="149"/>
      <c r="S572" s="149" t="str">
        <f>IF(COUNTIF(L$5:L572,L572)=1,MAX(S$5:S572)+1,"")</f>
        <v/>
      </c>
      <c r="T572" s="149">
        <f t="shared" si="8"/>
        <v>0</v>
      </c>
    </row>
    <row r="573" spans="1:20" hidden="1">
      <c r="A573" s="149"/>
      <c r="B573" s="149"/>
      <c r="C573" s="149"/>
      <c r="D573" s="149"/>
      <c r="E573" s="281"/>
      <c r="F573" s="281"/>
      <c r="G573" s="149"/>
      <c r="H573" s="149"/>
      <c r="I573" s="149"/>
      <c r="J573" s="149"/>
      <c r="K573" s="149"/>
      <c r="L573" s="149"/>
      <c r="M573" s="149"/>
      <c r="N573" s="149"/>
      <c r="O573" s="149"/>
      <c r="P573" s="149"/>
      <c r="Q573" s="149"/>
      <c r="R573" s="149"/>
      <c r="S573" s="149" t="str">
        <f>IF(COUNTIF(L$5:L573,L573)=1,MAX(S$5:S573)+1,"")</f>
        <v/>
      </c>
      <c r="T573" s="149">
        <f t="shared" si="8"/>
        <v>0</v>
      </c>
    </row>
    <row r="574" spans="1:20" hidden="1">
      <c r="A574" s="149"/>
      <c r="B574" s="149"/>
      <c r="C574" s="149"/>
      <c r="D574" s="149"/>
      <c r="E574" s="281"/>
      <c r="F574" s="281"/>
      <c r="G574" s="149"/>
      <c r="H574" s="149"/>
      <c r="I574" s="149"/>
      <c r="J574" s="149"/>
      <c r="K574" s="149"/>
      <c r="L574" s="149"/>
      <c r="M574" s="149"/>
      <c r="N574" s="149"/>
      <c r="O574" s="149"/>
      <c r="P574" s="149"/>
      <c r="Q574" s="149"/>
      <c r="R574" s="149"/>
      <c r="S574" s="149" t="str">
        <f>IF(COUNTIF(L$5:L574,L574)=1,MAX(S$5:S574)+1,"")</f>
        <v/>
      </c>
      <c r="T574" s="149">
        <f t="shared" si="8"/>
        <v>0</v>
      </c>
    </row>
    <row r="575" spans="1:20" hidden="1">
      <c r="A575" s="149"/>
      <c r="B575" s="149"/>
      <c r="C575" s="149"/>
      <c r="D575" s="149"/>
      <c r="E575" s="281"/>
      <c r="F575" s="281"/>
      <c r="G575" s="149"/>
      <c r="H575" s="149"/>
      <c r="I575" s="149"/>
      <c r="J575" s="149"/>
      <c r="K575" s="149"/>
      <c r="L575" s="149"/>
      <c r="M575" s="149"/>
      <c r="N575" s="149"/>
      <c r="O575" s="149"/>
      <c r="P575" s="149"/>
      <c r="Q575" s="149"/>
      <c r="R575" s="149"/>
      <c r="S575" s="149" t="str">
        <f>IF(COUNTIF(L$5:L575,L575)=1,MAX(S$5:S575)+1,"")</f>
        <v/>
      </c>
      <c r="T575" s="149">
        <f t="shared" si="8"/>
        <v>0</v>
      </c>
    </row>
    <row r="576" spans="1:20" hidden="1">
      <c r="A576" s="149"/>
      <c r="B576" s="149"/>
      <c r="C576" s="149"/>
      <c r="D576" s="149"/>
      <c r="E576" s="281"/>
      <c r="F576" s="281"/>
      <c r="G576" s="149"/>
      <c r="H576" s="149"/>
      <c r="I576" s="149"/>
      <c r="J576" s="149"/>
      <c r="K576" s="149"/>
      <c r="L576" s="149"/>
      <c r="M576" s="149"/>
      <c r="N576" s="149"/>
      <c r="O576" s="149"/>
      <c r="P576" s="149"/>
      <c r="Q576" s="149"/>
      <c r="R576" s="149"/>
      <c r="S576" s="149" t="str">
        <f>IF(COUNTIF(L$5:L576,L576)=1,MAX(S$5:S576)+1,"")</f>
        <v/>
      </c>
      <c r="T576" s="149">
        <f t="shared" si="8"/>
        <v>0</v>
      </c>
    </row>
    <row r="577" spans="1:20" hidden="1">
      <c r="A577" s="149"/>
      <c r="B577" s="149"/>
      <c r="C577" s="149"/>
      <c r="D577" s="149"/>
      <c r="E577" s="281"/>
      <c r="F577" s="281"/>
      <c r="G577" s="149"/>
      <c r="H577" s="149"/>
      <c r="I577" s="149"/>
      <c r="J577" s="149"/>
      <c r="K577" s="149"/>
      <c r="L577" s="149"/>
      <c r="M577" s="149"/>
      <c r="N577" s="149"/>
      <c r="O577" s="149"/>
      <c r="P577" s="149"/>
      <c r="Q577" s="149"/>
      <c r="R577" s="149"/>
      <c r="S577" s="149" t="str">
        <f>IF(COUNTIF(L$5:L577,L577)=1,MAX(S$5:S577)+1,"")</f>
        <v/>
      </c>
      <c r="T577" s="149">
        <f t="shared" si="8"/>
        <v>0</v>
      </c>
    </row>
    <row r="578" spans="1:20" hidden="1">
      <c r="A578" s="149"/>
      <c r="B578" s="149"/>
      <c r="C578" s="149"/>
      <c r="D578" s="149"/>
      <c r="E578" s="281"/>
      <c r="F578" s="281"/>
      <c r="G578" s="149"/>
      <c r="H578" s="149"/>
      <c r="I578" s="149"/>
      <c r="J578" s="149"/>
      <c r="K578" s="149"/>
      <c r="L578" s="149"/>
      <c r="M578" s="149"/>
      <c r="N578" s="149"/>
      <c r="O578" s="149"/>
      <c r="P578" s="149"/>
      <c r="Q578" s="149"/>
      <c r="R578" s="149"/>
      <c r="S578" s="149" t="str">
        <f>IF(COUNTIF(L$5:L578,L578)=1,MAX(S$5:S578)+1,"")</f>
        <v/>
      </c>
      <c r="T578" s="149">
        <f t="shared" si="8"/>
        <v>0</v>
      </c>
    </row>
    <row r="579" spans="1:20" hidden="1">
      <c r="A579" s="149"/>
      <c r="B579" s="149"/>
      <c r="C579" s="149"/>
      <c r="D579" s="149"/>
      <c r="E579" s="281"/>
      <c r="F579" s="281"/>
      <c r="G579" s="149"/>
      <c r="H579" s="149"/>
      <c r="I579" s="149"/>
      <c r="J579" s="149"/>
      <c r="K579" s="149"/>
      <c r="L579" s="149"/>
      <c r="M579" s="149"/>
      <c r="N579" s="149"/>
      <c r="O579" s="149"/>
      <c r="P579" s="149"/>
      <c r="Q579" s="149"/>
      <c r="R579" s="149"/>
      <c r="S579" s="149" t="str">
        <f>IF(COUNTIF(L$5:L579,L579)=1,MAX(S$5:S579)+1,"")</f>
        <v/>
      </c>
      <c r="T579" s="149">
        <f t="shared" si="8"/>
        <v>0</v>
      </c>
    </row>
    <row r="580" spans="1:20" hidden="1">
      <c r="A580" s="149"/>
      <c r="B580" s="149"/>
      <c r="C580" s="149"/>
      <c r="D580" s="149"/>
      <c r="E580" s="281"/>
      <c r="F580" s="281"/>
      <c r="G580" s="149"/>
      <c r="H580" s="149"/>
      <c r="I580" s="149"/>
      <c r="J580" s="149"/>
      <c r="K580" s="149"/>
      <c r="L580" s="149"/>
      <c r="M580" s="149"/>
      <c r="N580" s="149"/>
      <c r="O580" s="149"/>
      <c r="P580" s="149"/>
      <c r="Q580" s="149"/>
      <c r="R580" s="149"/>
      <c r="S580" s="149" t="str">
        <f>IF(COUNTIF(L$5:L580,L580)=1,MAX(S$5:S580)+1,"")</f>
        <v/>
      </c>
      <c r="T580" s="149">
        <f t="shared" si="8"/>
        <v>0</v>
      </c>
    </row>
    <row r="581" spans="1:20" hidden="1">
      <c r="A581" s="149"/>
      <c r="B581" s="149"/>
      <c r="C581" s="149"/>
      <c r="D581" s="149"/>
      <c r="E581" s="281"/>
      <c r="F581" s="281"/>
      <c r="G581" s="149"/>
      <c r="H581" s="149"/>
      <c r="I581" s="149"/>
      <c r="J581" s="149"/>
      <c r="K581" s="149"/>
      <c r="L581" s="149"/>
      <c r="M581" s="149"/>
      <c r="N581" s="149"/>
      <c r="O581" s="149"/>
      <c r="P581" s="149"/>
      <c r="Q581" s="149"/>
      <c r="R581" s="149"/>
      <c r="S581" s="149" t="str">
        <f>IF(COUNTIF(L$5:L581,L581)=1,MAX(S$5:S581)+1,"")</f>
        <v/>
      </c>
      <c r="T581" s="149">
        <f t="shared" ref="T581:T591" si="9">L581:L788</f>
        <v>0</v>
      </c>
    </row>
    <row r="582" spans="1:20" hidden="1">
      <c r="A582" s="149"/>
      <c r="B582" s="149"/>
      <c r="C582" s="149"/>
      <c r="D582" s="149"/>
      <c r="E582" s="281"/>
      <c r="F582" s="281"/>
      <c r="G582" s="149"/>
      <c r="H582" s="149"/>
      <c r="I582" s="149"/>
      <c r="J582" s="149"/>
      <c r="K582" s="149"/>
      <c r="L582" s="149"/>
      <c r="M582" s="149"/>
      <c r="N582" s="149"/>
      <c r="O582" s="149"/>
      <c r="P582" s="149"/>
      <c r="Q582" s="149"/>
      <c r="R582" s="149"/>
      <c r="S582" s="149" t="str">
        <f>IF(COUNTIF(L$5:L582,L582)=1,MAX(S$5:S582)+1,"")</f>
        <v/>
      </c>
      <c r="T582" s="149">
        <f t="shared" si="9"/>
        <v>0</v>
      </c>
    </row>
    <row r="583" spans="1:20" hidden="1">
      <c r="A583" s="149"/>
      <c r="B583" s="149"/>
      <c r="C583" s="149"/>
      <c r="D583" s="149"/>
      <c r="E583" s="281"/>
      <c r="F583" s="281"/>
      <c r="G583" s="149"/>
      <c r="H583" s="149"/>
      <c r="I583" s="149"/>
      <c r="J583" s="149"/>
      <c r="K583" s="149"/>
      <c r="L583" s="149"/>
      <c r="M583" s="149"/>
      <c r="N583" s="149"/>
      <c r="O583" s="149"/>
      <c r="P583" s="149"/>
      <c r="Q583" s="149"/>
      <c r="R583" s="149"/>
      <c r="S583" s="149" t="str">
        <f>IF(COUNTIF(L$5:L583,L583)=1,MAX(S$5:S583)+1,"")</f>
        <v/>
      </c>
      <c r="T583" s="149">
        <f t="shared" si="9"/>
        <v>0</v>
      </c>
    </row>
    <row r="584" spans="1:20" hidden="1">
      <c r="A584" s="149"/>
      <c r="B584" s="149"/>
      <c r="C584" s="149"/>
      <c r="D584" s="149"/>
      <c r="E584" s="281"/>
      <c r="F584" s="281"/>
      <c r="G584" s="149"/>
      <c r="H584" s="149"/>
      <c r="I584" s="149"/>
      <c r="J584" s="149"/>
      <c r="K584" s="149"/>
      <c r="L584" s="149"/>
      <c r="M584" s="149"/>
      <c r="N584" s="149"/>
      <c r="O584" s="149"/>
      <c r="P584" s="149"/>
      <c r="Q584" s="149"/>
      <c r="R584" s="149"/>
      <c r="S584" s="149" t="str">
        <f>IF(COUNTIF(L$5:L584,L584)=1,MAX(S$5:S584)+1,"")</f>
        <v/>
      </c>
      <c r="T584" s="149">
        <f t="shared" si="9"/>
        <v>0</v>
      </c>
    </row>
    <row r="585" spans="1:20" hidden="1">
      <c r="A585" s="149"/>
      <c r="B585" s="149"/>
      <c r="C585" s="149"/>
      <c r="D585" s="149"/>
      <c r="E585" s="281"/>
      <c r="F585" s="281"/>
      <c r="G585" s="149"/>
      <c r="H585" s="149"/>
      <c r="I585" s="149"/>
      <c r="J585" s="149"/>
      <c r="K585" s="149"/>
      <c r="L585" s="149"/>
      <c r="M585" s="149"/>
      <c r="N585" s="149"/>
      <c r="O585" s="149"/>
      <c r="P585" s="149"/>
      <c r="Q585" s="149"/>
      <c r="R585" s="149"/>
      <c r="S585" s="149" t="str">
        <f>IF(COUNTIF(L$5:L585,L585)=1,MAX(S$5:S585)+1,"")</f>
        <v/>
      </c>
      <c r="T585" s="149">
        <f t="shared" si="9"/>
        <v>0</v>
      </c>
    </row>
    <row r="586" spans="1:20" hidden="1">
      <c r="A586" s="149"/>
      <c r="B586" s="149"/>
      <c r="C586" s="149"/>
      <c r="D586" s="149"/>
      <c r="E586" s="281"/>
      <c r="F586" s="281"/>
      <c r="G586" s="149"/>
      <c r="H586" s="149"/>
      <c r="I586" s="149"/>
      <c r="J586" s="149"/>
      <c r="K586" s="149"/>
      <c r="L586" s="149"/>
      <c r="M586" s="149"/>
      <c r="N586" s="149"/>
      <c r="O586" s="149"/>
      <c r="P586" s="149"/>
      <c r="Q586" s="149"/>
      <c r="R586" s="149"/>
      <c r="S586" s="149" t="str">
        <f>IF(COUNTIF(L$5:L586,L586)=1,MAX(S$5:S586)+1,"")</f>
        <v/>
      </c>
      <c r="T586" s="149">
        <f t="shared" si="9"/>
        <v>0</v>
      </c>
    </row>
    <row r="587" spans="1:20" hidden="1">
      <c r="A587" s="149"/>
      <c r="B587" s="149"/>
      <c r="C587" s="149"/>
      <c r="D587" s="149"/>
      <c r="E587" s="281"/>
      <c r="F587" s="281"/>
      <c r="G587" s="149"/>
      <c r="H587" s="149"/>
      <c r="I587" s="149"/>
      <c r="J587" s="149"/>
      <c r="K587" s="149"/>
      <c r="L587" s="149"/>
      <c r="M587" s="149"/>
      <c r="N587" s="149"/>
      <c r="O587" s="149"/>
      <c r="P587" s="149"/>
      <c r="Q587" s="149"/>
      <c r="R587" s="149"/>
      <c r="S587" s="149" t="str">
        <f>IF(COUNTIF(L$5:L587,L587)=1,MAX(S$5:S587)+1,"")</f>
        <v/>
      </c>
      <c r="T587" s="149">
        <f t="shared" si="9"/>
        <v>0</v>
      </c>
    </row>
    <row r="588" spans="1:20" hidden="1">
      <c r="A588" s="149"/>
      <c r="B588" s="149"/>
      <c r="C588" s="149"/>
      <c r="D588" s="149"/>
      <c r="E588" s="281"/>
      <c r="F588" s="281"/>
      <c r="G588" s="149"/>
      <c r="H588" s="149"/>
      <c r="I588" s="149"/>
      <c r="J588" s="149"/>
      <c r="K588" s="149"/>
      <c r="L588" s="149"/>
      <c r="M588" s="149"/>
      <c r="N588" s="149"/>
      <c r="O588" s="149"/>
      <c r="P588" s="149"/>
      <c r="Q588" s="149"/>
      <c r="R588" s="149"/>
      <c r="S588" s="149" t="str">
        <f>IF(COUNTIF(L$5:L588,L588)=1,MAX(S$5:S588)+1,"")</f>
        <v/>
      </c>
      <c r="T588" s="149">
        <f t="shared" si="9"/>
        <v>0</v>
      </c>
    </row>
    <row r="589" spans="1:20" hidden="1">
      <c r="A589" s="149"/>
      <c r="B589" s="149"/>
      <c r="C589" s="149"/>
      <c r="D589" s="149"/>
      <c r="E589" s="281"/>
      <c r="F589" s="281"/>
      <c r="G589" s="149"/>
      <c r="H589" s="149"/>
      <c r="I589" s="149"/>
      <c r="J589" s="149"/>
      <c r="K589" s="149"/>
      <c r="L589" s="149"/>
      <c r="M589" s="149"/>
      <c r="N589" s="149"/>
      <c r="O589" s="149"/>
      <c r="P589" s="149"/>
      <c r="Q589" s="149"/>
      <c r="R589" s="149"/>
      <c r="S589" s="149" t="str">
        <f>IF(COUNTIF(L$5:L589,L589)=1,MAX(S$5:S589)+1,"")</f>
        <v/>
      </c>
      <c r="T589" s="149">
        <f t="shared" si="9"/>
        <v>0</v>
      </c>
    </row>
    <row r="590" spans="1:20" hidden="1">
      <c r="A590" s="149"/>
      <c r="B590" s="149"/>
      <c r="C590" s="149"/>
      <c r="D590" s="149"/>
      <c r="E590" s="281"/>
      <c r="F590" s="281"/>
      <c r="G590" s="149"/>
      <c r="H590" s="149"/>
      <c r="I590" s="149"/>
      <c r="J590" s="149"/>
      <c r="K590" s="149"/>
      <c r="L590" s="149"/>
      <c r="M590" s="149"/>
      <c r="N590" s="149"/>
      <c r="O590" s="149"/>
      <c r="P590" s="149"/>
      <c r="Q590" s="149"/>
      <c r="R590" s="149"/>
      <c r="S590" s="149" t="str">
        <f>IF(COUNTIF(L$5:L590,L590)=1,MAX(S$5:S590)+1,"")</f>
        <v/>
      </c>
      <c r="T590" s="149">
        <f t="shared" si="9"/>
        <v>0</v>
      </c>
    </row>
    <row r="591" spans="1:20" hidden="1">
      <c r="A591" s="149"/>
      <c r="B591" s="149"/>
      <c r="C591" s="149"/>
      <c r="D591" s="149"/>
      <c r="E591" s="281"/>
      <c r="F591" s="281"/>
      <c r="G591" s="149"/>
      <c r="H591" s="149"/>
      <c r="I591" s="149"/>
      <c r="J591" s="149"/>
      <c r="K591" s="149"/>
      <c r="L591" s="149"/>
      <c r="M591" s="149"/>
      <c r="N591" s="149"/>
      <c r="O591" s="149"/>
      <c r="P591" s="149"/>
      <c r="Q591" s="149"/>
      <c r="R591" s="149"/>
      <c r="S591" s="149" t="str">
        <f>IF(COUNTIF(L$5:L591,L591)=1,MAX(S$5:S591)+1,"")</f>
        <v/>
      </c>
      <c r="T591" s="149">
        <f t="shared" si="9"/>
        <v>0</v>
      </c>
    </row>
    <row r="829" spans="21:21">
      <c r="U829" t="e">
        <f ca="1">INDIRECT("РеестрЛКЕОД[Номер]")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64">
    <tabColor theme="3" tint="0.39997558519241921"/>
  </sheetPr>
  <dimension ref="A2:AN48"/>
  <sheetViews>
    <sheetView zoomScaleNormal="100" workbookViewId="0">
      <selection activeCell="A7" sqref="A7:U23"/>
    </sheetView>
  </sheetViews>
  <sheetFormatPr defaultRowHeight="12.75"/>
  <cols>
    <col min="1" max="1" width="2.7109375" style="187" customWidth="1"/>
    <col min="2" max="4" width="9.140625" style="187"/>
    <col min="5" max="5" width="8.7109375" style="187" customWidth="1"/>
    <col min="6" max="7" width="8.5703125" style="187" customWidth="1"/>
    <col min="8" max="8" width="8.42578125" style="187" customWidth="1"/>
    <col min="9" max="9" width="7.85546875" style="187" customWidth="1"/>
    <col min="10" max="10" width="7.7109375" style="187" customWidth="1"/>
    <col min="11" max="11" width="8.140625" style="187" customWidth="1"/>
    <col min="12" max="13" width="9.140625" style="187"/>
    <col min="14" max="14" width="10" style="187" customWidth="1"/>
    <col min="15" max="15" width="11.140625" style="187" customWidth="1"/>
    <col min="16" max="16" width="10.140625" style="187" customWidth="1"/>
    <col min="17" max="17" width="10.28515625" style="187" bestFit="1" customWidth="1"/>
    <col min="18" max="18" width="10.5703125" style="187" customWidth="1"/>
    <col min="19" max="22" width="9.140625" style="187"/>
    <col min="23" max="23" width="11.28515625" style="187" customWidth="1"/>
    <col min="24" max="24" width="16.28515625" style="187" customWidth="1"/>
    <col min="25" max="25" width="16.85546875" style="187" customWidth="1"/>
    <col min="26" max="28" width="13.85546875" style="187" customWidth="1"/>
    <col min="29" max="29" width="9.5703125" style="187" customWidth="1"/>
    <col min="30" max="30" width="10.42578125" style="187" customWidth="1"/>
    <col min="31" max="31" width="11.5703125" style="187" customWidth="1"/>
    <col min="32" max="32" width="14.140625" style="187" customWidth="1"/>
    <col min="33" max="33" width="9.140625" style="187"/>
    <col min="34" max="35" width="11.42578125" style="187" customWidth="1"/>
    <col min="36" max="37" width="9.140625" style="187"/>
    <col min="38" max="38" width="9.5703125" style="187" customWidth="1"/>
    <col min="39" max="39" width="11.42578125" style="187" customWidth="1"/>
    <col min="40" max="40" width="12.7109375" style="187" customWidth="1"/>
    <col min="41" max="16384" width="9.140625" style="187"/>
  </cols>
  <sheetData>
    <row r="2" spans="1:40" ht="18">
      <c r="I2" s="476" t="s">
        <v>3488</v>
      </c>
      <c r="K2" s="477" t="s">
        <v>3174</v>
      </c>
      <c r="L2" s="477"/>
      <c r="M2" s="477" t="s">
        <v>3158</v>
      </c>
      <c r="N2" s="477"/>
      <c r="O2" s="477" t="s">
        <v>3159</v>
      </c>
      <c r="P2" s="477"/>
      <c r="Q2" s="477" t="s">
        <v>3160</v>
      </c>
    </row>
    <row r="3" spans="1:40" ht="15">
      <c r="J3" s="1042" t="str">
        <f ca="1">INDIRECT(IF($I$5="РГК","g",IF($I$5="РД","d","m"))&amp;K$2,TRUE)</f>
        <v>Вільхівецьке</v>
      </c>
      <c r="K3" s="1042"/>
      <c r="L3" s="4" t="s">
        <v>3489</v>
      </c>
      <c r="M3" s="187">
        <f ca="1">INDIRECT(IF($I$5="РГК","g",IF($I$5="РД","d","m"))&amp;M$2)</f>
        <v>52</v>
      </c>
      <c r="N3" s="4" t="s">
        <v>3490</v>
      </c>
      <c r="O3" s="478" t="str">
        <f ca="1">INDIRECT(IF($I$5="РГК","g",IF($I$5="РД","d","m"))&amp;O$2)</f>
        <v>7_0</v>
      </c>
      <c r="P3" s="4" t="s">
        <v>3491</v>
      </c>
      <c r="Q3" s="290">
        <f ca="1">INDIRECT(IF($I$5="РГК","g",IF($I$5="РД","d","m"))&amp;Q$2)</f>
        <v>0.3</v>
      </c>
    </row>
    <row r="5" spans="1:40" ht="20.25">
      <c r="B5" s="479" t="s">
        <v>3492</v>
      </c>
      <c r="E5" s="480" t="str">
        <f>INDEX($B$8:$B$22,MATCH(MAX($C$8:$C$22),$C$8:$C$22,0),1)</f>
        <v>Ясен</v>
      </c>
      <c r="G5" s="200" t="s">
        <v>3493</v>
      </c>
      <c r="I5" s="1043" t="s">
        <v>104</v>
      </c>
      <c r="J5" s="1043"/>
    </row>
    <row r="6" spans="1:40" ht="13.5" thickBot="1"/>
    <row r="7" spans="1:40" s="499" customFormat="1" ht="60" customHeight="1" thickBot="1">
      <c r="A7" s="481" t="s">
        <v>3108</v>
      </c>
      <c r="B7" s="482" t="s">
        <v>2240</v>
      </c>
      <c r="C7" s="483" t="s">
        <v>3494</v>
      </c>
      <c r="D7" s="483" t="s">
        <v>3495</v>
      </c>
      <c r="E7" s="484" t="s">
        <v>3496</v>
      </c>
      <c r="F7" s="485" t="s">
        <v>3497</v>
      </c>
      <c r="G7" s="486" t="s">
        <v>3498</v>
      </c>
      <c r="H7" s="484" t="str">
        <f>IF(I5="РГК","Пиловники + всього","Пиловники всього")</f>
        <v>Пиловники + всього</v>
      </c>
      <c r="I7" s="487" t="s">
        <v>3499</v>
      </c>
      <c r="J7" s="488" t="s">
        <v>3500</v>
      </c>
      <c r="K7" s="489" t="s">
        <v>3501</v>
      </c>
      <c r="L7" s="490" t="s">
        <v>3502</v>
      </c>
      <c r="M7" s="491" t="s">
        <v>3503</v>
      </c>
      <c r="N7" s="492" t="s">
        <v>3504</v>
      </c>
      <c r="O7" s="493" t="s">
        <v>2250</v>
      </c>
      <c r="P7" s="494" t="s">
        <v>2252</v>
      </c>
      <c r="Q7" s="484" t="str">
        <f>IF(I5="РД","Техсировина + всього","Техсировина  всього")</f>
        <v>Техсировина  всього</v>
      </c>
      <c r="R7" s="495" t="s">
        <v>3505</v>
      </c>
      <c r="S7" s="496" t="s">
        <v>3506</v>
      </c>
      <c r="T7" s="497" t="s">
        <v>3507</v>
      </c>
      <c r="U7" s="498" t="s">
        <v>3208</v>
      </c>
      <c r="W7" s="500" t="s">
        <v>2240</v>
      </c>
      <c r="X7" s="501" t="s">
        <v>3497</v>
      </c>
      <c r="Y7" s="501" t="s">
        <v>3498</v>
      </c>
      <c r="Z7" s="502" t="s">
        <v>3499</v>
      </c>
      <c r="AA7" s="502" t="s">
        <v>3500</v>
      </c>
      <c r="AB7" s="502" t="s">
        <v>3501</v>
      </c>
      <c r="AC7" s="502" t="s">
        <v>3502</v>
      </c>
      <c r="AD7" s="502" t="s">
        <v>3503</v>
      </c>
      <c r="AE7" s="502" t="s">
        <v>3504</v>
      </c>
      <c r="AF7" s="502" t="s">
        <v>2250</v>
      </c>
      <c r="AG7" s="502" t="s">
        <v>2252</v>
      </c>
      <c r="AH7" s="501" t="s">
        <v>3506</v>
      </c>
      <c r="AI7" s="503" t="s">
        <v>3507</v>
      </c>
      <c r="AK7" s="499" t="s">
        <v>3508</v>
      </c>
      <c r="AL7" s="499" t="s">
        <v>2240</v>
      </c>
      <c r="AM7" s="499" t="s">
        <v>864</v>
      </c>
      <c r="AN7" s="499" t="s">
        <v>3509</v>
      </c>
    </row>
    <row r="8" spans="1:40">
      <c r="A8" s="504" t="s">
        <v>2175</v>
      </c>
      <c r="B8" s="505" t="s">
        <v>3510</v>
      </c>
      <c r="C8" s="506">
        <f t="shared" ref="C8:C22" si="0">D8+O8+P8</f>
        <v>0</v>
      </c>
      <c r="D8" s="506">
        <f>IF($I$5="РГК",(E8+H8),(E8+SUM(I8:K8)+M8+N8+H8))</f>
        <v>0</v>
      </c>
      <c r="E8" s="507">
        <f>F8+G8</f>
        <v>0</v>
      </c>
      <c r="F8" s="508"/>
      <c r="G8" s="509"/>
      <c r="H8" s="507">
        <f>IF($I$5="РГК",SUM(I8:N8),SUM(I8:K8))</f>
        <v>0</v>
      </c>
      <c r="I8" s="510"/>
      <c r="J8" s="511"/>
      <c r="K8" s="512"/>
      <c r="L8" s="513"/>
      <c r="M8" s="514"/>
      <c r="N8" s="515"/>
      <c r="O8" s="516"/>
      <c r="P8" s="517"/>
      <c r="Q8" s="507">
        <f>O8</f>
        <v>0</v>
      </c>
      <c r="R8" s="518">
        <f>S8+T8+U8</f>
        <v>0</v>
      </c>
      <c r="S8" s="519"/>
      <c r="T8" s="520"/>
      <c r="U8" s="521"/>
      <c r="W8" s="522" t="str">
        <f>B8</f>
        <v>Сосна</v>
      </c>
      <c r="X8" s="523">
        <f>F8</f>
        <v>0</v>
      </c>
      <c r="Y8" s="523">
        <f>G8</f>
        <v>0</v>
      </c>
      <c r="Z8" s="189">
        <f>I8</f>
        <v>0</v>
      </c>
      <c r="AA8" s="189">
        <f t="shared" ref="AA8:AG8" si="1">J8</f>
        <v>0</v>
      </c>
      <c r="AB8" s="189">
        <f t="shared" si="1"/>
        <v>0</v>
      </c>
      <c r="AC8" s="189">
        <f t="shared" si="1"/>
        <v>0</v>
      </c>
      <c r="AD8" s="189">
        <f t="shared" si="1"/>
        <v>0</v>
      </c>
      <c r="AE8" s="189">
        <f t="shared" si="1"/>
        <v>0</v>
      </c>
      <c r="AF8" s="189">
        <f t="shared" si="1"/>
        <v>0</v>
      </c>
      <c r="AG8" s="189">
        <f t="shared" si="1"/>
        <v>0</v>
      </c>
      <c r="AH8" s="189">
        <f>S8</f>
        <v>0</v>
      </c>
      <c r="AI8" s="190">
        <f>T8</f>
        <v>0</v>
      </c>
    </row>
    <row r="9" spans="1:40">
      <c r="A9" s="504" t="s">
        <v>3511</v>
      </c>
      <c r="B9" s="505" t="s">
        <v>3512</v>
      </c>
      <c r="C9" s="524">
        <f t="shared" si="0"/>
        <v>3</v>
      </c>
      <c r="D9" s="506">
        <f t="shared" ref="D9:D22" si="2">IF($I$5="РГК",(E9+H9),(E9+SUM(I9:K9)+M9+N9+H9))</f>
        <v>1</v>
      </c>
      <c r="E9" s="525">
        <f t="shared" ref="E9:E22" si="3">F9+G9</f>
        <v>0</v>
      </c>
      <c r="F9" s="526"/>
      <c r="G9" s="527"/>
      <c r="H9" s="507">
        <f t="shared" ref="H9:H22" si="4">IF($I$5="РГК",SUM(I9:N9),SUM(I9:K9))</f>
        <v>1</v>
      </c>
      <c r="I9" s="528"/>
      <c r="J9" s="529"/>
      <c r="K9" s="530">
        <v>1</v>
      </c>
      <c r="L9" s="531"/>
      <c r="M9" s="532"/>
      <c r="N9" s="533"/>
      <c r="O9" s="534">
        <v>1</v>
      </c>
      <c r="P9" s="535">
        <v>1</v>
      </c>
      <c r="Q9" s="507">
        <f t="shared" ref="Q9:Q22" si="5">O9</f>
        <v>1</v>
      </c>
      <c r="R9" s="518">
        <f t="shared" ref="R9:R22" si="6">S9+T9+U9</f>
        <v>0</v>
      </c>
      <c r="S9" s="536"/>
      <c r="T9" s="537"/>
      <c r="U9" s="538"/>
      <c r="W9" s="522" t="str">
        <f t="shared" ref="W9:W22" si="7">B9</f>
        <v>Дуб</v>
      </c>
      <c r="X9" s="523">
        <f t="shared" ref="X9:X22" si="8">F9</f>
        <v>0</v>
      </c>
      <c r="Y9" s="523">
        <f t="shared" ref="Y9:Y22" si="9">G9</f>
        <v>0</v>
      </c>
      <c r="Z9" s="189">
        <f t="shared" ref="Z9:Z22" si="10">I9</f>
        <v>0</v>
      </c>
      <c r="AA9" s="189">
        <f t="shared" ref="AA9:AA22" si="11">J9</f>
        <v>0</v>
      </c>
      <c r="AB9" s="189">
        <f t="shared" ref="AB9:AB22" si="12">K9</f>
        <v>1</v>
      </c>
      <c r="AC9" s="189">
        <f t="shared" ref="AC9:AC22" si="13">L9</f>
        <v>0</v>
      </c>
      <c r="AD9" s="189">
        <f t="shared" ref="AD9:AD22" si="14">M9</f>
        <v>0</v>
      </c>
      <c r="AE9" s="189">
        <f t="shared" ref="AE9:AE22" si="15">N9</f>
        <v>0</v>
      </c>
      <c r="AF9" s="189">
        <f t="shared" ref="AF9:AF22" si="16">O9</f>
        <v>1</v>
      </c>
      <c r="AG9" s="189">
        <f t="shared" ref="AG9:AG22" si="17">P9</f>
        <v>1</v>
      </c>
      <c r="AH9" s="189">
        <f t="shared" ref="AH9:AH22" si="18">S9</f>
        <v>0</v>
      </c>
      <c r="AI9" s="190">
        <f t="shared" ref="AI9:AI22" si="19">T9</f>
        <v>0</v>
      </c>
    </row>
    <row r="10" spans="1:40">
      <c r="A10" s="504" t="s">
        <v>3511</v>
      </c>
      <c r="B10" s="505" t="s">
        <v>3513</v>
      </c>
      <c r="C10" s="524">
        <f t="shared" si="0"/>
        <v>115</v>
      </c>
      <c r="D10" s="506">
        <f t="shared" si="2"/>
        <v>45</v>
      </c>
      <c r="E10" s="525">
        <f>F10+G10</f>
        <v>4</v>
      </c>
      <c r="F10" s="526"/>
      <c r="G10" s="527">
        <v>4</v>
      </c>
      <c r="H10" s="507">
        <f t="shared" si="4"/>
        <v>41</v>
      </c>
      <c r="I10" s="528">
        <v>7</v>
      </c>
      <c r="J10" s="529">
        <v>12</v>
      </c>
      <c r="K10" s="530">
        <v>22</v>
      </c>
      <c r="L10" s="531"/>
      <c r="M10" s="532"/>
      <c r="N10" s="533"/>
      <c r="O10" s="534">
        <v>42</v>
      </c>
      <c r="P10" s="535">
        <v>28</v>
      </c>
      <c r="Q10" s="507">
        <f t="shared" si="5"/>
        <v>42</v>
      </c>
      <c r="R10" s="518">
        <f t="shared" si="6"/>
        <v>0</v>
      </c>
      <c r="S10" s="536"/>
      <c r="T10" s="537"/>
      <c r="U10" s="538"/>
      <c r="W10" s="522" t="str">
        <f t="shared" si="7"/>
        <v>Ясен</v>
      </c>
      <c r="X10" s="523">
        <f t="shared" si="8"/>
        <v>0</v>
      </c>
      <c r="Y10" s="523">
        <f t="shared" si="9"/>
        <v>4</v>
      </c>
      <c r="Z10" s="189">
        <f t="shared" si="10"/>
        <v>7</v>
      </c>
      <c r="AA10" s="189">
        <f t="shared" si="11"/>
        <v>12</v>
      </c>
      <c r="AB10" s="189">
        <f t="shared" si="12"/>
        <v>22</v>
      </c>
      <c r="AC10" s="189">
        <f t="shared" si="13"/>
        <v>0</v>
      </c>
      <c r="AD10" s="189">
        <f t="shared" si="14"/>
        <v>0</v>
      </c>
      <c r="AE10" s="189">
        <f t="shared" si="15"/>
        <v>0</v>
      </c>
      <c r="AF10" s="189">
        <f t="shared" si="16"/>
        <v>42</v>
      </c>
      <c r="AG10" s="189">
        <f t="shared" si="17"/>
        <v>28</v>
      </c>
      <c r="AH10" s="189">
        <f t="shared" si="18"/>
        <v>0</v>
      </c>
      <c r="AI10" s="190">
        <f t="shared" si="19"/>
        <v>0</v>
      </c>
    </row>
    <row r="11" spans="1:40">
      <c r="A11" s="504" t="s">
        <v>3511</v>
      </c>
      <c r="B11" s="505" t="s">
        <v>3514</v>
      </c>
      <c r="C11" s="524">
        <f t="shared" si="0"/>
        <v>0</v>
      </c>
      <c r="D11" s="506">
        <f t="shared" si="2"/>
        <v>0</v>
      </c>
      <c r="E11" s="525">
        <f t="shared" si="3"/>
        <v>0</v>
      </c>
      <c r="F11" s="526"/>
      <c r="G11" s="527"/>
      <c r="H11" s="507">
        <f t="shared" si="4"/>
        <v>0</v>
      </c>
      <c r="I11" s="528"/>
      <c r="J11" s="529"/>
      <c r="K11" s="530"/>
      <c r="L11" s="531"/>
      <c r="M11" s="532"/>
      <c r="N11" s="533"/>
      <c r="O11" s="534"/>
      <c r="P11" s="535"/>
      <c r="Q11" s="507">
        <f t="shared" si="5"/>
        <v>0</v>
      </c>
      <c r="R11" s="518">
        <f t="shared" si="6"/>
        <v>0</v>
      </c>
      <c r="S11" s="536"/>
      <c r="T11" s="537"/>
      <c r="U11" s="538"/>
      <c r="W11" s="522" t="str">
        <f t="shared" si="7"/>
        <v>Клен</v>
      </c>
      <c r="X11" s="523">
        <f t="shared" si="8"/>
        <v>0</v>
      </c>
      <c r="Y11" s="523">
        <f t="shared" si="9"/>
        <v>0</v>
      </c>
      <c r="Z11" s="189">
        <f t="shared" si="10"/>
        <v>0</v>
      </c>
      <c r="AA11" s="189">
        <f t="shared" si="11"/>
        <v>0</v>
      </c>
      <c r="AB11" s="189">
        <f t="shared" si="12"/>
        <v>0</v>
      </c>
      <c r="AC11" s="189">
        <f t="shared" si="13"/>
        <v>0</v>
      </c>
      <c r="AD11" s="189">
        <f t="shared" si="14"/>
        <v>0</v>
      </c>
      <c r="AE11" s="189">
        <f t="shared" si="15"/>
        <v>0</v>
      </c>
      <c r="AF11" s="189">
        <f t="shared" si="16"/>
        <v>0</v>
      </c>
      <c r="AG11" s="189">
        <f t="shared" si="17"/>
        <v>0</v>
      </c>
      <c r="AH11" s="189">
        <f t="shared" si="18"/>
        <v>0</v>
      </c>
      <c r="AI11" s="190">
        <f t="shared" si="19"/>
        <v>0</v>
      </c>
    </row>
    <row r="12" spans="1:40">
      <c r="A12" s="504" t="s">
        <v>2175</v>
      </c>
      <c r="B12" s="505" t="s">
        <v>3515</v>
      </c>
      <c r="C12" s="524">
        <f t="shared" si="0"/>
        <v>0</v>
      </c>
      <c r="D12" s="506">
        <f t="shared" si="2"/>
        <v>0</v>
      </c>
      <c r="E12" s="525">
        <f t="shared" si="3"/>
        <v>0</v>
      </c>
      <c r="F12" s="526"/>
      <c r="G12" s="527"/>
      <c r="H12" s="507">
        <f t="shared" si="4"/>
        <v>0</v>
      </c>
      <c r="I12" s="528"/>
      <c r="J12" s="529"/>
      <c r="K12" s="530"/>
      <c r="L12" s="531"/>
      <c r="M12" s="532"/>
      <c r="N12" s="533"/>
      <c r="O12" s="534"/>
      <c r="P12" s="535"/>
      <c r="Q12" s="507">
        <f t="shared" si="5"/>
        <v>0</v>
      </c>
      <c r="R12" s="518">
        <f t="shared" si="6"/>
        <v>0</v>
      </c>
      <c r="S12" s="536"/>
      <c r="T12" s="537"/>
      <c r="U12" s="538"/>
      <c r="W12" s="522" t="str">
        <f t="shared" si="7"/>
        <v>Вільха</v>
      </c>
      <c r="X12" s="523">
        <f t="shared" si="8"/>
        <v>0</v>
      </c>
      <c r="Y12" s="523">
        <f t="shared" si="9"/>
        <v>0</v>
      </c>
      <c r="Z12" s="189">
        <f t="shared" si="10"/>
        <v>0</v>
      </c>
      <c r="AA12" s="189">
        <f t="shared" si="11"/>
        <v>0</v>
      </c>
      <c r="AB12" s="189">
        <f t="shared" si="12"/>
        <v>0</v>
      </c>
      <c r="AC12" s="189">
        <f t="shared" si="13"/>
        <v>0</v>
      </c>
      <c r="AD12" s="189">
        <f t="shared" si="14"/>
        <v>0</v>
      </c>
      <c r="AE12" s="189">
        <f t="shared" si="15"/>
        <v>0</v>
      </c>
      <c r="AF12" s="189">
        <f t="shared" si="16"/>
        <v>0</v>
      </c>
      <c r="AG12" s="189">
        <f t="shared" si="17"/>
        <v>0</v>
      </c>
      <c r="AH12" s="189">
        <f t="shared" si="18"/>
        <v>0</v>
      </c>
      <c r="AI12" s="190">
        <f t="shared" si="19"/>
        <v>0</v>
      </c>
    </row>
    <row r="13" spans="1:40">
      <c r="A13" s="504" t="s">
        <v>3511</v>
      </c>
      <c r="B13" s="505" t="s">
        <v>3516</v>
      </c>
      <c r="C13" s="524">
        <f t="shared" si="0"/>
        <v>0</v>
      </c>
      <c r="D13" s="506">
        <f t="shared" si="2"/>
        <v>0</v>
      </c>
      <c r="E13" s="525">
        <f t="shared" si="3"/>
        <v>0</v>
      </c>
      <c r="F13" s="526"/>
      <c r="G13" s="527"/>
      <c r="H13" s="507">
        <f t="shared" si="4"/>
        <v>0</v>
      </c>
      <c r="I13" s="528"/>
      <c r="J13" s="529"/>
      <c r="K13" s="530"/>
      <c r="L13" s="531"/>
      <c r="M13" s="532"/>
      <c r="N13" s="533"/>
      <c r="O13" s="534"/>
      <c r="P13" s="535"/>
      <c r="Q13" s="507">
        <f t="shared" si="5"/>
        <v>0</v>
      </c>
      <c r="R13" s="518">
        <f t="shared" si="6"/>
        <v>0</v>
      </c>
      <c r="S13" s="536"/>
      <c r="T13" s="537"/>
      <c r="U13" s="538"/>
      <c r="W13" s="522" t="str">
        <f t="shared" si="7"/>
        <v>Акація</v>
      </c>
      <c r="X13" s="523">
        <f t="shared" si="8"/>
        <v>0</v>
      </c>
      <c r="Y13" s="523">
        <f t="shared" si="9"/>
        <v>0</v>
      </c>
      <c r="Z13" s="189">
        <f t="shared" si="10"/>
        <v>0</v>
      </c>
      <c r="AA13" s="189">
        <f t="shared" si="11"/>
        <v>0</v>
      </c>
      <c r="AB13" s="189">
        <f t="shared" si="12"/>
        <v>0</v>
      </c>
      <c r="AC13" s="189">
        <f t="shared" si="13"/>
        <v>0</v>
      </c>
      <c r="AD13" s="189">
        <f t="shared" si="14"/>
        <v>0</v>
      </c>
      <c r="AE13" s="189">
        <f t="shared" si="15"/>
        <v>0</v>
      </c>
      <c r="AF13" s="189">
        <f t="shared" si="16"/>
        <v>0</v>
      </c>
      <c r="AG13" s="189">
        <f t="shared" si="17"/>
        <v>0</v>
      </c>
      <c r="AH13" s="189">
        <f t="shared" si="18"/>
        <v>0</v>
      </c>
      <c r="AI13" s="190">
        <f t="shared" si="19"/>
        <v>0</v>
      </c>
    </row>
    <row r="14" spans="1:40">
      <c r="A14" s="504" t="s">
        <v>2175</v>
      </c>
      <c r="B14" s="505" t="s">
        <v>3517</v>
      </c>
      <c r="C14" s="524">
        <f t="shared" si="0"/>
        <v>0</v>
      </c>
      <c r="D14" s="506">
        <f t="shared" si="2"/>
        <v>0</v>
      </c>
      <c r="E14" s="525">
        <f t="shared" si="3"/>
        <v>0</v>
      </c>
      <c r="F14" s="526"/>
      <c r="G14" s="527"/>
      <c r="H14" s="507">
        <f t="shared" si="4"/>
        <v>0</v>
      </c>
      <c r="I14" s="528"/>
      <c r="J14" s="529"/>
      <c r="K14" s="530"/>
      <c r="L14" s="531"/>
      <c r="M14" s="532"/>
      <c r="N14" s="533"/>
      <c r="O14" s="534"/>
      <c r="P14" s="535"/>
      <c r="Q14" s="507">
        <f t="shared" si="5"/>
        <v>0</v>
      </c>
      <c r="R14" s="518">
        <f t="shared" si="6"/>
        <v>0</v>
      </c>
      <c r="S14" s="536"/>
      <c r="T14" s="537"/>
      <c r="U14" s="538"/>
      <c r="W14" s="522" t="str">
        <f t="shared" si="7"/>
        <v>Береза</v>
      </c>
      <c r="X14" s="523">
        <f t="shared" si="8"/>
        <v>0</v>
      </c>
      <c r="Y14" s="523">
        <f t="shared" si="9"/>
        <v>0</v>
      </c>
      <c r="Z14" s="189">
        <f t="shared" si="10"/>
        <v>0</v>
      </c>
      <c r="AA14" s="189">
        <f t="shared" si="11"/>
        <v>0</v>
      </c>
      <c r="AB14" s="189">
        <f t="shared" si="12"/>
        <v>0</v>
      </c>
      <c r="AC14" s="189">
        <f t="shared" si="13"/>
        <v>0</v>
      </c>
      <c r="AD14" s="189">
        <f t="shared" si="14"/>
        <v>0</v>
      </c>
      <c r="AE14" s="189">
        <f t="shared" si="15"/>
        <v>0</v>
      </c>
      <c r="AF14" s="189">
        <f t="shared" si="16"/>
        <v>0</v>
      </c>
      <c r="AG14" s="189">
        <f t="shared" si="17"/>
        <v>0</v>
      </c>
      <c r="AH14" s="189">
        <f t="shared" si="18"/>
        <v>0</v>
      </c>
      <c r="AI14" s="190">
        <f t="shared" si="19"/>
        <v>0</v>
      </c>
    </row>
    <row r="15" spans="1:40">
      <c r="A15" s="504" t="s">
        <v>3511</v>
      </c>
      <c r="B15" s="505" t="s">
        <v>2369</v>
      </c>
      <c r="C15" s="524">
        <f t="shared" si="0"/>
        <v>0</v>
      </c>
      <c r="D15" s="506">
        <f t="shared" si="2"/>
        <v>0</v>
      </c>
      <c r="E15" s="525">
        <f t="shared" si="3"/>
        <v>0</v>
      </c>
      <c r="F15" s="526"/>
      <c r="G15" s="527"/>
      <c r="H15" s="507">
        <f t="shared" si="4"/>
        <v>0</v>
      </c>
      <c r="I15" s="528"/>
      <c r="J15" s="529"/>
      <c r="K15" s="530"/>
      <c r="L15" s="531"/>
      <c r="M15" s="532"/>
      <c r="N15" s="533"/>
      <c r="O15" s="534"/>
      <c r="P15" s="535"/>
      <c r="Q15" s="507">
        <f t="shared" si="5"/>
        <v>0</v>
      </c>
      <c r="R15" s="518">
        <f t="shared" si="6"/>
        <v>0</v>
      </c>
      <c r="S15" s="536"/>
      <c r="T15" s="537"/>
      <c r="U15" s="538"/>
      <c r="W15" s="522" t="str">
        <f t="shared" si="7"/>
        <v>Берест</v>
      </c>
      <c r="X15" s="523">
        <f t="shared" si="8"/>
        <v>0</v>
      </c>
      <c r="Y15" s="523">
        <f t="shared" si="9"/>
        <v>0</v>
      </c>
      <c r="Z15" s="189">
        <f t="shared" si="10"/>
        <v>0</v>
      </c>
      <c r="AA15" s="189">
        <f t="shared" si="11"/>
        <v>0</v>
      </c>
      <c r="AB15" s="189">
        <f t="shared" si="12"/>
        <v>0</v>
      </c>
      <c r="AC15" s="189">
        <f t="shared" si="13"/>
        <v>0</v>
      </c>
      <c r="AD15" s="189">
        <f t="shared" si="14"/>
        <v>0</v>
      </c>
      <c r="AE15" s="189">
        <f t="shared" si="15"/>
        <v>0</v>
      </c>
      <c r="AF15" s="189">
        <f t="shared" si="16"/>
        <v>0</v>
      </c>
      <c r="AG15" s="189">
        <f t="shared" si="17"/>
        <v>0</v>
      </c>
      <c r="AH15" s="189">
        <f t="shared" si="18"/>
        <v>0</v>
      </c>
      <c r="AI15" s="190">
        <f t="shared" si="19"/>
        <v>0</v>
      </c>
    </row>
    <row r="16" spans="1:40">
      <c r="A16" s="504" t="s">
        <v>2175</v>
      </c>
      <c r="B16" s="505" t="s">
        <v>3518</v>
      </c>
      <c r="C16" s="524">
        <f t="shared" si="0"/>
        <v>4</v>
      </c>
      <c r="D16" s="506">
        <f t="shared" si="2"/>
        <v>0</v>
      </c>
      <c r="E16" s="525">
        <f t="shared" si="3"/>
        <v>0</v>
      </c>
      <c r="F16" s="526"/>
      <c r="G16" s="527"/>
      <c r="H16" s="507">
        <f>IF($I$5="РГК",SUM(I16:N16),SUM(I16:K16))</f>
        <v>0</v>
      </c>
      <c r="I16" s="528"/>
      <c r="J16" s="529"/>
      <c r="K16" s="530"/>
      <c r="L16" s="531"/>
      <c r="M16" s="532"/>
      <c r="N16" s="533"/>
      <c r="O16" s="534">
        <v>2</v>
      </c>
      <c r="P16" s="535">
        <v>2</v>
      </c>
      <c r="Q16" s="507">
        <f t="shared" si="5"/>
        <v>2</v>
      </c>
      <c r="R16" s="518">
        <f t="shared" si="6"/>
        <v>0</v>
      </c>
      <c r="S16" s="536"/>
      <c r="T16" s="537"/>
      <c r="U16" s="538"/>
      <c r="W16" s="522" t="str">
        <f t="shared" si="7"/>
        <v>Липа</v>
      </c>
      <c r="X16" s="523">
        <f t="shared" si="8"/>
        <v>0</v>
      </c>
      <c r="Y16" s="523">
        <f t="shared" si="9"/>
        <v>0</v>
      </c>
      <c r="Z16" s="189">
        <f t="shared" si="10"/>
        <v>0</v>
      </c>
      <c r="AA16" s="189">
        <f t="shared" si="11"/>
        <v>0</v>
      </c>
      <c r="AB16" s="189">
        <f t="shared" si="12"/>
        <v>0</v>
      </c>
      <c r="AC16" s="189">
        <f t="shared" si="13"/>
        <v>0</v>
      </c>
      <c r="AD16" s="189">
        <f t="shared" si="14"/>
        <v>0</v>
      </c>
      <c r="AE16" s="189">
        <f t="shared" si="15"/>
        <v>0</v>
      </c>
      <c r="AF16" s="189">
        <f t="shared" si="16"/>
        <v>2</v>
      </c>
      <c r="AG16" s="189">
        <f t="shared" si="17"/>
        <v>2</v>
      </c>
      <c r="AH16" s="189">
        <f t="shared" si="18"/>
        <v>0</v>
      </c>
      <c r="AI16" s="190">
        <f t="shared" si="19"/>
        <v>0</v>
      </c>
    </row>
    <row r="17" spans="1:35">
      <c r="A17" s="504" t="s">
        <v>2175</v>
      </c>
      <c r="B17" s="505" t="s">
        <v>2445</v>
      </c>
      <c r="C17" s="524">
        <f t="shared" si="0"/>
        <v>0</v>
      </c>
      <c r="D17" s="506">
        <f t="shared" si="2"/>
        <v>0</v>
      </c>
      <c r="E17" s="525">
        <f t="shared" si="3"/>
        <v>0</v>
      </c>
      <c r="F17" s="526"/>
      <c r="G17" s="527"/>
      <c r="H17" s="507">
        <f t="shared" si="4"/>
        <v>0</v>
      </c>
      <c r="I17" s="528"/>
      <c r="J17" s="529"/>
      <c r="K17" s="530"/>
      <c r="L17" s="531"/>
      <c r="M17" s="532"/>
      <c r="N17" s="533"/>
      <c r="O17" s="534"/>
      <c r="P17" s="535"/>
      <c r="Q17" s="507">
        <f t="shared" si="5"/>
        <v>0</v>
      </c>
      <c r="R17" s="518">
        <f t="shared" si="6"/>
        <v>0</v>
      </c>
      <c r="S17" s="536"/>
      <c r="T17" s="537"/>
      <c r="U17" s="538"/>
      <c r="W17" s="522" t="str">
        <f t="shared" si="7"/>
        <v>Осика</v>
      </c>
      <c r="X17" s="523">
        <f t="shared" si="8"/>
        <v>0</v>
      </c>
      <c r="Y17" s="523">
        <f t="shared" si="9"/>
        <v>0</v>
      </c>
      <c r="Z17" s="189">
        <f t="shared" si="10"/>
        <v>0</v>
      </c>
      <c r="AA17" s="189">
        <f t="shared" si="11"/>
        <v>0</v>
      </c>
      <c r="AB17" s="189">
        <f t="shared" si="12"/>
        <v>0</v>
      </c>
      <c r="AC17" s="189">
        <f t="shared" si="13"/>
        <v>0</v>
      </c>
      <c r="AD17" s="189">
        <f t="shared" si="14"/>
        <v>0</v>
      </c>
      <c r="AE17" s="189">
        <f t="shared" si="15"/>
        <v>0</v>
      </c>
      <c r="AF17" s="189">
        <f t="shared" si="16"/>
        <v>0</v>
      </c>
      <c r="AG17" s="189">
        <f t="shared" si="17"/>
        <v>0</v>
      </c>
      <c r="AH17" s="189">
        <f t="shared" si="18"/>
        <v>0</v>
      </c>
      <c r="AI17" s="190">
        <f t="shared" si="19"/>
        <v>0</v>
      </c>
    </row>
    <row r="18" spans="1:35">
      <c r="A18" s="504" t="s">
        <v>2175</v>
      </c>
      <c r="B18" s="505" t="s">
        <v>3519</v>
      </c>
      <c r="C18" s="524">
        <f t="shared" si="0"/>
        <v>0</v>
      </c>
      <c r="D18" s="506">
        <f t="shared" si="2"/>
        <v>0</v>
      </c>
      <c r="E18" s="525">
        <f t="shared" si="3"/>
        <v>0</v>
      </c>
      <c r="F18" s="526"/>
      <c r="G18" s="527"/>
      <c r="H18" s="507">
        <f t="shared" si="4"/>
        <v>0</v>
      </c>
      <c r="I18" s="528"/>
      <c r="J18" s="529"/>
      <c r="K18" s="530"/>
      <c r="L18" s="531"/>
      <c r="M18" s="532"/>
      <c r="N18" s="533"/>
      <c r="O18" s="534"/>
      <c r="P18" s="535"/>
      <c r="Q18" s="507">
        <f t="shared" si="5"/>
        <v>0</v>
      </c>
      <c r="R18" s="518">
        <f t="shared" si="6"/>
        <v>0</v>
      </c>
      <c r="S18" s="536"/>
      <c r="T18" s="537"/>
      <c r="U18" s="538"/>
      <c r="W18" s="522" t="str">
        <f t="shared" si="7"/>
        <v>Верба</v>
      </c>
      <c r="X18" s="523">
        <f t="shared" si="8"/>
        <v>0</v>
      </c>
      <c r="Y18" s="523">
        <f t="shared" si="9"/>
        <v>0</v>
      </c>
      <c r="Z18" s="189">
        <f t="shared" si="10"/>
        <v>0</v>
      </c>
      <c r="AA18" s="189">
        <f t="shared" si="11"/>
        <v>0</v>
      </c>
      <c r="AB18" s="189">
        <f t="shared" si="12"/>
        <v>0</v>
      </c>
      <c r="AC18" s="189">
        <f t="shared" si="13"/>
        <v>0</v>
      </c>
      <c r="AD18" s="189">
        <f t="shared" si="14"/>
        <v>0</v>
      </c>
      <c r="AE18" s="189">
        <f t="shared" si="15"/>
        <v>0</v>
      </c>
      <c r="AF18" s="189">
        <f t="shared" si="16"/>
        <v>0</v>
      </c>
      <c r="AG18" s="189">
        <f t="shared" si="17"/>
        <v>0</v>
      </c>
      <c r="AH18" s="189">
        <f t="shared" si="18"/>
        <v>0</v>
      </c>
      <c r="AI18" s="190">
        <f t="shared" si="19"/>
        <v>0</v>
      </c>
    </row>
    <row r="19" spans="1:35">
      <c r="A19" s="504" t="s">
        <v>2175</v>
      </c>
      <c r="B19" s="505" t="s">
        <v>3520</v>
      </c>
      <c r="C19" s="524">
        <f t="shared" si="0"/>
        <v>0</v>
      </c>
      <c r="D19" s="506">
        <f t="shared" si="2"/>
        <v>0</v>
      </c>
      <c r="E19" s="525">
        <f t="shared" si="3"/>
        <v>0</v>
      </c>
      <c r="F19" s="526"/>
      <c r="G19" s="527"/>
      <c r="H19" s="507">
        <f t="shared" si="4"/>
        <v>0</v>
      </c>
      <c r="I19" s="528"/>
      <c r="J19" s="529"/>
      <c r="K19" s="530"/>
      <c r="L19" s="531"/>
      <c r="M19" s="532"/>
      <c r="N19" s="533"/>
      <c r="O19" s="534"/>
      <c r="P19" s="535"/>
      <c r="Q19" s="507">
        <f t="shared" si="5"/>
        <v>0</v>
      </c>
      <c r="R19" s="518">
        <f t="shared" si="6"/>
        <v>0</v>
      </c>
      <c r="S19" s="536"/>
      <c r="T19" s="537"/>
      <c r="U19" s="538"/>
      <c r="W19" s="522" t="str">
        <f t="shared" si="7"/>
        <v>Тополя</v>
      </c>
      <c r="X19" s="523">
        <f t="shared" si="8"/>
        <v>0</v>
      </c>
      <c r="Y19" s="523">
        <f t="shared" si="9"/>
        <v>0</v>
      </c>
      <c r="Z19" s="189">
        <f t="shared" si="10"/>
        <v>0</v>
      </c>
      <c r="AA19" s="189">
        <f t="shared" si="11"/>
        <v>0</v>
      </c>
      <c r="AB19" s="189">
        <f t="shared" si="12"/>
        <v>0</v>
      </c>
      <c r="AC19" s="189">
        <f t="shared" si="13"/>
        <v>0</v>
      </c>
      <c r="AD19" s="189">
        <f t="shared" si="14"/>
        <v>0</v>
      </c>
      <c r="AE19" s="189">
        <f t="shared" si="15"/>
        <v>0</v>
      </c>
      <c r="AF19" s="189">
        <f t="shared" si="16"/>
        <v>0</v>
      </c>
      <c r="AG19" s="189">
        <f t="shared" si="17"/>
        <v>0</v>
      </c>
      <c r="AH19" s="189">
        <f t="shared" si="18"/>
        <v>0</v>
      </c>
      <c r="AI19" s="190">
        <f t="shared" si="19"/>
        <v>0</v>
      </c>
    </row>
    <row r="20" spans="1:35">
      <c r="A20" s="504" t="s">
        <v>2172</v>
      </c>
      <c r="B20" s="505" t="s">
        <v>41</v>
      </c>
      <c r="C20" s="524">
        <f t="shared" si="0"/>
        <v>16</v>
      </c>
      <c r="D20" s="506">
        <f t="shared" si="2"/>
        <v>0</v>
      </c>
      <c r="E20" s="525">
        <f t="shared" si="3"/>
        <v>0</v>
      </c>
      <c r="F20" s="526"/>
      <c r="G20" s="527"/>
      <c r="H20" s="507">
        <f t="shared" si="4"/>
        <v>0</v>
      </c>
      <c r="I20" s="528"/>
      <c r="J20" s="529"/>
      <c r="K20" s="530"/>
      <c r="L20" s="531"/>
      <c r="M20" s="532"/>
      <c r="N20" s="533"/>
      <c r="O20" s="534">
        <v>12</v>
      </c>
      <c r="P20" s="535">
        <v>4</v>
      </c>
      <c r="Q20" s="507">
        <f t="shared" si="5"/>
        <v>12</v>
      </c>
      <c r="R20" s="518">
        <f t="shared" si="6"/>
        <v>0</v>
      </c>
      <c r="S20" s="536"/>
      <c r="T20" s="537"/>
      <c r="U20" s="538"/>
      <c r="W20" s="522" t="str">
        <f t="shared" si="7"/>
        <v>Граб</v>
      </c>
      <c r="X20" s="523">
        <f t="shared" si="8"/>
        <v>0</v>
      </c>
      <c r="Y20" s="523">
        <f t="shared" si="9"/>
        <v>0</v>
      </c>
      <c r="Z20" s="189">
        <f t="shared" si="10"/>
        <v>0</v>
      </c>
      <c r="AA20" s="189">
        <f t="shared" si="11"/>
        <v>0</v>
      </c>
      <c r="AB20" s="189">
        <f t="shared" si="12"/>
        <v>0</v>
      </c>
      <c r="AC20" s="189">
        <f t="shared" si="13"/>
        <v>0</v>
      </c>
      <c r="AD20" s="189">
        <f t="shared" si="14"/>
        <v>0</v>
      </c>
      <c r="AE20" s="189">
        <f t="shared" si="15"/>
        <v>0</v>
      </c>
      <c r="AF20" s="189">
        <f t="shared" si="16"/>
        <v>12</v>
      </c>
      <c r="AG20" s="189">
        <f t="shared" si="17"/>
        <v>4</v>
      </c>
      <c r="AH20" s="189">
        <f t="shared" si="18"/>
        <v>0</v>
      </c>
      <c r="AI20" s="190">
        <f t="shared" si="19"/>
        <v>0</v>
      </c>
    </row>
    <row r="21" spans="1:35">
      <c r="A21" s="504" t="s">
        <v>2175</v>
      </c>
      <c r="B21" s="505" t="s">
        <v>3521</v>
      </c>
      <c r="C21" s="524">
        <f t="shared" si="0"/>
        <v>0</v>
      </c>
      <c r="D21" s="506">
        <f t="shared" si="2"/>
        <v>0</v>
      </c>
      <c r="E21" s="525">
        <f t="shared" si="3"/>
        <v>0</v>
      </c>
      <c r="F21" s="526"/>
      <c r="G21" s="527"/>
      <c r="H21" s="507">
        <f t="shared" si="4"/>
        <v>0</v>
      </c>
      <c r="I21" s="528"/>
      <c r="J21" s="529"/>
      <c r="K21" s="530"/>
      <c r="L21" s="531"/>
      <c r="M21" s="532"/>
      <c r="N21" s="533"/>
      <c r="O21" s="534"/>
      <c r="P21" s="535"/>
      <c r="Q21" s="507">
        <f t="shared" si="5"/>
        <v>0</v>
      </c>
      <c r="R21" s="518">
        <f t="shared" si="6"/>
        <v>0</v>
      </c>
      <c r="S21" s="536"/>
      <c r="T21" s="537"/>
      <c r="U21" s="538"/>
      <c r="W21" s="522" t="str">
        <f t="shared" si="7"/>
        <v>Ялина</v>
      </c>
      <c r="X21" s="523">
        <f t="shared" si="8"/>
        <v>0</v>
      </c>
      <c r="Y21" s="523">
        <f t="shared" si="9"/>
        <v>0</v>
      </c>
      <c r="Z21" s="189">
        <f t="shared" si="10"/>
        <v>0</v>
      </c>
      <c r="AA21" s="189">
        <f t="shared" si="11"/>
        <v>0</v>
      </c>
      <c r="AB21" s="189">
        <f t="shared" si="12"/>
        <v>0</v>
      </c>
      <c r="AC21" s="189">
        <f t="shared" si="13"/>
        <v>0</v>
      </c>
      <c r="AD21" s="189">
        <f t="shared" si="14"/>
        <v>0</v>
      </c>
      <c r="AE21" s="189">
        <f t="shared" si="15"/>
        <v>0</v>
      </c>
      <c r="AF21" s="189">
        <f t="shared" si="16"/>
        <v>0</v>
      </c>
      <c r="AG21" s="189">
        <f t="shared" si="17"/>
        <v>0</v>
      </c>
      <c r="AH21" s="189">
        <f t="shared" si="18"/>
        <v>0</v>
      </c>
      <c r="AI21" s="190">
        <f t="shared" si="19"/>
        <v>0</v>
      </c>
    </row>
    <row r="22" spans="1:35" ht="13.5" thickBot="1">
      <c r="A22" s="539" t="s">
        <v>3511</v>
      </c>
      <c r="B22" s="540" t="s">
        <v>2380</v>
      </c>
      <c r="C22" s="541">
        <f t="shared" si="0"/>
        <v>2</v>
      </c>
      <c r="D22" s="506">
        <f t="shared" si="2"/>
        <v>0</v>
      </c>
      <c r="E22" s="542">
        <f t="shared" si="3"/>
        <v>0</v>
      </c>
      <c r="F22" s="543"/>
      <c r="G22" s="544"/>
      <c r="H22" s="507">
        <f t="shared" si="4"/>
        <v>0</v>
      </c>
      <c r="I22" s="545"/>
      <c r="J22" s="546"/>
      <c r="K22" s="547"/>
      <c r="L22" s="548"/>
      <c r="M22" s="549"/>
      <c r="N22" s="550"/>
      <c r="O22" s="551">
        <v>1</v>
      </c>
      <c r="P22" s="552">
        <v>1</v>
      </c>
      <c r="Q22" s="507">
        <f t="shared" si="5"/>
        <v>1</v>
      </c>
      <c r="R22" s="518">
        <f t="shared" si="6"/>
        <v>0</v>
      </c>
      <c r="S22" s="553"/>
      <c r="T22" s="554"/>
      <c r="U22" s="555"/>
      <c r="W22" s="522" t="str">
        <f t="shared" si="7"/>
        <v>Черешня</v>
      </c>
      <c r="X22" s="523">
        <f t="shared" si="8"/>
        <v>0</v>
      </c>
      <c r="Y22" s="523">
        <f t="shared" si="9"/>
        <v>0</v>
      </c>
      <c r="Z22" s="189">
        <f t="shared" si="10"/>
        <v>0</v>
      </c>
      <c r="AA22" s="189">
        <f t="shared" si="11"/>
        <v>0</v>
      </c>
      <c r="AB22" s="189">
        <f t="shared" si="12"/>
        <v>0</v>
      </c>
      <c r="AC22" s="189">
        <f t="shared" si="13"/>
        <v>0</v>
      </c>
      <c r="AD22" s="189">
        <f t="shared" si="14"/>
        <v>0</v>
      </c>
      <c r="AE22" s="189">
        <f t="shared" si="15"/>
        <v>0</v>
      </c>
      <c r="AF22" s="189">
        <f t="shared" si="16"/>
        <v>1</v>
      </c>
      <c r="AG22" s="189">
        <f t="shared" si="17"/>
        <v>1</v>
      </c>
      <c r="AH22" s="189">
        <f t="shared" si="18"/>
        <v>0</v>
      </c>
      <c r="AI22" s="190">
        <f t="shared" si="19"/>
        <v>0</v>
      </c>
    </row>
    <row r="23" spans="1:35" ht="15.75" thickBot="1">
      <c r="A23" s="556"/>
      <c r="B23" s="557"/>
      <c r="C23" s="558">
        <f>D23+Q23+P23</f>
        <v>140</v>
      </c>
      <c r="D23" s="559">
        <f>E23+H23</f>
        <v>46</v>
      </c>
      <c r="E23" s="560">
        <f>SUM(E8:E22)</f>
        <v>4</v>
      </c>
      <c r="F23" s="561">
        <f>SUM(F8:F22)</f>
        <v>0</v>
      </c>
      <c r="G23" s="562">
        <f t="shared" ref="G23:P23" si="20">SUM(G8:G22)</f>
        <v>4</v>
      </c>
      <c r="H23" s="563">
        <f>SUM(H8:H22)</f>
        <v>42</v>
      </c>
      <c r="I23" s="564">
        <f t="shared" si="20"/>
        <v>7</v>
      </c>
      <c r="J23" s="565">
        <f t="shared" si="20"/>
        <v>12</v>
      </c>
      <c r="K23" s="566">
        <f t="shared" si="20"/>
        <v>23</v>
      </c>
      <c r="L23" s="567">
        <f t="shared" si="20"/>
        <v>0</v>
      </c>
      <c r="M23" s="568">
        <f t="shared" si="20"/>
        <v>0</v>
      </c>
      <c r="N23" s="569">
        <f t="shared" si="20"/>
        <v>0</v>
      </c>
      <c r="O23" s="570">
        <f t="shared" si="20"/>
        <v>58</v>
      </c>
      <c r="P23" s="571">
        <f t="shared" si="20"/>
        <v>36</v>
      </c>
      <c r="Q23" s="572">
        <f>SUM(Q8:Q22)</f>
        <v>58</v>
      </c>
      <c r="R23" s="572">
        <f>SUM(R8:R22)</f>
        <v>0</v>
      </c>
      <c r="S23" s="573">
        <f>SUM(S8:S22)</f>
        <v>0</v>
      </c>
      <c r="T23" s="574">
        <f>SUM(T8:T22)</f>
        <v>0</v>
      </c>
      <c r="U23" s="575">
        <f>SUM(U8:U22)</f>
        <v>0</v>
      </c>
    </row>
    <row r="24" spans="1:35" ht="13.5" thickBot="1">
      <c r="P24" s="187">
        <v>2</v>
      </c>
    </row>
    <row r="25" spans="1:35" ht="16.5" thickBot="1">
      <c r="N25" s="1044" t="s">
        <v>3522</v>
      </c>
      <c r="O25" s="1045"/>
      <c r="P25" s="1045"/>
      <c r="Q25" s="1045"/>
      <c r="R25" s="1045"/>
      <c r="S25" s="1045"/>
      <c r="T25" s="1046"/>
    </row>
    <row r="26" spans="1:35">
      <c r="N26" s="576"/>
      <c r="O26" s="577"/>
      <c r="P26" s="577"/>
      <c r="Q26" s="577"/>
      <c r="R26" s="578" t="s">
        <v>3523</v>
      </c>
      <c r="S26" s="577"/>
      <c r="T26" s="579"/>
    </row>
    <row r="27" spans="1:35" ht="13.5" thickBot="1">
      <c r="N27" s="580" t="s">
        <v>3524</v>
      </c>
      <c r="O27" s="189"/>
      <c r="P27" s="189"/>
      <c r="Q27" s="189"/>
      <c r="R27" s="189"/>
      <c r="S27" s="189"/>
      <c r="T27" s="581">
        <f>SUMPRODUCT((($A$8:$A$22)="m")*($U$8:$U$22))</f>
        <v>0</v>
      </c>
    </row>
    <row r="28" spans="1:35" ht="16.5" thickBot="1">
      <c r="B28" s="1044" t="s">
        <v>3525</v>
      </c>
      <c r="C28" s="1045"/>
      <c r="D28" s="1045"/>
      <c r="E28" s="1045"/>
      <c r="F28" s="1045"/>
      <c r="G28" s="1046"/>
      <c r="H28" s="1044" t="s">
        <v>3526</v>
      </c>
      <c r="I28" s="1045"/>
      <c r="J28" s="1045"/>
      <c r="K28" s="1045"/>
      <c r="L28" s="1045"/>
      <c r="M28" s="1046"/>
      <c r="N28" s="582"/>
      <c r="O28" s="583"/>
      <c r="P28" s="583"/>
      <c r="Q28" s="583"/>
      <c r="R28" s="584" t="s">
        <v>40</v>
      </c>
      <c r="S28" s="583"/>
      <c r="T28" s="585">
        <f>SUMPRODUCT((($A$8:$A$22)="t")*($U$8:$U$22))</f>
        <v>0</v>
      </c>
    </row>
    <row r="29" spans="1:35" ht="13.5" thickBot="1">
      <c r="B29" s="324" t="s">
        <v>3527</v>
      </c>
      <c r="C29" s="586"/>
      <c r="D29" s="577"/>
      <c r="E29" s="577"/>
      <c r="F29" s="577"/>
      <c r="G29" s="587">
        <f>SUMPRODUCT((($A$8:$A$22)="g")*($H$8:$H$22))</f>
        <v>0</v>
      </c>
      <c r="H29" s="324" t="s">
        <v>3528</v>
      </c>
      <c r="I29" s="586"/>
      <c r="J29" s="577"/>
      <c r="K29" s="577"/>
      <c r="L29" s="577"/>
      <c r="M29" s="587">
        <f>SUMPRODUCT((($A$8:$A$22)="g")*($H$8:$H$22))</f>
        <v>0</v>
      </c>
      <c r="N29" s="588"/>
      <c r="O29" s="589"/>
      <c r="P29" s="589"/>
      <c r="Q29" s="589"/>
      <c r="R29" s="589"/>
      <c r="S29" s="589"/>
      <c r="T29" s="590"/>
    </row>
    <row r="30" spans="1:35">
      <c r="B30" s="504"/>
      <c r="C30" s="591"/>
      <c r="D30" s="189" t="s">
        <v>2262</v>
      </c>
      <c r="E30" s="189"/>
      <c r="F30" s="189"/>
      <c r="G30" s="581">
        <f>SUMPRODUCT((($A$8:$A$22)="m")*($H$8:$H$22))</f>
        <v>0</v>
      </c>
      <c r="H30" s="504"/>
      <c r="I30" s="591"/>
      <c r="J30" s="189" t="s">
        <v>2262</v>
      </c>
      <c r="K30" s="189"/>
      <c r="L30" s="189"/>
      <c r="M30" s="581">
        <f>SUMPRODUCT((($A$8:$A$22)="m")*($H$8:$H$22))</f>
        <v>0</v>
      </c>
      <c r="N30" s="592"/>
      <c r="O30" s="577"/>
      <c r="P30" s="577"/>
      <c r="Q30" s="577"/>
      <c r="R30" s="578" t="s">
        <v>3523</v>
      </c>
      <c r="S30" s="577"/>
      <c r="T30" s="579"/>
    </row>
    <row r="31" spans="1:35" ht="13.5" thickBot="1">
      <c r="B31" s="582"/>
      <c r="C31" s="593"/>
      <c r="D31" s="583" t="s">
        <v>40</v>
      </c>
      <c r="E31" s="583"/>
      <c r="F31" s="583"/>
      <c r="G31" s="585">
        <f>SUMPRODUCT((($A$8:$A$22)="t")*($H$8:$H$22))</f>
        <v>42</v>
      </c>
      <c r="H31" s="582"/>
      <c r="I31" s="593"/>
      <c r="J31" s="583" t="s">
        <v>40</v>
      </c>
      <c r="K31" s="583"/>
      <c r="L31" s="583"/>
      <c r="M31" s="585">
        <f>SUMPRODUCT((($A$8:$A$22)="t")*($H$8:$H$22))</f>
        <v>42</v>
      </c>
      <c r="N31" s="580" t="s">
        <v>3529</v>
      </c>
      <c r="O31" s="594"/>
      <c r="P31" s="189"/>
      <c r="Q31" s="189"/>
      <c r="R31" s="189"/>
      <c r="S31" s="189"/>
      <c r="T31" s="581">
        <f>SUMPRODUCT((($A$8:$A$22)="m")*($T$8:$T$22))</f>
        <v>0</v>
      </c>
    </row>
    <row r="32" spans="1:35" ht="13.5" thickBot="1">
      <c r="B32" s="324" t="s">
        <v>3530</v>
      </c>
      <c r="C32" s="586"/>
      <c r="D32" s="577"/>
      <c r="E32" s="577"/>
      <c r="F32" s="577"/>
      <c r="G32" s="587">
        <f>SUMPRODUCT((($A$8:$A$22)="g")*($E$8:$E$22))</f>
        <v>0</v>
      </c>
      <c r="H32" s="324" t="s">
        <v>3530</v>
      </c>
      <c r="I32" s="586"/>
      <c r="J32" s="577"/>
      <c r="K32" s="577"/>
      <c r="L32" s="577"/>
      <c r="M32" s="587">
        <f>SUMPRODUCT((($A$8:$A$22)="g")*($E$8:$E$22))</f>
        <v>0</v>
      </c>
      <c r="N32" s="582"/>
      <c r="O32" s="583"/>
      <c r="P32" s="583"/>
      <c r="Q32" s="583"/>
      <c r="R32" s="584" t="s">
        <v>40</v>
      </c>
      <c r="S32" s="583"/>
      <c r="T32" s="585">
        <f>SUMPRODUCT((($A$8:$A$22)="t")*($T$8:$T$22))</f>
        <v>0</v>
      </c>
    </row>
    <row r="33" spans="2:20" ht="13.5" thickBot="1">
      <c r="B33" s="504"/>
      <c r="C33" s="591"/>
      <c r="D33" s="189" t="s">
        <v>2262</v>
      </c>
      <c r="E33" s="189"/>
      <c r="F33" s="189"/>
      <c r="G33" s="581">
        <f>SUMPRODUCT((($A$8:$A$22)="m")*($E$8:$E$22))</f>
        <v>0</v>
      </c>
      <c r="H33" s="504"/>
      <c r="I33" s="591"/>
      <c r="J33" s="189" t="s">
        <v>2262</v>
      </c>
      <c r="K33" s="189"/>
      <c r="L33" s="189"/>
      <c r="M33" s="587">
        <f>SUMPRODUCT((($A$8:$A$22)="g")*($E$8:$E$22))</f>
        <v>0</v>
      </c>
      <c r="N33" s="588"/>
      <c r="O33" s="589"/>
      <c r="P33" s="589"/>
      <c r="Q33" s="589"/>
      <c r="R33" s="589"/>
      <c r="S33" s="589"/>
      <c r="T33" s="590"/>
    </row>
    <row r="34" spans="2:20" ht="13.5" thickBot="1">
      <c r="B34" s="582"/>
      <c r="C34" s="593"/>
      <c r="D34" s="583" t="s">
        <v>40</v>
      </c>
      <c r="E34" s="583"/>
      <c r="F34" s="583"/>
      <c r="G34" s="585">
        <f>SUMPRODUCT((($A$8:$A$22)="t")*($E$8:$E$22))</f>
        <v>4</v>
      </c>
      <c r="H34" s="582"/>
      <c r="I34" s="593"/>
      <c r="J34" s="583" t="s">
        <v>40</v>
      </c>
      <c r="K34" s="583"/>
      <c r="L34" s="583"/>
      <c r="M34" s="587">
        <f>SUMPRODUCT((($A$8:$A$22)="t")*($E$8:$E$22))</f>
        <v>4</v>
      </c>
      <c r="N34" s="595" t="s">
        <v>96</v>
      </c>
      <c r="O34" s="577"/>
      <c r="P34" s="577"/>
      <c r="Q34" s="577"/>
      <c r="R34" s="578" t="s">
        <v>3523</v>
      </c>
      <c r="S34" s="577"/>
      <c r="T34" s="579"/>
    </row>
    <row r="35" spans="2:20">
      <c r="B35" s="324" t="s">
        <v>3531</v>
      </c>
      <c r="C35" s="586"/>
      <c r="D35" s="577"/>
      <c r="E35" s="577"/>
      <c r="F35" s="577"/>
      <c r="G35" s="587">
        <f>SUMPRODUCT((($A$8:$A$22)="g")*($Q$8:$Q$22))</f>
        <v>12</v>
      </c>
      <c r="H35" s="324" t="s">
        <v>3532</v>
      </c>
      <c r="I35" s="586"/>
      <c r="J35" s="577"/>
      <c r="K35" s="577"/>
      <c r="L35" s="577"/>
      <c r="M35" s="587">
        <f>SUMPRODUCT((($A$8:$A$22)="g")*($Q$8:$Q$22))</f>
        <v>12</v>
      </c>
      <c r="N35" s="580" t="s">
        <v>3533</v>
      </c>
      <c r="O35" s="594"/>
      <c r="P35" s="189"/>
      <c r="Q35" s="189"/>
      <c r="R35" s="189"/>
      <c r="S35" s="189"/>
      <c r="T35" s="581">
        <f>SUMPRODUCT((($A$8:$A$22)="m")*($S$8:$S$22))</f>
        <v>0</v>
      </c>
    </row>
    <row r="36" spans="2:20" ht="13.5" thickBot="1">
      <c r="B36" s="504"/>
      <c r="C36" s="591"/>
      <c r="D36" s="189" t="s">
        <v>2262</v>
      </c>
      <c r="E36" s="189"/>
      <c r="F36" s="189"/>
      <c r="G36" s="581">
        <f>SUMPRODUCT((($A$8:$A$22)="m")*($Q$8:$Q$22))</f>
        <v>2</v>
      </c>
      <c r="H36" s="504"/>
      <c r="I36" s="591"/>
      <c r="J36" s="189" t="s">
        <v>2262</v>
      </c>
      <c r="K36" s="189"/>
      <c r="L36" s="189"/>
      <c r="M36" s="581">
        <f>SUMPRODUCT((($A$8:$A$22)="m")*($Q$8:$Q$22))</f>
        <v>2</v>
      </c>
      <c r="N36" s="582"/>
      <c r="O36" s="583"/>
      <c r="P36" s="583"/>
      <c r="Q36" s="583"/>
      <c r="R36" s="584" t="s">
        <v>40</v>
      </c>
      <c r="S36" s="583"/>
      <c r="T36" s="585">
        <f>SUMPRODUCT((($A$8:$A$22)="t")*($S$8:$S$22))</f>
        <v>0</v>
      </c>
    </row>
    <row r="37" spans="2:20" ht="13.5" thickBot="1">
      <c r="B37" s="582"/>
      <c r="C37" s="593"/>
      <c r="D37" s="583" t="s">
        <v>40</v>
      </c>
      <c r="E37" s="583"/>
      <c r="F37" s="583"/>
      <c r="G37" s="585">
        <f>SUMPRODUCT((($A$8:$A$22)="t")*($Q$8:$Q$22))</f>
        <v>44</v>
      </c>
      <c r="H37" s="582"/>
      <c r="I37" s="593"/>
      <c r="J37" s="583" t="s">
        <v>40</v>
      </c>
      <c r="K37" s="583"/>
      <c r="L37" s="583"/>
      <c r="M37" s="585">
        <f>SUMPRODUCT((($A$8:$A$22)="t")*($Q$8:$Q$22))</f>
        <v>44</v>
      </c>
      <c r="N37" s="588"/>
      <c r="O37" s="589"/>
      <c r="P37" s="589"/>
      <c r="Q37" s="589"/>
      <c r="R37" s="589"/>
      <c r="S37" s="589"/>
      <c r="T37" s="590"/>
    </row>
    <row r="38" spans="2:20">
      <c r="B38" s="596" t="s">
        <v>3534</v>
      </c>
      <c r="C38" s="597"/>
      <c r="D38" s="598"/>
      <c r="E38" s="598"/>
      <c r="F38" s="598"/>
      <c r="G38" s="599">
        <f>SUMPRODUCT((($A$8:$A$22)="g")*($P$8:$P$22))</f>
        <v>4</v>
      </c>
      <c r="H38" s="596" t="s">
        <v>3534</v>
      </c>
      <c r="I38" s="597"/>
      <c r="J38" s="598"/>
      <c r="K38" s="598"/>
      <c r="L38" s="598"/>
      <c r="M38" s="599">
        <f>SUMPRODUCT((($A$8:$A$22)="g")*($P$8:$P$22))</f>
        <v>4</v>
      </c>
      <c r="N38" s="595"/>
      <c r="O38" s="577"/>
      <c r="P38" s="577"/>
      <c r="Q38" s="577"/>
      <c r="R38" s="578" t="s">
        <v>3523</v>
      </c>
      <c r="S38" s="577"/>
      <c r="T38" s="579"/>
    </row>
    <row r="39" spans="2:20">
      <c r="B39" s="504"/>
      <c r="C39" s="591"/>
      <c r="D39" s="189" t="s">
        <v>2262</v>
      </c>
      <c r="E39" s="189"/>
      <c r="F39" s="189"/>
      <c r="G39" s="581">
        <f>SUMPRODUCT((($A$8:$A$22)="m")*($P$8:$P$22))</f>
        <v>2</v>
      </c>
      <c r="H39" s="504"/>
      <c r="I39" s="591"/>
      <c r="J39" s="189" t="s">
        <v>2262</v>
      </c>
      <c r="K39" s="189"/>
      <c r="L39" s="189"/>
      <c r="M39" s="581">
        <f>SUMPRODUCT((($A$8:$A$22)="m")*($P$8:$P$22))</f>
        <v>2</v>
      </c>
      <c r="N39" s="580" t="s">
        <v>3535</v>
      </c>
      <c r="O39" s="594"/>
      <c r="P39" s="189"/>
      <c r="Q39" s="189"/>
      <c r="R39" s="189"/>
      <c r="S39" s="189"/>
      <c r="T39" s="581">
        <f>SUMPRODUCT((($A$8:$A$22)="m")*($P$8:$P$22))</f>
        <v>2</v>
      </c>
    </row>
    <row r="40" spans="2:20" ht="12.75" customHeight="1" thickBot="1">
      <c r="B40" s="582"/>
      <c r="C40" s="593"/>
      <c r="D40" s="583" t="s">
        <v>40</v>
      </c>
      <c r="E40" s="583"/>
      <c r="F40" s="583"/>
      <c r="G40" s="585">
        <f>SUMPRODUCT((($A$8:$A$22)="t")*($P$8:$P$22))</f>
        <v>30</v>
      </c>
      <c r="H40" s="582"/>
      <c r="I40" s="593"/>
      <c r="J40" s="583" t="s">
        <v>40</v>
      </c>
      <c r="K40" s="583"/>
      <c r="L40" s="583"/>
      <c r="M40" s="585">
        <f>SUMPRODUCT((($A$8:$A$22)="t")*($P$8:$P$22))</f>
        <v>30</v>
      </c>
      <c r="N40" s="582"/>
      <c r="O40" s="583"/>
      <c r="P40" s="583"/>
      <c r="Q40" s="583"/>
      <c r="R40" s="584" t="s">
        <v>40</v>
      </c>
      <c r="S40" s="583"/>
      <c r="T40" s="585">
        <f>SUMPRODUCT((($A$8:$A$22)="t")*($P$8:$P$22))</f>
        <v>30</v>
      </c>
    </row>
    <row r="41" spans="2:20" ht="13.5" thickBot="1"/>
    <row r="42" spans="2:20" ht="13.5" thickBot="1">
      <c r="B42" s="187" t="s">
        <v>3536</v>
      </c>
      <c r="G42" s="600">
        <f>R23</f>
        <v>0</v>
      </c>
      <c r="M42" s="600">
        <f>R23</f>
        <v>0</v>
      </c>
    </row>
    <row r="47" spans="2:20">
      <c r="B47" s="187" t="s">
        <v>3537</v>
      </c>
    </row>
    <row r="48" spans="2:20">
      <c r="B48" s="187" t="s">
        <v>3538</v>
      </c>
    </row>
  </sheetData>
  <mergeCells count="5">
    <mergeCell ref="J3:K3"/>
    <mergeCell ref="I5:J5"/>
    <mergeCell ref="N25:T25"/>
    <mergeCell ref="B28:G28"/>
    <mergeCell ref="H28:M28"/>
  </mergeCells>
  <conditionalFormatting sqref="B8:B22">
    <cfRule type="cellIs" dxfId="226" priority="1" stopIfTrue="1" operator="equal">
      <formula>INDEX($B$8:$B$22,MATCH(MAX($C$8:$C$22),$C$8:$C$22,0),1)</formula>
    </cfRule>
  </conditionalFormatting>
  <dataValidations count="1">
    <dataValidation type="list" allowBlank="1" showInputMessage="1" showErrorMessage="1" sqref="I5:J5">
      <formula1>INDIRECT("Шаблон[Наименование]")</formula1>
    </dataValidation>
  </dataValidations>
  <pageMargins left="0.19685039370078741" right="0.19685039370078741" top="0.19685039370078741" bottom="0.19685039370078741" header="0.19685039370078741" footer="0.19685039370078741"/>
  <pageSetup paperSize="9" scale="80" orientation="landscape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6021" r:id="rId4" name="ComboBox1">
          <controlPr defaultSize="0" print="0" autoLine="0" linkedCell="gLisVo" r:id="rId5">
            <anchor moveWithCells="1">
              <from>
                <xdr:col>9</xdr:col>
                <xdr:colOff>466725</xdr:colOff>
                <xdr:row>2</xdr:row>
                <xdr:rowOff>161925</xdr:rowOff>
              </from>
              <to>
                <xdr:col>15</xdr:col>
                <xdr:colOff>533400</xdr:colOff>
                <xdr:row>4</xdr:row>
                <xdr:rowOff>66675</xdr:rowOff>
              </to>
            </anchor>
          </controlPr>
        </control>
      </mc:Choice>
      <mc:Fallback>
        <control shapeId="86021" r:id="rId4" name="ComboBox1"/>
      </mc:Fallback>
    </mc:AlternateContent>
    <mc:AlternateContent xmlns:mc="http://schemas.openxmlformats.org/markup-compatibility/2006">
      <mc:Choice Requires="x14">
        <control shapeId="86017" r:id="rId6" name="Button 1">
          <controlPr defaultSize="0" print="0" autoFill="0" autoPict="0" macro="[0]!ОчиститьФормуРГК">
            <anchor moveWithCells="1" sizeWithCells="1">
              <from>
                <xdr:col>1</xdr:col>
                <xdr:colOff>276225</xdr:colOff>
                <xdr:row>1</xdr:row>
                <xdr:rowOff>85725</xdr:rowOff>
              </from>
              <to>
                <xdr:col>2</xdr:col>
                <xdr:colOff>447675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8" r:id="rId7" name="Button 2">
          <controlPr defaultSize="0" print="0" autoFill="0" autoPict="0" macro="[0]!ПеренестиРасчетвРГК">
            <anchor moveWithCells="1" sizeWithCells="1">
              <from>
                <xdr:col>2</xdr:col>
                <xdr:colOff>581025</xdr:colOff>
                <xdr:row>1</xdr:row>
                <xdr:rowOff>66675</xdr:rowOff>
              </from>
              <to>
                <xdr:col>4</xdr:col>
                <xdr:colOff>352425</xdr:colOff>
                <xdr:row>3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6019" r:id="rId8" name="Button 3">
          <controlPr defaultSize="0" print="0" autoFill="0" autoPict="0">
            <anchor moveWithCells="1" sizeWithCells="1">
              <from>
                <xdr:col>5</xdr:col>
                <xdr:colOff>9525</xdr:colOff>
                <xdr:row>1</xdr:row>
                <xdr:rowOff>85725</xdr:rowOff>
              </from>
              <to>
                <xdr:col>6</xdr:col>
                <xdr:colOff>447675</xdr:colOff>
                <xdr:row>3</xdr:row>
                <xdr:rowOff>19050</xdr:rowOff>
              </to>
            </anchor>
          </controlPr>
        </control>
      </mc:Choice>
    </mc:AlternateContent>
  </controls>
  <tableParts count="2">
    <tablePart r:id="rId9"/>
    <tablePart r:id="rId10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FF0000"/>
    <pageSetUpPr fitToPage="1"/>
  </sheetPr>
  <dimension ref="A1:XFD44"/>
  <sheetViews>
    <sheetView zoomScale="71" zoomScaleNormal="71" workbookViewId="0">
      <pane ySplit="13" topLeftCell="A14" activePane="bottomLeft" state="frozen"/>
      <selection activeCell="C447" activeCellId="12" sqref="BJ443 G452 C447 C447 C447 C447 C447 C447 C447 C447 C447 C447 C447"/>
      <selection pane="bottomLeft" activeCell="A3" sqref="A3"/>
    </sheetView>
  </sheetViews>
  <sheetFormatPr defaultColWidth="9.140625" defaultRowHeight="18" customHeight="1" outlineLevelRow="1" outlineLevelCol="1"/>
  <cols>
    <col min="1" max="1" width="46.42578125" style="2" customWidth="1"/>
    <col min="2" max="2" width="10.5703125" style="2" bestFit="1" customWidth="1"/>
    <col min="3" max="3" width="14.28515625" style="2" customWidth="1"/>
    <col min="4" max="4" width="10.28515625" style="2" customWidth="1"/>
    <col min="5" max="5" width="13.7109375" style="2" customWidth="1"/>
    <col min="6" max="6" width="8.85546875" style="2" customWidth="1"/>
    <col min="7" max="7" width="15.7109375" style="2" customWidth="1"/>
    <col min="8" max="8" width="9.7109375" style="2" customWidth="1"/>
    <col min="9" max="9" width="11.5703125" style="2" customWidth="1"/>
    <col min="10" max="11" width="14.28515625" style="2" customWidth="1"/>
    <col min="12" max="12" width="16.28515625" style="2" hidden="1" customWidth="1" outlineLevel="1"/>
    <col min="13" max="13" width="15.42578125" style="2" hidden="1" customWidth="1" outlineLevel="1"/>
    <col min="14" max="14" width="15.28515625" style="2" hidden="1" customWidth="1" outlineLevel="1"/>
    <col min="15" max="15" width="15.42578125" style="2" hidden="1" customWidth="1" outlineLevel="1"/>
    <col min="16" max="16" width="30.140625" style="2" customWidth="1" collapsed="1"/>
    <col min="17" max="16384" width="9.140625" style="2"/>
  </cols>
  <sheetData>
    <row r="1" spans="1:362" s="3" customFormat="1" ht="21.75" customHeight="1" thickBot="1">
      <c r="A1" s="404"/>
      <c r="B1" s="404"/>
      <c r="C1" s="405"/>
      <c r="D1" s="405"/>
      <c r="E1" s="405"/>
      <c r="F1" s="410" t="s">
        <v>3289</v>
      </c>
      <c r="G1" s="717">
        <f>MONTH(mDataS)</f>
        <v>11</v>
      </c>
      <c r="H1" s="639" t="str">
        <f>VLOOKUP(mLisVo,Лісництва[[Підрозділ]:[01.фев]],3,FALSE)</f>
        <v>Шп</v>
      </c>
      <c r="I1" s="404">
        <v>9</v>
      </c>
      <c r="J1" s="718">
        <f>MONTH(mDataDog)</f>
        <v>11</v>
      </c>
      <c r="K1" s="407" t="str">
        <f>VLOOKUP(mLisVo,Лісництва[[Підрозділ]:[ВиконавецДоговор]],15,FALSE)</f>
        <v>СТЛ-18</v>
      </c>
      <c r="L1" s="407"/>
      <c r="M1" s="407"/>
      <c r="N1" s="407"/>
      <c r="O1" s="407"/>
      <c r="P1" s="408" t="s">
        <v>0</v>
      </c>
      <c r="Q1" s="120"/>
      <c r="R1" s="3" t="s">
        <v>5069</v>
      </c>
      <c r="T1" s="285" t="s">
        <v>2171</v>
      </c>
      <c r="W1" s="716" t="s">
        <v>3896</v>
      </c>
    </row>
    <row r="2" spans="1:362" s="3" customFormat="1" ht="21" customHeight="1" outlineLevel="1" thickTop="1">
      <c r="A2" s="403" t="s">
        <v>54</v>
      </c>
      <c r="B2" s="1061" t="s">
        <v>115</v>
      </c>
      <c r="C2" s="1062"/>
      <c r="D2" s="1062"/>
      <c r="E2" s="1062"/>
      <c r="F2" s="1063"/>
      <c r="G2" s="1087"/>
      <c r="H2" s="1087"/>
      <c r="I2" s="1059">
        <v>0</v>
      </c>
      <c r="J2" s="1060"/>
      <c r="K2" s="148"/>
      <c r="L2" s="148"/>
      <c r="M2" s="148"/>
      <c r="N2" s="148"/>
      <c r="O2" s="148"/>
      <c r="P2" s="409" t="s">
        <v>1</v>
      </c>
      <c r="Q2" s="148"/>
      <c r="T2" s="286" t="s">
        <v>867</v>
      </c>
      <c r="W2" s="3" t="str">
        <f>CONCATENATE(mMD,"\",mCKR,"\",mPND,"_",mMLK,"_",mTender)</f>
        <v>11\Шп\9_11_СТЛ-18</v>
      </c>
    </row>
    <row r="3" spans="1:362" s="3" customFormat="1" ht="21" customHeight="1" outlineLevel="1">
      <c r="A3" s="165" t="s">
        <v>55</v>
      </c>
      <c r="B3" s="1064">
        <v>38</v>
      </c>
      <c r="C3" s="1065"/>
      <c r="D3" s="1065"/>
      <c r="E3" s="1065"/>
      <c r="F3" s="1066"/>
      <c r="G3" s="1087" t="s">
        <v>61</v>
      </c>
      <c r="H3" s="1087"/>
      <c r="I3" s="1057">
        <f>ROUND(E21*0.1+E22*0.1+E24*0.12+E25*0.12+E27*0.2+E28*0.2,3)</f>
        <v>26.4</v>
      </c>
      <c r="J3" s="1058"/>
      <c r="K3" s="168" t="s">
        <v>2</v>
      </c>
      <c r="L3" s="168"/>
      <c r="M3" s="168"/>
      <c r="N3" s="168"/>
      <c r="O3" s="168"/>
      <c r="P3" s="154"/>
      <c r="Q3" s="154"/>
      <c r="T3" s="285" t="s">
        <v>868</v>
      </c>
      <c r="W3" s="3" t="str">
        <f>mDil &amp;" "&amp;mNLK&amp;" "&amp;mNr</f>
        <v>38 кв (3 вид) 0 діл. 104 Молодняки</v>
      </c>
    </row>
    <row r="4" spans="1:362" s="3" customFormat="1" ht="19.899999999999999" customHeight="1" outlineLevel="1" thickBot="1">
      <c r="A4" s="165" t="s">
        <v>56</v>
      </c>
      <c r="B4" s="1064" t="s">
        <v>3829</v>
      </c>
      <c r="C4" s="1065"/>
      <c r="D4" s="1065"/>
      <c r="E4" s="1065"/>
      <c r="F4" s="1066"/>
      <c r="G4" s="1087"/>
      <c r="H4" s="1087"/>
      <c r="I4" s="1081">
        <v>0</v>
      </c>
      <c r="J4" s="1082"/>
      <c r="K4" s="5"/>
      <c r="L4" s="5"/>
      <c r="M4" s="5"/>
      <c r="N4" s="5"/>
      <c r="O4" s="5"/>
      <c r="P4" s="6"/>
      <c r="Q4" s="7"/>
      <c r="T4" s="617" t="s">
        <v>3407</v>
      </c>
    </row>
    <row r="5" spans="1:362" s="3" customFormat="1" ht="17.45" customHeight="1" outlineLevel="1" thickBot="1">
      <c r="A5" s="165" t="s">
        <v>57</v>
      </c>
      <c r="B5" s="1067">
        <v>1.2</v>
      </c>
      <c r="C5" s="1068"/>
      <c r="D5" s="1068"/>
      <c r="E5" s="1068"/>
      <c r="F5" s="1054"/>
      <c r="G5" s="1087"/>
      <c r="H5" s="1087"/>
      <c r="I5" s="1081"/>
      <c r="J5" s="1082"/>
      <c r="K5" s="667" t="s">
        <v>3843</v>
      </c>
      <c r="L5" s="1020"/>
      <c r="M5" s="1020"/>
      <c r="N5" s="1020"/>
      <c r="O5" s="1020"/>
      <c r="P5" s="695" t="s">
        <v>5</v>
      </c>
      <c r="Q5" s="7"/>
      <c r="T5" s="618" t="s">
        <v>3408</v>
      </c>
    </row>
    <row r="6" spans="1:362" s="3" customFormat="1" ht="18" customHeight="1" outlineLevel="1" thickBot="1">
      <c r="A6" s="155" t="s">
        <v>58</v>
      </c>
      <c r="B6" s="1069" t="s">
        <v>3896</v>
      </c>
      <c r="C6" s="1070"/>
      <c r="D6" s="1070"/>
      <c r="E6" s="1070"/>
      <c r="F6" s="1071"/>
      <c r="G6" s="1087" t="s">
        <v>89</v>
      </c>
      <c r="H6" s="1087"/>
      <c r="I6" s="1085">
        <f>I3/B5</f>
        <v>22</v>
      </c>
      <c r="J6" s="1086"/>
      <c r="Q6" s="147"/>
      <c r="W6" s="3" t="s">
        <v>106</v>
      </c>
    </row>
    <row r="7" spans="1:362" s="3" customFormat="1" ht="16.899999999999999" customHeight="1" outlineLevel="1" thickBot="1">
      <c r="A7" s="155" t="s">
        <v>6</v>
      </c>
      <c r="B7" s="1072" t="s">
        <v>79</v>
      </c>
      <c r="C7" s="1073"/>
      <c r="D7" s="1073"/>
      <c r="E7" s="1073"/>
      <c r="F7" s="1074"/>
      <c r="G7" s="1087"/>
      <c r="H7" s="1087"/>
      <c r="I7" s="1055"/>
      <c r="J7" s="1056"/>
      <c r="T7" s="3">
        <f t="array" aca="1" ref="T7" ca="1">MAX(IF(INDIRECT("Техкарта[Лісництво]")=mLisVo,IF(INDIRECT("Техкарта[Месяц договору]")=mMD,INDIRECT("Техкарта[Порядковий договору]"))))</f>
        <v>0</v>
      </c>
    </row>
    <row r="8" spans="1:362" s="3" customFormat="1" ht="16.899999999999999" customHeight="1" outlineLevel="1" thickBot="1">
      <c r="A8" s="155" t="s">
        <v>67</v>
      </c>
      <c r="B8" s="1075">
        <f ca="1">MAX(INDIRECT("Тарифи[№]"))</f>
        <v>43101</v>
      </c>
      <c r="C8" s="1076"/>
      <c r="D8" s="1076"/>
      <c r="E8" s="1076"/>
      <c r="F8" s="1077"/>
      <c r="G8" s="1088" t="s">
        <v>4</v>
      </c>
      <c r="H8" s="1088"/>
      <c r="I8" s="1083">
        <v>0</v>
      </c>
      <c r="J8" s="1084"/>
    </row>
    <row r="9" spans="1:362" s="3" customFormat="1" ht="16.899999999999999" customHeight="1" outlineLevel="1" thickBot="1">
      <c r="A9" s="155" t="s">
        <v>68</v>
      </c>
      <c r="B9" s="1078" t="str">
        <f>VLOOKUP(mLisVo,Лісництва!B2:O7,7,FALSE)</f>
        <v>Степовий</v>
      </c>
      <c r="C9" s="1079"/>
      <c r="D9" s="1079"/>
      <c r="E9" s="1079"/>
      <c r="F9" s="1080"/>
      <c r="G9" s="1089" t="s">
        <v>5371</v>
      </c>
      <c r="H9" s="1088"/>
      <c r="I9" s="1081">
        <v>0.12</v>
      </c>
      <c r="J9" s="1082"/>
      <c r="K9" s="650" t="s">
        <v>3487</v>
      </c>
      <c r="L9" s="650"/>
      <c r="M9" s="650"/>
      <c r="N9" s="650"/>
      <c r="O9" s="650"/>
      <c r="P9" s="649">
        <v>43433</v>
      </c>
    </row>
    <row r="10" spans="1:362" s="3" customFormat="1" ht="16.899999999999999" customHeight="1" outlineLevel="1" thickBot="1">
      <c r="A10" s="166"/>
      <c r="B10" s="1064"/>
      <c r="C10" s="1065"/>
      <c r="D10" s="1065"/>
      <c r="E10" s="1065"/>
      <c r="F10" s="1066"/>
      <c r="G10" s="1088"/>
      <c r="H10" s="1088"/>
      <c r="I10" s="1081">
        <v>3</v>
      </c>
      <c r="J10" s="1082"/>
      <c r="K10" s="96" t="s">
        <v>3905</v>
      </c>
      <c r="L10" s="96"/>
      <c r="M10" s="96"/>
      <c r="N10" s="96"/>
      <c r="O10" s="96"/>
      <c r="P10" s="706">
        <v>2</v>
      </c>
    </row>
    <row r="11" spans="1:362" s="3" customFormat="1" ht="16.899999999999999" customHeight="1" outlineLevel="1" thickBot="1">
      <c r="A11" s="155"/>
      <c r="B11" s="1064"/>
      <c r="C11" s="1065"/>
      <c r="D11" s="1065"/>
      <c r="E11" s="1065"/>
      <c r="F11" s="1066"/>
      <c r="G11" s="1088" t="s">
        <v>66</v>
      </c>
      <c r="H11" s="1088"/>
      <c r="I11" s="1081">
        <v>1</v>
      </c>
      <c r="J11" s="1082"/>
      <c r="K11" s="465" t="s">
        <v>3432</v>
      </c>
      <c r="L11" s="465"/>
      <c r="M11" s="465"/>
      <c r="N11" s="465"/>
      <c r="O11" s="465"/>
      <c r="P11" s="708" t="s">
        <v>3466</v>
      </c>
      <c r="MX11" s="3">
        <v>10</v>
      </c>
    </row>
    <row r="12" spans="1:362" s="3" customFormat="1" ht="16.899999999999999" customHeight="1" outlineLevel="1" thickBot="1">
      <c r="A12" s="155"/>
      <c r="B12" s="1064"/>
      <c r="C12" s="1065"/>
      <c r="D12" s="1065"/>
      <c r="E12" s="1065"/>
      <c r="F12" s="1066"/>
      <c r="G12" s="1088" t="s">
        <v>87</v>
      </c>
      <c r="H12" s="1088"/>
      <c r="I12" s="1081">
        <v>104</v>
      </c>
      <c r="J12" s="1082"/>
      <c r="K12" s="439" t="s">
        <v>117</v>
      </c>
      <c r="L12" s="439"/>
      <c r="M12" s="439"/>
      <c r="N12" s="439"/>
      <c r="O12" s="439"/>
      <c r="P12" s="707" t="str">
        <f>mKV&amp;" кв ("&amp;Substring(mV,"_",1)&amp;" вид) "&amp;Substring(mV,"_",2)&amp;" діл."</f>
        <v>38 кв (3 вид) 0 діл.</v>
      </c>
    </row>
    <row r="13" spans="1:362" s="3" customFormat="1" ht="16.899999999999999" customHeight="1" outlineLevel="1" thickBot="1">
      <c r="A13" s="167" t="s">
        <v>110</v>
      </c>
      <c r="B13" s="1052" t="s">
        <v>2311</v>
      </c>
      <c r="C13" s="1053"/>
      <c r="D13" s="1053"/>
      <c r="E13" s="1053"/>
      <c r="F13" s="1054"/>
      <c r="G13" s="1088" t="s">
        <v>109</v>
      </c>
      <c r="H13" s="1088"/>
      <c r="I13" s="1090">
        <v>43433</v>
      </c>
      <c r="J13" s="1091"/>
      <c r="Q13" s="430">
        <v>0.3</v>
      </c>
    </row>
    <row r="14" spans="1:362" ht="18" customHeight="1" thickBot="1">
      <c r="A14" s="8"/>
      <c r="B14" s="8" t="s">
        <v>7</v>
      </c>
      <c r="C14" s="8"/>
      <c r="D14" s="8"/>
      <c r="E14" s="9"/>
      <c r="F14" s="1093" t="s">
        <v>8</v>
      </c>
      <c r="G14" s="1094"/>
      <c r="H14" s="1095"/>
      <c r="I14" s="431" t="s">
        <v>9</v>
      </c>
      <c r="J14" s="12" t="s">
        <v>10</v>
      </c>
      <c r="K14" s="12" t="s">
        <v>11</v>
      </c>
      <c r="L14" s="781"/>
      <c r="M14" s="781"/>
      <c r="N14" s="781"/>
      <c r="O14" s="781"/>
      <c r="P14" s="12" t="s">
        <v>12</v>
      </c>
    </row>
    <row r="15" spans="1:362" ht="18" customHeight="1">
      <c r="A15" s="13"/>
      <c r="B15" s="13"/>
      <c r="C15" s="17" t="s">
        <v>14</v>
      </c>
      <c r="D15" s="13" t="s">
        <v>15</v>
      </c>
      <c r="E15" s="13" t="s">
        <v>16</v>
      </c>
      <c r="F15" s="1096" t="s">
        <v>17</v>
      </c>
      <c r="G15" s="1096" t="s">
        <v>99</v>
      </c>
      <c r="H15" s="1096" t="s">
        <v>29</v>
      </c>
      <c r="I15" s="128" t="s">
        <v>21</v>
      </c>
      <c r="J15" s="17" t="s">
        <v>22</v>
      </c>
      <c r="K15" s="17" t="s">
        <v>23</v>
      </c>
      <c r="L15" s="13" t="s">
        <v>4998</v>
      </c>
      <c r="M15" s="13" t="s">
        <v>4999</v>
      </c>
      <c r="N15" s="13" t="s">
        <v>4999</v>
      </c>
      <c r="O15" s="13" t="s">
        <v>4999</v>
      </c>
      <c r="P15" s="17" t="s">
        <v>24</v>
      </c>
      <c r="V15" s="2">
        <v>2</v>
      </c>
      <c r="W15" s="2">
        <v>0.1</v>
      </c>
    </row>
    <row r="16" spans="1:362" ht="18" customHeight="1">
      <c r="A16" s="13"/>
      <c r="B16" s="13"/>
      <c r="C16" s="13" t="s">
        <v>26</v>
      </c>
      <c r="D16" s="13" t="s">
        <v>27</v>
      </c>
      <c r="E16" s="13" t="s">
        <v>28</v>
      </c>
      <c r="F16" s="1097"/>
      <c r="G16" s="1097"/>
      <c r="H16" s="1097"/>
      <c r="I16" s="128" t="s">
        <v>90</v>
      </c>
      <c r="J16" s="17" t="s">
        <v>31</v>
      </c>
      <c r="K16" s="17" t="s">
        <v>32</v>
      </c>
      <c r="L16" s="13" t="s">
        <v>5000</v>
      </c>
      <c r="M16" s="13" t="s">
        <v>5001</v>
      </c>
      <c r="N16" s="13" t="s">
        <v>5002</v>
      </c>
      <c r="O16" s="13" t="s">
        <v>5003</v>
      </c>
      <c r="P16" s="17" t="s">
        <v>33</v>
      </c>
      <c r="V16" s="2">
        <v>5</v>
      </c>
      <c r="W16" s="2">
        <v>0.2</v>
      </c>
    </row>
    <row r="17" spans="1:23" ht="18" customHeight="1" thickBot="1">
      <c r="A17" s="18"/>
      <c r="B17" s="18"/>
      <c r="C17" s="18"/>
      <c r="D17" s="18" t="s">
        <v>34</v>
      </c>
      <c r="E17" s="18"/>
      <c r="F17" s="1098"/>
      <c r="G17" s="1098"/>
      <c r="H17" s="1098"/>
      <c r="I17" s="21"/>
      <c r="J17" s="129"/>
      <c r="K17" s="129"/>
      <c r="L17" s="18" t="s">
        <v>5001</v>
      </c>
      <c r="M17" s="18" t="s">
        <v>5004</v>
      </c>
      <c r="N17" s="18" t="s">
        <v>5004</v>
      </c>
      <c r="O17" s="18" t="s">
        <v>5004</v>
      </c>
      <c r="P17" s="129"/>
      <c r="W17" s="2">
        <v>0.3</v>
      </c>
    </row>
    <row r="18" spans="1:23" ht="18" customHeight="1">
      <c r="A18" s="22" t="s">
        <v>35</v>
      </c>
      <c r="B18" s="23"/>
      <c r="C18" s="23"/>
      <c r="D18" s="23"/>
      <c r="E18" s="130"/>
      <c r="F18" s="124">
        <f>I11</f>
        <v>1</v>
      </c>
      <c r="G18" s="124"/>
      <c r="H18" s="25"/>
      <c r="I18" s="75"/>
      <c r="J18" s="40"/>
      <c r="K18" s="40"/>
      <c r="L18" s="40"/>
      <c r="M18" s="40"/>
      <c r="N18" s="40"/>
      <c r="O18" s="40"/>
      <c r="P18" s="432"/>
      <c r="W18" s="2">
        <v>0.4</v>
      </c>
    </row>
    <row r="19" spans="1:23" ht="18" customHeight="1" thickBot="1">
      <c r="A19" s="1089" t="s">
        <v>102</v>
      </c>
      <c r="B19" s="1088"/>
      <c r="C19" s="1088"/>
      <c r="D19" s="1088"/>
      <c r="E19" s="1088"/>
      <c r="F19" s="1088"/>
      <c r="G19" s="1088"/>
      <c r="H19" s="1088"/>
      <c r="I19" s="1088"/>
      <c r="J19" s="1088"/>
      <c r="K19" s="1088"/>
      <c r="L19" s="1088"/>
      <c r="M19" s="1088"/>
      <c r="N19" s="1088"/>
      <c r="O19" s="1088"/>
      <c r="P19" s="1092"/>
      <c r="W19" s="2">
        <v>0.5</v>
      </c>
    </row>
    <row r="20" spans="1:23" ht="15.75" customHeight="1" thickBot="1">
      <c r="A20" s="134" t="s">
        <v>95</v>
      </c>
      <c r="B20" s="135" t="s">
        <v>100</v>
      </c>
      <c r="C20" s="136">
        <v>6</v>
      </c>
      <c r="D20" s="238">
        <f ca="1">ROUNDUP((INDIRECT(ADDRESS(MATCH(dумДатаТарифы,Тарифи[№],0)+1,LEFT(C20,1)+2,1,1,"Тарифи"))+INDIRECT(ADDRESS(MATCH(dумДатаТарифы,Тарифи[№],0)+1,RIGHT(C20,1)+2,1,1,"Тарифи")))/2,2)</f>
        <v>41.17</v>
      </c>
      <c r="E20" s="31"/>
      <c r="F20" s="402">
        <f t="array" ref="F20">INDEX(ZKK,MATCH(MIN(IF(INDEX(ZKK,,MATCH(MIN(IF(ZKK_NS&gt;=2,ZKK_NS)),ZKK_NS,0))&gt;=mMas1Ga,INDEX(ZKK,,MATCH(MIN(IF(ZKK_NS&gt;=2,ZKK_NS)),ZKK_NS,0)))),INDEX(ZKK,,MATCH(MIN(IF(ZKK_NS&gt;=2,ZKK_NS)),ZKK_NS,0)),0),1+3)</f>
        <v>25.88</v>
      </c>
      <c r="G20" s="36">
        <f>F20*F18</f>
        <v>25.88</v>
      </c>
      <c r="H20" s="36">
        <f>(E20/G20)*8</f>
        <v>0</v>
      </c>
      <c r="I20" s="131">
        <f ca="1">H20*D20</f>
        <v>0</v>
      </c>
      <c r="J20" s="58">
        <f ca="1">I20*0.5</f>
        <v>0</v>
      </c>
      <c r="K20" s="58">
        <f ca="1">(I20+J20)*0.22</f>
        <v>0</v>
      </c>
      <c r="L20" s="1024"/>
      <c r="M20" s="38">
        <f t="shared" ref="M20:M31" si="0">(G20*L20/1000)/0.73</f>
        <v>0</v>
      </c>
      <c r="N20" s="38">
        <f>M20*0.4</f>
        <v>0</v>
      </c>
      <c r="O20" s="38">
        <f>M20*0.05</f>
        <v>0</v>
      </c>
      <c r="P20" s="433">
        <f t="shared" ref="P20:P38" ca="1" si="1">I20+J20+K20</f>
        <v>0</v>
      </c>
      <c r="W20" s="2">
        <v>0.6</v>
      </c>
    </row>
    <row r="21" spans="1:23" ht="15" customHeight="1" thickBot="1">
      <c r="A21" s="39" t="s">
        <v>91</v>
      </c>
      <c r="B21" s="135" t="s">
        <v>100</v>
      </c>
      <c r="C21" s="415"/>
      <c r="D21" s="415"/>
      <c r="E21" s="31">
        <v>0</v>
      </c>
      <c r="F21" s="402">
        <f t="array" ref="F21">INDEX(ZKK,MATCH(MIN(IF(INDEX(ZKK,,MATCH(MIN(IF(ZKK_NS&gt;=2,ZKK_NS)),ZKK_NS,0))&gt;=mMas1Ga,INDEX(ZKK,,MATCH(MIN(IF(ZKK_NS&gt;=2,ZKK_NS)),ZKK_NS,0)))),INDEX(ZKK,,MATCH(MIN(IF(ZKK_NS&gt;=2,ZKK_NS)),ZKK_NS,0)),0),1+6)</f>
        <v>38.5</v>
      </c>
      <c r="G21" s="36">
        <f>F21*F18</f>
        <v>38.5</v>
      </c>
      <c r="H21" s="36">
        <f t="shared" ref="H21:H31" si="2">(E21/G21)*8</f>
        <v>0</v>
      </c>
      <c r="I21" s="126">
        <f ca="1">H21*D20</f>
        <v>0</v>
      </c>
      <c r="J21" s="58">
        <f t="shared" ref="J21:J31" ca="1" si="3">I21*0.5</f>
        <v>0</v>
      </c>
      <c r="K21" s="58">
        <f t="shared" ref="K21:K38" ca="1" si="4">(I21+J21)*0.22</f>
        <v>0</v>
      </c>
      <c r="L21" s="1024"/>
      <c r="M21" s="38">
        <f t="shared" si="0"/>
        <v>0</v>
      </c>
      <c r="N21" s="38">
        <f t="shared" ref="N21:N31" si="5">M21*0.4</f>
        <v>0</v>
      </c>
      <c r="O21" s="38">
        <f t="shared" ref="O21:O31" si="6">M21*0.05</f>
        <v>0</v>
      </c>
      <c r="P21" s="433">
        <f t="shared" ca="1" si="1"/>
        <v>0</v>
      </c>
      <c r="W21" s="2">
        <v>0.7</v>
      </c>
    </row>
    <row r="22" spans="1:23" ht="13.5" customHeight="1" thickBot="1">
      <c r="A22" s="41" t="s">
        <v>40</v>
      </c>
      <c r="B22" s="135" t="s">
        <v>100</v>
      </c>
      <c r="C22" s="43"/>
      <c r="D22" s="43"/>
      <c r="E22" s="31"/>
      <c r="F22" s="402">
        <f t="array" ref="F22">INDEX(ZKK,MATCH(MIN(IF(INDEX(ZKK,,MATCH(MIN(IF(ZKK_NS&gt;=2,ZKK_NS)),ZKK_NS,0))&gt;=mMas1Ga,INDEX(ZKK,,MATCH(MIN(IF(ZKK_NS&gt;=2,ZKK_NS)),ZKK_NS,0)))),INDEX(ZKK,,MATCH(MIN(IF(ZKK_NS&gt;=2,ZKK_NS)),ZKK_NS,0)),0),1+6)</f>
        <v>38.5</v>
      </c>
      <c r="G22" s="36">
        <f>F22*F18</f>
        <v>38.5</v>
      </c>
      <c r="H22" s="36">
        <f>(E22/G22)*8</f>
        <v>0</v>
      </c>
      <c r="I22" s="132">
        <f ca="1">H22*D20</f>
        <v>0</v>
      </c>
      <c r="J22" s="58">
        <f t="shared" ca="1" si="3"/>
        <v>0</v>
      </c>
      <c r="K22" s="58">
        <f t="shared" ca="1" si="4"/>
        <v>0</v>
      </c>
      <c r="L22" s="1024"/>
      <c r="M22" s="38">
        <f t="shared" si="0"/>
        <v>0</v>
      </c>
      <c r="N22" s="38">
        <f t="shared" si="5"/>
        <v>0</v>
      </c>
      <c r="O22" s="38">
        <f t="shared" si="6"/>
        <v>0</v>
      </c>
      <c r="P22" s="433">
        <f t="shared" ca="1" si="1"/>
        <v>0</v>
      </c>
      <c r="W22" s="2">
        <v>0.8</v>
      </c>
    </row>
    <row r="23" spans="1:23" ht="13.5" customHeight="1" thickBot="1">
      <c r="A23" s="134" t="s">
        <v>95</v>
      </c>
      <c r="B23" s="135" t="s">
        <v>100</v>
      </c>
      <c r="C23" s="136">
        <v>6</v>
      </c>
      <c r="D23" s="238">
        <f ca="1">ROUNDUP((INDIRECT(ADDRESS(MATCH(dумДатаТарифы,Тарифи[№],0)+1,LEFT(C23,1)+2,1,1,"Тарифи"))+INDIRECT(ADDRESS(MATCH(dумДатаТарифы,Тарифи[№],0)+1,RIGHT(C23,1)+2,1,1,"Тарифи")))/2,2)</f>
        <v>41.17</v>
      </c>
      <c r="E23" s="31"/>
      <c r="F23" s="402">
        <f t="array" ref="F23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3" s="36">
        <f>F23*F18</f>
        <v>53.6</v>
      </c>
      <c r="H23" s="36">
        <f t="shared" si="2"/>
        <v>0</v>
      </c>
      <c r="I23" s="131">
        <f ca="1">H23*D23</f>
        <v>0</v>
      </c>
      <c r="J23" s="58">
        <f t="shared" ca="1" si="3"/>
        <v>0</v>
      </c>
      <c r="K23" s="58">
        <f t="shared" ca="1" si="4"/>
        <v>0</v>
      </c>
      <c r="L23" s="1024"/>
      <c r="M23" s="38">
        <f t="shared" si="0"/>
        <v>0</v>
      </c>
      <c r="N23" s="38">
        <f t="shared" si="5"/>
        <v>0</v>
      </c>
      <c r="O23" s="38">
        <f t="shared" si="6"/>
        <v>0</v>
      </c>
      <c r="P23" s="433">
        <f t="shared" ca="1" si="1"/>
        <v>0</v>
      </c>
      <c r="W23" s="2">
        <v>0.9</v>
      </c>
    </row>
    <row r="24" spans="1:23" ht="15" customHeight="1" thickBot="1">
      <c r="A24" s="39" t="s">
        <v>92</v>
      </c>
      <c r="B24" s="135" t="s">
        <v>100</v>
      </c>
      <c r="C24" s="57"/>
      <c r="D24" s="415"/>
      <c r="E24" s="31"/>
      <c r="F24" s="402">
        <f t="array" ref="F24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4" s="36">
        <f>F24*F18</f>
        <v>53.6</v>
      </c>
      <c r="H24" s="36">
        <f t="shared" si="2"/>
        <v>0</v>
      </c>
      <c r="I24" s="126">
        <f ca="1">H24*D23</f>
        <v>0</v>
      </c>
      <c r="J24" s="58">
        <f t="shared" ca="1" si="3"/>
        <v>0</v>
      </c>
      <c r="K24" s="58">
        <f t="shared" ca="1" si="4"/>
        <v>0</v>
      </c>
      <c r="L24" s="1024"/>
      <c r="M24" s="38">
        <f t="shared" si="0"/>
        <v>0</v>
      </c>
      <c r="N24" s="38">
        <f t="shared" si="5"/>
        <v>0</v>
      </c>
      <c r="O24" s="38">
        <f t="shared" si="6"/>
        <v>0</v>
      </c>
      <c r="P24" s="433">
        <f t="shared" ca="1" si="1"/>
        <v>0</v>
      </c>
      <c r="W24" s="2">
        <v>1</v>
      </c>
    </row>
    <row r="25" spans="1:23" ht="14.25" customHeight="1" thickBot="1">
      <c r="A25" s="137" t="s">
        <v>40</v>
      </c>
      <c r="B25" s="135" t="s">
        <v>100</v>
      </c>
      <c r="C25" s="138"/>
      <c r="D25" s="138"/>
      <c r="E25" s="99">
        <v>220</v>
      </c>
      <c r="F25" s="402">
        <f t="array" ref="F25">INDEX(ZKK,MATCH(MIN(IF(INDEX(ZKK,,MATCH(MIN(IF(ZKK_NS&gt;=4,ZKK_NS)),ZKK_NS,0))&gt;=mMas1Ga,INDEX(ZKK,,MATCH(MIN(IF(ZKK_NS&gt;=4,ZKK_NS)),ZKK_NS,0)))),INDEX(ZKK,,MATCH(MIN(IF(ZKK_NS&gt;=4,ZKK_NS)),ZKK_NS,0)),0),MATCH(MIN(IF(ZKK_NS&gt;=4,ZKK_NS)),ZKK_NS,0)+3)</f>
        <v>53.6</v>
      </c>
      <c r="G25" s="139">
        <f>F25*F18</f>
        <v>53.6</v>
      </c>
      <c r="H25" s="36">
        <f t="shared" si="2"/>
        <v>32.835820895522389</v>
      </c>
      <c r="I25" s="140">
        <f ca="1">H25*D23</f>
        <v>1351.8507462686568</v>
      </c>
      <c r="J25" s="58">
        <f t="shared" ca="1" si="3"/>
        <v>675.92537313432842</v>
      </c>
      <c r="K25" s="58">
        <f t="shared" ca="1" si="4"/>
        <v>446.11074626865678</v>
      </c>
      <c r="L25" s="1024"/>
      <c r="M25" s="38">
        <f t="shared" si="0"/>
        <v>0</v>
      </c>
      <c r="N25" s="38">
        <f t="shared" si="5"/>
        <v>0</v>
      </c>
      <c r="O25" s="38">
        <f t="shared" si="6"/>
        <v>0</v>
      </c>
      <c r="P25" s="433">
        <f t="shared" ca="1" si="1"/>
        <v>2473.8868656716422</v>
      </c>
    </row>
    <row r="26" spans="1:23" ht="14.25" customHeight="1" thickBot="1">
      <c r="A26" s="134" t="s">
        <v>96</v>
      </c>
      <c r="B26" s="135" t="s">
        <v>100</v>
      </c>
      <c r="C26" s="136">
        <v>6</v>
      </c>
      <c r="D26" s="238">
        <f ca="1">ROUNDUP((INDIRECT(ADDRESS(MATCH(dумДатаТарифы,Тарифи[№],0)+1,LEFT(C26,1)+2,1,1,"Тарифи"))+INDIRECT(ADDRESS(MATCH(dумДатаТарифы,Тарифи[№],0)+1,RIGHT(C26,1)+2,1,1,"Тарифи")))/2,2)</f>
        <v>41.17</v>
      </c>
      <c r="E26" s="31"/>
      <c r="F26" s="402">
        <f t="array" ref="F26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6" s="34">
        <f>F26*F18</f>
        <v>60.8</v>
      </c>
      <c r="H26" s="36">
        <f t="shared" si="2"/>
        <v>0</v>
      </c>
      <c r="I26" s="131">
        <f ca="1">H26*D26</f>
        <v>0</v>
      </c>
      <c r="J26" s="58">
        <f t="shared" ca="1" si="3"/>
        <v>0</v>
      </c>
      <c r="K26" s="58">
        <f t="shared" ca="1" si="4"/>
        <v>0</v>
      </c>
      <c r="L26" s="1024"/>
      <c r="M26" s="38">
        <f t="shared" si="0"/>
        <v>0</v>
      </c>
      <c r="N26" s="38">
        <f t="shared" si="5"/>
        <v>0</v>
      </c>
      <c r="O26" s="38">
        <f t="shared" si="6"/>
        <v>0</v>
      </c>
      <c r="P26" s="433">
        <f t="shared" ca="1" si="1"/>
        <v>0</v>
      </c>
    </row>
    <row r="27" spans="1:23" ht="14.25" customHeight="1" thickBot="1">
      <c r="A27" s="39" t="s">
        <v>93</v>
      </c>
      <c r="B27" s="135" t="s">
        <v>100</v>
      </c>
      <c r="C27" s="415"/>
      <c r="D27" s="415"/>
      <c r="E27" s="70">
        <v>0</v>
      </c>
      <c r="F27" s="402">
        <f t="array" ref="F27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7" s="36">
        <f>F27*F18</f>
        <v>60.8</v>
      </c>
      <c r="H27" s="36">
        <f t="shared" si="2"/>
        <v>0</v>
      </c>
      <c r="I27" s="126">
        <f ca="1">H27*D26</f>
        <v>0</v>
      </c>
      <c r="J27" s="58">
        <f t="shared" ca="1" si="3"/>
        <v>0</v>
      </c>
      <c r="K27" s="58">
        <f t="shared" ca="1" si="4"/>
        <v>0</v>
      </c>
      <c r="L27" s="1024"/>
      <c r="M27" s="38">
        <f t="shared" si="0"/>
        <v>0</v>
      </c>
      <c r="N27" s="38">
        <f t="shared" si="5"/>
        <v>0</v>
      </c>
      <c r="O27" s="38">
        <f t="shared" si="6"/>
        <v>0</v>
      </c>
      <c r="P27" s="433">
        <f t="shared" ca="1" si="1"/>
        <v>0</v>
      </c>
    </row>
    <row r="28" spans="1:23" ht="15" customHeight="1" thickBot="1">
      <c r="A28" s="41" t="s">
        <v>40</v>
      </c>
      <c r="B28" s="135" t="s">
        <v>100</v>
      </c>
      <c r="C28" s="43"/>
      <c r="D28" s="43"/>
      <c r="E28" s="65">
        <v>0</v>
      </c>
      <c r="F28" s="402">
        <f t="array" ref="F28">INDEX(ZKK,MATCH(MIN(IF(INDEX(ZKK,,MATCH(MIN(IF(ZKK_NS&gt;=100,ZKK_NS)),ZKK_NS,0))&gt;=mMas1Ga,INDEX(ZKK,,MATCH(MIN(IF(ZKK_NS&gt;=100,ZKK_NS)),ZKK_NS,0)))),INDEX(ZKK,,MATCH(MIN(IF(ZKK_NS&gt;=100,ZKK_NS)),ZKK_NS,0)),0),MATCH(MIN(IF(ZKK_NS&gt;=100,ZKK_NS)),ZKK_NS,0)+3)</f>
        <v>60.8</v>
      </c>
      <c r="G28" s="45">
        <f>F28*F18</f>
        <v>60.8</v>
      </c>
      <c r="H28" s="36">
        <f t="shared" si="2"/>
        <v>0</v>
      </c>
      <c r="I28" s="132">
        <f ca="1">H28*D26</f>
        <v>0</v>
      </c>
      <c r="J28" s="58">
        <f t="shared" ca="1" si="3"/>
        <v>0</v>
      </c>
      <c r="K28" s="58">
        <f t="shared" ca="1" si="4"/>
        <v>0</v>
      </c>
      <c r="L28" s="1024"/>
      <c r="M28" s="38">
        <f t="shared" si="0"/>
        <v>0</v>
      </c>
      <c r="N28" s="38">
        <f t="shared" si="5"/>
        <v>0</v>
      </c>
      <c r="O28" s="38">
        <f t="shared" si="6"/>
        <v>0</v>
      </c>
      <c r="P28" s="433">
        <f t="shared" ca="1" si="1"/>
        <v>0</v>
      </c>
    </row>
    <row r="29" spans="1:23" ht="14.25" customHeight="1" thickBot="1">
      <c r="A29" s="141" t="s">
        <v>96</v>
      </c>
      <c r="B29" s="135" t="s">
        <v>100</v>
      </c>
      <c r="C29" s="136">
        <v>6</v>
      </c>
      <c r="D29" s="238">
        <f ca="1">ROUNDUP((INDIRECT(ADDRESS(MATCH(dумДатаТарифы,Тарифи[№],0)+1,LEFT(C29,1)+2,1,1,"Тарифи"))+INDIRECT(ADDRESS(MATCH(dумДатаТарифы,Тарифи[№],0)+1,RIGHT(C29,1)+2,1,1,"Тарифи")))/2,2)</f>
        <v>41.17</v>
      </c>
      <c r="E29" s="70"/>
      <c r="F29" s="36">
        <v>36.9</v>
      </c>
      <c r="G29" s="60">
        <f>F29*F18</f>
        <v>36.9</v>
      </c>
      <c r="H29" s="36">
        <f t="shared" si="2"/>
        <v>0</v>
      </c>
      <c r="I29" s="142">
        <f ca="1">H29*D29</f>
        <v>0</v>
      </c>
      <c r="J29" s="58">
        <f t="shared" ca="1" si="3"/>
        <v>0</v>
      </c>
      <c r="K29" s="58">
        <f t="shared" ca="1" si="4"/>
        <v>0</v>
      </c>
      <c r="L29" s="1024"/>
      <c r="M29" s="38">
        <f t="shared" si="0"/>
        <v>0</v>
      </c>
      <c r="N29" s="38">
        <f t="shared" si="5"/>
        <v>0</v>
      </c>
      <c r="O29" s="38">
        <f t="shared" si="6"/>
        <v>0</v>
      </c>
      <c r="P29" s="433">
        <f t="shared" ca="1" si="1"/>
        <v>0</v>
      </c>
    </row>
    <row r="30" spans="1:23" ht="13.5" customHeight="1" thickBot="1">
      <c r="A30" s="39" t="s">
        <v>94</v>
      </c>
      <c r="B30" s="135" t="s">
        <v>100</v>
      </c>
      <c r="C30" s="415"/>
      <c r="D30" s="415"/>
      <c r="E30" s="70">
        <v>0</v>
      </c>
      <c r="F30" s="36">
        <v>36.9</v>
      </c>
      <c r="G30" s="36">
        <f>F30*F18</f>
        <v>36.9</v>
      </c>
      <c r="H30" s="36">
        <f t="shared" si="2"/>
        <v>0</v>
      </c>
      <c r="I30" s="126">
        <f ca="1">H30*D29</f>
        <v>0</v>
      </c>
      <c r="J30" s="58">
        <f t="shared" ca="1" si="3"/>
        <v>0</v>
      </c>
      <c r="K30" s="58">
        <f t="shared" ca="1" si="4"/>
        <v>0</v>
      </c>
      <c r="L30" s="1024"/>
      <c r="M30" s="38">
        <f t="shared" si="0"/>
        <v>0</v>
      </c>
      <c r="N30" s="38">
        <f t="shared" si="5"/>
        <v>0</v>
      </c>
      <c r="O30" s="38">
        <f t="shared" si="6"/>
        <v>0</v>
      </c>
      <c r="P30" s="433">
        <f t="shared" ca="1" si="1"/>
        <v>0</v>
      </c>
    </row>
    <row r="31" spans="1:23" ht="13.5" customHeight="1" thickBot="1">
      <c r="A31" s="41" t="s">
        <v>40</v>
      </c>
      <c r="B31" s="135" t="s">
        <v>100</v>
      </c>
      <c r="C31" s="43"/>
      <c r="D31" s="43"/>
      <c r="E31" s="70">
        <v>0</v>
      </c>
      <c r="F31" s="36">
        <v>36.9</v>
      </c>
      <c r="G31" s="45">
        <f>F31*F18</f>
        <v>36.9</v>
      </c>
      <c r="H31" s="36">
        <f t="shared" si="2"/>
        <v>0</v>
      </c>
      <c r="I31" s="132">
        <f ca="1">H31*D29</f>
        <v>0</v>
      </c>
      <c r="J31" s="58">
        <f t="shared" ca="1" si="3"/>
        <v>0</v>
      </c>
      <c r="K31" s="58">
        <f t="shared" ca="1" si="4"/>
        <v>0</v>
      </c>
      <c r="L31" s="1025"/>
      <c r="M31" s="38">
        <f t="shared" si="0"/>
        <v>0</v>
      </c>
      <c r="N31" s="38">
        <f t="shared" si="5"/>
        <v>0</v>
      </c>
      <c r="O31" s="38">
        <f t="shared" si="6"/>
        <v>0</v>
      </c>
      <c r="P31" s="433">
        <f t="shared" ca="1" si="1"/>
        <v>0</v>
      </c>
    </row>
    <row r="32" spans="1:23" ht="13.5" customHeight="1">
      <c r="A32" s="1026" t="s">
        <v>45</v>
      </c>
      <c r="B32" s="35"/>
      <c r="C32" s="1015"/>
      <c r="D32" s="1015"/>
      <c r="E32" s="1015"/>
      <c r="F32" s="36"/>
      <c r="G32" s="36"/>
      <c r="H32" s="36"/>
      <c r="I32" s="36">
        <f ca="1">SUM(I20:I31)</f>
        <v>1351.8507462686568</v>
      </c>
      <c r="J32" s="36">
        <f t="shared" ref="J32:K32" ca="1" si="7">SUM(J20:J31)</f>
        <v>675.92537313432842</v>
      </c>
      <c r="K32" s="36">
        <f t="shared" ca="1" si="7"/>
        <v>446.11074626865678</v>
      </c>
      <c r="L32" s="36"/>
      <c r="M32" s="36">
        <f t="shared" ref="M32:P32" si="8">SUM(M20:M31)</f>
        <v>0</v>
      </c>
      <c r="N32" s="36">
        <f t="shared" si="8"/>
        <v>0</v>
      </c>
      <c r="O32" s="36">
        <f t="shared" si="8"/>
        <v>0</v>
      </c>
      <c r="P32" s="36">
        <f t="shared" ca="1" si="8"/>
        <v>2473.8868656716422</v>
      </c>
    </row>
    <row r="33" spans="1:16384" ht="13.5" customHeight="1">
      <c r="A33" s="71" t="s">
        <v>46</v>
      </c>
      <c r="B33" s="35"/>
      <c r="C33" s="1015"/>
      <c r="D33" s="1015"/>
      <c r="E33" s="1015"/>
      <c r="F33" s="36"/>
      <c r="G33" s="36"/>
      <c r="H33" s="36"/>
      <c r="I33" s="36"/>
      <c r="J33" s="58"/>
      <c r="K33" s="58"/>
      <c r="L33" s="58"/>
      <c r="M33" s="58">
        <v>23.33</v>
      </c>
      <c r="N33" s="38">
        <v>26</v>
      </c>
      <c r="O33" s="38">
        <v>100</v>
      </c>
      <c r="P33" s="58"/>
    </row>
    <row r="34" spans="1:16384" ht="13.5" customHeight="1">
      <c r="A34" s="71" t="s">
        <v>47</v>
      </c>
      <c r="B34" s="35"/>
      <c r="C34" s="1015"/>
      <c r="D34" s="1015"/>
      <c r="E34" s="1015"/>
      <c r="F34" s="36"/>
      <c r="G34" s="36"/>
      <c r="H34" s="36"/>
      <c r="I34" s="36"/>
      <c r="J34" s="58"/>
      <c r="K34" s="58"/>
      <c r="L34" s="58"/>
      <c r="M34" s="58">
        <f>M32*M33</f>
        <v>0</v>
      </c>
      <c r="N34" s="58">
        <f t="shared" ref="N34:O34" si="9">N32*N33</f>
        <v>0</v>
      </c>
      <c r="O34" s="58">
        <f t="shared" si="9"/>
        <v>0</v>
      </c>
      <c r="P34" s="58">
        <f>O34+N34+M34</f>
        <v>0</v>
      </c>
    </row>
    <row r="35" spans="1:16384" ht="18" customHeight="1" thickBot="1">
      <c r="A35" s="1089" t="s">
        <v>3371</v>
      </c>
      <c r="B35" s="1088"/>
      <c r="C35" s="1088"/>
      <c r="D35" s="1088"/>
      <c r="E35" s="1088"/>
      <c r="F35" s="1088"/>
      <c r="G35" s="1088"/>
      <c r="H35" s="1088"/>
      <c r="I35" s="1088"/>
      <c r="J35" s="1088"/>
      <c r="K35" s="1088"/>
      <c r="L35" s="1088"/>
      <c r="M35" s="1088"/>
      <c r="N35" s="1088"/>
      <c r="O35" s="1088"/>
      <c r="P35" s="1092"/>
    </row>
    <row r="36" spans="1:16384" ht="15" customHeight="1" thickBot="1">
      <c r="A36" s="141" t="s">
        <v>96</v>
      </c>
      <c r="B36" s="135" t="s">
        <v>100</v>
      </c>
      <c r="C36" s="136">
        <v>3</v>
      </c>
      <c r="D36" s="238">
        <f ca="1">ROUNDUP((INDIRECT(ADDRESS(MATCH(dумДатаТарифы,Тарифи[№],0)+1,LEFT(C36,1)+2,1,1,"Тарифи"))+INDIRECT(ADDRESS(MATCH(dумДатаТарифы,Тарифи[№],0)+1,RIGHT(C36,1)+2,1,1,"Тарифи")))/2,2)</f>
        <v>27.45</v>
      </c>
      <c r="E36" s="56">
        <f>(E20+E23+E26+E29)*mK_Skladanny</f>
        <v>0</v>
      </c>
      <c r="F36" s="696">
        <f t="array" ref="F36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6" s="56">
        <f>F18*F36</f>
        <v>19.600000000000001</v>
      </c>
      <c r="H36" s="36">
        <f>(E36/G36)*16</f>
        <v>0</v>
      </c>
      <c r="I36" s="140">
        <f ca="1">D36*H36</f>
        <v>0</v>
      </c>
      <c r="J36" s="58">
        <f ca="1">I36*0.5</f>
        <v>0</v>
      </c>
      <c r="K36" s="58">
        <f t="shared" ca="1" si="4"/>
        <v>0</v>
      </c>
      <c r="L36" s="1021"/>
      <c r="M36" s="1021"/>
      <c r="N36" s="1021"/>
      <c r="O36" s="1021"/>
      <c r="P36" s="433">
        <f t="shared" ca="1" si="1"/>
        <v>0</v>
      </c>
    </row>
    <row r="37" spans="1:16384" ht="13.5" customHeight="1" thickBot="1">
      <c r="A37" s="39" t="s">
        <v>84</v>
      </c>
      <c r="B37" s="135" t="s">
        <v>100</v>
      </c>
      <c r="C37" s="60"/>
      <c r="D37" s="60"/>
      <c r="E37" s="56">
        <f>(E21+E24+E27+E30)*mK_Skladanny</f>
        <v>0</v>
      </c>
      <c r="F37" s="696">
        <f t="array" ref="F37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7" s="60">
        <f>F18*F37</f>
        <v>19.600000000000001</v>
      </c>
      <c r="H37" s="36">
        <f>(E37/G37)*16</f>
        <v>0</v>
      </c>
      <c r="I37" s="140">
        <f ca="1">D36*H37</f>
        <v>0</v>
      </c>
      <c r="J37" s="58">
        <f ca="1">I37*0.5</f>
        <v>0</v>
      </c>
      <c r="K37" s="58">
        <f t="shared" ca="1" si="4"/>
        <v>0</v>
      </c>
      <c r="L37" s="1021"/>
      <c r="M37" s="1021"/>
      <c r="N37" s="1021"/>
      <c r="O37" s="1021"/>
      <c r="P37" s="433">
        <f t="shared" ca="1" si="1"/>
        <v>0</v>
      </c>
    </row>
    <row r="38" spans="1:16384" ht="14.25" customHeight="1" thickBot="1">
      <c r="A38" s="137" t="s">
        <v>40</v>
      </c>
      <c r="B38" s="434" t="s">
        <v>100</v>
      </c>
      <c r="C38" s="139"/>
      <c r="D38" s="139"/>
      <c r="E38" s="1028">
        <v>150</v>
      </c>
      <c r="F38" s="696">
        <f t="array" ref="F38">INDEX(OMRM,MATCH(MIN(IF(INDEX(OMRM,,MATCH(MIN(IF(OMRM_NS&gt;=mDovginaVerh,OMRM_NS)),OMRM_NS,0))&gt;=mMas1Ga,INDEX(OMRM,,MATCH(MIN(IF(OMRM_NS&gt;=mDovginaVerh,OMRM_NS)),OMRM_NS,0)))),INDEX(OMRM,,MATCH(MIN(IF(OMRM_NS&gt;=mDovginaVerh,OMRM_NS)),OMRM_NS,0)),0),MATCH(MIN(IF(OMRM_NS&gt;=mDovginaVerh,OMRM_NS)),OMRM_NS,0)+2)</f>
        <v>19.600000000000001</v>
      </c>
      <c r="G38" s="139">
        <f>F38*F18</f>
        <v>19.600000000000001</v>
      </c>
      <c r="H38" s="139">
        <f>(E38/G38)*16</f>
        <v>122.44897959183673</v>
      </c>
      <c r="I38" s="140">
        <f ca="1">D36*H38</f>
        <v>3361.2244897959181</v>
      </c>
      <c r="J38" s="435">
        <f ca="1">I38*0.5</f>
        <v>1680.612244897959</v>
      </c>
      <c r="K38" s="435">
        <f t="shared" ca="1" si="4"/>
        <v>1109.204081632653</v>
      </c>
      <c r="L38" s="1022"/>
      <c r="M38" s="1022"/>
      <c r="N38" s="1022"/>
      <c r="O38" s="1022"/>
      <c r="P38" s="436">
        <f t="shared" ca="1" si="1"/>
        <v>6151.0408163265311</v>
      </c>
    </row>
    <row r="39" spans="1:16384" ht="14.25" customHeight="1" thickBot="1">
      <c r="A39" s="1026" t="s">
        <v>45</v>
      </c>
      <c r="B39" s="434"/>
      <c r="C39" s="1027"/>
      <c r="D39" s="1027"/>
      <c r="E39" s="24"/>
      <c r="F39" s="1027"/>
      <c r="G39" s="1027"/>
      <c r="H39" s="25"/>
      <c r="I39" s="987">
        <f ca="1">SUM(I36:I38)</f>
        <v>3361.2244897959181</v>
      </c>
      <c r="J39" s="987">
        <f t="shared" ref="J39:BG39" ca="1" si="10">SUM(J36:J38)</f>
        <v>1680.612244897959</v>
      </c>
      <c r="K39" s="987">
        <f t="shared" ca="1" si="10"/>
        <v>1109.204081632653</v>
      </c>
      <c r="L39" s="987"/>
      <c r="M39" s="987"/>
      <c r="N39" s="987"/>
      <c r="O39" s="987"/>
      <c r="P39" s="987">
        <f t="shared" ref="P39:BL39" ca="1" si="11">SUM(P36:P38)</f>
        <v>6151.0408163265311</v>
      </c>
      <c r="Q39" s="1026" t="s">
        <v>45</v>
      </c>
      <c r="R39" s="434"/>
      <c r="S39" s="1027"/>
      <c r="T39" s="1027"/>
      <c r="U39" s="24"/>
      <c r="V39" s="1027"/>
      <c r="W39" s="1027"/>
      <c r="X39" s="25"/>
      <c r="Y39" s="987">
        <f>SUM(Y36:Y38)</f>
        <v>0</v>
      </c>
      <c r="Z39" s="987">
        <f t="shared" si="10"/>
        <v>0</v>
      </c>
      <c r="AA39" s="987">
        <f t="shared" si="10"/>
        <v>0</v>
      </c>
      <c r="AB39" s="987"/>
      <c r="AC39" s="987"/>
      <c r="AD39" s="987"/>
      <c r="AE39" s="987"/>
      <c r="AF39" s="987">
        <f t="shared" si="11"/>
        <v>0</v>
      </c>
      <c r="AG39" s="1026" t="s">
        <v>45</v>
      </c>
      <c r="AH39" s="434"/>
      <c r="AI39" s="1027"/>
      <c r="AJ39" s="1027"/>
      <c r="AK39" s="24"/>
      <c r="AL39" s="1027"/>
      <c r="AM39" s="1027"/>
      <c r="AN39" s="25"/>
      <c r="AO39" s="987">
        <f>SUM(AO36:AO38)</f>
        <v>0</v>
      </c>
      <c r="AP39" s="987">
        <f t="shared" si="10"/>
        <v>0</v>
      </c>
      <c r="AQ39" s="987">
        <f t="shared" si="10"/>
        <v>0</v>
      </c>
      <c r="AR39" s="987"/>
      <c r="AS39" s="987"/>
      <c r="AT39" s="987"/>
      <c r="AU39" s="987"/>
      <c r="AV39" s="987">
        <f t="shared" si="11"/>
        <v>0</v>
      </c>
      <c r="AW39" s="1026" t="s">
        <v>45</v>
      </c>
      <c r="AX39" s="434"/>
      <c r="AY39" s="1027"/>
      <c r="AZ39" s="1027"/>
      <c r="BA39" s="24"/>
      <c r="BB39" s="1027"/>
      <c r="BC39" s="1027"/>
      <c r="BD39" s="25"/>
      <c r="BE39" s="987">
        <f>SUM(BE36:BE38)</f>
        <v>0</v>
      </c>
      <c r="BF39" s="987">
        <f t="shared" si="10"/>
        <v>0</v>
      </c>
      <c r="BG39" s="987">
        <f t="shared" si="10"/>
        <v>0</v>
      </c>
      <c r="BH39" s="987"/>
      <c r="BI39" s="987"/>
      <c r="BJ39" s="987"/>
      <c r="BK39" s="987"/>
      <c r="BL39" s="987">
        <f t="shared" si="11"/>
        <v>0</v>
      </c>
      <c r="BM39" s="1026" t="s">
        <v>45</v>
      </c>
      <c r="BN39" s="434"/>
      <c r="BO39" s="1027"/>
      <c r="BP39" s="1027"/>
      <c r="BQ39" s="24"/>
      <c r="BR39" s="1027"/>
      <c r="BS39" s="1027"/>
      <c r="BT39" s="25"/>
      <c r="BU39" s="987">
        <f>SUM(BU36:BU38)</f>
        <v>0</v>
      </c>
      <c r="BV39" s="987">
        <f t="shared" ref="BV39:DS39" si="12">SUM(BV36:BV38)</f>
        <v>0</v>
      </c>
      <c r="BW39" s="987">
        <f t="shared" si="12"/>
        <v>0</v>
      </c>
      <c r="BX39" s="987"/>
      <c r="BY39" s="987"/>
      <c r="BZ39" s="987"/>
      <c r="CA39" s="987"/>
      <c r="CB39" s="987">
        <f t="shared" ref="CB39:DX39" si="13">SUM(CB36:CB38)</f>
        <v>0</v>
      </c>
      <c r="CC39" s="1026" t="s">
        <v>45</v>
      </c>
      <c r="CD39" s="434"/>
      <c r="CE39" s="1027"/>
      <c r="CF39" s="1027"/>
      <c r="CG39" s="24"/>
      <c r="CH39" s="1027"/>
      <c r="CI39" s="1027"/>
      <c r="CJ39" s="25"/>
      <c r="CK39" s="987">
        <f>SUM(CK36:CK38)</f>
        <v>0</v>
      </c>
      <c r="CL39" s="987">
        <f t="shared" si="12"/>
        <v>0</v>
      </c>
      <c r="CM39" s="987">
        <f t="shared" si="12"/>
        <v>0</v>
      </c>
      <c r="CN39" s="987"/>
      <c r="CO39" s="987"/>
      <c r="CP39" s="987"/>
      <c r="CQ39" s="987"/>
      <c r="CR39" s="987">
        <f t="shared" si="13"/>
        <v>0</v>
      </c>
      <c r="CS39" s="1026" t="s">
        <v>45</v>
      </c>
      <c r="CT39" s="434"/>
      <c r="CU39" s="1027"/>
      <c r="CV39" s="1027"/>
      <c r="CW39" s="24"/>
      <c r="CX39" s="1027"/>
      <c r="CY39" s="1027"/>
      <c r="CZ39" s="25"/>
      <c r="DA39" s="987">
        <f>SUM(DA36:DA38)</f>
        <v>0</v>
      </c>
      <c r="DB39" s="987">
        <f t="shared" si="12"/>
        <v>0</v>
      </c>
      <c r="DC39" s="987">
        <f t="shared" si="12"/>
        <v>0</v>
      </c>
      <c r="DD39" s="987"/>
      <c r="DE39" s="987"/>
      <c r="DF39" s="987"/>
      <c r="DG39" s="987"/>
      <c r="DH39" s="987">
        <f t="shared" si="13"/>
        <v>0</v>
      </c>
      <c r="DI39" s="1026" t="s">
        <v>45</v>
      </c>
      <c r="DJ39" s="434"/>
      <c r="DK39" s="1027"/>
      <c r="DL39" s="1027"/>
      <c r="DM39" s="24"/>
      <c r="DN39" s="1027"/>
      <c r="DO39" s="1027"/>
      <c r="DP39" s="25"/>
      <c r="DQ39" s="987">
        <f>SUM(DQ36:DQ38)</f>
        <v>0</v>
      </c>
      <c r="DR39" s="987">
        <f t="shared" si="12"/>
        <v>0</v>
      </c>
      <c r="DS39" s="987">
        <f t="shared" si="12"/>
        <v>0</v>
      </c>
      <c r="DT39" s="987"/>
      <c r="DU39" s="987"/>
      <c r="DV39" s="987"/>
      <c r="DW39" s="987"/>
      <c r="DX39" s="987">
        <f t="shared" si="13"/>
        <v>0</v>
      </c>
      <c r="DY39" s="1026" t="s">
        <v>45</v>
      </c>
      <c r="DZ39" s="434"/>
      <c r="EA39" s="1027"/>
      <c r="EB39" s="1027"/>
      <c r="EC39" s="24"/>
      <c r="ED39" s="1027"/>
      <c r="EE39" s="1027"/>
      <c r="EF39" s="25"/>
      <c r="EG39" s="987">
        <f>SUM(EG36:EG38)</f>
        <v>0</v>
      </c>
      <c r="EH39" s="987">
        <f t="shared" ref="EH39:GE39" si="14">SUM(EH36:EH38)</f>
        <v>0</v>
      </c>
      <c r="EI39" s="987">
        <f t="shared" si="14"/>
        <v>0</v>
      </c>
      <c r="EJ39" s="987"/>
      <c r="EK39" s="987"/>
      <c r="EL39" s="987"/>
      <c r="EM39" s="987"/>
      <c r="EN39" s="987">
        <f t="shared" ref="EN39:GJ39" si="15">SUM(EN36:EN38)</f>
        <v>0</v>
      </c>
      <c r="EO39" s="1026" t="s">
        <v>45</v>
      </c>
      <c r="EP39" s="434"/>
      <c r="EQ39" s="1027"/>
      <c r="ER39" s="1027"/>
      <c r="ES39" s="24"/>
      <c r="ET39" s="1027"/>
      <c r="EU39" s="1027"/>
      <c r="EV39" s="25"/>
      <c r="EW39" s="987">
        <f>SUM(EW36:EW38)</f>
        <v>0</v>
      </c>
      <c r="EX39" s="987">
        <f t="shared" si="14"/>
        <v>0</v>
      </c>
      <c r="EY39" s="987">
        <f t="shared" si="14"/>
        <v>0</v>
      </c>
      <c r="EZ39" s="987"/>
      <c r="FA39" s="987"/>
      <c r="FB39" s="987"/>
      <c r="FC39" s="987"/>
      <c r="FD39" s="987">
        <f t="shared" si="15"/>
        <v>0</v>
      </c>
      <c r="FE39" s="1026" t="s">
        <v>45</v>
      </c>
      <c r="FF39" s="434"/>
      <c r="FG39" s="1027"/>
      <c r="FH39" s="1027"/>
      <c r="FI39" s="24"/>
      <c r="FJ39" s="1027"/>
      <c r="FK39" s="1027"/>
      <c r="FL39" s="25"/>
      <c r="FM39" s="987">
        <f>SUM(FM36:FM38)</f>
        <v>0</v>
      </c>
      <c r="FN39" s="987">
        <f t="shared" si="14"/>
        <v>0</v>
      </c>
      <c r="FO39" s="987">
        <f t="shared" si="14"/>
        <v>0</v>
      </c>
      <c r="FP39" s="987"/>
      <c r="FQ39" s="987"/>
      <c r="FR39" s="987"/>
      <c r="FS39" s="987"/>
      <c r="FT39" s="987">
        <f t="shared" si="15"/>
        <v>0</v>
      </c>
      <c r="FU39" s="1026" t="s">
        <v>45</v>
      </c>
      <c r="FV39" s="434"/>
      <c r="FW39" s="1027"/>
      <c r="FX39" s="1027"/>
      <c r="FY39" s="24"/>
      <c r="FZ39" s="1027"/>
      <c r="GA39" s="1027"/>
      <c r="GB39" s="25"/>
      <c r="GC39" s="987">
        <f>SUM(GC36:GC38)</f>
        <v>0</v>
      </c>
      <c r="GD39" s="987">
        <f t="shared" si="14"/>
        <v>0</v>
      </c>
      <c r="GE39" s="987">
        <f t="shared" si="14"/>
        <v>0</v>
      </c>
      <c r="GF39" s="987"/>
      <c r="GG39" s="987"/>
      <c r="GH39" s="987"/>
      <c r="GI39" s="987"/>
      <c r="GJ39" s="987">
        <f t="shared" si="15"/>
        <v>0</v>
      </c>
      <c r="GK39" s="1026" t="s">
        <v>45</v>
      </c>
      <c r="GL39" s="434"/>
      <c r="GM39" s="1027"/>
      <c r="GN39" s="1027"/>
      <c r="GO39" s="24"/>
      <c r="GP39" s="1027"/>
      <c r="GQ39" s="1027"/>
      <c r="GR39" s="25"/>
      <c r="GS39" s="987">
        <f>SUM(GS36:GS38)</f>
        <v>0</v>
      </c>
      <c r="GT39" s="987">
        <f t="shared" ref="GT39:IQ39" si="16">SUM(GT36:GT38)</f>
        <v>0</v>
      </c>
      <c r="GU39" s="987">
        <f t="shared" si="16"/>
        <v>0</v>
      </c>
      <c r="GV39" s="987"/>
      <c r="GW39" s="987"/>
      <c r="GX39" s="987"/>
      <c r="GY39" s="987"/>
      <c r="GZ39" s="987">
        <f t="shared" ref="GZ39:IV39" si="17">SUM(GZ36:GZ38)</f>
        <v>0</v>
      </c>
      <c r="HA39" s="1026" t="s">
        <v>45</v>
      </c>
      <c r="HB39" s="434"/>
      <c r="HC39" s="1027"/>
      <c r="HD39" s="1027"/>
      <c r="HE39" s="24"/>
      <c r="HF39" s="1027"/>
      <c r="HG39" s="1027"/>
      <c r="HH39" s="25"/>
      <c r="HI39" s="987">
        <f>SUM(HI36:HI38)</f>
        <v>0</v>
      </c>
      <c r="HJ39" s="987">
        <f t="shared" si="16"/>
        <v>0</v>
      </c>
      <c r="HK39" s="987">
        <f t="shared" si="16"/>
        <v>0</v>
      </c>
      <c r="HL39" s="987"/>
      <c r="HM39" s="987"/>
      <c r="HN39" s="987"/>
      <c r="HO39" s="987"/>
      <c r="HP39" s="987">
        <f t="shared" si="17"/>
        <v>0</v>
      </c>
      <c r="HQ39" s="1026" t="s">
        <v>45</v>
      </c>
      <c r="HR39" s="434"/>
      <c r="HS39" s="1027"/>
      <c r="HT39" s="1027"/>
      <c r="HU39" s="24"/>
      <c r="HV39" s="1027"/>
      <c r="HW39" s="1027"/>
      <c r="HX39" s="25"/>
      <c r="HY39" s="987">
        <f>SUM(HY36:HY38)</f>
        <v>0</v>
      </c>
      <c r="HZ39" s="987">
        <f t="shared" si="16"/>
        <v>0</v>
      </c>
      <c r="IA39" s="987">
        <f t="shared" si="16"/>
        <v>0</v>
      </c>
      <c r="IB39" s="987"/>
      <c r="IC39" s="987"/>
      <c r="ID39" s="987"/>
      <c r="IE39" s="987"/>
      <c r="IF39" s="987">
        <f t="shared" si="17"/>
        <v>0</v>
      </c>
      <c r="IG39" s="1026" t="s">
        <v>45</v>
      </c>
      <c r="IH39" s="434"/>
      <c r="II39" s="1027"/>
      <c r="IJ39" s="1027"/>
      <c r="IK39" s="24"/>
      <c r="IL39" s="1027"/>
      <c r="IM39" s="1027"/>
      <c r="IN39" s="25"/>
      <c r="IO39" s="987">
        <f>SUM(IO36:IO38)</f>
        <v>0</v>
      </c>
      <c r="IP39" s="987">
        <f t="shared" si="16"/>
        <v>0</v>
      </c>
      <c r="IQ39" s="987">
        <f t="shared" si="16"/>
        <v>0</v>
      </c>
      <c r="IR39" s="987"/>
      <c r="IS39" s="987"/>
      <c r="IT39" s="987"/>
      <c r="IU39" s="987"/>
      <c r="IV39" s="987">
        <f t="shared" si="17"/>
        <v>0</v>
      </c>
      <c r="IW39" s="1026" t="s">
        <v>45</v>
      </c>
      <c r="IX39" s="434"/>
      <c r="IY39" s="1027"/>
      <c r="IZ39" s="1027"/>
      <c r="JA39" s="24"/>
      <c r="JB39" s="1027"/>
      <c r="JC39" s="1027"/>
      <c r="JD39" s="25"/>
      <c r="JE39" s="987">
        <f>SUM(JE36:JE38)</f>
        <v>0</v>
      </c>
      <c r="JF39" s="987">
        <f t="shared" ref="JF39:LC39" si="18">SUM(JF36:JF38)</f>
        <v>0</v>
      </c>
      <c r="JG39" s="987">
        <f t="shared" si="18"/>
        <v>0</v>
      </c>
      <c r="JH39" s="987"/>
      <c r="JI39" s="987"/>
      <c r="JJ39" s="987"/>
      <c r="JK39" s="987"/>
      <c r="JL39" s="987">
        <f t="shared" ref="JL39:LH39" si="19">SUM(JL36:JL38)</f>
        <v>0</v>
      </c>
      <c r="JM39" s="1026" t="s">
        <v>45</v>
      </c>
      <c r="JN39" s="434"/>
      <c r="JO39" s="1027"/>
      <c r="JP39" s="1027"/>
      <c r="JQ39" s="24"/>
      <c r="JR39" s="1027"/>
      <c r="JS39" s="1027"/>
      <c r="JT39" s="25"/>
      <c r="JU39" s="987">
        <f>SUM(JU36:JU38)</f>
        <v>0</v>
      </c>
      <c r="JV39" s="987">
        <f t="shared" si="18"/>
        <v>0</v>
      </c>
      <c r="JW39" s="987">
        <f t="shared" si="18"/>
        <v>0</v>
      </c>
      <c r="JX39" s="987"/>
      <c r="JY39" s="987"/>
      <c r="JZ39" s="987"/>
      <c r="KA39" s="987"/>
      <c r="KB39" s="987">
        <f t="shared" si="19"/>
        <v>0</v>
      </c>
      <c r="KC39" s="1026" t="s">
        <v>45</v>
      </c>
      <c r="KD39" s="434"/>
      <c r="KE39" s="1027"/>
      <c r="KF39" s="1027"/>
      <c r="KG39" s="24"/>
      <c r="KH39" s="1027"/>
      <c r="KI39" s="1027"/>
      <c r="KJ39" s="25"/>
      <c r="KK39" s="987">
        <f>SUM(KK36:KK38)</f>
        <v>0</v>
      </c>
      <c r="KL39" s="987">
        <f t="shared" si="18"/>
        <v>0</v>
      </c>
      <c r="KM39" s="987">
        <f t="shared" si="18"/>
        <v>0</v>
      </c>
      <c r="KN39" s="987"/>
      <c r="KO39" s="987"/>
      <c r="KP39" s="987"/>
      <c r="KQ39" s="987"/>
      <c r="KR39" s="987">
        <f t="shared" si="19"/>
        <v>0</v>
      </c>
      <c r="KS39" s="1026" t="s">
        <v>45</v>
      </c>
      <c r="KT39" s="434"/>
      <c r="KU39" s="1027"/>
      <c r="KV39" s="1027"/>
      <c r="KW39" s="24"/>
      <c r="KX39" s="1027"/>
      <c r="KY39" s="1027"/>
      <c r="KZ39" s="25"/>
      <c r="LA39" s="987">
        <f>SUM(LA36:LA38)</f>
        <v>0</v>
      </c>
      <c r="LB39" s="987">
        <f t="shared" si="18"/>
        <v>0</v>
      </c>
      <c r="LC39" s="987">
        <f t="shared" si="18"/>
        <v>0</v>
      </c>
      <c r="LD39" s="987"/>
      <c r="LE39" s="987"/>
      <c r="LF39" s="987"/>
      <c r="LG39" s="987"/>
      <c r="LH39" s="987">
        <f t="shared" si="19"/>
        <v>0</v>
      </c>
      <c r="LI39" s="1026" t="s">
        <v>45</v>
      </c>
      <c r="LJ39" s="434"/>
      <c r="LK39" s="1027"/>
      <c r="LL39" s="1027"/>
      <c r="LM39" s="24"/>
      <c r="LN39" s="1027"/>
      <c r="LO39" s="1027"/>
      <c r="LP39" s="25"/>
      <c r="LQ39" s="987">
        <f>SUM(LQ36:LQ38)</f>
        <v>0</v>
      </c>
      <c r="LR39" s="987">
        <f t="shared" ref="LR39:NO39" si="20">SUM(LR36:LR38)</f>
        <v>0</v>
      </c>
      <c r="LS39" s="987">
        <f t="shared" si="20"/>
        <v>0</v>
      </c>
      <c r="LT39" s="987"/>
      <c r="LU39" s="987"/>
      <c r="LV39" s="987"/>
      <c r="LW39" s="987"/>
      <c r="LX39" s="987">
        <f t="shared" ref="LX39:NT39" si="21">SUM(LX36:LX38)</f>
        <v>0</v>
      </c>
      <c r="LY39" s="1026" t="s">
        <v>45</v>
      </c>
      <c r="LZ39" s="434"/>
      <c r="MA39" s="1027"/>
      <c r="MB39" s="1027"/>
      <c r="MC39" s="24"/>
      <c r="MD39" s="1027"/>
      <c r="ME39" s="1027"/>
      <c r="MF39" s="25"/>
      <c r="MG39" s="987">
        <f>SUM(MG36:MG38)</f>
        <v>0</v>
      </c>
      <c r="MH39" s="987">
        <f t="shared" si="20"/>
        <v>0</v>
      </c>
      <c r="MI39" s="987">
        <f t="shared" si="20"/>
        <v>0</v>
      </c>
      <c r="MJ39" s="987"/>
      <c r="MK39" s="987"/>
      <c r="ML39" s="987"/>
      <c r="MM39" s="987"/>
      <c r="MN39" s="987">
        <f t="shared" si="21"/>
        <v>0</v>
      </c>
      <c r="MO39" s="1026" t="s">
        <v>45</v>
      </c>
      <c r="MP39" s="434"/>
      <c r="MQ39" s="1027"/>
      <c r="MR39" s="1027"/>
      <c r="MS39" s="24"/>
      <c r="MT39" s="1027"/>
      <c r="MU39" s="1027"/>
      <c r="MV39" s="25"/>
      <c r="MW39" s="987">
        <f>SUM(MW36:MW38)</f>
        <v>0</v>
      </c>
      <c r="MX39" s="987">
        <f t="shared" si="20"/>
        <v>0</v>
      </c>
      <c r="MY39" s="987">
        <f t="shared" si="20"/>
        <v>0</v>
      </c>
      <c r="MZ39" s="987"/>
      <c r="NA39" s="987"/>
      <c r="NB39" s="987"/>
      <c r="NC39" s="987"/>
      <c r="ND39" s="987">
        <f t="shared" si="21"/>
        <v>0</v>
      </c>
      <c r="NE39" s="1026" t="s">
        <v>45</v>
      </c>
      <c r="NF39" s="434"/>
      <c r="NG39" s="1027"/>
      <c r="NH39" s="1027"/>
      <c r="NI39" s="24"/>
      <c r="NJ39" s="1027"/>
      <c r="NK39" s="1027"/>
      <c r="NL39" s="25"/>
      <c r="NM39" s="987">
        <f>SUM(NM36:NM38)</f>
        <v>0</v>
      </c>
      <c r="NN39" s="987">
        <f t="shared" si="20"/>
        <v>0</v>
      </c>
      <c r="NO39" s="987">
        <f t="shared" si="20"/>
        <v>0</v>
      </c>
      <c r="NP39" s="987"/>
      <c r="NQ39" s="987"/>
      <c r="NR39" s="987"/>
      <c r="NS39" s="987"/>
      <c r="NT39" s="987">
        <f t="shared" si="21"/>
        <v>0</v>
      </c>
      <c r="NU39" s="1026" t="s">
        <v>45</v>
      </c>
      <c r="NV39" s="434"/>
      <c r="NW39" s="1027"/>
      <c r="NX39" s="1027"/>
      <c r="NY39" s="24"/>
      <c r="NZ39" s="1027"/>
      <c r="OA39" s="1027"/>
      <c r="OB39" s="25"/>
      <c r="OC39" s="987">
        <f>SUM(OC36:OC38)</f>
        <v>0</v>
      </c>
      <c r="OD39" s="987">
        <f t="shared" ref="OD39:QA39" si="22">SUM(OD36:OD38)</f>
        <v>0</v>
      </c>
      <c r="OE39" s="987">
        <f t="shared" si="22"/>
        <v>0</v>
      </c>
      <c r="OF39" s="987"/>
      <c r="OG39" s="987"/>
      <c r="OH39" s="987"/>
      <c r="OI39" s="987"/>
      <c r="OJ39" s="987">
        <f t="shared" ref="OJ39:QF39" si="23">SUM(OJ36:OJ38)</f>
        <v>0</v>
      </c>
      <c r="OK39" s="1026" t="s">
        <v>45</v>
      </c>
      <c r="OL39" s="434"/>
      <c r="OM39" s="1027"/>
      <c r="ON39" s="1027"/>
      <c r="OO39" s="24"/>
      <c r="OP39" s="1027"/>
      <c r="OQ39" s="1027"/>
      <c r="OR39" s="25"/>
      <c r="OS39" s="987">
        <f>SUM(OS36:OS38)</f>
        <v>0</v>
      </c>
      <c r="OT39" s="987">
        <f t="shared" si="22"/>
        <v>0</v>
      </c>
      <c r="OU39" s="987">
        <f t="shared" si="22"/>
        <v>0</v>
      </c>
      <c r="OV39" s="987"/>
      <c r="OW39" s="987"/>
      <c r="OX39" s="987"/>
      <c r="OY39" s="987"/>
      <c r="OZ39" s="987">
        <f t="shared" si="23"/>
        <v>0</v>
      </c>
      <c r="PA39" s="1026" t="s">
        <v>45</v>
      </c>
      <c r="PB39" s="434"/>
      <c r="PC39" s="1027"/>
      <c r="PD39" s="1027"/>
      <c r="PE39" s="24"/>
      <c r="PF39" s="1027"/>
      <c r="PG39" s="1027"/>
      <c r="PH39" s="25"/>
      <c r="PI39" s="987">
        <f>SUM(PI36:PI38)</f>
        <v>0</v>
      </c>
      <c r="PJ39" s="987">
        <f t="shared" si="22"/>
        <v>0</v>
      </c>
      <c r="PK39" s="987">
        <f t="shared" si="22"/>
        <v>0</v>
      </c>
      <c r="PL39" s="987"/>
      <c r="PM39" s="987"/>
      <c r="PN39" s="987"/>
      <c r="PO39" s="987"/>
      <c r="PP39" s="987">
        <f t="shared" si="23"/>
        <v>0</v>
      </c>
      <c r="PQ39" s="1026" t="s">
        <v>45</v>
      </c>
      <c r="PR39" s="434"/>
      <c r="PS39" s="1027"/>
      <c r="PT39" s="1027"/>
      <c r="PU39" s="24"/>
      <c r="PV39" s="1027"/>
      <c r="PW39" s="1027"/>
      <c r="PX39" s="25"/>
      <c r="PY39" s="987">
        <f>SUM(PY36:PY38)</f>
        <v>0</v>
      </c>
      <c r="PZ39" s="987">
        <f t="shared" si="22"/>
        <v>0</v>
      </c>
      <c r="QA39" s="987">
        <f t="shared" si="22"/>
        <v>0</v>
      </c>
      <c r="QB39" s="987"/>
      <c r="QC39" s="987"/>
      <c r="QD39" s="987"/>
      <c r="QE39" s="987"/>
      <c r="QF39" s="987">
        <f t="shared" si="23"/>
        <v>0</v>
      </c>
      <c r="QG39" s="1026" t="s">
        <v>45</v>
      </c>
      <c r="QH39" s="434"/>
      <c r="QI39" s="1027"/>
      <c r="QJ39" s="1027"/>
      <c r="QK39" s="24"/>
      <c r="QL39" s="1027"/>
      <c r="QM39" s="1027"/>
      <c r="QN39" s="25"/>
      <c r="QO39" s="987">
        <f>SUM(QO36:QO38)</f>
        <v>0</v>
      </c>
      <c r="QP39" s="987">
        <f t="shared" ref="QP39:SM39" si="24">SUM(QP36:QP38)</f>
        <v>0</v>
      </c>
      <c r="QQ39" s="987">
        <f t="shared" si="24"/>
        <v>0</v>
      </c>
      <c r="QR39" s="987"/>
      <c r="QS39" s="987"/>
      <c r="QT39" s="987"/>
      <c r="QU39" s="987"/>
      <c r="QV39" s="987">
        <f t="shared" ref="QV39:SR39" si="25">SUM(QV36:QV38)</f>
        <v>0</v>
      </c>
      <c r="QW39" s="1026" t="s">
        <v>45</v>
      </c>
      <c r="QX39" s="434"/>
      <c r="QY39" s="1027"/>
      <c r="QZ39" s="1027"/>
      <c r="RA39" s="24"/>
      <c r="RB39" s="1027"/>
      <c r="RC39" s="1027"/>
      <c r="RD39" s="25"/>
      <c r="RE39" s="987">
        <f>SUM(RE36:RE38)</f>
        <v>0</v>
      </c>
      <c r="RF39" s="987">
        <f t="shared" si="24"/>
        <v>0</v>
      </c>
      <c r="RG39" s="987">
        <f t="shared" si="24"/>
        <v>0</v>
      </c>
      <c r="RH39" s="987"/>
      <c r="RI39" s="987"/>
      <c r="RJ39" s="987"/>
      <c r="RK39" s="987"/>
      <c r="RL39" s="987">
        <f t="shared" si="25"/>
        <v>0</v>
      </c>
      <c r="RM39" s="1026" t="s">
        <v>45</v>
      </c>
      <c r="RN39" s="434"/>
      <c r="RO39" s="1027"/>
      <c r="RP39" s="1027"/>
      <c r="RQ39" s="24"/>
      <c r="RR39" s="1027"/>
      <c r="RS39" s="1027"/>
      <c r="RT39" s="25"/>
      <c r="RU39" s="987">
        <f>SUM(RU36:RU38)</f>
        <v>0</v>
      </c>
      <c r="RV39" s="987">
        <f t="shared" si="24"/>
        <v>0</v>
      </c>
      <c r="RW39" s="987">
        <f t="shared" si="24"/>
        <v>0</v>
      </c>
      <c r="RX39" s="987"/>
      <c r="RY39" s="987"/>
      <c r="RZ39" s="987"/>
      <c r="SA39" s="987"/>
      <c r="SB39" s="987">
        <f t="shared" si="25"/>
        <v>0</v>
      </c>
      <c r="SC39" s="1026" t="s">
        <v>45</v>
      </c>
      <c r="SD39" s="434"/>
      <c r="SE39" s="1027"/>
      <c r="SF39" s="1027"/>
      <c r="SG39" s="24"/>
      <c r="SH39" s="1027"/>
      <c r="SI39" s="1027"/>
      <c r="SJ39" s="25"/>
      <c r="SK39" s="987">
        <f>SUM(SK36:SK38)</f>
        <v>0</v>
      </c>
      <c r="SL39" s="987">
        <f t="shared" si="24"/>
        <v>0</v>
      </c>
      <c r="SM39" s="987">
        <f t="shared" si="24"/>
        <v>0</v>
      </c>
      <c r="SN39" s="987"/>
      <c r="SO39" s="987"/>
      <c r="SP39" s="987"/>
      <c r="SQ39" s="987"/>
      <c r="SR39" s="987">
        <f t="shared" si="25"/>
        <v>0</v>
      </c>
      <c r="SS39" s="1026" t="s">
        <v>45</v>
      </c>
      <c r="ST39" s="434"/>
      <c r="SU39" s="1027"/>
      <c r="SV39" s="1027"/>
      <c r="SW39" s="24"/>
      <c r="SX39" s="1027"/>
      <c r="SY39" s="1027"/>
      <c r="SZ39" s="25"/>
      <c r="TA39" s="987">
        <f>SUM(TA36:TA38)</f>
        <v>0</v>
      </c>
      <c r="TB39" s="987">
        <f t="shared" ref="TB39:UY39" si="26">SUM(TB36:TB38)</f>
        <v>0</v>
      </c>
      <c r="TC39" s="987">
        <f t="shared" si="26"/>
        <v>0</v>
      </c>
      <c r="TD39" s="987"/>
      <c r="TE39" s="987"/>
      <c r="TF39" s="987"/>
      <c r="TG39" s="987"/>
      <c r="TH39" s="987">
        <f t="shared" ref="TH39:VD39" si="27">SUM(TH36:TH38)</f>
        <v>0</v>
      </c>
      <c r="TI39" s="1026" t="s">
        <v>45</v>
      </c>
      <c r="TJ39" s="434"/>
      <c r="TK39" s="1027"/>
      <c r="TL39" s="1027"/>
      <c r="TM39" s="24"/>
      <c r="TN39" s="1027"/>
      <c r="TO39" s="1027"/>
      <c r="TP39" s="25"/>
      <c r="TQ39" s="987">
        <f>SUM(TQ36:TQ38)</f>
        <v>0</v>
      </c>
      <c r="TR39" s="987">
        <f t="shared" si="26"/>
        <v>0</v>
      </c>
      <c r="TS39" s="987">
        <f t="shared" si="26"/>
        <v>0</v>
      </c>
      <c r="TT39" s="987"/>
      <c r="TU39" s="987"/>
      <c r="TV39" s="987"/>
      <c r="TW39" s="987"/>
      <c r="TX39" s="987">
        <f t="shared" si="27"/>
        <v>0</v>
      </c>
      <c r="TY39" s="1026" t="s">
        <v>45</v>
      </c>
      <c r="TZ39" s="434"/>
      <c r="UA39" s="1027"/>
      <c r="UB39" s="1027"/>
      <c r="UC39" s="24"/>
      <c r="UD39" s="1027"/>
      <c r="UE39" s="1027"/>
      <c r="UF39" s="25"/>
      <c r="UG39" s="987">
        <f>SUM(UG36:UG38)</f>
        <v>0</v>
      </c>
      <c r="UH39" s="987">
        <f t="shared" si="26"/>
        <v>0</v>
      </c>
      <c r="UI39" s="987">
        <f t="shared" si="26"/>
        <v>0</v>
      </c>
      <c r="UJ39" s="987"/>
      <c r="UK39" s="987"/>
      <c r="UL39" s="987"/>
      <c r="UM39" s="987"/>
      <c r="UN39" s="987">
        <f t="shared" si="27"/>
        <v>0</v>
      </c>
      <c r="UO39" s="1026" t="s">
        <v>45</v>
      </c>
      <c r="UP39" s="434"/>
      <c r="UQ39" s="1027"/>
      <c r="UR39" s="1027"/>
      <c r="US39" s="24"/>
      <c r="UT39" s="1027"/>
      <c r="UU39" s="1027"/>
      <c r="UV39" s="25"/>
      <c r="UW39" s="987">
        <f>SUM(UW36:UW38)</f>
        <v>0</v>
      </c>
      <c r="UX39" s="987">
        <f t="shared" si="26"/>
        <v>0</v>
      </c>
      <c r="UY39" s="987">
        <f t="shared" si="26"/>
        <v>0</v>
      </c>
      <c r="UZ39" s="987"/>
      <c r="VA39" s="987"/>
      <c r="VB39" s="987"/>
      <c r="VC39" s="987"/>
      <c r="VD39" s="987">
        <f t="shared" si="27"/>
        <v>0</v>
      </c>
      <c r="VE39" s="1026" t="s">
        <v>45</v>
      </c>
      <c r="VF39" s="434"/>
      <c r="VG39" s="1027"/>
      <c r="VH39" s="1027"/>
      <c r="VI39" s="24"/>
      <c r="VJ39" s="1027"/>
      <c r="VK39" s="1027"/>
      <c r="VL39" s="25"/>
      <c r="VM39" s="987">
        <f>SUM(VM36:VM38)</f>
        <v>0</v>
      </c>
      <c r="VN39" s="987">
        <f t="shared" ref="VN39:XK39" si="28">SUM(VN36:VN38)</f>
        <v>0</v>
      </c>
      <c r="VO39" s="987">
        <f t="shared" si="28"/>
        <v>0</v>
      </c>
      <c r="VP39" s="987"/>
      <c r="VQ39" s="987"/>
      <c r="VR39" s="987"/>
      <c r="VS39" s="987"/>
      <c r="VT39" s="987">
        <f t="shared" ref="VT39:XP39" si="29">SUM(VT36:VT38)</f>
        <v>0</v>
      </c>
      <c r="VU39" s="1026" t="s">
        <v>45</v>
      </c>
      <c r="VV39" s="434"/>
      <c r="VW39" s="1027"/>
      <c r="VX39" s="1027"/>
      <c r="VY39" s="24"/>
      <c r="VZ39" s="1027"/>
      <c r="WA39" s="1027"/>
      <c r="WB39" s="25"/>
      <c r="WC39" s="987">
        <f>SUM(WC36:WC38)</f>
        <v>0</v>
      </c>
      <c r="WD39" s="987">
        <f t="shared" si="28"/>
        <v>0</v>
      </c>
      <c r="WE39" s="987">
        <f t="shared" si="28"/>
        <v>0</v>
      </c>
      <c r="WF39" s="987"/>
      <c r="WG39" s="987"/>
      <c r="WH39" s="987"/>
      <c r="WI39" s="987"/>
      <c r="WJ39" s="987">
        <f t="shared" si="29"/>
        <v>0</v>
      </c>
      <c r="WK39" s="1026" t="s">
        <v>45</v>
      </c>
      <c r="WL39" s="434"/>
      <c r="WM39" s="1027"/>
      <c r="WN39" s="1027"/>
      <c r="WO39" s="24"/>
      <c r="WP39" s="1027"/>
      <c r="WQ39" s="1027"/>
      <c r="WR39" s="25"/>
      <c r="WS39" s="987">
        <f>SUM(WS36:WS38)</f>
        <v>0</v>
      </c>
      <c r="WT39" s="987">
        <f t="shared" si="28"/>
        <v>0</v>
      </c>
      <c r="WU39" s="987">
        <f t="shared" si="28"/>
        <v>0</v>
      </c>
      <c r="WV39" s="987"/>
      <c r="WW39" s="987"/>
      <c r="WX39" s="987"/>
      <c r="WY39" s="987"/>
      <c r="WZ39" s="987">
        <f t="shared" si="29"/>
        <v>0</v>
      </c>
      <c r="XA39" s="1026" t="s">
        <v>45</v>
      </c>
      <c r="XB39" s="434"/>
      <c r="XC39" s="1027"/>
      <c r="XD39" s="1027"/>
      <c r="XE39" s="24"/>
      <c r="XF39" s="1027"/>
      <c r="XG39" s="1027"/>
      <c r="XH39" s="25"/>
      <c r="XI39" s="987">
        <f>SUM(XI36:XI38)</f>
        <v>0</v>
      </c>
      <c r="XJ39" s="987">
        <f t="shared" si="28"/>
        <v>0</v>
      </c>
      <c r="XK39" s="987">
        <f t="shared" si="28"/>
        <v>0</v>
      </c>
      <c r="XL39" s="987"/>
      <c r="XM39" s="987"/>
      <c r="XN39" s="987"/>
      <c r="XO39" s="987"/>
      <c r="XP39" s="987">
        <f t="shared" si="29"/>
        <v>0</v>
      </c>
      <c r="XQ39" s="1026" t="s">
        <v>45</v>
      </c>
      <c r="XR39" s="434"/>
      <c r="XS39" s="1027"/>
      <c r="XT39" s="1027"/>
      <c r="XU39" s="24"/>
      <c r="XV39" s="1027"/>
      <c r="XW39" s="1027"/>
      <c r="XX39" s="25"/>
      <c r="XY39" s="987">
        <f>SUM(XY36:XY38)</f>
        <v>0</v>
      </c>
      <c r="XZ39" s="987">
        <f t="shared" ref="XZ39:ZW39" si="30">SUM(XZ36:XZ38)</f>
        <v>0</v>
      </c>
      <c r="YA39" s="987">
        <f t="shared" si="30"/>
        <v>0</v>
      </c>
      <c r="YB39" s="987"/>
      <c r="YC39" s="987"/>
      <c r="YD39" s="987"/>
      <c r="YE39" s="987"/>
      <c r="YF39" s="987">
        <f t="shared" ref="YF39:AAB39" si="31">SUM(YF36:YF38)</f>
        <v>0</v>
      </c>
      <c r="YG39" s="1026" t="s">
        <v>45</v>
      </c>
      <c r="YH39" s="434"/>
      <c r="YI39" s="1027"/>
      <c r="YJ39" s="1027"/>
      <c r="YK39" s="24"/>
      <c r="YL39" s="1027"/>
      <c r="YM39" s="1027"/>
      <c r="YN39" s="25"/>
      <c r="YO39" s="987">
        <f>SUM(YO36:YO38)</f>
        <v>0</v>
      </c>
      <c r="YP39" s="987">
        <f t="shared" si="30"/>
        <v>0</v>
      </c>
      <c r="YQ39" s="987">
        <f t="shared" si="30"/>
        <v>0</v>
      </c>
      <c r="YR39" s="987"/>
      <c r="YS39" s="987"/>
      <c r="YT39" s="987"/>
      <c r="YU39" s="987"/>
      <c r="YV39" s="987">
        <f t="shared" si="31"/>
        <v>0</v>
      </c>
      <c r="YW39" s="1026" t="s">
        <v>45</v>
      </c>
      <c r="YX39" s="434"/>
      <c r="YY39" s="1027"/>
      <c r="YZ39" s="1027"/>
      <c r="ZA39" s="24"/>
      <c r="ZB39" s="1027"/>
      <c r="ZC39" s="1027"/>
      <c r="ZD39" s="25"/>
      <c r="ZE39" s="987">
        <f>SUM(ZE36:ZE38)</f>
        <v>0</v>
      </c>
      <c r="ZF39" s="987">
        <f t="shared" si="30"/>
        <v>0</v>
      </c>
      <c r="ZG39" s="987">
        <f t="shared" si="30"/>
        <v>0</v>
      </c>
      <c r="ZH39" s="987"/>
      <c r="ZI39" s="987"/>
      <c r="ZJ39" s="987"/>
      <c r="ZK39" s="987"/>
      <c r="ZL39" s="987">
        <f t="shared" si="31"/>
        <v>0</v>
      </c>
      <c r="ZM39" s="1026" t="s">
        <v>45</v>
      </c>
      <c r="ZN39" s="434"/>
      <c r="ZO39" s="1027"/>
      <c r="ZP39" s="1027"/>
      <c r="ZQ39" s="24"/>
      <c r="ZR39" s="1027"/>
      <c r="ZS39" s="1027"/>
      <c r="ZT39" s="25"/>
      <c r="ZU39" s="987">
        <f>SUM(ZU36:ZU38)</f>
        <v>0</v>
      </c>
      <c r="ZV39" s="987">
        <f t="shared" si="30"/>
        <v>0</v>
      </c>
      <c r="ZW39" s="987">
        <f t="shared" si="30"/>
        <v>0</v>
      </c>
      <c r="ZX39" s="987"/>
      <c r="ZY39" s="987"/>
      <c r="ZZ39" s="987"/>
      <c r="AAA39" s="987"/>
      <c r="AAB39" s="987">
        <f t="shared" si="31"/>
        <v>0</v>
      </c>
      <c r="AAC39" s="1026" t="s">
        <v>45</v>
      </c>
      <c r="AAD39" s="434"/>
      <c r="AAE39" s="1027"/>
      <c r="AAF39" s="1027"/>
      <c r="AAG39" s="24"/>
      <c r="AAH39" s="1027"/>
      <c r="AAI39" s="1027"/>
      <c r="AAJ39" s="25"/>
      <c r="AAK39" s="987">
        <f>SUM(AAK36:AAK38)</f>
        <v>0</v>
      </c>
      <c r="AAL39" s="987">
        <f t="shared" ref="AAL39:ACI39" si="32">SUM(AAL36:AAL38)</f>
        <v>0</v>
      </c>
      <c r="AAM39" s="987">
        <f t="shared" si="32"/>
        <v>0</v>
      </c>
      <c r="AAN39" s="987"/>
      <c r="AAO39" s="987"/>
      <c r="AAP39" s="987"/>
      <c r="AAQ39" s="987"/>
      <c r="AAR39" s="987">
        <f t="shared" ref="AAR39:ACN39" si="33">SUM(AAR36:AAR38)</f>
        <v>0</v>
      </c>
      <c r="AAS39" s="1026" t="s">
        <v>45</v>
      </c>
      <c r="AAT39" s="434"/>
      <c r="AAU39" s="1027"/>
      <c r="AAV39" s="1027"/>
      <c r="AAW39" s="24"/>
      <c r="AAX39" s="1027"/>
      <c r="AAY39" s="1027"/>
      <c r="AAZ39" s="25"/>
      <c r="ABA39" s="987">
        <f>SUM(ABA36:ABA38)</f>
        <v>0</v>
      </c>
      <c r="ABB39" s="987">
        <f t="shared" si="32"/>
        <v>0</v>
      </c>
      <c r="ABC39" s="987">
        <f t="shared" si="32"/>
        <v>0</v>
      </c>
      <c r="ABD39" s="987"/>
      <c r="ABE39" s="987"/>
      <c r="ABF39" s="987"/>
      <c r="ABG39" s="987"/>
      <c r="ABH39" s="987">
        <f t="shared" si="33"/>
        <v>0</v>
      </c>
      <c r="ABI39" s="1026" t="s">
        <v>45</v>
      </c>
      <c r="ABJ39" s="434"/>
      <c r="ABK39" s="1027"/>
      <c r="ABL39" s="1027"/>
      <c r="ABM39" s="24"/>
      <c r="ABN39" s="1027"/>
      <c r="ABO39" s="1027"/>
      <c r="ABP39" s="25"/>
      <c r="ABQ39" s="987">
        <f>SUM(ABQ36:ABQ38)</f>
        <v>0</v>
      </c>
      <c r="ABR39" s="987">
        <f t="shared" si="32"/>
        <v>0</v>
      </c>
      <c r="ABS39" s="987">
        <f t="shared" si="32"/>
        <v>0</v>
      </c>
      <c r="ABT39" s="987"/>
      <c r="ABU39" s="987"/>
      <c r="ABV39" s="987"/>
      <c r="ABW39" s="987"/>
      <c r="ABX39" s="987">
        <f t="shared" si="33"/>
        <v>0</v>
      </c>
      <c r="ABY39" s="1026" t="s">
        <v>45</v>
      </c>
      <c r="ABZ39" s="434"/>
      <c r="ACA39" s="1027"/>
      <c r="ACB39" s="1027"/>
      <c r="ACC39" s="24"/>
      <c r="ACD39" s="1027"/>
      <c r="ACE39" s="1027"/>
      <c r="ACF39" s="25"/>
      <c r="ACG39" s="987">
        <f>SUM(ACG36:ACG38)</f>
        <v>0</v>
      </c>
      <c r="ACH39" s="987">
        <f t="shared" si="32"/>
        <v>0</v>
      </c>
      <c r="ACI39" s="987">
        <f t="shared" si="32"/>
        <v>0</v>
      </c>
      <c r="ACJ39" s="987"/>
      <c r="ACK39" s="987"/>
      <c r="ACL39" s="987"/>
      <c r="ACM39" s="987"/>
      <c r="ACN39" s="987">
        <f t="shared" si="33"/>
        <v>0</v>
      </c>
      <c r="ACO39" s="1026" t="s">
        <v>45</v>
      </c>
      <c r="ACP39" s="434"/>
      <c r="ACQ39" s="1027"/>
      <c r="ACR39" s="1027"/>
      <c r="ACS39" s="24"/>
      <c r="ACT39" s="1027"/>
      <c r="ACU39" s="1027"/>
      <c r="ACV39" s="25"/>
      <c r="ACW39" s="987">
        <f>SUM(ACW36:ACW38)</f>
        <v>0</v>
      </c>
      <c r="ACX39" s="987">
        <f t="shared" ref="ACX39:AEU39" si="34">SUM(ACX36:ACX38)</f>
        <v>0</v>
      </c>
      <c r="ACY39" s="987">
        <f t="shared" si="34"/>
        <v>0</v>
      </c>
      <c r="ACZ39" s="987"/>
      <c r="ADA39" s="987"/>
      <c r="ADB39" s="987"/>
      <c r="ADC39" s="987"/>
      <c r="ADD39" s="987">
        <f t="shared" ref="ADD39:AEZ39" si="35">SUM(ADD36:ADD38)</f>
        <v>0</v>
      </c>
      <c r="ADE39" s="1026" t="s">
        <v>45</v>
      </c>
      <c r="ADF39" s="434"/>
      <c r="ADG39" s="1027"/>
      <c r="ADH39" s="1027"/>
      <c r="ADI39" s="24"/>
      <c r="ADJ39" s="1027"/>
      <c r="ADK39" s="1027"/>
      <c r="ADL39" s="25"/>
      <c r="ADM39" s="987">
        <f>SUM(ADM36:ADM38)</f>
        <v>0</v>
      </c>
      <c r="ADN39" s="987">
        <f t="shared" si="34"/>
        <v>0</v>
      </c>
      <c r="ADO39" s="987">
        <f t="shared" si="34"/>
        <v>0</v>
      </c>
      <c r="ADP39" s="987"/>
      <c r="ADQ39" s="987"/>
      <c r="ADR39" s="987"/>
      <c r="ADS39" s="987"/>
      <c r="ADT39" s="987">
        <f t="shared" si="35"/>
        <v>0</v>
      </c>
      <c r="ADU39" s="1026" t="s">
        <v>45</v>
      </c>
      <c r="ADV39" s="434"/>
      <c r="ADW39" s="1027"/>
      <c r="ADX39" s="1027"/>
      <c r="ADY39" s="24"/>
      <c r="ADZ39" s="1027"/>
      <c r="AEA39" s="1027"/>
      <c r="AEB39" s="25"/>
      <c r="AEC39" s="987">
        <f>SUM(AEC36:AEC38)</f>
        <v>0</v>
      </c>
      <c r="AED39" s="987">
        <f t="shared" si="34"/>
        <v>0</v>
      </c>
      <c r="AEE39" s="987">
        <f t="shared" si="34"/>
        <v>0</v>
      </c>
      <c r="AEF39" s="987"/>
      <c r="AEG39" s="987"/>
      <c r="AEH39" s="987"/>
      <c r="AEI39" s="987"/>
      <c r="AEJ39" s="987">
        <f t="shared" si="35"/>
        <v>0</v>
      </c>
      <c r="AEK39" s="1026" t="s">
        <v>45</v>
      </c>
      <c r="AEL39" s="434"/>
      <c r="AEM39" s="1027"/>
      <c r="AEN39" s="1027"/>
      <c r="AEO39" s="24"/>
      <c r="AEP39" s="1027"/>
      <c r="AEQ39" s="1027"/>
      <c r="AER39" s="25"/>
      <c r="AES39" s="987">
        <f>SUM(AES36:AES38)</f>
        <v>0</v>
      </c>
      <c r="AET39" s="987">
        <f t="shared" si="34"/>
        <v>0</v>
      </c>
      <c r="AEU39" s="987">
        <f t="shared" si="34"/>
        <v>0</v>
      </c>
      <c r="AEV39" s="987"/>
      <c r="AEW39" s="987"/>
      <c r="AEX39" s="987"/>
      <c r="AEY39" s="987"/>
      <c r="AEZ39" s="987">
        <f t="shared" si="35"/>
        <v>0</v>
      </c>
      <c r="AFA39" s="1026" t="s">
        <v>45</v>
      </c>
      <c r="AFB39" s="434"/>
      <c r="AFC39" s="1027"/>
      <c r="AFD39" s="1027"/>
      <c r="AFE39" s="24"/>
      <c r="AFF39" s="1027"/>
      <c r="AFG39" s="1027"/>
      <c r="AFH39" s="25"/>
      <c r="AFI39" s="987">
        <f>SUM(AFI36:AFI38)</f>
        <v>0</v>
      </c>
      <c r="AFJ39" s="987">
        <f t="shared" ref="AFJ39:AHG39" si="36">SUM(AFJ36:AFJ38)</f>
        <v>0</v>
      </c>
      <c r="AFK39" s="987">
        <f t="shared" si="36"/>
        <v>0</v>
      </c>
      <c r="AFL39" s="987"/>
      <c r="AFM39" s="987"/>
      <c r="AFN39" s="987"/>
      <c r="AFO39" s="987"/>
      <c r="AFP39" s="987">
        <f t="shared" ref="AFP39:AHL39" si="37">SUM(AFP36:AFP38)</f>
        <v>0</v>
      </c>
      <c r="AFQ39" s="1026" t="s">
        <v>45</v>
      </c>
      <c r="AFR39" s="434"/>
      <c r="AFS39" s="1027"/>
      <c r="AFT39" s="1027"/>
      <c r="AFU39" s="24"/>
      <c r="AFV39" s="1027"/>
      <c r="AFW39" s="1027"/>
      <c r="AFX39" s="25"/>
      <c r="AFY39" s="987">
        <f>SUM(AFY36:AFY38)</f>
        <v>0</v>
      </c>
      <c r="AFZ39" s="987">
        <f t="shared" si="36"/>
        <v>0</v>
      </c>
      <c r="AGA39" s="987">
        <f t="shared" si="36"/>
        <v>0</v>
      </c>
      <c r="AGB39" s="987"/>
      <c r="AGC39" s="987"/>
      <c r="AGD39" s="987"/>
      <c r="AGE39" s="987"/>
      <c r="AGF39" s="987">
        <f t="shared" si="37"/>
        <v>0</v>
      </c>
      <c r="AGG39" s="1026" t="s">
        <v>45</v>
      </c>
      <c r="AGH39" s="434"/>
      <c r="AGI39" s="1027"/>
      <c r="AGJ39" s="1027"/>
      <c r="AGK39" s="24"/>
      <c r="AGL39" s="1027"/>
      <c r="AGM39" s="1027"/>
      <c r="AGN39" s="25"/>
      <c r="AGO39" s="987">
        <f>SUM(AGO36:AGO38)</f>
        <v>0</v>
      </c>
      <c r="AGP39" s="987">
        <f t="shared" si="36"/>
        <v>0</v>
      </c>
      <c r="AGQ39" s="987">
        <f t="shared" si="36"/>
        <v>0</v>
      </c>
      <c r="AGR39" s="987"/>
      <c r="AGS39" s="987"/>
      <c r="AGT39" s="987"/>
      <c r="AGU39" s="987"/>
      <c r="AGV39" s="987">
        <f t="shared" si="37"/>
        <v>0</v>
      </c>
      <c r="AGW39" s="1026" t="s">
        <v>45</v>
      </c>
      <c r="AGX39" s="434"/>
      <c r="AGY39" s="1027"/>
      <c r="AGZ39" s="1027"/>
      <c r="AHA39" s="24"/>
      <c r="AHB39" s="1027"/>
      <c r="AHC39" s="1027"/>
      <c r="AHD39" s="25"/>
      <c r="AHE39" s="987">
        <f>SUM(AHE36:AHE38)</f>
        <v>0</v>
      </c>
      <c r="AHF39" s="987">
        <f t="shared" si="36"/>
        <v>0</v>
      </c>
      <c r="AHG39" s="987">
        <f t="shared" si="36"/>
        <v>0</v>
      </c>
      <c r="AHH39" s="987"/>
      <c r="AHI39" s="987"/>
      <c r="AHJ39" s="987"/>
      <c r="AHK39" s="987"/>
      <c r="AHL39" s="987">
        <f t="shared" si="37"/>
        <v>0</v>
      </c>
      <c r="AHM39" s="1026" t="s">
        <v>45</v>
      </c>
      <c r="AHN39" s="434"/>
      <c r="AHO39" s="1027"/>
      <c r="AHP39" s="1027"/>
      <c r="AHQ39" s="24"/>
      <c r="AHR39" s="1027"/>
      <c r="AHS39" s="1027"/>
      <c r="AHT39" s="25"/>
      <c r="AHU39" s="987">
        <f>SUM(AHU36:AHU38)</f>
        <v>0</v>
      </c>
      <c r="AHV39" s="987">
        <f t="shared" ref="AHV39:AJS39" si="38">SUM(AHV36:AHV38)</f>
        <v>0</v>
      </c>
      <c r="AHW39" s="987">
        <f t="shared" si="38"/>
        <v>0</v>
      </c>
      <c r="AHX39" s="987"/>
      <c r="AHY39" s="987"/>
      <c r="AHZ39" s="987"/>
      <c r="AIA39" s="987"/>
      <c r="AIB39" s="987">
        <f t="shared" ref="AIB39:AJX39" si="39">SUM(AIB36:AIB38)</f>
        <v>0</v>
      </c>
      <c r="AIC39" s="1026" t="s">
        <v>45</v>
      </c>
      <c r="AID39" s="434"/>
      <c r="AIE39" s="1027"/>
      <c r="AIF39" s="1027"/>
      <c r="AIG39" s="24"/>
      <c r="AIH39" s="1027"/>
      <c r="AII39" s="1027"/>
      <c r="AIJ39" s="25"/>
      <c r="AIK39" s="987">
        <f>SUM(AIK36:AIK38)</f>
        <v>0</v>
      </c>
      <c r="AIL39" s="987">
        <f t="shared" si="38"/>
        <v>0</v>
      </c>
      <c r="AIM39" s="987">
        <f t="shared" si="38"/>
        <v>0</v>
      </c>
      <c r="AIN39" s="987"/>
      <c r="AIO39" s="987"/>
      <c r="AIP39" s="987"/>
      <c r="AIQ39" s="987"/>
      <c r="AIR39" s="987">
        <f t="shared" si="39"/>
        <v>0</v>
      </c>
      <c r="AIS39" s="1026" t="s">
        <v>45</v>
      </c>
      <c r="AIT39" s="434"/>
      <c r="AIU39" s="1027"/>
      <c r="AIV39" s="1027"/>
      <c r="AIW39" s="24"/>
      <c r="AIX39" s="1027"/>
      <c r="AIY39" s="1027"/>
      <c r="AIZ39" s="25"/>
      <c r="AJA39" s="987">
        <f>SUM(AJA36:AJA38)</f>
        <v>0</v>
      </c>
      <c r="AJB39" s="987">
        <f t="shared" si="38"/>
        <v>0</v>
      </c>
      <c r="AJC39" s="987">
        <f t="shared" si="38"/>
        <v>0</v>
      </c>
      <c r="AJD39" s="987"/>
      <c r="AJE39" s="987"/>
      <c r="AJF39" s="987"/>
      <c r="AJG39" s="987"/>
      <c r="AJH39" s="987">
        <f t="shared" si="39"/>
        <v>0</v>
      </c>
      <c r="AJI39" s="1026" t="s">
        <v>45</v>
      </c>
      <c r="AJJ39" s="434"/>
      <c r="AJK39" s="1027"/>
      <c r="AJL39" s="1027"/>
      <c r="AJM39" s="24"/>
      <c r="AJN39" s="1027"/>
      <c r="AJO39" s="1027"/>
      <c r="AJP39" s="25"/>
      <c r="AJQ39" s="987">
        <f>SUM(AJQ36:AJQ38)</f>
        <v>0</v>
      </c>
      <c r="AJR39" s="987">
        <f t="shared" si="38"/>
        <v>0</v>
      </c>
      <c r="AJS39" s="987">
        <f t="shared" si="38"/>
        <v>0</v>
      </c>
      <c r="AJT39" s="987"/>
      <c r="AJU39" s="987"/>
      <c r="AJV39" s="987"/>
      <c r="AJW39" s="987"/>
      <c r="AJX39" s="987">
        <f t="shared" si="39"/>
        <v>0</v>
      </c>
      <c r="AJY39" s="1026" t="s">
        <v>45</v>
      </c>
      <c r="AJZ39" s="434"/>
      <c r="AKA39" s="1027"/>
      <c r="AKB39" s="1027"/>
      <c r="AKC39" s="24"/>
      <c r="AKD39" s="1027"/>
      <c r="AKE39" s="1027"/>
      <c r="AKF39" s="25"/>
      <c r="AKG39" s="987">
        <f>SUM(AKG36:AKG38)</f>
        <v>0</v>
      </c>
      <c r="AKH39" s="987">
        <f t="shared" ref="AKH39:AME39" si="40">SUM(AKH36:AKH38)</f>
        <v>0</v>
      </c>
      <c r="AKI39" s="987">
        <f t="shared" si="40"/>
        <v>0</v>
      </c>
      <c r="AKJ39" s="987"/>
      <c r="AKK39" s="987"/>
      <c r="AKL39" s="987"/>
      <c r="AKM39" s="987"/>
      <c r="AKN39" s="987">
        <f t="shared" ref="AKN39:AMJ39" si="41">SUM(AKN36:AKN38)</f>
        <v>0</v>
      </c>
      <c r="AKO39" s="1026" t="s">
        <v>45</v>
      </c>
      <c r="AKP39" s="434"/>
      <c r="AKQ39" s="1027"/>
      <c r="AKR39" s="1027"/>
      <c r="AKS39" s="24"/>
      <c r="AKT39" s="1027"/>
      <c r="AKU39" s="1027"/>
      <c r="AKV39" s="25"/>
      <c r="AKW39" s="987">
        <f>SUM(AKW36:AKW38)</f>
        <v>0</v>
      </c>
      <c r="AKX39" s="987">
        <f t="shared" si="40"/>
        <v>0</v>
      </c>
      <c r="AKY39" s="987">
        <f t="shared" si="40"/>
        <v>0</v>
      </c>
      <c r="AKZ39" s="987"/>
      <c r="ALA39" s="987"/>
      <c r="ALB39" s="987"/>
      <c r="ALC39" s="987"/>
      <c r="ALD39" s="987">
        <f t="shared" si="41"/>
        <v>0</v>
      </c>
      <c r="ALE39" s="1026" t="s">
        <v>45</v>
      </c>
      <c r="ALF39" s="434"/>
      <c r="ALG39" s="1027"/>
      <c r="ALH39" s="1027"/>
      <c r="ALI39" s="24"/>
      <c r="ALJ39" s="1027"/>
      <c r="ALK39" s="1027"/>
      <c r="ALL39" s="25"/>
      <c r="ALM39" s="987">
        <f>SUM(ALM36:ALM38)</f>
        <v>0</v>
      </c>
      <c r="ALN39" s="987">
        <f t="shared" si="40"/>
        <v>0</v>
      </c>
      <c r="ALO39" s="987">
        <f t="shared" si="40"/>
        <v>0</v>
      </c>
      <c r="ALP39" s="987"/>
      <c r="ALQ39" s="987"/>
      <c r="ALR39" s="987"/>
      <c r="ALS39" s="987"/>
      <c r="ALT39" s="987">
        <f t="shared" si="41"/>
        <v>0</v>
      </c>
      <c r="ALU39" s="1026" t="s">
        <v>45</v>
      </c>
      <c r="ALV39" s="434"/>
      <c r="ALW39" s="1027"/>
      <c r="ALX39" s="1027"/>
      <c r="ALY39" s="24"/>
      <c r="ALZ39" s="1027"/>
      <c r="AMA39" s="1027"/>
      <c r="AMB39" s="25"/>
      <c r="AMC39" s="987">
        <f>SUM(AMC36:AMC38)</f>
        <v>0</v>
      </c>
      <c r="AMD39" s="987">
        <f t="shared" si="40"/>
        <v>0</v>
      </c>
      <c r="AME39" s="987">
        <f t="shared" si="40"/>
        <v>0</v>
      </c>
      <c r="AMF39" s="987"/>
      <c r="AMG39" s="987"/>
      <c r="AMH39" s="987"/>
      <c r="AMI39" s="987"/>
      <c r="AMJ39" s="987">
        <f t="shared" si="41"/>
        <v>0</v>
      </c>
      <c r="AMK39" s="1026" t="s">
        <v>45</v>
      </c>
      <c r="AML39" s="434"/>
      <c r="AMM39" s="1027"/>
      <c r="AMN39" s="1027"/>
      <c r="AMO39" s="24"/>
      <c r="AMP39" s="1027"/>
      <c r="AMQ39" s="1027"/>
      <c r="AMR39" s="25"/>
      <c r="AMS39" s="987">
        <f>SUM(AMS36:AMS38)</f>
        <v>0</v>
      </c>
      <c r="AMT39" s="987">
        <f t="shared" ref="AMT39:AOQ39" si="42">SUM(AMT36:AMT38)</f>
        <v>0</v>
      </c>
      <c r="AMU39" s="987">
        <f t="shared" si="42"/>
        <v>0</v>
      </c>
      <c r="AMV39" s="987"/>
      <c r="AMW39" s="987"/>
      <c r="AMX39" s="987"/>
      <c r="AMY39" s="987"/>
      <c r="AMZ39" s="987">
        <f t="shared" ref="AMZ39:AOV39" si="43">SUM(AMZ36:AMZ38)</f>
        <v>0</v>
      </c>
      <c r="ANA39" s="1026" t="s">
        <v>45</v>
      </c>
      <c r="ANB39" s="434"/>
      <c r="ANC39" s="1027"/>
      <c r="AND39" s="1027"/>
      <c r="ANE39" s="24"/>
      <c r="ANF39" s="1027"/>
      <c r="ANG39" s="1027"/>
      <c r="ANH39" s="25"/>
      <c r="ANI39" s="987">
        <f>SUM(ANI36:ANI38)</f>
        <v>0</v>
      </c>
      <c r="ANJ39" s="987">
        <f t="shared" si="42"/>
        <v>0</v>
      </c>
      <c r="ANK39" s="987">
        <f t="shared" si="42"/>
        <v>0</v>
      </c>
      <c r="ANL39" s="987"/>
      <c r="ANM39" s="987"/>
      <c r="ANN39" s="987"/>
      <c r="ANO39" s="987"/>
      <c r="ANP39" s="987">
        <f t="shared" si="43"/>
        <v>0</v>
      </c>
      <c r="ANQ39" s="1026" t="s">
        <v>45</v>
      </c>
      <c r="ANR39" s="434"/>
      <c r="ANS39" s="1027"/>
      <c r="ANT39" s="1027"/>
      <c r="ANU39" s="24"/>
      <c r="ANV39" s="1027"/>
      <c r="ANW39" s="1027"/>
      <c r="ANX39" s="25"/>
      <c r="ANY39" s="987">
        <f>SUM(ANY36:ANY38)</f>
        <v>0</v>
      </c>
      <c r="ANZ39" s="987">
        <f t="shared" si="42"/>
        <v>0</v>
      </c>
      <c r="AOA39" s="987">
        <f t="shared" si="42"/>
        <v>0</v>
      </c>
      <c r="AOB39" s="987"/>
      <c r="AOC39" s="987"/>
      <c r="AOD39" s="987"/>
      <c r="AOE39" s="987"/>
      <c r="AOF39" s="987">
        <f t="shared" si="43"/>
        <v>0</v>
      </c>
      <c r="AOG39" s="1026" t="s">
        <v>45</v>
      </c>
      <c r="AOH39" s="434"/>
      <c r="AOI39" s="1027"/>
      <c r="AOJ39" s="1027"/>
      <c r="AOK39" s="24"/>
      <c r="AOL39" s="1027"/>
      <c r="AOM39" s="1027"/>
      <c r="AON39" s="25"/>
      <c r="AOO39" s="987">
        <f>SUM(AOO36:AOO38)</f>
        <v>0</v>
      </c>
      <c r="AOP39" s="987">
        <f t="shared" si="42"/>
        <v>0</v>
      </c>
      <c r="AOQ39" s="987">
        <f t="shared" si="42"/>
        <v>0</v>
      </c>
      <c r="AOR39" s="987"/>
      <c r="AOS39" s="987"/>
      <c r="AOT39" s="987"/>
      <c r="AOU39" s="987"/>
      <c r="AOV39" s="987">
        <f t="shared" si="43"/>
        <v>0</v>
      </c>
      <c r="AOW39" s="1026" t="s">
        <v>45</v>
      </c>
      <c r="AOX39" s="434"/>
      <c r="AOY39" s="1027"/>
      <c r="AOZ39" s="1027"/>
      <c r="APA39" s="24"/>
      <c r="APB39" s="1027"/>
      <c r="APC39" s="1027"/>
      <c r="APD39" s="25"/>
      <c r="APE39" s="987">
        <f>SUM(APE36:APE38)</f>
        <v>0</v>
      </c>
      <c r="APF39" s="987">
        <f t="shared" ref="APF39:ARC39" si="44">SUM(APF36:APF38)</f>
        <v>0</v>
      </c>
      <c r="APG39" s="987">
        <f t="shared" si="44"/>
        <v>0</v>
      </c>
      <c r="APH39" s="987"/>
      <c r="API39" s="987"/>
      <c r="APJ39" s="987"/>
      <c r="APK39" s="987"/>
      <c r="APL39" s="987">
        <f t="shared" ref="APL39:ARH39" si="45">SUM(APL36:APL38)</f>
        <v>0</v>
      </c>
      <c r="APM39" s="1026" t="s">
        <v>45</v>
      </c>
      <c r="APN39" s="434"/>
      <c r="APO39" s="1027"/>
      <c r="APP39" s="1027"/>
      <c r="APQ39" s="24"/>
      <c r="APR39" s="1027"/>
      <c r="APS39" s="1027"/>
      <c r="APT39" s="25"/>
      <c r="APU39" s="987">
        <f>SUM(APU36:APU38)</f>
        <v>0</v>
      </c>
      <c r="APV39" s="987">
        <f t="shared" si="44"/>
        <v>0</v>
      </c>
      <c r="APW39" s="987">
        <f t="shared" si="44"/>
        <v>0</v>
      </c>
      <c r="APX39" s="987"/>
      <c r="APY39" s="987"/>
      <c r="APZ39" s="987"/>
      <c r="AQA39" s="987"/>
      <c r="AQB39" s="987">
        <f t="shared" si="45"/>
        <v>0</v>
      </c>
      <c r="AQC39" s="1026" t="s">
        <v>45</v>
      </c>
      <c r="AQD39" s="434"/>
      <c r="AQE39" s="1027"/>
      <c r="AQF39" s="1027"/>
      <c r="AQG39" s="24"/>
      <c r="AQH39" s="1027"/>
      <c r="AQI39" s="1027"/>
      <c r="AQJ39" s="25"/>
      <c r="AQK39" s="987">
        <f>SUM(AQK36:AQK38)</f>
        <v>0</v>
      </c>
      <c r="AQL39" s="987">
        <f t="shared" si="44"/>
        <v>0</v>
      </c>
      <c r="AQM39" s="987">
        <f t="shared" si="44"/>
        <v>0</v>
      </c>
      <c r="AQN39" s="987"/>
      <c r="AQO39" s="987"/>
      <c r="AQP39" s="987"/>
      <c r="AQQ39" s="987"/>
      <c r="AQR39" s="987">
        <f t="shared" si="45"/>
        <v>0</v>
      </c>
      <c r="AQS39" s="1026" t="s">
        <v>45</v>
      </c>
      <c r="AQT39" s="434"/>
      <c r="AQU39" s="1027"/>
      <c r="AQV39" s="1027"/>
      <c r="AQW39" s="24"/>
      <c r="AQX39" s="1027"/>
      <c r="AQY39" s="1027"/>
      <c r="AQZ39" s="25"/>
      <c r="ARA39" s="987">
        <f>SUM(ARA36:ARA38)</f>
        <v>0</v>
      </c>
      <c r="ARB39" s="987">
        <f t="shared" si="44"/>
        <v>0</v>
      </c>
      <c r="ARC39" s="987">
        <f t="shared" si="44"/>
        <v>0</v>
      </c>
      <c r="ARD39" s="987"/>
      <c r="ARE39" s="987"/>
      <c r="ARF39" s="987"/>
      <c r="ARG39" s="987"/>
      <c r="ARH39" s="987">
        <f t="shared" si="45"/>
        <v>0</v>
      </c>
      <c r="ARI39" s="1026" t="s">
        <v>45</v>
      </c>
      <c r="ARJ39" s="434"/>
      <c r="ARK39" s="1027"/>
      <c r="ARL39" s="1027"/>
      <c r="ARM39" s="24"/>
      <c r="ARN39" s="1027"/>
      <c r="ARO39" s="1027"/>
      <c r="ARP39" s="25"/>
      <c r="ARQ39" s="987">
        <f>SUM(ARQ36:ARQ38)</f>
        <v>0</v>
      </c>
      <c r="ARR39" s="987">
        <f t="shared" ref="ARR39:ATO39" si="46">SUM(ARR36:ARR38)</f>
        <v>0</v>
      </c>
      <c r="ARS39" s="987">
        <f t="shared" si="46"/>
        <v>0</v>
      </c>
      <c r="ART39" s="987"/>
      <c r="ARU39" s="987"/>
      <c r="ARV39" s="987"/>
      <c r="ARW39" s="987"/>
      <c r="ARX39" s="987">
        <f t="shared" ref="ARX39:ATT39" si="47">SUM(ARX36:ARX38)</f>
        <v>0</v>
      </c>
      <c r="ARY39" s="1026" t="s">
        <v>45</v>
      </c>
      <c r="ARZ39" s="434"/>
      <c r="ASA39" s="1027"/>
      <c r="ASB39" s="1027"/>
      <c r="ASC39" s="24"/>
      <c r="ASD39" s="1027"/>
      <c r="ASE39" s="1027"/>
      <c r="ASF39" s="25"/>
      <c r="ASG39" s="987">
        <f>SUM(ASG36:ASG38)</f>
        <v>0</v>
      </c>
      <c r="ASH39" s="987">
        <f t="shared" si="46"/>
        <v>0</v>
      </c>
      <c r="ASI39" s="987">
        <f t="shared" si="46"/>
        <v>0</v>
      </c>
      <c r="ASJ39" s="987"/>
      <c r="ASK39" s="987"/>
      <c r="ASL39" s="987"/>
      <c r="ASM39" s="987"/>
      <c r="ASN39" s="987">
        <f t="shared" si="47"/>
        <v>0</v>
      </c>
      <c r="ASO39" s="1026" t="s">
        <v>45</v>
      </c>
      <c r="ASP39" s="434"/>
      <c r="ASQ39" s="1027"/>
      <c r="ASR39" s="1027"/>
      <c r="ASS39" s="24"/>
      <c r="AST39" s="1027"/>
      <c r="ASU39" s="1027"/>
      <c r="ASV39" s="25"/>
      <c r="ASW39" s="987">
        <f>SUM(ASW36:ASW38)</f>
        <v>0</v>
      </c>
      <c r="ASX39" s="987">
        <f t="shared" si="46"/>
        <v>0</v>
      </c>
      <c r="ASY39" s="987">
        <f t="shared" si="46"/>
        <v>0</v>
      </c>
      <c r="ASZ39" s="987"/>
      <c r="ATA39" s="987"/>
      <c r="ATB39" s="987"/>
      <c r="ATC39" s="987"/>
      <c r="ATD39" s="987">
        <f t="shared" si="47"/>
        <v>0</v>
      </c>
      <c r="ATE39" s="1026" t="s">
        <v>45</v>
      </c>
      <c r="ATF39" s="434"/>
      <c r="ATG39" s="1027"/>
      <c r="ATH39" s="1027"/>
      <c r="ATI39" s="24"/>
      <c r="ATJ39" s="1027"/>
      <c r="ATK39" s="1027"/>
      <c r="ATL39" s="25"/>
      <c r="ATM39" s="987">
        <f>SUM(ATM36:ATM38)</f>
        <v>0</v>
      </c>
      <c r="ATN39" s="987">
        <f t="shared" si="46"/>
        <v>0</v>
      </c>
      <c r="ATO39" s="987">
        <f t="shared" si="46"/>
        <v>0</v>
      </c>
      <c r="ATP39" s="987"/>
      <c r="ATQ39" s="987"/>
      <c r="ATR39" s="987"/>
      <c r="ATS39" s="987"/>
      <c r="ATT39" s="987">
        <f t="shared" si="47"/>
        <v>0</v>
      </c>
      <c r="ATU39" s="1026" t="s">
        <v>45</v>
      </c>
      <c r="ATV39" s="434"/>
      <c r="ATW39" s="1027"/>
      <c r="ATX39" s="1027"/>
      <c r="ATY39" s="24"/>
      <c r="ATZ39" s="1027"/>
      <c r="AUA39" s="1027"/>
      <c r="AUB39" s="25"/>
      <c r="AUC39" s="987">
        <f>SUM(AUC36:AUC38)</f>
        <v>0</v>
      </c>
      <c r="AUD39" s="987">
        <f t="shared" ref="AUD39:AWA39" si="48">SUM(AUD36:AUD38)</f>
        <v>0</v>
      </c>
      <c r="AUE39" s="987">
        <f t="shared" si="48"/>
        <v>0</v>
      </c>
      <c r="AUF39" s="987"/>
      <c r="AUG39" s="987"/>
      <c r="AUH39" s="987"/>
      <c r="AUI39" s="987"/>
      <c r="AUJ39" s="987">
        <f t="shared" ref="AUJ39:AWF39" si="49">SUM(AUJ36:AUJ38)</f>
        <v>0</v>
      </c>
      <c r="AUK39" s="1026" t="s">
        <v>45</v>
      </c>
      <c r="AUL39" s="434"/>
      <c r="AUM39" s="1027"/>
      <c r="AUN39" s="1027"/>
      <c r="AUO39" s="24"/>
      <c r="AUP39" s="1027"/>
      <c r="AUQ39" s="1027"/>
      <c r="AUR39" s="25"/>
      <c r="AUS39" s="987">
        <f>SUM(AUS36:AUS38)</f>
        <v>0</v>
      </c>
      <c r="AUT39" s="987">
        <f t="shared" si="48"/>
        <v>0</v>
      </c>
      <c r="AUU39" s="987">
        <f t="shared" si="48"/>
        <v>0</v>
      </c>
      <c r="AUV39" s="987"/>
      <c r="AUW39" s="987"/>
      <c r="AUX39" s="987"/>
      <c r="AUY39" s="987"/>
      <c r="AUZ39" s="987">
        <f t="shared" si="49"/>
        <v>0</v>
      </c>
      <c r="AVA39" s="1026" t="s">
        <v>45</v>
      </c>
      <c r="AVB39" s="434"/>
      <c r="AVC39" s="1027"/>
      <c r="AVD39" s="1027"/>
      <c r="AVE39" s="24"/>
      <c r="AVF39" s="1027"/>
      <c r="AVG39" s="1027"/>
      <c r="AVH39" s="25"/>
      <c r="AVI39" s="987">
        <f>SUM(AVI36:AVI38)</f>
        <v>0</v>
      </c>
      <c r="AVJ39" s="987">
        <f t="shared" si="48"/>
        <v>0</v>
      </c>
      <c r="AVK39" s="987">
        <f t="shared" si="48"/>
        <v>0</v>
      </c>
      <c r="AVL39" s="987"/>
      <c r="AVM39" s="987"/>
      <c r="AVN39" s="987"/>
      <c r="AVO39" s="987"/>
      <c r="AVP39" s="987">
        <f t="shared" si="49"/>
        <v>0</v>
      </c>
      <c r="AVQ39" s="1026" t="s">
        <v>45</v>
      </c>
      <c r="AVR39" s="434"/>
      <c r="AVS39" s="1027"/>
      <c r="AVT39" s="1027"/>
      <c r="AVU39" s="24"/>
      <c r="AVV39" s="1027"/>
      <c r="AVW39" s="1027"/>
      <c r="AVX39" s="25"/>
      <c r="AVY39" s="987">
        <f>SUM(AVY36:AVY38)</f>
        <v>0</v>
      </c>
      <c r="AVZ39" s="987">
        <f t="shared" si="48"/>
        <v>0</v>
      </c>
      <c r="AWA39" s="987">
        <f t="shared" si="48"/>
        <v>0</v>
      </c>
      <c r="AWB39" s="987"/>
      <c r="AWC39" s="987"/>
      <c r="AWD39" s="987"/>
      <c r="AWE39" s="987"/>
      <c r="AWF39" s="987">
        <f t="shared" si="49"/>
        <v>0</v>
      </c>
      <c r="AWG39" s="1026" t="s">
        <v>45</v>
      </c>
      <c r="AWH39" s="434"/>
      <c r="AWI39" s="1027"/>
      <c r="AWJ39" s="1027"/>
      <c r="AWK39" s="24"/>
      <c r="AWL39" s="1027"/>
      <c r="AWM39" s="1027"/>
      <c r="AWN39" s="25"/>
      <c r="AWO39" s="987">
        <f>SUM(AWO36:AWO38)</f>
        <v>0</v>
      </c>
      <c r="AWP39" s="987">
        <f t="shared" ref="AWP39:AYM39" si="50">SUM(AWP36:AWP38)</f>
        <v>0</v>
      </c>
      <c r="AWQ39" s="987">
        <f t="shared" si="50"/>
        <v>0</v>
      </c>
      <c r="AWR39" s="987"/>
      <c r="AWS39" s="987"/>
      <c r="AWT39" s="987"/>
      <c r="AWU39" s="987"/>
      <c r="AWV39" s="987">
        <f t="shared" ref="AWV39:AYR39" si="51">SUM(AWV36:AWV38)</f>
        <v>0</v>
      </c>
      <c r="AWW39" s="1026" t="s">
        <v>45</v>
      </c>
      <c r="AWX39" s="434"/>
      <c r="AWY39" s="1027"/>
      <c r="AWZ39" s="1027"/>
      <c r="AXA39" s="24"/>
      <c r="AXB39" s="1027"/>
      <c r="AXC39" s="1027"/>
      <c r="AXD39" s="25"/>
      <c r="AXE39" s="987">
        <f>SUM(AXE36:AXE38)</f>
        <v>0</v>
      </c>
      <c r="AXF39" s="987">
        <f t="shared" si="50"/>
        <v>0</v>
      </c>
      <c r="AXG39" s="987">
        <f t="shared" si="50"/>
        <v>0</v>
      </c>
      <c r="AXH39" s="987"/>
      <c r="AXI39" s="987"/>
      <c r="AXJ39" s="987"/>
      <c r="AXK39" s="987"/>
      <c r="AXL39" s="987">
        <f t="shared" si="51"/>
        <v>0</v>
      </c>
      <c r="AXM39" s="1026" t="s">
        <v>45</v>
      </c>
      <c r="AXN39" s="434"/>
      <c r="AXO39" s="1027"/>
      <c r="AXP39" s="1027"/>
      <c r="AXQ39" s="24"/>
      <c r="AXR39" s="1027"/>
      <c r="AXS39" s="1027"/>
      <c r="AXT39" s="25"/>
      <c r="AXU39" s="987">
        <f>SUM(AXU36:AXU38)</f>
        <v>0</v>
      </c>
      <c r="AXV39" s="987">
        <f t="shared" si="50"/>
        <v>0</v>
      </c>
      <c r="AXW39" s="987">
        <f t="shared" si="50"/>
        <v>0</v>
      </c>
      <c r="AXX39" s="987"/>
      <c r="AXY39" s="987"/>
      <c r="AXZ39" s="987"/>
      <c r="AYA39" s="987"/>
      <c r="AYB39" s="987">
        <f t="shared" si="51"/>
        <v>0</v>
      </c>
      <c r="AYC39" s="1026" t="s">
        <v>45</v>
      </c>
      <c r="AYD39" s="434"/>
      <c r="AYE39" s="1027"/>
      <c r="AYF39" s="1027"/>
      <c r="AYG39" s="24"/>
      <c r="AYH39" s="1027"/>
      <c r="AYI39" s="1027"/>
      <c r="AYJ39" s="25"/>
      <c r="AYK39" s="987">
        <f>SUM(AYK36:AYK38)</f>
        <v>0</v>
      </c>
      <c r="AYL39" s="987">
        <f t="shared" si="50"/>
        <v>0</v>
      </c>
      <c r="AYM39" s="987">
        <f t="shared" si="50"/>
        <v>0</v>
      </c>
      <c r="AYN39" s="987"/>
      <c r="AYO39" s="987"/>
      <c r="AYP39" s="987"/>
      <c r="AYQ39" s="987"/>
      <c r="AYR39" s="987">
        <f t="shared" si="51"/>
        <v>0</v>
      </c>
      <c r="AYS39" s="1026" t="s">
        <v>45</v>
      </c>
      <c r="AYT39" s="434"/>
      <c r="AYU39" s="1027"/>
      <c r="AYV39" s="1027"/>
      <c r="AYW39" s="24"/>
      <c r="AYX39" s="1027"/>
      <c r="AYY39" s="1027"/>
      <c r="AYZ39" s="25"/>
      <c r="AZA39" s="987">
        <f>SUM(AZA36:AZA38)</f>
        <v>0</v>
      </c>
      <c r="AZB39" s="987">
        <f t="shared" ref="AZB39:BAY39" si="52">SUM(AZB36:AZB38)</f>
        <v>0</v>
      </c>
      <c r="AZC39" s="987">
        <f t="shared" si="52"/>
        <v>0</v>
      </c>
      <c r="AZD39" s="987"/>
      <c r="AZE39" s="987"/>
      <c r="AZF39" s="987"/>
      <c r="AZG39" s="987"/>
      <c r="AZH39" s="987">
        <f t="shared" ref="AZH39:BBD39" si="53">SUM(AZH36:AZH38)</f>
        <v>0</v>
      </c>
      <c r="AZI39" s="1026" t="s">
        <v>45</v>
      </c>
      <c r="AZJ39" s="434"/>
      <c r="AZK39" s="1027"/>
      <c r="AZL39" s="1027"/>
      <c r="AZM39" s="24"/>
      <c r="AZN39" s="1027"/>
      <c r="AZO39" s="1027"/>
      <c r="AZP39" s="25"/>
      <c r="AZQ39" s="987">
        <f>SUM(AZQ36:AZQ38)</f>
        <v>0</v>
      </c>
      <c r="AZR39" s="987">
        <f t="shared" si="52"/>
        <v>0</v>
      </c>
      <c r="AZS39" s="987">
        <f t="shared" si="52"/>
        <v>0</v>
      </c>
      <c r="AZT39" s="987"/>
      <c r="AZU39" s="987"/>
      <c r="AZV39" s="987"/>
      <c r="AZW39" s="987"/>
      <c r="AZX39" s="987">
        <f t="shared" si="53"/>
        <v>0</v>
      </c>
      <c r="AZY39" s="1026" t="s">
        <v>45</v>
      </c>
      <c r="AZZ39" s="434"/>
      <c r="BAA39" s="1027"/>
      <c r="BAB39" s="1027"/>
      <c r="BAC39" s="24"/>
      <c r="BAD39" s="1027"/>
      <c r="BAE39" s="1027"/>
      <c r="BAF39" s="25"/>
      <c r="BAG39" s="987">
        <f>SUM(BAG36:BAG38)</f>
        <v>0</v>
      </c>
      <c r="BAH39" s="987">
        <f t="shared" si="52"/>
        <v>0</v>
      </c>
      <c r="BAI39" s="987">
        <f t="shared" si="52"/>
        <v>0</v>
      </c>
      <c r="BAJ39" s="987"/>
      <c r="BAK39" s="987"/>
      <c r="BAL39" s="987"/>
      <c r="BAM39" s="987"/>
      <c r="BAN39" s="987">
        <f t="shared" si="53"/>
        <v>0</v>
      </c>
      <c r="BAO39" s="1026" t="s">
        <v>45</v>
      </c>
      <c r="BAP39" s="434"/>
      <c r="BAQ39" s="1027"/>
      <c r="BAR39" s="1027"/>
      <c r="BAS39" s="24"/>
      <c r="BAT39" s="1027"/>
      <c r="BAU39" s="1027"/>
      <c r="BAV39" s="25"/>
      <c r="BAW39" s="987">
        <f>SUM(BAW36:BAW38)</f>
        <v>0</v>
      </c>
      <c r="BAX39" s="987">
        <f t="shared" si="52"/>
        <v>0</v>
      </c>
      <c r="BAY39" s="987">
        <f t="shared" si="52"/>
        <v>0</v>
      </c>
      <c r="BAZ39" s="987"/>
      <c r="BBA39" s="987"/>
      <c r="BBB39" s="987"/>
      <c r="BBC39" s="987"/>
      <c r="BBD39" s="987">
        <f t="shared" si="53"/>
        <v>0</v>
      </c>
      <c r="BBE39" s="1026" t="s">
        <v>45</v>
      </c>
      <c r="BBF39" s="434"/>
      <c r="BBG39" s="1027"/>
      <c r="BBH39" s="1027"/>
      <c r="BBI39" s="24"/>
      <c r="BBJ39" s="1027"/>
      <c r="BBK39" s="1027"/>
      <c r="BBL39" s="25"/>
      <c r="BBM39" s="987">
        <f>SUM(BBM36:BBM38)</f>
        <v>0</v>
      </c>
      <c r="BBN39" s="987">
        <f t="shared" ref="BBN39:BDK39" si="54">SUM(BBN36:BBN38)</f>
        <v>0</v>
      </c>
      <c r="BBO39" s="987">
        <f t="shared" si="54"/>
        <v>0</v>
      </c>
      <c r="BBP39" s="987"/>
      <c r="BBQ39" s="987"/>
      <c r="BBR39" s="987"/>
      <c r="BBS39" s="987"/>
      <c r="BBT39" s="987">
        <f t="shared" ref="BBT39:BDP39" si="55">SUM(BBT36:BBT38)</f>
        <v>0</v>
      </c>
      <c r="BBU39" s="1026" t="s">
        <v>45</v>
      </c>
      <c r="BBV39" s="434"/>
      <c r="BBW39" s="1027"/>
      <c r="BBX39" s="1027"/>
      <c r="BBY39" s="24"/>
      <c r="BBZ39" s="1027"/>
      <c r="BCA39" s="1027"/>
      <c r="BCB39" s="25"/>
      <c r="BCC39" s="987">
        <f>SUM(BCC36:BCC38)</f>
        <v>0</v>
      </c>
      <c r="BCD39" s="987">
        <f t="shared" si="54"/>
        <v>0</v>
      </c>
      <c r="BCE39" s="987">
        <f t="shared" si="54"/>
        <v>0</v>
      </c>
      <c r="BCF39" s="987"/>
      <c r="BCG39" s="987"/>
      <c r="BCH39" s="987"/>
      <c r="BCI39" s="987"/>
      <c r="BCJ39" s="987">
        <f t="shared" si="55"/>
        <v>0</v>
      </c>
      <c r="BCK39" s="1026" t="s">
        <v>45</v>
      </c>
      <c r="BCL39" s="434"/>
      <c r="BCM39" s="1027"/>
      <c r="BCN39" s="1027"/>
      <c r="BCO39" s="24"/>
      <c r="BCP39" s="1027"/>
      <c r="BCQ39" s="1027"/>
      <c r="BCR39" s="25"/>
      <c r="BCS39" s="987">
        <f>SUM(BCS36:BCS38)</f>
        <v>0</v>
      </c>
      <c r="BCT39" s="987">
        <f t="shared" si="54"/>
        <v>0</v>
      </c>
      <c r="BCU39" s="987">
        <f t="shared" si="54"/>
        <v>0</v>
      </c>
      <c r="BCV39" s="987"/>
      <c r="BCW39" s="987"/>
      <c r="BCX39" s="987"/>
      <c r="BCY39" s="987"/>
      <c r="BCZ39" s="987">
        <f t="shared" si="55"/>
        <v>0</v>
      </c>
      <c r="BDA39" s="1026" t="s">
        <v>45</v>
      </c>
      <c r="BDB39" s="434"/>
      <c r="BDC39" s="1027"/>
      <c r="BDD39" s="1027"/>
      <c r="BDE39" s="24"/>
      <c r="BDF39" s="1027"/>
      <c r="BDG39" s="1027"/>
      <c r="BDH39" s="25"/>
      <c r="BDI39" s="987">
        <f>SUM(BDI36:BDI38)</f>
        <v>0</v>
      </c>
      <c r="BDJ39" s="987">
        <f t="shared" si="54"/>
        <v>0</v>
      </c>
      <c r="BDK39" s="987">
        <f t="shared" si="54"/>
        <v>0</v>
      </c>
      <c r="BDL39" s="987"/>
      <c r="BDM39" s="987"/>
      <c r="BDN39" s="987"/>
      <c r="BDO39" s="987"/>
      <c r="BDP39" s="987">
        <f t="shared" si="55"/>
        <v>0</v>
      </c>
      <c r="BDQ39" s="1026" t="s">
        <v>45</v>
      </c>
      <c r="BDR39" s="434"/>
      <c r="BDS39" s="1027"/>
      <c r="BDT39" s="1027"/>
      <c r="BDU39" s="24"/>
      <c r="BDV39" s="1027"/>
      <c r="BDW39" s="1027"/>
      <c r="BDX39" s="25"/>
      <c r="BDY39" s="987">
        <f>SUM(BDY36:BDY38)</f>
        <v>0</v>
      </c>
      <c r="BDZ39" s="987">
        <f t="shared" ref="BDZ39:BFW39" si="56">SUM(BDZ36:BDZ38)</f>
        <v>0</v>
      </c>
      <c r="BEA39" s="987">
        <f t="shared" si="56"/>
        <v>0</v>
      </c>
      <c r="BEB39" s="987"/>
      <c r="BEC39" s="987"/>
      <c r="BED39" s="987"/>
      <c r="BEE39" s="987"/>
      <c r="BEF39" s="987">
        <f t="shared" ref="BEF39:BGB39" si="57">SUM(BEF36:BEF38)</f>
        <v>0</v>
      </c>
      <c r="BEG39" s="1026" t="s">
        <v>45</v>
      </c>
      <c r="BEH39" s="434"/>
      <c r="BEI39" s="1027"/>
      <c r="BEJ39" s="1027"/>
      <c r="BEK39" s="24"/>
      <c r="BEL39" s="1027"/>
      <c r="BEM39" s="1027"/>
      <c r="BEN39" s="25"/>
      <c r="BEO39" s="987">
        <f>SUM(BEO36:BEO38)</f>
        <v>0</v>
      </c>
      <c r="BEP39" s="987">
        <f t="shared" si="56"/>
        <v>0</v>
      </c>
      <c r="BEQ39" s="987">
        <f t="shared" si="56"/>
        <v>0</v>
      </c>
      <c r="BER39" s="987"/>
      <c r="BES39" s="987"/>
      <c r="BET39" s="987"/>
      <c r="BEU39" s="987"/>
      <c r="BEV39" s="987">
        <f t="shared" si="57"/>
        <v>0</v>
      </c>
      <c r="BEW39" s="1026" t="s">
        <v>45</v>
      </c>
      <c r="BEX39" s="434"/>
      <c r="BEY39" s="1027"/>
      <c r="BEZ39" s="1027"/>
      <c r="BFA39" s="24"/>
      <c r="BFB39" s="1027"/>
      <c r="BFC39" s="1027"/>
      <c r="BFD39" s="25"/>
      <c r="BFE39" s="987">
        <f>SUM(BFE36:BFE38)</f>
        <v>0</v>
      </c>
      <c r="BFF39" s="987">
        <f t="shared" si="56"/>
        <v>0</v>
      </c>
      <c r="BFG39" s="987">
        <f t="shared" si="56"/>
        <v>0</v>
      </c>
      <c r="BFH39" s="987"/>
      <c r="BFI39" s="987"/>
      <c r="BFJ39" s="987"/>
      <c r="BFK39" s="987"/>
      <c r="BFL39" s="987">
        <f t="shared" si="57"/>
        <v>0</v>
      </c>
      <c r="BFM39" s="1026" t="s">
        <v>45</v>
      </c>
      <c r="BFN39" s="434"/>
      <c r="BFO39" s="1027"/>
      <c r="BFP39" s="1027"/>
      <c r="BFQ39" s="24"/>
      <c r="BFR39" s="1027"/>
      <c r="BFS39" s="1027"/>
      <c r="BFT39" s="25"/>
      <c r="BFU39" s="987">
        <f>SUM(BFU36:BFU38)</f>
        <v>0</v>
      </c>
      <c r="BFV39" s="987">
        <f t="shared" si="56"/>
        <v>0</v>
      </c>
      <c r="BFW39" s="987">
        <f t="shared" si="56"/>
        <v>0</v>
      </c>
      <c r="BFX39" s="987"/>
      <c r="BFY39" s="987"/>
      <c r="BFZ39" s="987"/>
      <c r="BGA39" s="987"/>
      <c r="BGB39" s="987">
        <f t="shared" si="57"/>
        <v>0</v>
      </c>
      <c r="BGC39" s="1026" t="s">
        <v>45</v>
      </c>
      <c r="BGD39" s="434"/>
      <c r="BGE39" s="1027"/>
      <c r="BGF39" s="1027"/>
      <c r="BGG39" s="24"/>
      <c r="BGH39" s="1027"/>
      <c r="BGI39" s="1027"/>
      <c r="BGJ39" s="25"/>
      <c r="BGK39" s="987">
        <f>SUM(BGK36:BGK38)</f>
        <v>0</v>
      </c>
      <c r="BGL39" s="987">
        <f t="shared" ref="BGL39:BII39" si="58">SUM(BGL36:BGL38)</f>
        <v>0</v>
      </c>
      <c r="BGM39" s="987">
        <f t="shared" si="58"/>
        <v>0</v>
      </c>
      <c r="BGN39" s="987"/>
      <c r="BGO39" s="987"/>
      <c r="BGP39" s="987"/>
      <c r="BGQ39" s="987"/>
      <c r="BGR39" s="987">
        <f t="shared" ref="BGR39:BIN39" si="59">SUM(BGR36:BGR38)</f>
        <v>0</v>
      </c>
      <c r="BGS39" s="1026" t="s">
        <v>45</v>
      </c>
      <c r="BGT39" s="434"/>
      <c r="BGU39" s="1027"/>
      <c r="BGV39" s="1027"/>
      <c r="BGW39" s="24"/>
      <c r="BGX39" s="1027"/>
      <c r="BGY39" s="1027"/>
      <c r="BGZ39" s="25"/>
      <c r="BHA39" s="987">
        <f>SUM(BHA36:BHA38)</f>
        <v>0</v>
      </c>
      <c r="BHB39" s="987">
        <f t="shared" si="58"/>
        <v>0</v>
      </c>
      <c r="BHC39" s="987">
        <f t="shared" si="58"/>
        <v>0</v>
      </c>
      <c r="BHD39" s="987"/>
      <c r="BHE39" s="987"/>
      <c r="BHF39" s="987"/>
      <c r="BHG39" s="987"/>
      <c r="BHH39" s="987">
        <f t="shared" si="59"/>
        <v>0</v>
      </c>
      <c r="BHI39" s="1026" t="s">
        <v>45</v>
      </c>
      <c r="BHJ39" s="434"/>
      <c r="BHK39" s="1027"/>
      <c r="BHL39" s="1027"/>
      <c r="BHM39" s="24"/>
      <c r="BHN39" s="1027"/>
      <c r="BHO39" s="1027"/>
      <c r="BHP39" s="25"/>
      <c r="BHQ39" s="987">
        <f>SUM(BHQ36:BHQ38)</f>
        <v>0</v>
      </c>
      <c r="BHR39" s="987">
        <f t="shared" si="58"/>
        <v>0</v>
      </c>
      <c r="BHS39" s="987">
        <f t="shared" si="58"/>
        <v>0</v>
      </c>
      <c r="BHT39" s="987"/>
      <c r="BHU39" s="987"/>
      <c r="BHV39" s="987"/>
      <c r="BHW39" s="987"/>
      <c r="BHX39" s="987">
        <f t="shared" si="59"/>
        <v>0</v>
      </c>
      <c r="BHY39" s="1026" t="s">
        <v>45</v>
      </c>
      <c r="BHZ39" s="434"/>
      <c r="BIA39" s="1027"/>
      <c r="BIB39" s="1027"/>
      <c r="BIC39" s="24"/>
      <c r="BID39" s="1027"/>
      <c r="BIE39" s="1027"/>
      <c r="BIF39" s="25"/>
      <c r="BIG39" s="987">
        <f>SUM(BIG36:BIG38)</f>
        <v>0</v>
      </c>
      <c r="BIH39" s="987">
        <f t="shared" si="58"/>
        <v>0</v>
      </c>
      <c r="BII39" s="987">
        <f t="shared" si="58"/>
        <v>0</v>
      </c>
      <c r="BIJ39" s="987"/>
      <c r="BIK39" s="987"/>
      <c r="BIL39" s="987"/>
      <c r="BIM39" s="987"/>
      <c r="BIN39" s="987">
        <f t="shared" si="59"/>
        <v>0</v>
      </c>
      <c r="BIO39" s="1026" t="s">
        <v>45</v>
      </c>
      <c r="BIP39" s="434"/>
      <c r="BIQ39" s="1027"/>
      <c r="BIR39" s="1027"/>
      <c r="BIS39" s="24"/>
      <c r="BIT39" s="1027"/>
      <c r="BIU39" s="1027"/>
      <c r="BIV39" s="25"/>
      <c r="BIW39" s="987">
        <f>SUM(BIW36:BIW38)</f>
        <v>0</v>
      </c>
      <c r="BIX39" s="987">
        <f t="shared" ref="BIX39:BKU39" si="60">SUM(BIX36:BIX38)</f>
        <v>0</v>
      </c>
      <c r="BIY39" s="987">
        <f t="shared" si="60"/>
        <v>0</v>
      </c>
      <c r="BIZ39" s="987"/>
      <c r="BJA39" s="987"/>
      <c r="BJB39" s="987"/>
      <c r="BJC39" s="987"/>
      <c r="BJD39" s="987">
        <f t="shared" ref="BJD39:BKZ39" si="61">SUM(BJD36:BJD38)</f>
        <v>0</v>
      </c>
      <c r="BJE39" s="1026" t="s">
        <v>45</v>
      </c>
      <c r="BJF39" s="434"/>
      <c r="BJG39" s="1027"/>
      <c r="BJH39" s="1027"/>
      <c r="BJI39" s="24"/>
      <c r="BJJ39" s="1027"/>
      <c r="BJK39" s="1027"/>
      <c r="BJL39" s="25"/>
      <c r="BJM39" s="987">
        <f>SUM(BJM36:BJM38)</f>
        <v>0</v>
      </c>
      <c r="BJN39" s="987">
        <f t="shared" si="60"/>
        <v>0</v>
      </c>
      <c r="BJO39" s="987">
        <f t="shared" si="60"/>
        <v>0</v>
      </c>
      <c r="BJP39" s="987"/>
      <c r="BJQ39" s="987"/>
      <c r="BJR39" s="987"/>
      <c r="BJS39" s="987"/>
      <c r="BJT39" s="987">
        <f t="shared" si="61"/>
        <v>0</v>
      </c>
      <c r="BJU39" s="1026" t="s">
        <v>45</v>
      </c>
      <c r="BJV39" s="434"/>
      <c r="BJW39" s="1027"/>
      <c r="BJX39" s="1027"/>
      <c r="BJY39" s="24"/>
      <c r="BJZ39" s="1027"/>
      <c r="BKA39" s="1027"/>
      <c r="BKB39" s="25"/>
      <c r="BKC39" s="987">
        <f>SUM(BKC36:BKC38)</f>
        <v>0</v>
      </c>
      <c r="BKD39" s="987">
        <f t="shared" si="60"/>
        <v>0</v>
      </c>
      <c r="BKE39" s="987">
        <f t="shared" si="60"/>
        <v>0</v>
      </c>
      <c r="BKF39" s="987"/>
      <c r="BKG39" s="987"/>
      <c r="BKH39" s="987"/>
      <c r="BKI39" s="987"/>
      <c r="BKJ39" s="987">
        <f t="shared" si="61"/>
        <v>0</v>
      </c>
      <c r="BKK39" s="1026" t="s">
        <v>45</v>
      </c>
      <c r="BKL39" s="434"/>
      <c r="BKM39" s="1027"/>
      <c r="BKN39" s="1027"/>
      <c r="BKO39" s="24"/>
      <c r="BKP39" s="1027"/>
      <c r="BKQ39" s="1027"/>
      <c r="BKR39" s="25"/>
      <c r="BKS39" s="987">
        <f>SUM(BKS36:BKS38)</f>
        <v>0</v>
      </c>
      <c r="BKT39" s="987">
        <f t="shared" si="60"/>
        <v>0</v>
      </c>
      <c r="BKU39" s="987">
        <f t="shared" si="60"/>
        <v>0</v>
      </c>
      <c r="BKV39" s="987"/>
      <c r="BKW39" s="987"/>
      <c r="BKX39" s="987"/>
      <c r="BKY39" s="987"/>
      <c r="BKZ39" s="987">
        <f t="shared" si="61"/>
        <v>0</v>
      </c>
      <c r="BLA39" s="1026" t="s">
        <v>45</v>
      </c>
      <c r="BLB39" s="434"/>
      <c r="BLC39" s="1027"/>
      <c r="BLD39" s="1027"/>
      <c r="BLE39" s="24"/>
      <c r="BLF39" s="1027"/>
      <c r="BLG39" s="1027"/>
      <c r="BLH39" s="25"/>
      <c r="BLI39" s="987">
        <f>SUM(BLI36:BLI38)</f>
        <v>0</v>
      </c>
      <c r="BLJ39" s="987">
        <f t="shared" ref="BLJ39:BNG39" si="62">SUM(BLJ36:BLJ38)</f>
        <v>0</v>
      </c>
      <c r="BLK39" s="987">
        <f t="shared" si="62"/>
        <v>0</v>
      </c>
      <c r="BLL39" s="987"/>
      <c r="BLM39" s="987"/>
      <c r="BLN39" s="987"/>
      <c r="BLO39" s="987"/>
      <c r="BLP39" s="987">
        <f t="shared" ref="BLP39:BNL39" si="63">SUM(BLP36:BLP38)</f>
        <v>0</v>
      </c>
      <c r="BLQ39" s="1026" t="s">
        <v>45</v>
      </c>
      <c r="BLR39" s="434"/>
      <c r="BLS39" s="1027"/>
      <c r="BLT39" s="1027"/>
      <c r="BLU39" s="24"/>
      <c r="BLV39" s="1027"/>
      <c r="BLW39" s="1027"/>
      <c r="BLX39" s="25"/>
      <c r="BLY39" s="987">
        <f>SUM(BLY36:BLY38)</f>
        <v>0</v>
      </c>
      <c r="BLZ39" s="987">
        <f t="shared" si="62"/>
        <v>0</v>
      </c>
      <c r="BMA39" s="987">
        <f t="shared" si="62"/>
        <v>0</v>
      </c>
      <c r="BMB39" s="987"/>
      <c r="BMC39" s="987"/>
      <c r="BMD39" s="987"/>
      <c r="BME39" s="987"/>
      <c r="BMF39" s="987">
        <f t="shared" si="63"/>
        <v>0</v>
      </c>
      <c r="BMG39" s="1026" t="s">
        <v>45</v>
      </c>
      <c r="BMH39" s="434"/>
      <c r="BMI39" s="1027"/>
      <c r="BMJ39" s="1027"/>
      <c r="BMK39" s="24"/>
      <c r="BML39" s="1027"/>
      <c r="BMM39" s="1027"/>
      <c r="BMN39" s="25"/>
      <c r="BMO39" s="987">
        <f>SUM(BMO36:BMO38)</f>
        <v>0</v>
      </c>
      <c r="BMP39" s="987">
        <f t="shared" si="62"/>
        <v>0</v>
      </c>
      <c r="BMQ39" s="987">
        <f t="shared" si="62"/>
        <v>0</v>
      </c>
      <c r="BMR39" s="987"/>
      <c r="BMS39" s="987"/>
      <c r="BMT39" s="987"/>
      <c r="BMU39" s="987"/>
      <c r="BMV39" s="987">
        <f t="shared" si="63"/>
        <v>0</v>
      </c>
      <c r="BMW39" s="1026" t="s">
        <v>45</v>
      </c>
      <c r="BMX39" s="434"/>
      <c r="BMY39" s="1027"/>
      <c r="BMZ39" s="1027"/>
      <c r="BNA39" s="24"/>
      <c r="BNB39" s="1027"/>
      <c r="BNC39" s="1027"/>
      <c r="BND39" s="25"/>
      <c r="BNE39" s="987">
        <f>SUM(BNE36:BNE38)</f>
        <v>0</v>
      </c>
      <c r="BNF39" s="987">
        <f t="shared" si="62"/>
        <v>0</v>
      </c>
      <c r="BNG39" s="987">
        <f t="shared" si="62"/>
        <v>0</v>
      </c>
      <c r="BNH39" s="987"/>
      <c r="BNI39" s="987"/>
      <c r="BNJ39" s="987"/>
      <c r="BNK39" s="987"/>
      <c r="BNL39" s="987">
        <f t="shared" si="63"/>
        <v>0</v>
      </c>
      <c r="BNM39" s="1026" t="s">
        <v>45</v>
      </c>
      <c r="BNN39" s="434"/>
      <c r="BNO39" s="1027"/>
      <c r="BNP39" s="1027"/>
      <c r="BNQ39" s="24"/>
      <c r="BNR39" s="1027"/>
      <c r="BNS39" s="1027"/>
      <c r="BNT39" s="25"/>
      <c r="BNU39" s="987">
        <f>SUM(BNU36:BNU38)</f>
        <v>0</v>
      </c>
      <c r="BNV39" s="987">
        <f t="shared" ref="BNV39:BPS39" si="64">SUM(BNV36:BNV38)</f>
        <v>0</v>
      </c>
      <c r="BNW39" s="987">
        <f t="shared" si="64"/>
        <v>0</v>
      </c>
      <c r="BNX39" s="987"/>
      <c r="BNY39" s="987"/>
      <c r="BNZ39" s="987"/>
      <c r="BOA39" s="987"/>
      <c r="BOB39" s="987">
        <f t="shared" ref="BOB39:BPX39" si="65">SUM(BOB36:BOB38)</f>
        <v>0</v>
      </c>
      <c r="BOC39" s="1026" t="s">
        <v>45</v>
      </c>
      <c r="BOD39" s="434"/>
      <c r="BOE39" s="1027"/>
      <c r="BOF39" s="1027"/>
      <c r="BOG39" s="24"/>
      <c r="BOH39" s="1027"/>
      <c r="BOI39" s="1027"/>
      <c r="BOJ39" s="25"/>
      <c r="BOK39" s="987">
        <f>SUM(BOK36:BOK38)</f>
        <v>0</v>
      </c>
      <c r="BOL39" s="987">
        <f t="shared" si="64"/>
        <v>0</v>
      </c>
      <c r="BOM39" s="987">
        <f t="shared" si="64"/>
        <v>0</v>
      </c>
      <c r="BON39" s="987"/>
      <c r="BOO39" s="987"/>
      <c r="BOP39" s="987"/>
      <c r="BOQ39" s="987"/>
      <c r="BOR39" s="987">
        <f t="shared" si="65"/>
        <v>0</v>
      </c>
      <c r="BOS39" s="1026" t="s">
        <v>45</v>
      </c>
      <c r="BOT39" s="434"/>
      <c r="BOU39" s="1027"/>
      <c r="BOV39" s="1027"/>
      <c r="BOW39" s="24"/>
      <c r="BOX39" s="1027"/>
      <c r="BOY39" s="1027"/>
      <c r="BOZ39" s="25"/>
      <c r="BPA39" s="987">
        <f>SUM(BPA36:BPA38)</f>
        <v>0</v>
      </c>
      <c r="BPB39" s="987">
        <f t="shared" si="64"/>
        <v>0</v>
      </c>
      <c r="BPC39" s="987">
        <f t="shared" si="64"/>
        <v>0</v>
      </c>
      <c r="BPD39" s="987"/>
      <c r="BPE39" s="987"/>
      <c r="BPF39" s="987"/>
      <c r="BPG39" s="987"/>
      <c r="BPH39" s="987">
        <f t="shared" si="65"/>
        <v>0</v>
      </c>
      <c r="BPI39" s="1026" t="s">
        <v>45</v>
      </c>
      <c r="BPJ39" s="434"/>
      <c r="BPK39" s="1027"/>
      <c r="BPL39" s="1027"/>
      <c r="BPM39" s="24"/>
      <c r="BPN39" s="1027"/>
      <c r="BPO39" s="1027"/>
      <c r="BPP39" s="25"/>
      <c r="BPQ39" s="987">
        <f>SUM(BPQ36:BPQ38)</f>
        <v>0</v>
      </c>
      <c r="BPR39" s="987">
        <f t="shared" si="64"/>
        <v>0</v>
      </c>
      <c r="BPS39" s="987">
        <f t="shared" si="64"/>
        <v>0</v>
      </c>
      <c r="BPT39" s="987"/>
      <c r="BPU39" s="987"/>
      <c r="BPV39" s="987"/>
      <c r="BPW39" s="987"/>
      <c r="BPX39" s="987">
        <f t="shared" si="65"/>
        <v>0</v>
      </c>
      <c r="BPY39" s="1026" t="s">
        <v>45</v>
      </c>
      <c r="BPZ39" s="434"/>
      <c r="BQA39" s="1027"/>
      <c r="BQB39" s="1027"/>
      <c r="BQC39" s="24"/>
      <c r="BQD39" s="1027"/>
      <c r="BQE39" s="1027"/>
      <c r="BQF39" s="25"/>
      <c r="BQG39" s="987">
        <f>SUM(BQG36:BQG38)</f>
        <v>0</v>
      </c>
      <c r="BQH39" s="987">
        <f t="shared" ref="BQH39:BSE39" si="66">SUM(BQH36:BQH38)</f>
        <v>0</v>
      </c>
      <c r="BQI39" s="987">
        <f t="shared" si="66"/>
        <v>0</v>
      </c>
      <c r="BQJ39" s="987"/>
      <c r="BQK39" s="987"/>
      <c r="BQL39" s="987"/>
      <c r="BQM39" s="987"/>
      <c r="BQN39" s="987">
        <f t="shared" ref="BQN39:BSJ39" si="67">SUM(BQN36:BQN38)</f>
        <v>0</v>
      </c>
      <c r="BQO39" s="1026" t="s">
        <v>45</v>
      </c>
      <c r="BQP39" s="434"/>
      <c r="BQQ39" s="1027"/>
      <c r="BQR39" s="1027"/>
      <c r="BQS39" s="24"/>
      <c r="BQT39" s="1027"/>
      <c r="BQU39" s="1027"/>
      <c r="BQV39" s="25"/>
      <c r="BQW39" s="987">
        <f>SUM(BQW36:BQW38)</f>
        <v>0</v>
      </c>
      <c r="BQX39" s="987">
        <f t="shared" si="66"/>
        <v>0</v>
      </c>
      <c r="BQY39" s="987">
        <f t="shared" si="66"/>
        <v>0</v>
      </c>
      <c r="BQZ39" s="987"/>
      <c r="BRA39" s="987"/>
      <c r="BRB39" s="987"/>
      <c r="BRC39" s="987"/>
      <c r="BRD39" s="987">
        <f t="shared" si="67"/>
        <v>0</v>
      </c>
      <c r="BRE39" s="1026" t="s">
        <v>45</v>
      </c>
      <c r="BRF39" s="434"/>
      <c r="BRG39" s="1027"/>
      <c r="BRH39" s="1027"/>
      <c r="BRI39" s="24"/>
      <c r="BRJ39" s="1027"/>
      <c r="BRK39" s="1027"/>
      <c r="BRL39" s="25"/>
      <c r="BRM39" s="987">
        <f>SUM(BRM36:BRM38)</f>
        <v>0</v>
      </c>
      <c r="BRN39" s="987">
        <f t="shared" si="66"/>
        <v>0</v>
      </c>
      <c r="BRO39" s="987">
        <f t="shared" si="66"/>
        <v>0</v>
      </c>
      <c r="BRP39" s="987"/>
      <c r="BRQ39" s="987"/>
      <c r="BRR39" s="987"/>
      <c r="BRS39" s="987"/>
      <c r="BRT39" s="987">
        <f t="shared" si="67"/>
        <v>0</v>
      </c>
      <c r="BRU39" s="1026" t="s">
        <v>45</v>
      </c>
      <c r="BRV39" s="434"/>
      <c r="BRW39" s="1027"/>
      <c r="BRX39" s="1027"/>
      <c r="BRY39" s="24"/>
      <c r="BRZ39" s="1027"/>
      <c r="BSA39" s="1027"/>
      <c r="BSB39" s="25"/>
      <c r="BSC39" s="987">
        <f>SUM(BSC36:BSC38)</f>
        <v>0</v>
      </c>
      <c r="BSD39" s="987">
        <f t="shared" si="66"/>
        <v>0</v>
      </c>
      <c r="BSE39" s="987">
        <f t="shared" si="66"/>
        <v>0</v>
      </c>
      <c r="BSF39" s="987"/>
      <c r="BSG39" s="987"/>
      <c r="BSH39" s="987"/>
      <c r="BSI39" s="987"/>
      <c r="BSJ39" s="987">
        <f t="shared" si="67"/>
        <v>0</v>
      </c>
      <c r="BSK39" s="1026" t="s">
        <v>45</v>
      </c>
      <c r="BSL39" s="434"/>
      <c r="BSM39" s="1027"/>
      <c r="BSN39" s="1027"/>
      <c r="BSO39" s="24"/>
      <c r="BSP39" s="1027"/>
      <c r="BSQ39" s="1027"/>
      <c r="BSR39" s="25"/>
      <c r="BSS39" s="987">
        <f>SUM(BSS36:BSS38)</f>
        <v>0</v>
      </c>
      <c r="BST39" s="987">
        <f t="shared" ref="BST39:BUQ39" si="68">SUM(BST36:BST38)</f>
        <v>0</v>
      </c>
      <c r="BSU39" s="987">
        <f t="shared" si="68"/>
        <v>0</v>
      </c>
      <c r="BSV39" s="987"/>
      <c r="BSW39" s="987"/>
      <c r="BSX39" s="987"/>
      <c r="BSY39" s="987"/>
      <c r="BSZ39" s="987">
        <f t="shared" ref="BSZ39:BUV39" si="69">SUM(BSZ36:BSZ38)</f>
        <v>0</v>
      </c>
      <c r="BTA39" s="1026" t="s">
        <v>45</v>
      </c>
      <c r="BTB39" s="434"/>
      <c r="BTC39" s="1027"/>
      <c r="BTD39" s="1027"/>
      <c r="BTE39" s="24"/>
      <c r="BTF39" s="1027"/>
      <c r="BTG39" s="1027"/>
      <c r="BTH39" s="25"/>
      <c r="BTI39" s="987">
        <f>SUM(BTI36:BTI38)</f>
        <v>0</v>
      </c>
      <c r="BTJ39" s="987">
        <f t="shared" si="68"/>
        <v>0</v>
      </c>
      <c r="BTK39" s="987">
        <f t="shared" si="68"/>
        <v>0</v>
      </c>
      <c r="BTL39" s="987"/>
      <c r="BTM39" s="987"/>
      <c r="BTN39" s="987"/>
      <c r="BTO39" s="987"/>
      <c r="BTP39" s="987">
        <f t="shared" si="69"/>
        <v>0</v>
      </c>
      <c r="BTQ39" s="1026" t="s">
        <v>45</v>
      </c>
      <c r="BTR39" s="434"/>
      <c r="BTS39" s="1027"/>
      <c r="BTT39" s="1027"/>
      <c r="BTU39" s="24"/>
      <c r="BTV39" s="1027"/>
      <c r="BTW39" s="1027"/>
      <c r="BTX39" s="25"/>
      <c r="BTY39" s="987">
        <f>SUM(BTY36:BTY38)</f>
        <v>0</v>
      </c>
      <c r="BTZ39" s="987">
        <f t="shared" si="68"/>
        <v>0</v>
      </c>
      <c r="BUA39" s="987">
        <f t="shared" si="68"/>
        <v>0</v>
      </c>
      <c r="BUB39" s="987"/>
      <c r="BUC39" s="987"/>
      <c r="BUD39" s="987"/>
      <c r="BUE39" s="987"/>
      <c r="BUF39" s="987">
        <f t="shared" si="69"/>
        <v>0</v>
      </c>
      <c r="BUG39" s="1026" t="s">
        <v>45</v>
      </c>
      <c r="BUH39" s="434"/>
      <c r="BUI39" s="1027"/>
      <c r="BUJ39" s="1027"/>
      <c r="BUK39" s="24"/>
      <c r="BUL39" s="1027"/>
      <c r="BUM39" s="1027"/>
      <c r="BUN39" s="25"/>
      <c r="BUO39" s="987">
        <f>SUM(BUO36:BUO38)</f>
        <v>0</v>
      </c>
      <c r="BUP39" s="987">
        <f t="shared" si="68"/>
        <v>0</v>
      </c>
      <c r="BUQ39" s="987">
        <f t="shared" si="68"/>
        <v>0</v>
      </c>
      <c r="BUR39" s="987"/>
      <c r="BUS39" s="987"/>
      <c r="BUT39" s="987"/>
      <c r="BUU39" s="987"/>
      <c r="BUV39" s="987">
        <f t="shared" si="69"/>
        <v>0</v>
      </c>
      <c r="BUW39" s="1026" t="s">
        <v>45</v>
      </c>
      <c r="BUX39" s="434"/>
      <c r="BUY39" s="1027"/>
      <c r="BUZ39" s="1027"/>
      <c r="BVA39" s="24"/>
      <c r="BVB39" s="1027"/>
      <c r="BVC39" s="1027"/>
      <c r="BVD39" s="25"/>
      <c r="BVE39" s="987">
        <f>SUM(BVE36:BVE38)</f>
        <v>0</v>
      </c>
      <c r="BVF39" s="987">
        <f t="shared" ref="BVF39:BXC39" si="70">SUM(BVF36:BVF38)</f>
        <v>0</v>
      </c>
      <c r="BVG39" s="987">
        <f t="shared" si="70"/>
        <v>0</v>
      </c>
      <c r="BVH39" s="987"/>
      <c r="BVI39" s="987"/>
      <c r="BVJ39" s="987"/>
      <c r="BVK39" s="987"/>
      <c r="BVL39" s="987">
        <f t="shared" ref="BVL39:BXH39" si="71">SUM(BVL36:BVL38)</f>
        <v>0</v>
      </c>
      <c r="BVM39" s="1026" t="s">
        <v>45</v>
      </c>
      <c r="BVN39" s="434"/>
      <c r="BVO39" s="1027"/>
      <c r="BVP39" s="1027"/>
      <c r="BVQ39" s="24"/>
      <c r="BVR39" s="1027"/>
      <c r="BVS39" s="1027"/>
      <c r="BVT39" s="25"/>
      <c r="BVU39" s="987">
        <f>SUM(BVU36:BVU38)</f>
        <v>0</v>
      </c>
      <c r="BVV39" s="987">
        <f t="shared" si="70"/>
        <v>0</v>
      </c>
      <c r="BVW39" s="987">
        <f t="shared" si="70"/>
        <v>0</v>
      </c>
      <c r="BVX39" s="987"/>
      <c r="BVY39" s="987"/>
      <c r="BVZ39" s="987"/>
      <c r="BWA39" s="987"/>
      <c r="BWB39" s="987">
        <f t="shared" si="71"/>
        <v>0</v>
      </c>
      <c r="BWC39" s="1026" t="s">
        <v>45</v>
      </c>
      <c r="BWD39" s="434"/>
      <c r="BWE39" s="1027"/>
      <c r="BWF39" s="1027"/>
      <c r="BWG39" s="24"/>
      <c r="BWH39" s="1027"/>
      <c r="BWI39" s="1027"/>
      <c r="BWJ39" s="25"/>
      <c r="BWK39" s="987">
        <f>SUM(BWK36:BWK38)</f>
        <v>0</v>
      </c>
      <c r="BWL39" s="987">
        <f t="shared" si="70"/>
        <v>0</v>
      </c>
      <c r="BWM39" s="987">
        <f t="shared" si="70"/>
        <v>0</v>
      </c>
      <c r="BWN39" s="987"/>
      <c r="BWO39" s="987"/>
      <c r="BWP39" s="987"/>
      <c r="BWQ39" s="987"/>
      <c r="BWR39" s="987">
        <f t="shared" si="71"/>
        <v>0</v>
      </c>
      <c r="BWS39" s="1026" t="s">
        <v>45</v>
      </c>
      <c r="BWT39" s="434"/>
      <c r="BWU39" s="1027"/>
      <c r="BWV39" s="1027"/>
      <c r="BWW39" s="24"/>
      <c r="BWX39" s="1027"/>
      <c r="BWY39" s="1027"/>
      <c r="BWZ39" s="25"/>
      <c r="BXA39" s="987">
        <f>SUM(BXA36:BXA38)</f>
        <v>0</v>
      </c>
      <c r="BXB39" s="987">
        <f t="shared" si="70"/>
        <v>0</v>
      </c>
      <c r="BXC39" s="987">
        <f t="shared" si="70"/>
        <v>0</v>
      </c>
      <c r="BXD39" s="987"/>
      <c r="BXE39" s="987"/>
      <c r="BXF39" s="987"/>
      <c r="BXG39" s="987"/>
      <c r="BXH39" s="987">
        <f t="shared" si="71"/>
        <v>0</v>
      </c>
      <c r="BXI39" s="1026" t="s">
        <v>45</v>
      </c>
      <c r="BXJ39" s="434"/>
      <c r="BXK39" s="1027"/>
      <c r="BXL39" s="1027"/>
      <c r="BXM39" s="24"/>
      <c r="BXN39" s="1027"/>
      <c r="BXO39" s="1027"/>
      <c r="BXP39" s="25"/>
      <c r="BXQ39" s="987">
        <f>SUM(BXQ36:BXQ38)</f>
        <v>0</v>
      </c>
      <c r="BXR39" s="987">
        <f t="shared" ref="BXR39:BZO39" si="72">SUM(BXR36:BXR38)</f>
        <v>0</v>
      </c>
      <c r="BXS39" s="987">
        <f t="shared" si="72"/>
        <v>0</v>
      </c>
      <c r="BXT39" s="987"/>
      <c r="BXU39" s="987"/>
      <c r="BXV39" s="987"/>
      <c r="BXW39" s="987"/>
      <c r="BXX39" s="987">
        <f t="shared" ref="BXX39:BZT39" si="73">SUM(BXX36:BXX38)</f>
        <v>0</v>
      </c>
      <c r="BXY39" s="1026" t="s">
        <v>45</v>
      </c>
      <c r="BXZ39" s="434"/>
      <c r="BYA39" s="1027"/>
      <c r="BYB39" s="1027"/>
      <c r="BYC39" s="24"/>
      <c r="BYD39" s="1027"/>
      <c r="BYE39" s="1027"/>
      <c r="BYF39" s="25"/>
      <c r="BYG39" s="987">
        <f>SUM(BYG36:BYG38)</f>
        <v>0</v>
      </c>
      <c r="BYH39" s="987">
        <f t="shared" si="72"/>
        <v>0</v>
      </c>
      <c r="BYI39" s="987">
        <f t="shared" si="72"/>
        <v>0</v>
      </c>
      <c r="BYJ39" s="987"/>
      <c r="BYK39" s="987"/>
      <c r="BYL39" s="987"/>
      <c r="BYM39" s="987"/>
      <c r="BYN39" s="987">
        <f t="shared" si="73"/>
        <v>0</v>
      </c>
      <c r="BYO39" s="1026" t="s">
        <v>45</v>
      </c>
      <c r="BYP39" s="434"/>
      <c r="BYQ39" s="1027"/>
      <c r="BYR39" s="1027"/>
      <c r="BYS39" s="24"/>
      <c r="BYT39" s="1027"/>
      <c r="BYU39" s="1027"/>
      <c r="BYV39" s="25"/>
      <c r="BYW39" s="987">
        <f>SUM(BYW36:BYW38)</f>
        <v>0</v>
      </c>
      <c r="BYX39" s="987">
        <f t="shared" si="72"/>
        <v>0</v>
      </c>
      <c r="BYY39" s="987">
        <f t="shared" si="72"/>
        <v>0</v>
      </c>
      <c r="BYZ39" s="987"/>
      <c r="BZA39" s="987"/>
      <c r="BZB39" s="987"/>
      <c r="BZC39" s="987"/>
      <c r="BZD39" s="987">
        <f t="shared" si="73"/>
        <v>0</v>
      </c>
      <c r="BZE39" s="1026" t="s">
        <v>45</v>
      </c>
      <c r="BZF39" s="434"/>
      <c r="BZG39" s="1027"/>
      <c r="BZH39" s="1027"/>
      <c r="BZI39" s="24"/>
      <c r="BZJ39" s="1027"/>
      <c r="BZK39" s="1027"/>
      <c r="BZL39" s="25"/>
      <c r="BZM39" s="987">
        <f>SUM(BZM36:BZM38)</f>
        <v>0</v>
      </c>
      <c r="BZN39" s="987">
        <f t="shared" si="72"/>
        <v>0</v>
      </c>
      <c r="BZO39" s="987">
        <f t="shared" si="72"/>
        <v>0</v>
      </c>
      <c r="BZP39" s="987"/>
      <c r="BZQ39" s="987"/>
      <c r="BZR39" s="987"/>
      <c r="BZS39" s="987"/>
      <c r="BZT39" s="987">
        <f t="shared" si="73"/>
        <v>0</v>
      </c>
      <c r="BZU39" s="1026" t="s">
        <v>45</v>
      </c>
      <c r="BZV39" s="434"/>
      <c r="BZW39" s="1027"/>
      <c r="BZX39" s="1027"/>
      <c r="BZY39" s="24"/>
      <c r="BZZ39" s="1027"/>
      <c r="CAA39" s="1027"/>
      <c r="CAB39" s="25"/>
      <c r="CAC39" s="987">
        <f>SUM(CAC36:CAC38)</f>
        <v>0</v>
      </c>
      <c r="CAD39" s="987">
        <f t="shared" ref="CAD39:CCA39" si="74">SUM(CAD36:CAD38)</f>
        <v>0</v>
      </c>
      <c r="CAE39" s="987">
        <f t="shared" si="74"/>
        <v>0</v>
      </c>
      <c r="CAF39" s="987"/>
      <c r="CAG39" s="987"/>
      <c r="CAH39" s="987"/>
      <c r="CAI39" s="987"/>
      <c r="CAJ39" s="987">
        <f t="shared" ref="CAJ39:CCF39" si="75">SUM(CAJ36:CAJ38)</f>
        <v>0</v>
      </c>
      <c r="CAK39" s="1026" t="s">
        <v>45</v>
      </c>
      <c r="CAL39" s="434"/>
      <c r="CAM39" s="1027"/>
      <c r="CAN39" s="1027"/>
      <c r="CAO39" s="24"/>
      <c r="CAP39" s="1027"/>
      <c r="CAQ39" s="1027"/>
      <c r="CAR39" s="25"/>
      <c r="CAS39" s="987">
        <f>SUM(CAS36:CAS38)</f>
        <v>0</v>
      </c>
      <c r="CAT39" s="987">
        <f t="shared" si="74"/>
        <v>0</v>
      </c>
      <c r="CAU39" s="987">
        <f t="shared" si="74"/>
        <v>0</v>
      </c>
      <c r="CAV39" s="987"/>
      <c r="CAW39" s="987"/>
      <c r="CAX39" s="987"/>
      <c r="CAY39" s="987"/>
      <c r="CAZ39" s="987">
        <f t="shared" si="75"/>
        <v>0</v>
      </c>
      <c r="CBA39" s="1026" t="s">
        <v>45</v>
      </c>
      <c r="CBB39" s="434"/>
      <c r="CBC39" s="1027"/>
      <c r="CBD39" s="1027"/>
      <c r="CBE39" s="24"/>
      <c r="CBF39" s="1027"/>
      <c r="CBG39" s="1027"/>
      <c r="CBH39" s="25"/>
      <c r="CBI39" s="987">
        <f>SUM(CBI36:CBI38)</f>
        <v>0</v>
      </c>
      <c r="CBJ39" s="987">
        <f t="shared" si="74"/>
        <v>0</v>
      </c>
      <c r="CBK39" s="987">
        <f t="shared" si="74"/>
        <v>0</v>
      </c>
      <c r="CBL39" s="987"/>
      <c r="CBM39" s="987"/>
      <c r="CBN39" s="987"/>
      <c r="CBO39" s="987"/>
      <c r="CBP39" s="987">
        <f t="shared" si="75"/>
        <v>0</v>
      </c>
      <c r="CBQ39" s="1026" t="s">
        <v>45</v>
      </c>
      <c r="CBR39" s="434"/>
      <c r="CBS39" s="1027"/>
      <c r="CBT39" s="1027"/>
      <c r="CBU39" s="24"/>
      <c r="CBV39" s="1027"/>
      <c r="CBW39" s="1027"/>
      <c r="CBX39" s="25"/>
      <c r="CBY39" s="987">
        <f>SUM(CBY36:CBY38)</f>
        <v>0</v>
      </c>
      <c r="CBZ39" s="987">
        <f t="shared" si="74"/>
        <v>0</v>
      </c>
      <c r="CCA39" s="987">
        <f t="shared" si="74"/>
        <v>0</v>
      </c>
      <c r="CCB39" s="987"/>
      <c r="CCC39" s="987"/>
      <c r="CCD39" s="987"/>
      <c r="CCE39" s="987"/>
      <c r="CCF39" s="987">
        <f t="shared" si="75"/>
        <v>0</v>
      </c>
      <c r="CCG39" s="1026" t="s">
        <v>45</v>
      </c>
      <c r="CCH39" s="434"/>
      <c r="CCI39" s="1027"/>
      <c r="CCJ39" s="1027"/>
      <c r="CCK39" s="24"/>
      <c r="CCL39" s="1027"/>
      <c r="CCM39" s="1027"/>
      <c r="CCN39" s="25"/>
      <c r="CCO39" s="987">
        <f>SUM(CCO36:CCO38)</f>
        <v>0</v>
      </c>
      <c r="CCP39" s="987">
        <f t="shared" ref="CCP39:CEM39" si="76">SUM(CCP36:CCP38)</f>
        <v>0</v>
      </c>
      <c r="CCQ39" s="987">
        <f t="shared" si="76"/>
        <v>0</v>
      </c>
      <c r="CCR39" s="987"/>
      <c r="CCS39" s="987"/>
      <c r="CCT39" s="987"/>
      <c r="CCU39" s="987"/>
      <c r="CCV39" s="987">
        <f t="shared" ref="CCV39:CER39" si="77">SUM(CCV36:CCV38)</f>
        <v>0</v>
      </c>
      <c r="CCW39" s="1026" t="s">
        <v>45</v>
      </c>
      <c r="CCX39" s="434"/>
      <c r="CCY39" s="1027"/>
      <c r="CCZ39" s="1027"/>
      <c r="CDA39" s="24"/>
      <c r="CDB39" s="1027"/>
      <c r="CDC39" s="1027"/>
      <c r="CDD39" s="25"/>
      <c r="CDE39" s="987">
        <f>SUM(CDE36:CDE38)</f>
        <v>0</v>
      </c>
      <c r="CDF39" s="987">
        <f t="shared" si="76"/>
        <v>0</v>
      </c>
      <c r="CDG39" s="987">
        <f t="shared" si="76"/>
        <v>0</v>
      </c>
      <c r="CDH39" s="987"/>
      <c r="CDI39" s="987"/>
      <c r="CDJ39" s="987"/>
      <c r="CDK39" s="987"/>
      <c r="CDL39" s="987">
        <f t="shared" si="77"/>
        <v>0</v>
      </c>
      <c r="CDM39" s="1026" t="s">
        <v>45</v>
      </c>
      <c r="CDN39" s="434"/>
      <c r="CDO39" s="1027"/>
      <c r="CDP39" s="1027"/>
      <c r="CDQ39" s="24"/>
      <c r="CDR39" s="1027"/>
      <c r="CDS39" s="1027"/>
      <c r="CDT39" s="25"/>
      <c r="CDU39" s="987">
        <f>SUM(CDU36:CDU38)</f>
        <v>0</v>
      </c>
      <c r="CDV39" s="987">
        <f t="shared" si="76"/>
        <v>0</v>
      </c>
      <c r="CDW39" s="987">
        <f t="shared" si="76"/>
        <v>0</v>
      </c>
      <c r="CDX39" s="987"/>
      <c r="CDY39" s="987"/>
      <c r="CDZ39" s="987"/>
      <c r="CEA39" s="987"/>
      <c r="CEB39" s="987">
        <f t="shared" si="77"/>
        <v>0</v>
      </c>
      <c r="CEC39" s="1026" t="s">
        <v>45</v>
      </c>
      <c r="CED39" s="434"/>
      <c r="CEE39" s="1027"/>
      <c r="CEF39" s="1027"/>
      <c r="CEG39" s="24"/>
      <c r="CEH39" s="1027"/>
      <c r="CEI39" s="1027"/>
      <c r="CEJ39" s="25"/>
      <c r="CEK39" s="987">
        <f>SUM(CEK36:CEK38)</f>
        <v>0</v>
      </c>
      <c r="CEL39" s="987">
        <f t="shared" si="76"/>
        <v>0</v>
      </c>
      <c r="CEM39" s="987">
        <f t="shared" si="76"/>
        <v>0</v>
      </c>
      <c r="CEN39" s="987"/>
      <c r="CEO39" s="987"/>
      <c r="CEP39" s="987"/>
      <c r="CEQ39" s="987"/>
      <c r="CER39" s="987">
        <f t="shared" si="77"/>
        <v>0</v>
      </c>
      <c r="CES39" s="1026" t="s">
        <v>45</v>
      </c>
      <c r="CET39" s="434"/>
      <c r="CEU39" s="1027"/>
      <c r="CEV39" s="1027"/>
      <c r="CEW39" s="24"/>
      <c r="CEX39" s="1027"/>
      <c r="CEY39" s="1027"/>
      <c r="CEZ39" s="25"/>
      <c r="CFA39" s="987">
        <f>SUM(CFA36:CFA38)</f>
        <v>0</v>
      </c>
      <c r="CFB39" s="987">
        <f t="shared" ref="CFB39:CGY39" si="78">SUM(CFB36:CFB38)</f>
        <v>0</v>
      </c>
      <c r="CFC39" s="987">
        <f t="shared" si="78"/>
        <v>0</v>
      </c>
      <c r="CFD39" s="987"/>
      <c r="CFE39" s="987"/>
      <c r="CFF39" s="987"/>
      <c r="CFG39" s="987"/>
      <c r="CFH39" s="987">
        <f t="shared" ref="CFH39:CHD39" si="79">SUM(CFH36:CFH38)</f>
        <v>0</v>
      </c>
      <c r="CFI39" s="1026" t="s">
        <v>45</v>
      </c>
      <c r="CFJ39" s="434"/>
      <c r="CFK39" s="1027"/>
      <c r="CFL39" s="1027"/>
      <c r="CFM39" s="24"/>
      <c r="CFN39" s="1027"/>
      <c r="CFO39" s="1027"/>
      <c r="CFP39" s="25"/>
      <c r="CFQ39" s="987">
        <f>SUM(CFQ36:CFQ38)</f>
        <v>0</v>
      </c>
      <c r="CFR39" s="987">
        <f t="shared" si="78"/>
        <v>0</v>
      </c>
      <c r="CFS39" s="987">
        <f t="shared" si="78"/>
        <v>0</v>
      </c>
      <c r="CFT39" s="987"/>
      <c r="CFU39" s="987"/>
      <c r="CFV39" s="987"/>
      <c r="CFW39" s="987"/>
      <c r="CFX39" s="987">
        <f t="shared" si="79"/>
        <v>0</v>
      </c>
      <c r="CFY39" s="1026" t="s">
        <v>45</v>
      </c>
      <c r="CFZ39" s="434"/>
      <c r="CGA39" s="1027"/>
      <c r="CGB39" s="1027"/>
      <c r="CGC39" s="24"/>
      <c r="CGD39" s="1027"/>
      <c r="CGE39" s="1027"/>
      <c r="CGF39" s="25"/>
      <c r="CGG39" s="987">
        <f>SUM(CGG36:CGG38)</f>
        <v>0</v>
      </c>
      <c r="CGH39" s="987">
        <f t="shared" si="78"/>
        <v>0</v>
      </c>
      <c r="CGI39" s="987">
        <f t="shared" si="78"/>
        <v>0</v>
      </c>
      <c r="CGJ39" s="987"/>
      <c r="CGK39" s="987"/>
      <c r="CGL39" s="987"/>
      <c r="CGM39" s="987"/>
      <c r="CGN39" s="987">
        <f t="shared" si="79"/>
        <v>0</v>
      </c>
      <c r="CGO39" s="1026" t="s">
        <v>45</v>
      </c>
      <c r="CGP39" s="434"/>
      <c r="CGQ39" s="1027"/>
      <c r="CGR39" s="1027"/>
      <c r="CGS39" s="24"/>
      <c r="CGT39" s="1027"/>
      <c r="CGU39" s="1027"/>
      <c r="CGV39" s="25"/>
      <c r="CGW39" s="987">
        <f>SUM(CGW36:CGW38)</f>
        <v>0</v>
      </c>
      <c r="CGX39" s="987">
        <f t="shared" si="78"/>
        <v>0</v>
      </c>
      <c r="CGY39" s="987">
        <f t="shared" si="78"/>
        <v>0</v>
      </c>
      <c r="CGZ39" s="987"/>
      <c r="CHA39" s="987"/>
      <c r="CHB39" s="987"/>
      <c r="CHC39" s="987"/>
      <c r="CHD39" s="987">
        <f t="shared" si="79"/>
        <v>0</v>
      </c>
      <c r="CHE39" s="1026" t="s">
        <v>45</v>
      </c>
      <c r="CHF39" s="434"/>
      <c r="CHG39" s="1027"/>
      <c r="CHH39" s="1027"/>
      <c r="CHI39" s="24"/>
      <c r="CHJ39" s="1027"/>
      <c r="CHK39" s="1027"/>
      <c r="CHL39" s="25"/>
      <c r="CHM39" s="987">
        <f>SUM(CHM36:CHM38)</f>
        <v>0</v>
      </c>
      <c r="CHN39" s="987">
        <f t="shared" ref="CHN39:CJK39" si="80">SUM(CHN36:CHN38)</f>
        <v>0</v>
      </c>
      <c r="CHO39" s="987">
        <f t="shared" si="80"/>
        <v>0</v>
      </c>
      <c r="CHP39" s="987"/>
      <c r="CHQ39" s="987"/>
      <c r="CHR39" s="987"/>
      <c r="CHS39" s="987"/>
      <c r="CHT39" s="987">
        <f t="shared" ref="CHT39:CJP39" si="81">SUM(CHT36:CHT38)</f>
        <v>0</v>
      </c>
      <c r="CHU39" s="1026" t="s">
        <v>45</v>
      </c>
      <c r="CHV39" s="434"/>
      <c r="CHW39" s="1027"/>
      <c r="CHX39" s="1027"/>
      <c r="CHY39" s="24"/>
      <c r="CHZ39" s="1027"/>
      <c r="CIA39" s="1027"/>
      <c r="CIB39" s="25"/>
      <c r="CIC39" s="987">
        <f>SUM(CIC36:CIC38)</f>
        <v>0</v>
      </c>
      <c r="CID39" s="987">
        <f t="shared" si="80"/>
        <v>0</v>
      </c>
      <c r="CIE39" s="987">
        <f t="shared" si="80"/>
        <v>0</v>
      </c>
      <c r="CIF39" s="987"/>
      <c r="CIG39" s="987"/>
      <c r="CIH39" s="987"/>
      <c r="CII39" s="987"/>
      <c r="CIJ39" s="987">
        <f t="shared" si="81"/>
        <v>0</v>
      </c>
      <c r="CIK39" s="1026" t="s">
        <v>45</v>
      </c>
      <c r="CIL39" s="434"/>
      <c r="CIM39" s="1027"/>
      <c r="CIN39" s="1027"/>
      <c r="CIO39" s="24"/>
      <c r="CIP39" s="1027"/>
      <c r="CIQ39" s="1027"/>
      <c r="CIR39" s="25"/>
      <c r="CIS39" s="987">
        <f>SUM(CIS36:CIS38)</f>
        <v>0</v>
      </c>
      <c r="CIT39" s="987">
        <f t="shared" si="80"/>
        <v>0</v>
      </c>
      <c r="CIU39" s="987">
        <f t="shared" si="80"/>
        <v>0</v>
      </c>
      <c r="CIV39" s="987"/>
      <c r="CIW39" s="987"/>
      <c r="CIX39" s="987"/>
      <c r="CIY39" s="987"/>
      <c r="CIZ39" s="987">
        <f t="shared" si="81"/>
        <v>0</v>
      </c>
      <c r="CJA39" s="1026" t="s">
        <v>45</v>
      </c>
      <c r="CJB39" s="434"/>
      <c r="CJC39" s="1027"/>
      <c r="CJD39" s="1027"/>
      <c r="CJE39" s="24"/>
      <c r="CJF39" s="1027"/>
      <c r="CJG39" s="1027"/>
      <c r="CJH39" s="25"/>
      <c r="CJI39" s="987">
        <f>SUM(CJI36:CJI38)</f>
        <v>0</v>
      </c>
      <c r="CJJ39" s="987">
        <f t="shared" si="80"/>
        <v>0</v>
      </c>
      <c r="CJK39" s="987">
        <f t="shared" si="80"/>
        <v>0</v>
      </c>
      <c r="CJL39" s="987"/>
      <c r="CJM39" s="987"/>
      <c r="CJN39" s="987"/>
      <c r="CJO39" s="987"/>
      <c r="CJP39" s="987">
        <f t="shared" si="81"/>
        <v>0</v>
      </c>
      <c r="CJQ39" s="1026" t="s">
        <v>45</v>
      </c>
      <c r="CJR39" s="434"/>
      <c r="CJS39" s="1027"/>
      <c r="CJT39" s="1027"/>
      <c r="CJU39" s="24"/>
      <c r="CJV39" s="1027"/>
      <c r="CJW39" s="1027"/>
      <c r="CJX39" s="25"/>
      <c r="CJY39" s="987">
        <f>SUM(CJY36:CJY38)</f>
        <v>0</v>
      </c>
      <c r="CJZ39" s="987">
        <f t="shared" ref="CJZ39:CLW39" si="82">SUM(CJZ36:CJZ38)</f>
        <v>0</v>
      </c>
      <c r="CKA39" s="987">
        <f t="shared" si="82"/>
        <v>0</v>
      </c>
      <c r="CKB39" s="987"/>
      <c r="CKC39" s="987"/>
      <c r="CKD39" s="987"/>
      <c r="CKE39" s="987"/>
      <c r="CKF39" s="987">
        <f t="shared" ref="CKF39:CMB39" si="83">SUM(CKF36:CKF38)</f>
        <v>0</v>
      </c>
      <c r="CKG39" s="1026" t="s">
        <v>45</v>
      </c>
      <c r="CKH39" s="434"/>
      <c r="CKI39" s="1027"/>
      <c r="CKJ39" s="1027"/>
      <c r="CKK39" s="24"/>
      <c r="CKL39" s="1027"/>
      <c r="CKM39" s="1027"/>
      <c r="CKN39" s="25"/>
      <c r="CKO39" s="987">
        <f>SUM(CKO36:CKO38)</f>
        <v>0</v>
      </c>
      <c r="CKP39" s="987">
        <f t="shared" si="82"/>
        <v>0</v>
      </c>
      <c r="CKQ39" s="987">
        <f t="shared" si="82"/>
        <v>0</v>
      </c>
      <c r="CKR39" s="987"/>
      <c r="CKS39" s="987"/>
      <c r="CKT39" s="987"/>
      <c r="CKU39" s="987"/>
      <c r="CKV39" s="987">
        <f t="shared" si="83"/>
        <v>0</v>
      </c>
      <c r="CKW39" s="1026" t="s">
        <v>45</v>
      </c>
      <c r="CKX39" s="434"/>
      <c r="CKY39" s="1027"/>
      <c r="CKZ39" s="1027"/>
      <c r="CLA39" s="24"/>
      <c r="CLB39" s="1027"/>
      <c r="CLC39" s="1027"/>
      <c r="CLD39" s="25"/>
      <c r="CLE39" s="987">
        <f>SUM(CLE36:CLE38)</f>
        <v>0</v>
      </c>
      <c r="CLF39" s="987">
        <f t="shared" si="82"/>
        <v>0</v>
      </c>
      <c r="CLG39" s="987">
        <f t="shared" si="82"/>
        <v>0</v>
      </c>
      <c r="CLH39" s="987"/>
      <c r="CLI39" s="987"/>
      <c r="CLJ39" s="987"/>
      <c r="CLK39" s="987"/>
      <c r="CLL39" s="987">
        <f t="shared" si="83"/>
        <v>0</v>
      </c>
      <c r="CLM39" s="1026" t="s">
        <v>45</v>
      </c>
      <c r="CLN39" s="434"/>
      <c r="CLO39" s="1027"/>
      <c r="CLP39" s="1027"/>
      <c r="CLQ39" s="24"/>
      <c r="CLR39" s="1027"/>
      <c r="CLS39" s="1027"/>
      <c r="CLT39" s="25"/>
      <c r="CLU39" s="987">
        <f>SUM(CLU36:CLU38)</f>
        <v>0</v>
      </c>
      <c r="CLV39" s="987">
        <f t="shared" si="82"/>
        <v>0</v>
      </c>
      <c r="CLW39" s="987">
        <f t="shared" si="82"/>
        <v>0</v>
      </c>
      <c r="CLX39" s="987"/>
      <c r="CLY39" s="987"/>
      <c r="CLZ39" s="987"/>
      <c r="CMA39" s="987"/>
      <c r="CMB39" s="987">
        <f t="shared" si="83"/>
        <v>0</v>
      </c>
      <c r="CMC39" s="1026" t="s">
        <v>45</v>
      </c>
      <c r="CMD39" s="434"/>
      <c r="CME39" s="1027"/>
      <c r="CMF39" s="1027"/>
      <c r="CMG39" s="24"/>
      <c r="CMH39" s="1027"/>
      <c r="CMI39" s="1027"/>
      <c r="CMJ39" s="25"/>
      <c r="CMK39" s="987">
        <f>SUM(CMK36:CMK38)</f>
        <v>0</v>
      </c>
      <c r="CML39" s="987">
        <f t="shared" ref="CML39:COI39" si="84">SUM(CML36:CML38)</f>
        <v>0</v>
      </c>
      <c r="CMM39" s="987">
        <f t="shared" si="84"/>
        <v>0</v>
      </c>
      <c r="CMN39" s="987"/>
      <c r="CMO39" s="987"/>
      <c r="CMP39" s="987"/>
      <c r="CMQ39" s="987"/>
      <c r="CMR39" s="987">
        <f t="shared" ref="CMR39:CON39" si="85">SUM(CMR36:CMR38)</f>
        <v>0</v>
      </c>
      <c r="CMS39" s="1026" t="s">
        <v>45</v>
      </c>
      <c r="CMT39" s="434"/>
      <c r="CMU39" s="1027"/>
      <c r="CMV39" s="1027"/>
      <c r="CMW39" s="24"/>
      <c r="CMX39" s="1027"/>
      <c r="CMY39" s="1027"/>
      <c r="CMZ39" s="25"/>
      <c r="CNA39" s="987">
        <f>SUM(CNA36:CNA38)</f>
        <v>0</v>
      </c>
      <c r="CNB39" s="987">
        <f t="shared" si="84"/>
        <v>0</v>
      </c>
      <c r="CNC39" s="987">
        <f t="shared" si="84"/>
        <v>0</v>
      </c>
      <c r="CND39" s="987"/>
      <c r="CNE39" s="987"/>
      <c r="CNF39" s="987"/>
      <c r="CNG39" s="987"/>
      <c r="CNH39" s="987">
        <f t="shared" si="85"/>
        <v>0</v>
      </c>
      <c r="CNI39" s="1026" t="s">
        <v>45</v>
      </c>
      <c r="CNJ39" s="434"/>
      <c r="CNK39" s="1027"/>
      <c r="CNL39" s="1027"/>
      <c r="CNM39" s="24"/>
      <c r="CNN39" s="1027"/>
      <c r="CNO39" s="1027"/>
      <c r="CNP39" s="25"/>
      <c r="CNQ39" s="987">
        <f>SUM(CNQ36:CNQ38)</f>
        <v>0</v>
      </c>
      <c r="CNR39" s="987">
        <f t="shared" si="84"/>
        <v>0</v>
      </c>
      <c r="CNS39" s="987">
        <f t="shared" si="84"/>
        <v>0</v>
      </c>
      <c r="CNT39" s="987"/>
      <c r="CNU39" s="987"/>
      <c r="CNV39" s="987"/>
      <c r="CNW39" s="987"/>
      <c r="CNX39" s="987">
        <f t="shared" si="85"/>
        <v>0</v>
      </c>
      <c r="CNY39" s="1026" t="s">
        <v>45</v>
      </c>
      <c r="CNZ39" s="434"/>
      <c r="COA39" s="1027"/>
      <c r="COB39" s="1027"/>
      <c r="COC39" s="24"/>
      <c r="COD39" s="1027"/>
      <c r="COE39" s="1027"/>
      <c r="COF39" s="25"/>
      <c r="COG39" s="987">
        <f>SUM(COG36:COG38)</f>
        <v>0</v>
      </c>
      <c r="COH39" s="987">
        <f t="shared" si="84"/>
        <v>0</v>
      </c>
      <c r="COI39" s="987">
        <f t="shared" si="84"/>
        <v>0</v>
      </c>
      <c r="COJ39" s="987"/>
      <c r="COK39" s="987"/>
      <c r="COL39" s="987"/>
      <c r="COM39" s="987"/>
      <c r="CON39" s="987">
        <f t="shared" si="85"/>
        <v>0</v>
      </c>
      <c r="COO39" s="1026" t="s">
        <v>45</v>
      </c>
      <c r="COP39" s="434"/>
      <c r="COQ39" s="1027"/>
      <c r="COR39" s="1027"/>
      <c r="COS39" s="24"/>
      <c r="COT39" s="1027"/>
      <c r="COU39" s="1027"/>
      <c r="COV39" s="25"/>
      <c r="COW39" s="987">
        <f>SUM(COW36:COW38)</f>
        <v>0</v>
      </c>
      <c r="COX39" s="987">
        <f t="shared" ref="COX39:CQU39" si="86">SUM(COX36:COX38)</f>
        <v>0</v>
      </c>
      <c r="COY39" s="987">
        <f t="shared" si="86"/>
        <v>0</v>
      </c>
      <c r="COZ39" s="987"/>
      <c r="CPA39" s="987"/>
      <c r="CPB39" s="987"/>
      <c r="CPC39" s="987"/>
      <c r="CPD39" s="987">
        <f t="shared" ref="CPD39:CQZ39" si="87">SUM(CPD36:CPD38)</f>
        <v>0</v>
      </c>
      <c r="CPE39" s="1026" t="s">
        <v>45</v>
      </c>
      <c r="CPF39" s="434"/>
      <c r="CPG39" s="1027"/>
      <c r="CPH39" s="1027"/>
      <c r="CPI39" s="24"/>
      <c r="CPJ39" s="1027"/>
      <c r="CPK39" s="1027"/>
      <c r="CPL39" s="25"/>
      <c r="CPM39" s="987">
        <f>SUM(CPM36:CPM38)</f>
        <v>0</v>
      </c>
      <c r="CPN39" s="987">
        <f t="shared" si="86"/>
        <v>0</v>
      </c>
      <c r="CPO39" s="987">
        <f t="shared" si="86"/>
        <v>0</v>
      </c>
      <c r="CPP39" s="987"/>
      <c r="CPQ39" s="987"/>
      <c r="CPR39" s="987"/>
      <c r="CPS39" s="987"/>
      <c r="CPT39" s="987">
        <f t="shared" si="87"/>
        <v>0</v>
      </c>
      <c r="CPU39" s="1026" t="s">
        <v>45</v>
      </c>
      <c r="CPV39" s="434"/>
      <c r="CPW39" s="1027"/>
      <c r="CPX39" s="1027"/>
      <c r="CPY39" s="24"/>
      <c r="CPZ39" s="1027"/>
      <c r="CQA39" s="1027"/>
      <c r="CQB39" s="25"/>
      <c r="CQC39" s="987">
        <f>SUM(CQC36:CQC38)</f>
        <v>0</v>
      </c>
      <c r="CQD39" s="987">
        <f t="shared" si="86"/>
        <v>0</v>
      </c>
      <c r="CQE39" s="987">
        <f t="shared" si="86"/>
        <v>0</v>
      </c>
      <c r="CQF39" s="987"/>
      <c r="CQG39" s="987"/>
      <c r="CQH39" s="987"/>
      <c r="CQI39" s="987"/>
      <c r="CQJ39" s="987">
        <f t="shared" si="87"/>
        <v>0</v>
      </c>
      <c r="CQK39" s="1026" t="s">
        <v>45</v>
      </c>
      <c r="CQL39" s="434"/>
      <c r="CQM39" s="1027"/>
      <c r="CQN39" s="1027"/>
      <c r="CQO39" s="24"/>
      <c r="CQP39" s="1027"/>
      <c r="CQQ39" s="1027"/>
      <c r="CQR39" s="25"/>
      <c r="CQS39" s="987">
        <f>SUM(CQS36:CQS38)</f>
        <v>0</v>
      </c>
      <c r="CQT39" s="987">
        <f t="shared" si="86"/>
        <v>0</v>
      </c>
      <c r="CQU39" s="987">
        <f t="shared" si="86"/>
        <v>0</v>
      </c>
      <c r="CQV39" s="987"/>
      <c r="CQW39" s="987"/>
      <c r="CQX39" s="987"/>
      <c r="CQY39" s="987"/>
      <c r="CQZ39" s="987">
        <f t="shared" si="87"/>
        <v>0</v>
      </c>
      <c r="CRA39" s="1026" t="s">
        <v>45</v>
      </c>
      <c r="CRB39" s="434"/>
      <c r="CRC39" s="1027"/>
      <c r="CRD39" s="1027"/>
      <c r="CRE39" s="24"/>
      <c r="CRF39" s="1027"/>
      <c r="CRG39" s="1027"/>
      <c r="CRH39" s="25"/>
      <c r="CRI39" s="987">
        <f>SUM(CRI36:CRI38)</f>
        <v>0</v>
      </c>
      <c r="CRJ39" s="987">
        <f t="shared" ref="CRJ39:CTG39" si="88">SUM(CRJ36:CRJ38)</f>
        <v>0</v>
      </c>
      <c r="CRK39" s="987">
        <f t="shared" si="88"/>
        <v>0</v>
      </c>
      <c r="CRL39" s="987"/>
      <c r="CRM39" s="987"/>
      <c r="CRN39" s="987"/>
      <c r="CRO39" s="987"/>
      <c r="CRP39" s="987">
        <f t="shared" ref="CRP39:CTL39" si="89">SUM(CRP36:CRP38)</f>
        <v>0</v>
      </c>
      <c r="CRQ39" s="1026" t="s">
        <v>45</v>
      </c>
      <c r="CRR39" s="434"/>
      <c r="CRS39" s="1027"/>
      <c r="CRT39" s="1027"/>
      <c r="CRU39" s="24"/>
      <c r="CRV39" s="1027"/>
      <c r="CRW39" s="1027"/>
      <c r="CRX39" s="25"/>
      <c r="CRY39" s="987">
        <f>SUM(CRY36:CRY38)</f>
        <v>0</v>
      </c>
      <c r="CRZ39" s="987">
        <f t="shared" si="88"/>
        <v>0</v>
      </c>
      <c r="CSA39" s="987">
        <f t="shared" si="88"/>
        <v>0</v>
      </c>
      <c r="CSB39" s="987"/>
      <c r="CSC39" s="987"/>
      <c r="CSD39" s="987"/>
      <c r="CSE39" s="987"/>
      <c r="CSF39" s="987">
        <f t="shared" si="89"/>
        <v>0</v>
      </c>
      <c r="CSG39" s="1026" t="s">
        <v>45</v>
      </c>
      <c r="CSH39" s="434"/>
      <c r="CSI39" s="1027"/>
      <c r="CSJ39" s="1027"/>
      <c r="CSK39" s="24"/>
      <c r="CSL39" s="1027"/>
      <c r="CSM39" s="1027"/>
      <c r="CSN39" s="25"/>
      <c r="CSO39" s="987">
        <f>SUM(CSO36:CSO38)</f>
        <v>0</v>
      </c>
      <c r="CSP39" s="987">
        <f t="shared" si="88"/>
        <v>0</v>
      </c>
      <c r="CSQ39" s="987">
        <f t="shared" si="88"/>
        <v>0</v>
      </c>
      <c r="CSR39" s="987"/>
      <c r="CSS39" s="987"/>
      <c r="CST39" s="987"/>
      <c r="CSU39" s="987"/>
      <c r="CSV39" s="987">
        <f t="shared" si="89"/>
        <v>0</v>
      </c>
      <c r="CSW39" s="1026" t="s">
        <v>45</v>
      </c>
      <c r="CSX39" s="434"/>
      <c r="CSY39" s="1027"/>
      <c r="CSZ39" s="1027"/>
      <c r="CTA39" s="24"/>
      <c r="CTB39" s="1027"/>
      <c r="CTC39" s="1027"/>
      <c r="CTD39" s="25"/>
      <c r="CTE39" s="987">
        <f>SUM(CTE36:CTE38)</f>
        <v>0</v>
      </c>
      <c r="CTF39" s="987">
        <f t="shared" si="88"/>
        <v>0</v>
      </c>
      <c r="CTG39" s="987">
        <f t="shared" si="88"/>
        <v>0</v>
      </c>
      <c r="CTH39" s="987"/>
      <c r="CTI39" s="987"/>
      <c r="CTJ39" s="987"/>
      <c r="CTK39" s="987"/>
      <c r="CTL39" s="987">
        <f t="shared" si="89"/>
        <v>0</v>
      </c>
      <c r="CTM39" s="1026" t="s">
        <v>45</v>
      </c>
      <c r="CTN39" s="434"/>
      <c r="CTO39" s="1027"/>
      <c r="CTP39" s="1027"/>
      <c r="CTQ39" s="24"/>
      <c r="CTR39" s="1027"/>
      <c r="CTS39" s="1027"/>
      <c r="CTT39" s="25"/>
      <c r="CTU39" s="987">
        <f>SUM(CTU36:CTU38)</f>
        <v>0</v>
      </c>
      <c r="CTV39" s="987">
        <f t="shared" ref="CTV39:CVS39" si="90">SUM(CTV36:CTV38)</f>
        <v>0</v>
      </c>
      <c r="CTW39" s="987">
        <f t="shared" si="90"/>
        <v>0</v>
      </c>
      <c r="CTX39" s="987"/>
      <c r="CTY39" s="987"/>
      <c r="CTZ39" s="987"/>
      <c r="CUA39" s="987"/>
      <c r="CUB39" s="987">
        <f t="shared" ref="CUB39:CVX39" si="91">SUM(CUB36:CUB38)</f>
        <v>0</v>
      </c>
      <c r="CUC39" s="1026" t="s">
        <v>45</v>
      </c>
      <c r="CUD39" s="434"/>
      <c r="CUE39" s="1027"/>
      <c r="CUF39" s="1027"/>
      <c r="CUG39" s="24"/>
      <c r="CUH39" s="1027"/>
      <c r="CUI39" s="1027"/>
      <c r="CUJ39" s="25"/>
      <c r="CUK39" s="987">
        <f>SUM(CUK36:CUK38)</f>
        <v>0</v>
      </c>
      <c r="CUL39" s="987">
        <f t="shared" si="90"/>
        <v>0</v>
      </c>
      <c r="CUM39" s="987">
        <f t="shared" si="90"/>
        <v>0</v>
      </c>
      <c r="CUN39" s="987"/>
      <c r="CUO39" s="987"/>
      <c r="CUP39" s="987"/>
      <c r="CUQ39" s="987"/>
      <c r="CUR39" s="987">
        <f t="shared" si="91"/>
        <v>0</v>
      </c>
      <c r="CUS39" s="1026" t="s">
        <v>45</v>
      </c>
      <c r="CUT39" s="434"/>
      <c r="CUU39" s="1027"/>
      <c r="CUV39" s="1027"/>
      <c r="CUW39" s="24"/>
      <c r="CUX39" s="1027"/>
      <c r="CUY39" s="1027"/>
      <c r="CUZ39" s="25"/>
      <c r="CVA39" s="987">
        <f>SUM(CVA36:CVA38)</f>
        <v>0</v>
      </c>
      <c r="CVB39" s="987">
        <f t="shared" si="90"/>
        <v>0</v>
      </c>
      <c r="CVC39" s="987">
        <f t="shared" si="90"/>
        <v>0</v>
      </c>
      <c r="CVD39" s="987"/>
      <c r="CVE39" s="987"/>
      <c r="CVF39" s="987"/>
      <c r="CVG39" s="987"/>
      <c r="CVH39" s="987">
        <f t="shared" si="91"/>
        <v>0</v>
      </c>
      <c r="CVI39" s="1026" t="s">
        <v>45</v>
      </c>
      <c r="CVJ39" s="434"/>
      <c r="CVK39" s="1027"/>
      <c r="CVL39" s="1027"/>
      <c r="CVM39" s="24"/>
      <c r="CVN39" s="1027"/>
      <c r="CVO39" s="1027"/>
      <c r="CVP39" s="25"/>
      <c r="CVQ39" s="987">
        <f>SUM(CVQ36:CVQ38)</f>
        <v>0</v>
      </c>
      <c r="CVR39" s="987">
        <f t="shared" si="90"/>
        <v>0</v>
      </c>
      <c r="CVS39" s="987">
        <f t="shared" si="90"/>
        <v>0</v>
      </c>
      <c r="CVT39" s="987"/>
      <c r="CVU39" s="987"/>
      <c r="CVV39" s="987"/>
      <c r="CVW39" s="987"/>
      <c r="CVX39" s="987">
        <f t="shared" si="91"/>
        <v>0</v>
      </c>
      <c r="CVY39" s="1026" t="s">
        <v>45</v>
      </c>
      <c r="CVZ39" s="434"/>
      <c r="CWA39" s="1027"/>
      <c r="CWB39" s="1027"/>
      <c r="CWC39" s="24"/>
      <c r="CWD39" s="1027"/>
      <c r="CWE39" s="1027"/>
      <c r="CWF39" s="25"/>
      <c r="CWG39" s="987">
        <f>SUM(CWG36:CWG38)</f>
        <v>0</v>
      </c>
      <c r="CWH39" s="987">
        <f t="shared" ref="CWH39:CYE39" si="92">SUM(CWH36:CWH38)</f>
        <v>0</v>
      </c>
      <c r="CWI39" s="987">
        <f t="shared" si="92"/>
        <v>0</v>
      </c>
      <c r="CWJ39" s="987"/>
      <c r="CWK39" s="987"/>
      <c r="CWL39" s="987"/>
      <c r="CWM39" s="987"/>
      <c r="CWN39" s="987">
        <f t="shared" ref="CWN39:CYJ39" si="93">SUM(CWN36:CWN38)</f>
        <v>0</v>
      </c>
      <c r="CWO39" s="1026" t="s">
        <v>45</v>
      </c>
      <c r="CWP39" s="434"/>
      <c r="CWQ39" s="1027"/>
      <c r="CWR39" s="1027"/>
      <c r="CWS39" s="24"/>
      <c r="CWT39" s="1027"/>
      <c r="CWU39" s="1027"/>
      <c r="CWV39" s="25"/>
      <c r="CWW39" s="987">
        <f>SUM(CWW36:CWW38)</f>
        <v>0</v>
      </c>
      <c r="CWX39" s="987">
        <f t="shared" si="92"/>
        <v>0</v>
      </c>
      <c r="CWY39" s="987">
        <f t="shared" si="92"/>
        <v>0</v>
      </c>
      <c r="CWZ39" s="987"/>
      <c r="CXA39" s="987"/>
      <c r="CXB39" s="987"/>
      <c r="CXC39" s="987"/>
      <c r="CXD39" s="987">
        <f t="shared" si="93"/>
        <v>0</v>
      </c>
      <c r="CXE39" s="1026" t="s">
        <v>45</v>
      </c>
      <c r="CXF39" s="434"/>
      <c r="CXG39" s="1027"/>
      <c r="CXH39" s="1027"/>
      <c r="CXI39" s="24"/>
      <c r="CXJ39" s="1027"/>
      <c r="CXK39" s="1027"/>
      <c r="CXL39" s="25"/>
      <c r="CXM39" s="987">
        <f>SUM(CXM36:CXM38)</f>
        <v>0</v>
      </c>
      <c r="CXN39" s="987">
        <f t="shared" si="92"/>
        <v>0</v>
      </c>
      <c r="CXO39" s="987">
        <f t="shared" si="92"/>
        <v>0</v>
      </c>
      <c r="CXP39" s="987"/>
      <c r="CXQ39" s="987"/>
      <c r="CXR39" s="987"/>
      <c r="CXS39" s="987"/>
      <c r="CXT39" s="987">
        <f t="shared" si="93"/>
        <v>0</v>
      </c>
      <c r="CXU39" s="1026" t="s">
        <v>45</v>
      </c>
      <c r="CXV39" s="434"/>
      <c r="CXW39" s="1027"/>
      <c r="CXX39" s="1027"/>
      <c r="CXY39" s="24"/>
      <c r="CXZ39" s="1027"/>
      <c r="CYA39" s="1027"/>
      <c r="CYB39" s="25"/>
      <c r="CYC39" s="987">
        <f>SUM(CYC36:CYC38)</f>
        <v>0</v>
      </c>
      <c r="CYD39" s="987">
        <f t="shared" si="92"/>
        <v>0</v>
      </c>
      <c r="CYE39" s="987">
        <f t="shared" si="92"/>
        <v>0</v>
      </c>
      <c r="CYF39" s="987"/>
      <c r="CYG39" s="987"/>
      <c r="CYH39" s="987"/>
      <c r="CYI39" s="987"/>
      <c r="CYJ39" s="987">
        <f t="shared" si="93"/>
        <v>0</v>
      </c>
      <c r="CYK39" s="1026" t="s">
        <v>45</v>
      </c>
      <c r="CYL39" s="434"/>
      <c r="CYM39" s="1027"/>
      <c r="CYN39" s="1027"/>
      <c r="CYO39" s="24"/>
      <c r="CYP39" s="1027"/>
      <c r="CYQ39" s="1027"/>
      <c r="CYR39" s="25"/>
      <c r="CYS39" s="987">
        <f>SUM(CYS36:CYS38)</f>
        <v>0</v>
      </c>
      <c r="CYT39" s="987">
        <f t="shared" ref="CYT39:DAQ39" si="94">SUM(CYT36:CYT38)</f>
        <v>0</v>
      </c>
      <c r="CYU39" s="987">
        <f t="shared" si="94"/>
        <v>0</v>
      </c>
      <c r="CYV39" s="987"/>
      <c r="CYW39" s="987"/>
      <c r="CYX39" s="987"/>
      <c r="CYY39" s="987"/>
      <c r="CYZ39" s="987">
        <f t="shared" ref="CYZ39:DAV39" si="95">SUM(CYZ36:CYZ38)</f>
        <v>0</v>
      </c>
      <c r="CZA39" s="1026" t="s">
        <v>45</v>
      </c>
      <c r="CZB39" s="434"/>
      <c r="CZC39" s="1027"/>
      <c r="CZD39" s="1027"/>
      <c r="CZE39" s="24"/>
      <c r="CZF39" s="1027"/>
      <c r="CZG39" s="1027"/>
      <c r="CZH39" s="25"/>
      <c r="CZI39" s="987">
        <f>SUM(CZI36:CZI38)</f>
        <v>0</v>
      </c>
      <c r="CZJ39" s="987">
        <f t="shared" si="94"/>
        <v>0</v>
      </c>
      <c r="CZK39" s="987">
        <f t="shared" si="94"/>
        <v>0</v>
      </c>
      <c r="CZL39" s="987"/>
      <c r="CZM39" s="987"/>
      <c r="CZN39" s="987"/>
      <c r="CZO39" s="987"/>
      <c r="CZP39" s="987">
        <f t="shared" si="95"/>
        <v>0</v>
      </c>
      <c r="CZQ39" s="1026" t="s">
        <v>45</v>
      </c>
      <c r="CZR39" s="434"/>
      <c r="CZS39" s="1027"/>
      <c r="CZT39" s="1027"/>
      <c r="CZU39" s="24"/>
      <c r="CZV39" s="1027"/>
      <c r="CZW39" s="1027"/>
      <c r="CZX39" s="25"/>
      <c r="CZY39" s="987">
        <f>SUM(CZY36:CZY38)</f>
        <v>0</v>
      </c>
      <c r="CZZ39" s="987">
        <f t="shared" si="94"/>
        <v>0</v>
      </c>
      <c r="DAA39" s="987">
        <f t="shared" si="94"/>
        <v>0</v>
      </c>
      <c r="DAB39" s="987"/>
      <c r="DAC39" s="987"/>
      <c r="DAD39" s="987"/>
      <c r="DAE39" s="987"/>
      <c r="DAF39" s="987">
        <f t="shared" si="95"/>
        <v>0</v>
      </c>
      <c r="DAG39" s="1026" t="s">
        <v>45</v>
      </c>
      <c r="DAH39" s="434"/>
      <c r="DAI39" s="1027"/>
      <c r="DAJ39" s="1027"/>
      <c r="DAK39" s="24"/>
      <c r="DAL39" s="1027"/>
      <c r="DAM39" s="1027"/>
      <c r="DAN39" s="25"/>
      <c r="DAO39" s="987">
        <f>SUM(DAO36:DAO38)</f>
        <v>0</v>
      </c>
      <c r="DAP39" s="987">
        <f t="shared" si="94"/>
        <v>0</v>
      </c>
      <c r="DAQ39" s="987">
        <f t="shared" si="94"/>
        <v>0</v>
      </c>
      <c r="DAR39" s="987"/>
      <c r="DAS39" s="987"/>
      <c r="DAT39" s="987"/>
      <c r="DAU39" s="987"/>
      <c r="DAV39" s="987">
        <f t="shared" si="95"/>
        <v>0</v>
      </c>
      <c r="DAW39" s="1026" t="s">
        <v>45</v>
      </c>
      <c r="DAX39" s="434"/>
      <c r="DAY39" s="1027"/>
      <c r="DAZ39" s="1027"/>
      <c r="DBA39" s="24"/>
      <c r="DBB39" s="1027"/>
      <c r="DBC39" s="1027"/>
      <c r="DBD39" s="25"/>
      <c r="DBE39" s="987">
        <f>SUM(DBE36:DBE38)</f>
        <v>0</v>
      </c>
      <c r="DBF39" s="987">
        <f t="shared" ref="DBF39:DDC39" si="96">SUM(DBF36:DBF38)</f>
        <v>0</v>
      </c>
      <c r="DBG39" s="987">
        <f t="shared" si="96"/>
        <v>0</v>
      </c>
      <c r="DBH39" s="987"/>
      <c r="DBI39" s="987"/>
      <c r="DBJ39" s="987"/>
      <c r="DBK39" s="987"/>
      <c r="DBL39" s="987">
        <f t="shared" ref="DBL39:DDH39" si="97">SUM(DBL36:DBL38)</f>
        <v>0</v>
      </c>
      <c r="DBM39" s="1026" t="s">
        <v>45</v>
      </c>
      <c r="DBN39" s="434"/>
      <c r="DBO39" s="1027"/>
      <c r="DBP39" s="1027"/>
      <c r="DBQ39" s="24"/>
      <c r="DBR39" s="1027"/>
      <c r="DBS39" s="1027"/>
      <c r="DBT39" s="25"/>
      <c r="DBU39" s="987">
        <f>SUM(DBU36:DBU38)</f>
        <v>0</v>
      </c>
      <c r="DBV39" s="987">
        <f t="shared" si="96"/>
        <v>0</v>
      </c>
      <c r="DBW39" s="987">
        <f t="shared" si="96"/>
        <v>0</v>
      </c>
      <c r="DBX39" s="987"/>
      <c r="DBY39" s="987"/>
      <c r="DBZ39" s="987"/>
      <c r="DCA39" s="987"/>
      <c r="DCB39" s="987">
        <f t="shared" si="97"/>
        <v>0</v>
      </c>
      <c r="DCC39" s="1026" t="s">
        <v>45</v>
      </c>
      <c r="DCD39" s="434"/>
      <c r="DCE39" s="1027"/>
      <c r="DCF39" s="1027"/>
      <c r="DCG39" s="24"/>
      <c r="DCH39" s="1027"/>
      <c r="DCI39" s="1027"/>
      <c r="DCJ39" s="25"/>
      <c r="DCK39" s="987">
        <f>SUM(DCK36:DCK38)</f>
        <v>0</v>
      </c>
      <c r="DCL39" s="987">
        <f t="shared" si="96"/>
        <v>0</v>
      </c>
      <c r="DCM39" s="987">
        <f t="shared" si="96"/>
        <v>0</v>
      </c>
      <c r="DCN39" s="987"/>
      <c r="DCO39" s="987"/>
      <c r="DCP39" s="987"/>
      <c r="DCQ39" s="987"/>
      <c r="DCR39" s="987">
        <f t="shared" si="97"/>
        <v>0</v>
      </c>
      <c r="DCS39" s="1026" t="s">
        <v>45</v>
      </c>
      <c r="DCT39" s="434"/>
      <c r="DCU39" s="1027"/>
      <c r="DCV39" s="1027"/>
      <c r="DCW39" s="24"/>
      <c r="DCX39" s="1027"/>
      <c r="DCY39" s="1027"/>
      <c r="DCZ39" s="25"/>
      <c r="DDA39" s="987">
        <f>SUM(DDA36:DDA38)</f>
        <v>0</v>
      </c>
      <c r="DDB39" s="987">
        <f t="shared" si="96"/>
        <v>0</v>
      </c>
      <c r="DDC39" s="987">
        <f t="shared" si="96"/>
        <v>0</v>
      </c>
      <c r="DDD39" s="987"/>
      <c r="DDE39" s="987"/>
      <c r="DDF39" s="987"/>
      <c r="DDG39" s="987"/>
      <c r="DDH39" s="987">
        <f t="shared" si="97"/>
        <v>0</v>
      </c>
      <c r="DDI39" s="1026" t="s">
        <v>45</v>
      </c>
      <c r="DDJ39" s="434"/>
      <c r="DDK39" s="1027"/>
      <c r="DDL39" s="1027"/>
      <c r="DDM39" s="24"/>
      <c r="DDN39" s="1027"/>
      <c r="DDO39" s="1027"/>
      <c r="DDP39" s="25"/>
      <c r="DDQ39" s="987">
        <f>SUM(DDQ36:DDQ38)</f>
        <v>0</v>
      </c>
      <c r="DDR39" s="987">
        <f t="shared" ref="DDR39:DFO39" si="98">SUM(DDR36:DDR38)</f>
        <v>0</v>
      </c>
      <c r="DDS39" s="987">
        <f t="shared" si="98"/>
        <v>0</v>
      </c>
      <c r="DDT39" s="987"/>
      <c r="DDU39" s="987"/>
      <c r="DDV39" s="987"/>
      <c r="DDW39" s="987"/>
      <c r="DDX39" s="987">
        <f t="shared" ref="DDX39:DFT39" si="99">SUM(DDX36:DDX38)</f>
        <v>0</v>
      </c>
      <c r="DDY39" s="1026" t="s">
        <v>45</v>
      </c>
      <c r="DDZ39" s="434"/>
      <c r="DEA39" s="1027"/>
      <c r="DEB39" s="1027"/>
      <c r="DEC39" s="24"/>
      <c r="DED39" s="1027"/>
      <c r="DEE39" s="1027"/>
      <c r="DEF39" s="25"/>
      <c r="DEG39" s="987">
        <f>SUM(DEG36:DEG38)</f>
        <v>0</v>
      </c>
      <c r="DEH39" s="987">
        <f t="shared" si="98"/>
        <v>0</v>
      </c>
      <c r="DEI39" s="987">
        <f t="shared" si="98"/>
        <v>0</v>
      </c>
      <c r="DEJ39" s="987"/>
      <c r="DEK39" s="987"/>
      <c r="DEL39" s="987"/>
      <c r="DEM39" s="987"/>
      <c r="DEN39" s="987">
        <f t="shared" si="99"/>
        <v>0</v>
      </c>
      <c r="DEO39" s="1026" t="s">
        <v>45</v>
      </c>
      <c r="DEP39" s="434"/>
      <c r="DEQ39" s="1027"/>
      <c r="DER39" s="1027"/>
      <c r="DES39" s="24"/>
      <c r="DET39" s="1027"/>
      <c r="DEU39" s="1027"/>
      <c r="DEV39" s="25"/>
      <c r="DEW39" s="987">
        <f>SUM(DEW36:DEW38)</f>
        <v>0</v>
      </c>
      <c r="DEX39" s="987">
        <f t="shared" si="98"/>
        <v>0</v>
      </c>
      <c r="DEY39" s="987">
        <f t="shared" si="98"/>
        <v>0</v>
      </c>
      <c r="DEZ39" s="987"/>
      <c r="DFA39" s="987"/>
      <c r="DFB39" s="987"/>
      <c r="DFC39" s="987"/>
      <c r="DFD39" s="987">
        <f t="shared" si="99"/>
        <v>0</v>
      </c>
      <c r="DFE39" s="1026" t="s">
        <v>45</v>
      </c>
      <c r="DFF39" s="434"/>
      <c r="DFG39" s="1027"/>
      <c r="DFH39" s="1027"/>
      <c r="DFI39" s="24"/>
      <c r="DFJ39" s="1027"/>
      <c r="DFK39" s="1027"/>
      <c r="DFL39" s="25"/>
      <c r="DFM39" s="987">
        <f>SUM(DFM36:DFM38)</f>
        <v>0</v>
      </c>
      <c r="DFN39" s="987">
        <f t="shared" si="98"/>
        <v>0</v>
      </c>
      <c r="DFO39" s="987">
        <f t="shared" si="98"/>
        <v>0</v>
      </c>
      <c r="DFP39" s="987"/>
      <c r="DFQ39" s="987"/>
      <c r="DFR39" s="987"/>
      <c r="DFS39" s="987"/>
      <c r="DFT39" s="987">
        <f t="shared" si="99"/>
        <v>0</v>
      </c>
      <c r="DFU39" s="1026" t="s">
        <v>45</v>
      </c>
      <c r="DFV39" s="434"/>
      <c r="DFW39" s="1027"/>
      <c r="DFX39" s="1027"/>
      <c r="DFY39" s="24"/>
      <c r="DFZ39" s="1027"/>
      <c r="DGA39" s="1027"/>
      <c r="DGB39" s="25"/>
      <c r="DGC39" s="987">
        <f>SUM(DGC36:DGC38)</f>
        <v>0</v>
      </c>
      <c r="DGD39" s="987">
        <f t="shared" ref="DGD39:DIA39" si="100">SUM(DGD36:DGD38)</f>
        <v>0</v>
      </c>
      <c r="DGE39" s="987">
        <f t="shared" si="100"/>
        <v>0</v>
      </c>
      <c r="DGF39" s="987"/>
      <c r="DGG39" s="987"/>
      <c r="DGH39" s="987"/>
      <c r="DGI39" s="987"/>
      <c r="DGJ39" s="987">
        <f t="shared" ref="DGJ39:DIF39" si="101">SUM(DGJ36:DGJ38)</f>
        <v>0</v>
      </c>
      <c r="DGK39" s="1026" t="s">
        <v>45</v>
      </c>
      <c r="DGL39" s="434"/>
      <c r="DGM39" s="1027"/>
      <c r="DGN39" s="1027"/>
      <c r="DGO39" s="24"/>
      <c r="DGP39" s="1027"/>
      <c r="DGQ39" s="1027"/>
      <c r="DGR39" s="25"/>
      <c r="DGS39" s="987">
        <f>SUM(DGS36:DGS38)</f>
        <v>0</v>
      </c>
      <c r="DGT39" s="987">
        <f t="shared" si="100"/>
        <v>0</v>
      </c>
      <c r="DGU39" s="987">
        <f t="shared" si="100"/>
        <v>0</v>
      </c>
      <c r="DGV39" s="987"/>
      <c r="DGW39" s="987"/>
      <c r="DGX39" s="987"/>
      <c r="DGY39" s="987"/>
      <c r="DGZ39" s="987">
        <f t="shared" si="101"/>
        <v>0</v>
      </c>
      <c r="DHA39" s="1026" t="s">
        <v>45</v>
      </c>
      <c r="DHB39" s="434"/>
      <c r="DHC39" s="1027"/>
      <c r="DHD39" s="1027"/>
      <c r="DHE39" s="24"/>
      <c r="DHF39" s="1027"/>
      <c r="DHG39" s="1027"/>
      <c r="DHH39" s="25"/>
      <c r="DHI39" s="987">
        <f>SUM(DHI36:DHI38)</f>
        <v>0</v>
      </c>
      <c r="DHJ39" s="987">
        <f t="shared" si="100"/>
        <v>0</v>
      </c>
      <c r="DHK39" s="987">
        <f t="shared" si="100"/>
        <v>0</v>
      </c>
      <c r="DHL39" s="987"/>
      <c r="DHM39" s="987"/>
      <c r="DHN39" s="987"/>
      <c r="DHO39" s="987"/>
      <c r="DHP39" s="987">
        <f t="shared" si="101"/>
        <v>0</v>
      </c>
      <c r="DHQ39" s="1026" t="s">
        <v>45</v>
      </c>
      <c r="DHR39" s="434"/>
      <c r="DHS39" s="1027"/>
      <c r="DHT39" s="1027"/>
      <c r="DHU39" s="24"/>
      <c r="DHV39" s="1027"/>
      <c r="DHW39" s="1027"/>
      <c r="DHX39" s="25"/>
      <c r="DHY39" s="987">
        <f>SUM(DHY36:DHY38)</f>
        <v>0</v>
      </c>
      <c r="DHZ39" s="987">
        <f t="shared" si="100"/>
        <v>0</v>
      </c>
      <c r="DIA39" s="987">
        <f t="shared" si="100"/>
        <v>0</v>
      </c>
      <c r="DIB39" s="987"/>
      <c r="DIC39" s="987"/>
      <c r="DID39" s="987"/>
      <c r="DIE39" s="987"/>
      <c r="DIF39" s="987">
        <f t="shared" si="101"/>
        <v>0</v>
      </c>
      <c r="DIG39" s="1026" t="s">
        <v>45</v>
      </c>
      <c r="DIH39" s="434"/>
      <c r="DII39" s="1027"/>
      <c r="DIJ39" s="1027"/>
      <c r="DIK39" s="24"/>
      <c r="DIL39" s="1027"/>
      <c r="DIM39" s="1027"/>
      <c r="DIN39" s="25"/>
      <c r="DIO39" s="987">
        <f>SUM(DIO36:DIO38)</f>
        <v>0</v>
      </c>
      <c r="DIP39" s="987">
        <f t="shared" ref="DIP39:DKM39" si="102">SUM(DIP36:DIP38)</f>
        <v>0</v>
      </c>
      <c r="DIQ39" s="987">
        <f t="shared" si="102"/>
        <v>0</v>
      </c>
      <c r="DIR39" s="987"/>
      <c r="DIS39" s="987"/>
      <c r="DIT39" s="987"/>
      <c r="DIU39" s="987"/>
      <c r="DIV39" s="987">
        <f t="shared" ref="DIV39:DKR39" si="103">SUM(DIV36:DIV38)</f>
        <v>0</v>
      </c>
      <c r="DIW39" s="1026" t="s">
        <v>45</v>
      </c>
      <c r="DIX39" s="434"/>
      <c r="DIY39" s="1027"/>
      <c r="DIZ39" s="1027"/>
      <c r="DJA39" s="24"/>
      <c r="DJB39" s="1027"/>
      <c r="DJC39" s="1027"/>
      <c r="DJD39" s="25"/>
      <c r="DJE39" s="987">
        <f>SUM(DJE36:DJE38)</f>
        <v>0</v>
      </c>
      <c r="DJF39" s="987">
        <f t="shared" si="102"/>
        <v>0</v>
      </c>
      <c r="DJG39" s="987">
        <f t="shared" si="102"/>
        <v>0</v>
      </c>
      <c r="DJH39" s="987"/>
      <c r="DJI39" s="987"/>
      <c r="DJJ39" s="987"/>
      <c r="DJK39" s="987"/>
      <c r="DJL39" s="987">
        <f t="shared" si="103"/>
        <v>0</v>
      </c>
      <c r="DJM39" s="1026" t="s">
        <v>45</v>
      </c>
      <c r="DJN39" s="434"/>
      <c r="DJO39" s="1027"/>
      <c r="DJP39" s="1027"/>
      <c r="DJQ39" s="24"/>
      <c r="DJR39" s="1027"/>
      <c r="DJS39" s="1027"/>
      <c r="DJT39" s="25"/>
      <c r="DJU39" s="987">
        <f>SUM(DJU36:DJU38)</f>
        <v>0</v>
      </c>
      <c r="DJV39" s="987">
        <f t="shared" si="102"/>
        <v>0</v>
      </c>
      <c r="DJW39" s="987">
        <f t="shared" si="102"/>
        <v>0</v>
      </c>
      <c r="DJX39" s="987"/>
      <c r="DJY39" s="987"/>
      <c r="DJZ39" s="987"/>
      <c r="DKA39" s="987"/>
      <c r="DKB39" s="987">
        <f t="shared" si="103"/>
        <v>0</v>
      </c>
      <c r="DKC39" s="1026" t="s">
        <v>45</v>
      </c>
      <c r="DKD39" s="434"/>
      <c r="DKE39" s="1027"/>
      <c r="DKF39" s="1027"/>
      <c r="DKG39" s="24"/>
      <c r="DKH39" s="1027"/>
      <c r="DKI39" s="1027"/>
      <c r="DKJ39" s="25"/>
      <c r="DKK39" s="987">
        <f>SUM(DKK36:DKK38)</f>
        <v>0</v>
      </c>
      <c r="DKL39" s="987">
        <f t="shared" si="102"/>
        <v>0</v>
      </c>
      <c r="DKM39" s="987">
        <f t="shared" si="102"/>
        <v>0</v>
      </c>
      <c r="DKN39" s="987"/>
      <c r="DKO39" s="987"/>
      <c r="DKP39" s="987"/>
      <c r="DKQ39" s="987"/>
      <c r="DKR39" s="987">
        <f t="shared" si="103"/>
        <v>0</v>
      </c>
      <c r="DKS39" s="1026" t="s">
        <v>45</v>
      </c>
      <c r="DKT39" s="434"/>
      <c r="DKU39" s="1027"/>
      <c r="DKV39" s="1027"/>
      <c r="DKW39" s="24"/>
      <c r="DKX39" s="1027"/>
      <c r="DKY39" s="1027"/>
      <c r="DKZ39" s="25"/>
      <c r="DLA39" s="987">
        <f>SUM(DLA36:DLA38)</f>
        <v>0</v>
      </c>
      <c r="DLB39" s="987">
        <f t="shared" ref="DLB39:DMY39" si="104">SUM(DLB36:DLB38)</f>
        <v>0</v>
      </c>
      <c r="DLC39" s="987">
        <f t="shared" si="104"/>
        <v>0</v>
      </c>
      <c r="DLD39" s="987"/>
      <c r="DLE39" s="987"/>
      <c r="DLF39" s="987"/>
      <c r="DLG39" s="987"/>
      <c r="DLH39" s="987">
        <f t="shared" ref="DLH39:DND39" si="105">SUM(DLH36:DLH38)</f>
        <v>0</v>
      </c>
      <c r="DLI39" s="1026" t="s">
        <v>45</v>
      </c>
      <c r="DLJ39" s="434"/>
      <c r="DLK39" s="1027"/>
      <c r="DLL39" s="1027"/>
      <c r="DLM39" s="24"/>
      <c r="DLN39" s="1027"/>
      <c r="DLO39" s="1027"/>
      <c r="DLP39" s="25"/>
      <c r="DLQ39" s="987">
        <f>SUM(DLQ36:DLQ38)</f>
        <v>0</v>
      </c>
      <c r="DLR39" s="987">
        <f t="shared" si="104"/>
        <v>0</v>
      </c>
      <c r="DLS39" s="987">
        <f t="shared" si="104"/>
        <v>0</v>
      </c>
      <c r="DLT39" s="987"/>
      <c r="DLU39" s="987"/>
      <c r="DLV39" s="987"/>
      <c r="DLW39" s="987"/>
      <c r="DLX39" s="987">
        <f t="shared" si="105"/>
        <v>0</v>
      </c>
      <c r="DLY39" s="1026" t="s">
        <v>45</v>
      </c>
      <c r="DLZ39" s="434"/>
      <c r="DMA39" s="1027"/>
      <c r="DMB39" s="1027"/>
      <c r="DMC39" s="24"/>
      <c r="DMD39" s="1027"/>
      <c r="DME39" s="1027"/>
      <c r="DMF39" s="25"/>
      <c r="DMG39" s="987">
        <f>SUM(DMG36:DMG38)</f>
        <v>0</v>
      </c>
      <c r="DMH39" s="987">
        <f t="shared" si="104"/>
        <v>0</v>
      </c>
      <c r="DMI39" s="987">
        <f t="shared" si="104"/>
        <v>0</v>
      </c>
      <c r="DMJ39" s="987"/>
      <c r="DMK39" s="987"/>
      <c r="DML39" s="987"/>
      <c r="DMM39" s="987"/>
      <c r="DMN39" s="987">
        <f t="shared" si="105"/>
        <v>0</v>
      </c>
      <c r="DMO39" s="1026" t="s">
        <v>45</v>
      </c>
      <c r="DMP39" s="434"/>
      <c r="DMQ39" s="1027"/>
      <c r="DMR39" s="1027"/>
      <c r="DMS39" s="24"/>
      <c r="DMT39" s="1027"/>
      <c r="DMU39" s="1027"/>
      <c r="DMV39" s="25"/>
      <c r="DMW39" s="987">
        <f>SUM(DMW36:DMW38)</f>
        <v>0</v>
      </c>
      <c r="DMX39" s="987">
        <f t="shared" si="104"/>
        <v>0</v>
      </c>
      <c r="DMY39" s="987">
        <f t="shared" si="104"/>
        <v>0</v>
      </c>
      <c r="DMZ39" s="987"/>
      <c r="DNA39" s="987"/>
      <c r="DNB39" s="987"/>
      <c r="DNC39" s="987"/>
      <c r="DND39" s="987">
        <f t="shared" si="105"/>
        <v>0</v>
      </c>
      <c r="DNE39" s="1026" t="s">
        <v>45</v>
      </c>
      <c r="DNF39" s="434"/>
      <c r="DNG39" s="1027"/>
      <c r="DNH39" s="1027"/>
      <c r="DNI39" s="24"/>
      <c r="DNJ39" s="1027"/>
      <c r="DNK39" s="1027"/>
      <c r="DNL39" s="25"/>
      <c r="DNM39" s="987">
        <f>SUM(DNM36:DNM38)</f>
        <v>0</v>
      </c>
      <c r="DNN39" s="987">
        <f t="shared" ref="DNN39:DPK39" si="106">SUM(DNN36:DNN38)</f>
        <v>0</v>
      </c>
      <c r="DNO39" s="987">
        <f t="shared" si="106"/>
        <v>0</v>
      </c>
      <c r="DNP39" s="987"/>
      <c r="DNQ39" s="987"/>
      <c r="DNR39" s="987"/>
      <c r="DNS39" s="987"/>
      <c r="DNT39" s="987">
        <f t="shared" ref="DNT39:DPP39" si="107">SUM(DNT36:DNT38)</f>
        <v>0</v>
      </c>
      <c r="DNU39" s="1026" t="s">
        <v>45</v>
      </c>
      <c r="DNV39" s="434"/>
      <c r="DNW39" s="1027"/>
      <c r="DNX39" s="1027"/>
      <c r="DNY39" s="24"/>
      <c r="DNZ39" s="1027"/>
      <c r="DOA39" s="1027"/>
      <c r="DOB39" s="25"/>
      <c r="DOC39" s="987">
        <f>SUM(DOC36:DOC38)</f>
        <v>0</v>
      </c>
      <c r="DOD39" s="987">
        <f t="shared" si="106"/>
        <v>0</v>
      </c>
      <c r="DOE39" s="987">
        <f t="shared" si="106"/>
        <v>0</v>
      </c>
      <c r="DOF39" s="987"/>
      <c r="DOG39" s="987"/>
      <c r="DOH39" s="987"/>
      <c r="DOI39" s="987"/>
      <c r="DOJ39" s="987">
        <f t="shared" si="107"/>
        <v>0</v>
      </c>
      <c r="DOK39" s="1026" t="s">
        <v>45</v>
      </c>
      <c r="DOL39" s="434"/>
      <c r="DOM39" s="1027"/>
      <c r="DON39" s="1027"/>
      <c r="DOO39" s="24"/>
      <c r="DOP39" s="1027"/>
      <c r="DOQ39" s="1027"/>
      <c r="DOR39" s="25"/>
      <c r="DOS39" s="987">
        <f>SUM(DOS36:DOS38)</f>
        <v>0</v>
      </c>
      <c r="DOT39" s="987">
        <f t="shared" si="106"/>
        <v>0</v>
      </c>
      <c r="DOU39" s="987">
        <f t="shared" si="106"/>
        <v>0</v>
      </c>
      <c r="DOV39" s="987"/>
      <c r="DOW39" s="987"/>
      <c r="DOX39" s="987"/>
      <c r="DOY39" s="987"/>
      <c r="DOZ39" s="987">
        <f t="shared" si="107"/>
        <v>0</v>
      </c>
      <c r="DPA39" s="1026" t="s">
        <v>45</v>
      </c>
      <c r="DPB39" s="434"/>
      <c r="DPC39" s="1027"/>
      <c r="DPD39" s="1027"/>
      <c r="DPE39" s="24"/>
      <c r="DPF39" s="1027"/>
      <c r="DPG39" s="1027"/>
      <c r="DPH39" s="25"/>
      <c r="DPI39" s="987">
        <f>SUM(DPI36:DPI38)</f>
        <v>0</v>
      </c>
      <c r="DPJ39" s="987">
        <f t="shared" si="106"/>
        <v>0</v>
      </c>
      <c r="DPK39" s="987">
        <f t="shared" si="106"/>
        <v>0</v>
      </c>
      <c r="DPL39" s="987"/>
      <c r="DPM39" s="987"/>
      <c r="DPN39" s="987"/>
      <c r="DPO39" s="987"/>
      <c r="DPP39" s="987">
        <f t="shared" si="107"/>
        <v>0</v>
      </c>
      <c r="DPQ39" s="1026" t="s">
        <v>45</v>
      </c>
      <c r="DPR39" s="434"/>
      <c r="DPS39" s="1027"/>
      <c r="DPT39" s="1027"/>
      <c r="DPU39" s="24"/>
      <c r="DPV39" s="1027"/>
      <c r="DPW39" s="1027"/>
      <c r="DPX39" s="25"/>
      <c r="DPY39" s="987">
        <f>SUM(DPY36:DPY38)</f>
        <v>0</v>
      </c>
      <c r="DPZ39" s="987">
        <f t="shared" ref="DPZ39:DRW39" si="108">SUM(DPZ36:DPZ38)</f>
        <v>0</v>
      </c>
      <c r="DQA39" s="987">
        <f t="shared" si="108"/>
        <v>0</v>
      </c>
      <c r="DQB39" s="987"/>
      <c r="DQC39" s="987"/>
      <c r="DQD39" s="987"/>
      <c r="DQE39" s="987"/>
      <c r="DQF39" s="987">
        <f t="shared" ref="DQF39:DSB39" si="109">SUM(DQF36:DQF38)</f>
        <v>0</v>
      </c>
      <c r="DQG39" s="1026" t="s">
        <v>45</v>
      </c>
      <c r="DQH39" s="434"/>
      <c r="DQI39" s="1027"/>
      <c r="DQJ39" s="1027"/>
      <c r="DQK39" s="24"/>
      <c r="DQL39" s="1027"/>
      <c r="DQM39" s="1027"/>
      <c r="DQN39" s="25"/>
      <c r="DQO39" s="987">
        <f>SUM(DQO36:DQO38)</f>
        <v>0</v>
      </c>
      <c r="DQP39" s="987">
        <f t="shared" si="108"/>
        <v>0</v>
      </c>
      <c r="DQQ39" s="987">
        <f t="shared" si="108"/>
        <v>0</v>
      </c>
      <c r="DQR39" s="987"/>
      <c r="DQS39" s="987"/>
      <c r="DQT39" s="987"/>
      <c r="DQU39" s="987"/>
      <c r="DQV39" s="987">
        <f t="shared" si="109"/>
        <v>0</v>
      </c>
      <c r="DQW39" s="1026" t="s">
        <v>45</v>
      </c>
      <c r="DQX39" s="434"/>
      <c r="DQY39" s="1027"/>
      <c r="DQZ39" s="1027"/>
      <c r="DRA39" s="24"/>
      <c r="DRB39" s="1027"/>
      <c r="DRC39" s="1027"/>
      <c r="DRD39" s="25"/>
      <c r="DRE39" s="987">
        <f>SUM(DRE36:DRE38)</f>
        <v>0</v>
      </c>
      <c r="DRF39" s="987">
        <f t="shared" si="108"/>
        <v>0</v>
      </c>
      <c r="DRG39" s="987">
        <f t="shared" si="108"/>
        <v>0</v>
      </c>
      <c r="DRH39" s="987"/>
      <c r="DRI39" s="987"/>
      <c r="DRJ39" s="987"/>
      <c r="DRK39" s="987"/>
      <c r="DRL39" s="987">
        <f t="shared" si="109"/>
        <v>0</v>
      </c>
      <c r="DRM39" s="1026" t="s">
        <v>45</v>
      </c>
      <c r="DRN39" s="434"/>
      <c r="DRO39" s="1027"/>
      <c r="DRP39" s="1027"/>
      <c r="DRQ39" s="24"/>
      <c r="DRR39" s="1027"/>
      <c r="DRS39" s="1027"/>
      <c r="DRT39" s="25"/>
      <c r="DRU39" s="987">
        <f>SUM(DRU36:DRU38)</f>
        <v>0</v>
      </c>
      <c r="DRV39" s="987">
        <f t="shared" si="108"/>
        <v>0</v>
      </c>
      <c r="DRW39" s="987">
        <f t="shared" si="108"/>
        <v>0</v>
      </c>
      <c r="DRX39" s="987"/>
      <c r="DRY39" s="987"/>
      <c r="DRZ39" s="987"/>
      <c r="DSA39" s="987"/>
      <c r="DSB39" s="987">
        <f t="shared" si="109"/>
        <v>0</v>
      </c>
      <c r="DSC39" s="1026" t="s">
        <v>45</v>
      </c>
      <c r="DSD39" s="434"/>
      <c r="DSE39" s="1027"/>
      <c r="DSF39" s="1027"/>
      <c r="DSG39" s="24"/>
      <c r="DSH39" s="1027"/>
      <c r="DSI39" s="1027"/>
      <c r="DSJ39" s="25"/>
      <c r="DSK39" s="987">
        <f>SUM(DSK36:DSK38)</f>
        <v>0</v>
      </c>
      <c r="DSL39" s="987">
        <f t="shared" ref="DSL39:DUI39" si="110">SUM(DSL36:DSL38)</f>
        <v>0</v>
      </c>
      <c r="DSM39" s="987">
        <f t="shared" si="110"/>
        <v>0</v>
      </c>
      <c r="DSN39" s="987"/>
      <c r="DSO39" s="987"/>
      <c r="DSP39" s="987"/>
      <c r="DSQ39" s="987"/>
      <c r="DSR39" s="987">
        <f t="shared" ref="DSR39:DUN39" si="111">SUM(DSR36:DSR38)</f>
        <v>0</v>
      </c>
      <c r="DSS39" s="1026" t="s">
        <v>45</v>
      </c>
      <c r="DST39" s="434"/>
      <c r="DSU39" s="1027"/>
      <c r="DSV39" s="1027"/>
      <c r="DSW39" s="24"/>
      <c r="DSX39" s="1027"/>
      <c r="DSY39" s="1027"/>
      <c r="DSZ39" s="25"/>
      <c r="DTA39" s="987">
        <f>SUM(DTA36:DTA38)</f>
        <v>0</v>
      </c>
      <c r="DTB39" s="987">
        <f t="shared" si="110"/>
        <v>0</v>
      </c>
      <c r="DTC39" s="987">
        <f t="shared" si="110"/>
        <v>0</v>
      </c>
      <c r="DTD39" s="987"/>
      <c r="DTE39" s="987"/>
      <c r="DTF39" s="987"/>
      <c r="DTG39" s="987"/>
      <c r="DTH39" s="987">
        <f t="shared" si="111"/>
        <v>0</v>
      </c>
      <c r="DTI39" s="1026" t="s">
        <v>45</v>
      </c>
      <c r="DTJ39" s="434"/>
      <c r="DTK39" s="1027"/>
      <c r="DTL39" s="1027"/>
      <c r="DTM39" s="24"/>
      <c r="DTN39" s="1027"/>
      <c r="DTO39" s="1027"/>
      <c r="DTP39" s="25"/>
      <c r="DTQ39" s="987">
        <f>SUM(DTQ36:DTQ38)</f>
        <v>0</v>
      </c>
      <c r="DTR39" s="987">
        <f t="shared" si="110"/>
        <v>0</v>
      </c>
      <c r="DTS39" s="987">
        <f t="shared" si="110"/>
        <v>0</v>
      </c>
      <c r="DTT39" s="987"/>
      <c r="DTU39" s="987"/>
      <c r="DTV39" s="987"/>
      <c r="DTW39" s="987"/>
      <c r="DTX39" s="987">
        <f t="shared" si="111"/>
        <v>0</v>
      </c>
      <c r="DTY39" s="1026" t="s">
        <v>45</v>
      </c>
      <c r="DTZ39" s="434"/>
      <c r="DUA39" s="1027"/>
      <c r="DUB39" s="1027"/>
      <c r="DUC39" s="24"/>
      <c r="DUD39" s="1027"/>
      <c r="DUE39" s="1027"/>
      <c r="DUF39" s="25"/>
      <c r="DUG39" s="987">
        <f>SUM(DUG36:DUG38)</f>
        <v>0</v>
      </c>
      <c r="DUH39" s="987">
        <f t="shared" si="110"/>
        <v>0</v>
      </c>
      <c r="DUI39" s="987">
        <f t="shared" si="110"/>
        <v>0</v>
      </c>
      <c r="DUJ39" s="987"/>
      <c r="DUK39" s="987"/>
      <c r="DUL39" s="987"/>
      <c r="DUM39" s="987"/>
      <c r="DUN39" s="987">
        <f t="shared" si="111"/>
        <v>0</v>
      </c>
      <c r="DUO39" s="1026" t="s">
        <v>45</v>
      </c>
      <c r="DUP39" s="434"/>
      <c r="DUQ39" s="1027"/>
      <c r="DUR39" s="1027"/>
      <c r="DUS39" s="24"/>
      <c r="DUT39" s="1027"/>
      <c r="DUU39" s="1027"/>
      <c r="DUV39" s="25"/>
      <c r="DUW39" s="987">
        <f>SUM(DUW36:DUW38)</f>
        <v>0</v>
      </c>
      <c r="DUX39" s="987">
        <f t="shared" ref="DUX39:DWU39" si="112">SUM(DUX36:DUX38)</f>
        <v>0</v>
      </c>
      <c r="DUY39" s="987">
        <f t="shared" si="112"/>
        <v>0</v>
      </c>
      <c r="DUZ39" s="987"/>
      <c r="DVA39" s="987"/>
      <c r="DVB39" s="987"/>
      <c r="DVC39" s="987"/>
      <c r="DVD39" s="987">
        <f t="shared" ref="DVD39:DWZ39" si="113">SUM(DVD36:DVD38)</f>
        <v>0</v>
      </c>
      <c r="DVE39" s="1026" t="s">
        <v>45</v>
      </c>
      <c r="DVF39" s="434"/>
      <c r="DVG39" s="1027"/>
      <c r="DVH39" s="1027"/>
      <c r="DVI39" s="24"/>
      <c r="DVJ39" s="1027"/>
      <c r="DVK39" s="1027"/>
      <c r="DVL39" s="25"/>
      <c r="DVM39" s="987">
        <f>SUM(DVM36:DVM38)</f>
        <v>0</v>
      </c>
      <c r="DVN39" s="987">
        <f t="shared" si="112"/>
        <v>0</v>
      </c>
      <c r="DVO39" s="987">
        <f t="shared" si="112"/>
        <v>0</v>
      </c>
      <c r="DVP39" s="987"/>
      <c r="DVQ39" s="987"/>
      <c r="DVR39" s="987"/>
      <c r="DVS39" s="987"/>
      <c r="DVT39" s="987">
        <f t="shared" si="113"/>
        <v>0</v>
      </c>
      <c r="DVU39" s="1026" t="s">
        <v>45</v>
      </c>
      <c r="DVV39" s="434"/>
      <c r="DVW39" s="1027"/>
      <c r="DVX39" s="1027"/>
      <c r="DVY39" s="24"/>
      <c r="DVZ39" s="1027"/>
      <c r="DWA39" s="1027"/>
      <c r="DWB39" s="25"/>
      <c r="DWC39" s="987">
        <f>SUM(DWC36:DWC38)</f>
        <v>0</v>
      </c>
      <c r="DWD39" s="987">
        <f t="shared" si="112"/>
        <v>0</v>
      </c>
      <c r="DWE39" s="987">
        <f t="shared" si="112"/>
        <v>0</v>
      </c>
      <c r="DWF39" s="987"/>
      <c r="DWG39" s="987"/>
      <c r="DWH39" s="987"/>
      <c r="DWI39" s="987"/>
      <c r="DWJ39" s="987">
        <f t="shared" si="113"/>
        <v>0</v>
      </c>
      <c r="DWK39" s="1026" t="s">
        <v>45</v>
      </c>
      <c r="DWL39" s="434"/>
      <c r="DWM39" s="1027"/>
      <c r="DWN39" s="1027"/>
      <c r="DWO39" s="24"/>
      <c r="DWP39" s="1027"/>
      <c r="DWQ39" s="1027"/>
      <c r="DWR39" s="25"/>
      <c r="DWS39" s="987">
        <f>SUM(DWS36:DWS38)</f>
        <v>0</v>
      </c>
      <c r="DWT39" s="987">
        <f t="shared" si="112"/>
        <v>0</v>
      </c>
      <c r="DWU39" s="987">
        <f t="shared" si="112"/>
        <v>0</v>
      </c>
      <c r="DWV39" s="987"/>
      <c r="DWW39" s="987"/>
      <c r="DWX39" s="987"/>
      <c r="DWY39" s="987"/>
      <c r="DWZ39" s="987">
        <f t="shared" si="113"/>
        <v>0</v>
      </c>
      <c r="DXA39" s="1026" t="s">
        <v>45</v>
      </c>
      <c r="DXB39" s="434"/>
      <c r="DXC39" s="1027"/>
      <c r="DXD39" s="1027"/>
      <c r="DXE39" s="24"/>
      <c r="DXF39" s="1027"/>
      <c r="DXG39" s="1027"/>
      <c r="DXH39" s="25"/>
      <c r="DXI39" s="987">
        <f>SUM(DXI36:DXI38)</f>
        <v>0</v>
      </c>
      <c r="DXJ39" s="987">
        <f t="shared" ref="DXJ39:DZG39" si="114">SUM(DXJ36:DXJ38)</f>
        <v>0</v>
      </c>
      <c r="DXK39" s="987">
        <f t="shared" si="114"/>
        <v>0</v>
      </c>
      <c r="DXL39" s="987"/>
      <c r="DXM39" s="987"/>
      <c r="DXN39" s="987"/>
      <c r="DXO39" s="987"/>
      <c r="DXP39" s="987">
        <f t="shared" ref="DXP39:DZL39" si="115">SUM(DXP36:DXP38)</f>
        <v>0</v>
      </c>
      <c r="DXQ39" s="1026" t="s">
        <v>45</v>
      </c>
      <c r="DXR39" s="434"/>
      <c r="DXS39" s="1027"/>
      <c r="DXT39" s="1027"/>
      <c r="DXU39" s="24"/>
      <c r="DXV39" s="1027"/>
      <c r="DXW39" s="1027"/>
      <c r="DXX39" s="25"/>
      <c r="DXY39" s="987">
        <f>SUM(DXY36:DXY38)</f>
        <v>0</v>
      </c>
      <c r="DXZ39" s="987">
        <f t="shared" si="114"/>
        <v>0</v>
      </c>
      <c r="DYA39" s="987">
        <f t="shared" si="114"/>
        <v>0</v>
      </c>
      <c r="DYB39" s="987"/>
      <c r="DYC39" s="987"/>
      <c r="DYD39" s="987"/>
      <c r="DYE39" s="987"/>
      <c r="DYF39" s="987">
        <f t="shared" si="115"/>
        <v>0</v>
      </c>
      <c r="DYG39" s="1026" t="s">
        <v>45</v>
      </c>
      <c r="DYH39" s="434"/>
      <c r="DYI39" s="1027"/>
      <c r="DYJ39" s="1027"/>
      <c r="DYK39" s="24"/>
      <c r="DYL39" s="1027"/>
      <c r="DYM39" s="1027"/>
      <c r="DYN39" s="25"/>
      <c r="DYO39" s="987">
        <f>SUM(DYO36:DYO38)</f>
        <v>0</v>
      </c>
      <c r="DYP39" s="987">
        <f t="shared" si="114"/>
        <v>0</v>
      </c>
      <c r="DYQ39" s="987">
        <f t="shared" si="114"/>
        <v>0</v>
      </c>
      <c r="DYR39" s="987"/>
      <c r="DYS39" s="987"/>
      <c r="DYT39" s="987"/>
      <c r="DYU39" s="987"/>
      <c r="DYV39" s="987">
        <f t="shared" si="115"/>
        <v>0</v>
      </c>
      <c r="DYW39" s="1026" t="s">
        <v>45</v>
      </c>
      <c r="DYX39" s="434"/>
      <c r="DYY39" s="1027"/>
      <c r="DYZ39" s="1027"/>
      <c r="DZA39" s="24"/>
      <c r="DZB39" s="1027"/>
      <c r="DZC39" s="1027"/>
      <c r="DZD39" s="25"/>
      <c r="DZE39" s="987">
        <f>SUM(DZE36:DZE38)</f>
        <v>0</v>
      </c>
      <c r="DZF39" s="987">
        <f t="shared" si="114"/>
        <v>0</v>
      </c>
      <c r="DZG39" s="987">
        <f t="shared" si="114"/>
        <v>0</v>
      </c>
      <c r="DZH39" s="987"/>
      <c r="DZI39" s="987"/>
      <c r="DZJ39" s="987"/>
      <c r="DZK39" s="987"/>
      <c r="DZL39" s="987">
        <f t="shared" si="115"/>
        <v>0</v>
      </c>
      <c r="DZM39" s="1026" t="s">
        <v>45</v>
      </c>
      <c r="DZN39" s="434"/>
      <c r="DZO39" s="1027"/>
      <c r="DZP39" s="1027"/>
      <c r="DZQ39" s="24"/>
      <c r="DZR39" s="1027"/>
      <c r="DZS39" s="1027"/>
      <c r="DZT39" s="25"/>
      <c r="DZU39" s="987">
        <f>SUM(DZU36:DZU38)</f>
        <v>0</v>
      </c>
      <c r="DZV39" s="987">
        <f t="shared" ref="DZV39:EBS39" si="116">SUM(DZV36:DZV38)</f>
        <v>0</v>
      </c>
      <c r="DZW39" s="987">
        <f t="shared" si="116"/>
        <v>0</v>
      </c>
      <c r="DZX39" s="987"/>
      <c r="DZY39" s="987"/>
      <c r="DZZ39" s="987"/>
      <c r="EAA39" s="987"/>
      <c r="EAB39" s="987">
        <f t="shared" ref="EAB39:EBX39" si="117">SUM(EAB36:EAB38)</f>
        <v>0</v>
      </c>
      <c r="EAC39" s="1026" t="s">
        <v>45</v>
      </c>
      <c r="EAD39" s="434"/>
      <c r="EAE39" s="1027"/>
      <c r="EAF39" s="1027"/>
      <c r="EAG39" s="24"/>
      <c r="EAH39" s="1027"/>
      <c r="EAI39" s="1027"/>
      <c r="EAJ39" s="25"/>
      <c r="EAK39" s="987">
        <f>SUM(EAK36:EAK38)</f>
        <v>0</v>
      </c>
      <c r="EAL39" s="987">
        <f t="shared" si="116"/>
        <v>0</v>
      </c>
      <c r="EAM39" s="987">
        <f t="shared" si="116"/>
        <v>0</v>
      </c>
      <c r="EAN39" s="987"/>
      <c r="EAO39" s="987"/>
      <c r="EAP39" s="987"/>
      <c r="EAQ39" s="987"/>
      <c r="EAR39" s="987">
        <f t="shared" si="117"/>
        <v>0</v>
      </c>
      <c r="EAS39" s="1026" t="s">
        <v>45</v>
      </c>
      <c r="EAT39" s="434"/>
      <c r="EAU39" s="1027"/>
      <c r="EAV39" s="1027"/>
      <c r="EAW39" s="24"/>
      <c r="EAX39" s="1027"/>
      <c r="EAY39" s="1027"/>
      <c r="EAZ39" s="25"/>
      <c r="EBA39" s="987">
        <f>SUM(EBA36:EBA38)</f>
        <v>0</v>
      </c>
      <c r="EBB39" s="987">
        <f t="shared" si="116"/>
        <v>0</v>
      </c>
      <c r="EBC39" s="987">
        <f t="shared" si="116"/>
        <v>0</v>
      </c>
      <c r="EBD39" s="987"/>
      <c r="EBE39" s="987"/>
      <c r="EBF39" s="987"/>
      <c r="EBG39" s="987"/>
      <c r="EBH39" s="987">
        <f t="shared" si="117"/>
        <v>0</v>
      </c>
      <c r="EBI39" s="1026" t="s">
        <v>45</v>
      </c>
      <c r="EBJ39" s="434"/>
      <c r="EBK39" s="1027"/>
      <c r="EBL39" s="1027"/>
      <c r="EBM39" s="24"/>
      <c r="EBN39" s="1027"/>
      <c r="EBO39" s="1027"/>
      <c r="EBP39" s="25"/>
      <c r="EBQ39" s="987">
        <f>SUM(EBQ36:EBQ38)</f>
        <v>0</v>
      </c>
      <c r="EBR39" s="987">
        <f t="shared" si="116"/>
        <v>0</v>
      </c>
      <c r="EBS39" s="987">
        <f t="shared" si="116"/>
        <v>0</v>
      </c>
      <c r="EBT39" s="987"/>
      <c r="EBU39" s="987"/>
      <c r="EBV39" s="987"/>
      <c r="EBW39" s="987"/>
      <c r="EBX39" s="987">
        <f t="shared" si="117"/>
        <v>0</v>
      </c>
      <c r="EBY39" s="1026" t="s">
        <v>45</v>
      </c>
      <c r="EBZ39" s="434"/>
      <c r="ECA39" s="1027"/>
      <c r="ECB39" s="1027"/>
      <c r="ECC39" s="24"/>
      <c r="ECD39" s="1027"/>
      <c r="ECE39" s="1027"/>
      <c r="ECF39" s="25"/>
      <c r="ECG39" s="987">
        <f>SUM(ECG36:ECG38)</f>
        <v>0</v>
      </c>
      <c r="ECH39" s="987">
        <f t="shared" ref="ECH39:EEE39" si="118">SUM(ECH36:ECH38)</f>
        <v>0</v>
      </c>
      <c r="ECI39" s="987">
        <f t="shared" si="118"/>
        <v>0</v>
      </c>
      <c r="ECJ39" s="987"/>
      <c r="ECK39" s="987"/>
      <c r="ECL39" s="987"/>
      <c r="ECM39" s="987"/>
      <c r="ECN39" s="987">
        <f t="shared" ref="ECN39:EEJ39" si="119">SUM(ECN36:ECN38)</f>
        <v>0</v>
      </c>
      <c r="ECO39" s="1026" t="s">
        <v>45</v>
      </c>
      <c r="ECP39" s="434"/>
      <c r="ECQ39" s="1027"/>
      <c r="ECR39" s="1027"/>
      <c r="ECS39" s="24"/>
      <c r="ECT39" s="1027"/>
      <c r="ECU39" s="1027"/>
      <c r="ECV39" s="25"/>
      <c r="ECW39" s="987">
        <f>SUM(ECW36:ECW38)</f>
        <v>0</v>
      </c>
      <c r="ECX39" s="987">
        <f t="shared" si="118"/>
        <v>0</v>
      </c>
      <c r="ECY39" s="987">
        <f t="shared" si="118"/>
        <v>0</v>
      </c>
      <c r="ECZ39" s="987"/>
      <c r="EDA39" s="987"/>
      <c r="EDB39" s="987"/>
      <c r="EDC39" s="987"/>
      <c r="EDD39" s="987">
        <f t="shared" si="119"/>
        <v>0</v>
      </c>
      <c r="EDE39" s="1026" t="s">
        <v>45</v>
      </c>
      <c r="EDF39" s="434"/>
      <c r="EDG39" s="1027"/>
      <c r="EDH39" s="1027"/>
      <c r="EDI39" s="24"/>
      <c r="EDJ39" s="1027"/>
      <c r="EDK39" s="1027"/>
      <c r="EDL39" s="25"/>
      <c r="EDM39" s="987">
        <f>SUM(EDM36:EDM38)</f>
        <v>0</v>
      </c>
      <c r="EDN39" s="987">
        <f t="shared" si="118"/>
        <v>0</v>
      </c>
      <c r="EDO39" s="987">
        <f t="shared" si="118"/>
        <v>0</v>
      </c>
      <c r="EDP39" s="987"/>
      <c r="EDQ39" s="987"/>
      <c r="EDR39" s="987"/>
      <c r="EDS39" s="987"/>
      <c r="EDT39" s="987">
        <f t="shared" si="119"/>
        <v>0</v>
      </c>
      <c r="EDU39" s="1026" t="s">
        <v>45</v>
      </c>
      <c r="EDV39" s="434"/>
      <c r="EDW39" s="1027"/>
      <c r="EDX39" s="1027"/>
      <c r="EDY39" s="24"/>
      <c r="EDZ39" s="1027"/>
      <c r="EEA39" s="1027"/>
      <c r="EEB39" s="25"/>
      <c r="EEC39" s="987">
        <f>SUM(EEC36:EEC38)</f>
        <v>0</v>
      </c>
      <c r="EED39" s="987">
        <f t="shared" si="118"/>
        <v>0</v>
      </c>
      <c r="EEE39" s="987">
        <f t="shared" si="118"/>
        <v>0</v>
      </c>
      <c r="EEF39" s="987"/>
      <c r="EEG39" s="987"/>
      <c r="EEH39" s="987"/>
      <c r="EEI39" s="987"/>
      <c r="EEJ39" s="987">
        <f t="shared" si="119"/>
        <v>0</v>
      </c>
      <c r="EEK39" s="1026" t="s">
        <v>45</v>
      </c>
      <c r="EEL39" s="434"/>
      <c r="EEM39" s="1027"/>
      <c r="EEN39" s="1027"/>
      <c r="EEO39" s="24"/>
      <c r="EEP39" s="1027"/>
      <c r="EEQ39" s="1027"/>
      <c r="EER39" s="25"/>
      <c r="EES39" s="987">
        <f>SUM(EES36:EES38)</f>
        <v>0</v>
      </c>
      <c r="EET39" s="987">
        <f t="shared" ref="EET39:EGQ39" si="120">SUM(EET36:EET38)</f>
        <v>0</v>
      </c>
      <c r="EEU39" s="987">
        <f t="shared" si="120"/>
        <v>0</v>
      </c>
      <c r="EEV39" s="987"/>
      <c r="EEW39" s="987"/>
      <c r="EEX39" s="987"/>
      <c r="EEY39" s="987"/>
      <c r="EEZ39" s="987">
        <f t="shared" ref="EEZ39:EGV39" si="121">SUM(EEZ36:EEZ38)</f>
        <v>0</v>
      </c>
      <c r="EFA39" s="1026" t="s">
        <v>45</v>
      </c>
      <c r="EFB39" s="434"/>
      <c r="EFC39" s="1027"/>
      <c r="EFD39" s="1027"/>
      <c r="EFE39" s="24"/>
      <c r="EFF39" s="1027"/>
      <c r="EFG39" s="1027"/>
      <c r="EFH39" s="25"/>
      <c r="EFI39" s="987">
        <f>SUM(EFI36:EFI38)</f>
        <v>0</v>
      </c>
      <c r="EFJ39" s="987">
        <f t="shared" si="120"/>
        <v>0</v>
      </c>
      <c r="EFK39" s="987">
        <f t="shared" si="120"/>
        <v>0</v>
      </c>
      <c r="EFL39" s="987"/>
      <c r="EFM39" s="987"/>
      <c r="EFN39" s="987"/>
      <c r="EFO39" s="987"/>
      <c r="EFP39" s="987">
        <f t="shared" si="121"/>
        <v>0</v>
      </c>
      <c r="EFQ39" s="1026" t="s">
        <v>45</v>
      </c>
      <c r="EFR39" s="434"/>
      <c r="EFS39" s="1027"/>
      <c r="EFT39" s="1027"/>
      <c r="EFU39" s="24"/>
      <c r="EFV39" s="1027"/>
      <c r="EFW39" s="1027"/>
      <c r="EFX39" s="25"/>
      <c r="EFY39" s="987">
        <f>SUM(EFY36:EFY38)</f>
        <v>0</v>
      </c>
      <c r="EFZ39" s="987">
        <f t="shared" si="120"/>
        <v>0</v>
      </c>
      <c r="EGA39" s="987">
        <f t="shared" si="120"/>
        <v>0</v>
      </c>
      <c r="EGB39" s="987"/>
      <c r="EGC39" s="987"/>
      <c r="EGD39" s="987"/>
      <c r="EGE39" s="987"/>
      <c r="EGF39" s="987">
        <f t="shared" si="121"/>
        <v>0</v>
      </c>
      <c r="EGG39" s="1026" t="s">
        <v>45</v>
      </c>
      <c r="EGH39" s="434"/>
      <c r="EGI39" s="1027"/>
      <c r="EGJ39" s="1027"/>
      <c r="EGK39" s="24"/>
      <c r="EGL39" s="1027"/>
      <c r="EGM39" s="1027"/>
      <c r="EGN39" s="25"/>
      <c r="EGO39" s="987">
        <f>SUM(EGO36:EGO38)</f>
        <v>0</v>
      </c>
      <c r="EGP39" s="987">
        <f t="shared" si="120"/>
        <v>0</v>
      </c>
      <c r="EGQ39" s="987">
        <f t="shared" si="120"/>
        <v>0</v>
      </c>
      <c r="EGR39" s="987"/>
      <c r="EGS39" s="987"/>
      <c r="EGT39" s="987"/>
      <c r="EGU39" s="987"/>
      <c r="EGV39" s="987">
        <f t="shared" si="121"/>
        <v>0</v>
      </c>
      <c r="EGW39" s="1026" t="s">
        <v>45</v>
      </c>
      <c r="EGX39" s="434"/>
      <c r="EGY39" s="1027"/>
      <c r="EGZ39" s="1027"/>
      <c r="EHA39" s="24"/>
      <c r="EHB39" s="1027"/>
      <c r="EHC39" s="1027"/>
      <c r="EHD39" s="25"/>
      <c r="EHE39" s="987">
        <f>SUM(EHE36:EHE38)</f>
        <v>0</v>
      </c>
      <c r="EHF39" s="987">
        <f t="shared" ref="EHF39:EJC39" si="122">SUM(EHF36:EHF38)</f>
        <v>0</v>
      </c>
      <c r="EHG39" s="987">
        <f t="shared" si="122"/>
        <v>0</v>
      </c>
      <c r="EHH39" s="987"/>
      <c r="EHI39" s="987"/>
      <c r="EHJ39" s="987"/>
      <c r="EHK39" s="987"/>
      <c r="EHL39" s="987">
        <f t="shared" ref="EHL39:EJH39" si="123">SUM(EHL36:EHL38)</f>
        <v>0</v>
      </c>
      <c r="EHM39" s="1026" t="s">
        <v>45</v>
      </c>
      <c r="EHN39" s="434"/>
      <c r="EHO39" s="1027"/>
      <c r="EHP39" s="1027"/>
      <c r="EHQ39" s="24"/>
      <c r="EHR39" s="1027"/>
      <c r="EHS39" s="1027"/>
      <c r="EHT39" s="25"/>
      <c r="EHU39" s="987">
        <f>SUM(EHU36:EHU38)</f>
        <v>0</v>
      </c>
      <c r="EHV39" s="987">
        <f t="shared" si="122"/>
        <v>0</v>
      </c>
      <c r="EHW39" s="987">
        <f t="shared" si="122"/>
        <v>0</v>
      </c>
      <c r="EHX39" s="987"/>
      <c r="EHY39" s="987"/>
      <c r="EHZ39" s="987"/>
      <c r="EIA39" s="987"/>
      <c r="EIB39" s="987">
        <f t="shared" si="123"/>
        <v>0</v>
      </c>
      <c r="EIC39" s="1026" t="s">
        <v>45</v>
      </c>
      <c r="EID39" s="434"/>
      <c r="EIE39" s="1027"/>
      <c r="EIF39" s="1027"/>
      <c r="EIG39" s="24"/>
      <c r="EIH39" s="1027"/>
      <c r="EII39" s="1027"/>
      <c r="EIJ39" s="25"/>
      <c r="EIK39" s="987">
        <f>SUM(EIK36:EIK38)</f>
        <v>0</v>
      </c>
      <c r="EIL39" s="987">
        <f t="shared" si="122"/>
        <v>0</v>
      </c>
      <c r="EIM39" s="987">
        <f t="shared" si="122"/>
        <v>0</v>
      </c>
      <c r="EIN39" s="987"/>
      <c r="EIO39" s="987"/>
      <c r="EIP39" s="987"/>
      <c r="EIQ39" s="987"/>
      <c r="EIR39" s="987">
        <f t="shared" si="123"/>
        <v>0</v>
      </c>
      <c r="EIS39" s="1026" t="s">
        <v>45</v>
      </c>
      <c r="EIT39" s="434"/>
      <c r="EIU39" s="1027"/>
      <c r="EIV39" s="1027"/>
      <c r="EIW39" s="24"/>
      <c r="EIX39" s="1027"/>
      <c r="EIY39" s="1027"/>
      <c r="EIZ39" s="25"/>
      <c r="EJA39" s="987">
        <f>SUM(EJA36:EJA38)</f>
        <v>0</v>
      </c>
      <c r="EJB39" s="987">
        <f t="shared" si="122"/>
        <v>0</v>
      </c>
      <c r="EJC39" s="987">
        <f t="shared" si="122"/>
        <v>0</v>
      </c>
      <c r="EJD39" s="987"/>
      <c r="EJE39" s="987"/>
      <c r="EJF39" s="987"/>
      <c r="EJG39" s="987"/>
      <c r="EJH39" s="987">
        <f t="shared" si="123"/>
        <v>0</v>
      </c>
      <c r="EJI39" s="1026" t="s">
        <v>45</v>
      </c>
      <c r="EJJ39" s="434"/>
      <c r="EJK39" s="1027"/>
      <c r="EJL39" s="1027"/>
      <c r="EJM39" s="24"/>
      <c r="EJN39" s="1027"/>
      <c r="EJO39" s="1027"/>
      <c r="EJP39" s="25"/>
      <c r="EJQ39" s="987">
        <f>SUM(EJQ36:EJQ38)</f>
        <v>0</v>
      </c>
      <c r="EJR39" s="987">
        <f t="shared" ref="EJR39:ELO39" si="124">SUM(EJR36:EJR38)</f>
        <v>0</v>
      </c>
      <c r="EJS39" s="987">
        <f t="shared" si="124"/>
        <v>0</v>
      </c>
      <c r="EJT39" s="987"/>
      <c r="EJU39" s="987"/>
      <c r="EJV39" s="987"/>
      <c r="EJW39" s="987"/>
      <c r="EJX39" s="987">
        <f t="shared" ref="EJX39:ELT39" si="125">SUM(EJX36:EJX38)</f>
        <v>0</v>
      </c>
      <c r="EJY39" s="1026" t="s">
        <v>45</v>
      </c>
      <c r="EJZ39" s="434"/>
      <c r="EKA39" s="1027"/>
      <c r="EKB39" s="1027"/>
      <c r="EKC39" s="24"/>
      <c r="EKD39" s="1027"/>
      <c r="EKE39" s="1027"/>
      <c r="EKF39" s="25"/>
      <c r="EKG39" s="987">
        <f>SUM(EKG36:EKG38)</f>
        <v>0</v>
      </c>
      <c r="EKH39" s="987">
        <f t="shared" si="124"/>
        <v>0</v>
      </c>
      <c r="EKI39" s="987">
        <f t="shared" si="124"/>
        <v>0</v>
      </c>
      <c r="EKJ39" s="987"/>
      <c r="EKK39" s="987"/>
      <c r="EKL39" s="987"/>
      <c r="EKM39" s="987"/>
      <c r="EKN39" s="987">
        <f t="shared" si="125"/>
        <v>0</v>
      </c>
      <c r="EKO39" s="1026" t="s">
        <v>45</v>
      </c>
      <c r="EKP39" s="434"/>
      <c r="EKQ39" s="1027"/>
      <c r="EKR39" s="1027"/>
      <c r="EKS39" s="24"/>
      <c r="EKT39" s="1027"/>
      <c r="EKU39" s="1027"/>
      <c r="EKV39" s="25"/>
      <c r="EKW39" s="987">
        <f>SUM(EKW36:EKW38)</f>
        <v>0</v>
      </c>
      <c r="EKX39" s="987">
        <f t="shared" si="124"/>
        <v>0</v>
      </c>
      <c r="EKY39" s="987">
        <f t="shared" si="124"/>
        <v>0</v>
      </c>
      <c r="EKZ39" s="987"/>
      <c r="ELA39" s="987"/>
      <c r="ELB39" s="987"/>
      <c r="ELC39" s="987"/>
      <c r="ELD39" s="987">
        <f t="shared" si="125"/>
        <v>0</v>
      </c>
      <c r="ELE39" s="1026" t="s">
        <v>45</v>
      </c>
      <c r="ELF39" s="434"/>
      <c r="ELG39" s="1027"/>
      <c r="ELH39" s="1027"/>
      <c r="ELI39" s="24"/>
      <c r="ELJ39" s="1027"/>
      <c r="ELK39" s="1027"/>
      <c r="ELL39" s="25"/>
      <c r="ELM39" s="987">
        <f>SUM(ELM36:ELM38)</f>
        <v>0</v>
      </c>
      <c r="ELN39" s="987">
        <f t="shared" si="124"/>
        <v>0</v>
      </c>
      <c r="ELO39" s="987">
        <f t="shared" si="124"/>
        <v>0</v>
      </c>
      <c r="ELP39" s="987"/>
      <c r="ELQ39" s="987"/>
      <c r="ELR39" s="987"/>
      <c r="ELS39" s="987"/>
      <c r="ELT39" s="987">
        <f t="shared" si="125"/>
        <v>0</v>
      </c>
      <c r="ELU39" s="1026" t="s">
        <v>45</v>
      </c>
      <c r="ELV39" s="434"/>
      <c r="ELW39" s="1027"/>
      <c r="ELX39" s="1027"/>
      <c r="ELY39" s="24"/>
      <c r="ELZ39" s="1027"/>
      <c r="EMA39" s="1027"/>
      <c r="EMB39" s="25"/>
      <c r="EMC39" s="987">
        <f>SUM(EMC36:EMC38)</f>
        <v>0</v>
      </c>
      <c r="EMD39" s="987">
        <f t="shared" ref="EMD39:EOA39" si="126">SUM(EMD36:EMD38)</f>
        <v>0</v>
      </c>
      <c r="EME39" s="987">
        <f t="shared" si="126"/>
        <v>0</v>
      </c>
      <c r="EMF39" s="987"/>
      <c r="EMG39" s="987"/>
      <c r="EMH39" s="987"/>
      <c r="EMI39" s="987"/>
      <c r="EMJ39" s="987">
        <f t="shared" ref="EMJ39:EOF39" si="127">SUM(EMJ36:EMJ38)</f>
        <v>0</v>
      </c>
      <c r="EMK39" s="1026" t="s">
        <v>45</v>
      </c>
      <c r="EML39" s="434"/>
      <c r="EMM39" s="1027"/>
      <c r="EMN39" s="1027"/>
      <c r="EMO39" s="24"/>
      <c r="EMP39" s="1027"/>
      <c r="EMQ39" s="1027"/>
      <c r="EMR39" s="25"/>
      <c r="EMS39" s="987">
        <f>SUM(EMS36:EMS38)</f>
        <v>0</v>
      </c>
      <c r="EMT39" s="987">
        <f t="shared" si="126"/>
        <v>0</v>
      </c>
      <c r="EMU39" s="987">
        <f t="shared" si="126"/>
        <v>0</v>
      </c>
      <c r="EMV39" s="987"/>
      <c r="EMW39" s="987"/>
      <c r="EMX39" s="987"/>
      <c r="EMY39" s="987"/>
      <c r="EMZ39" s="987">
        <f t="shared" si="127"/>
        <v>0</v>
      </c>
      <c r="ENA39" s="1026" t="s">
        <v>45</v>
      </c>
      <c r="ENB39" s="434"/>
      <c r="ENC39" s="1027"/>
      <c r="END39" s="1027"/>
      <c r="ENE39" s="24"/>
      <c r="ENF39" s="1027"/>
      <c r="ENG39" s="1027"/>
      <c r="ENH39" s="25"/>
      <c r="ENI39" s="987">
        <f>SUM(ENI36:ENI38)</f>
        <v>0</v>
      </c>
      <c r="ENJ39" s="987">
        <f t="shared" si="126"/>
        <v>0</v>
      </c>
      <c r="ENK39" s="987">
        <f t="shared" si="126"/>
        <v>0</v>
      </c>
      <c r="ENL39" s="987"/>
      <c r="ENM39" s="987"/>
      <c r="ENN39" s="987"/>
      <c r="ENO39" s="987"/>
      <c r="ENP39" s="987">
        <f t="shared" si="127"/>
        <v>0</v>
      </c>
      <c r="ENQ39" s="1026" t="s">
        <v>45</v>
      </c>
      <c r="ENR39" s="434"/>
      <c r="ENS39" s="1027"/>
      <c r="ENT39" s="1027"/>
      <c r="ENU39" s="24"/>
      <c r="ENV39" s="1027"/>
      <c r="ENW39" s="1027"/>
      <c r="ENX39" s="25"/>
      <c r="ENY39" s="987">
        <f>SUM(ENY36:ENY38)</f>
        <v>0</v>
      </c>
      <c r="ENZ39" s="987">
        <f t="shared" si="126"/>
        <v>0</v>
      </c>
      <c r="EOA39" s="987">
        <f t="shared" si="126"/>
        <v>0</v>
      </c>
      <c r="EOB39" s="987"/>
      <c r="EOC39" s="987"/>
      <c r="EOD39" s="987"/>
      <c r="EOE39" s="987"/>
      <c r="EOF39" s="987">
        <f t="shared" si="127"/>
        <v>0</v>
      </c>
      <c r="EOG39" s="1026" t="s">
        <v>45</v>
      </c>
      <c r="EOH39" s="434"/>
      <c r="EOI39" s="1027"/>
      <c r="EOJ39" s="1027"/>
      <c r="EOK39" s="24"/>
      <c r="EOL39" s="1027"/>
      <c r="EOM39" s="1027"/>
      <c r="EON39" s="25"/>
      <c r="EOO39" s="987">
        <f>SUM(EOO36:EOO38)</f>
        <v>0</v>
      </c>
      <c r="EOP39" s="987">
        <f t="shared" ref="EOP39:EQM39" si="128">SUM(EOP36:EOP38)</f>
        <v>0</v>
      </c>
      <c r="EOQ39" s="987">
        <f t="shared" si="128"/>
        <v>0</v>
      </c>
      <c r="EOR39" s="987"/>
      <c r="EOS39" s="987"/>
      <c r="EOT39" s="987"/>
      <c r="EOU39" s="987"/>
      <c r="EOV39" s="987">
        <f t="shared" ref="EOV39:EQR39" si="129">SUM(EOV36:EOV38)</f>
        <v>0</v>
      </c>
      <c r="EOW39" s="1026" t="s">
        <v>45</v>
      </c>
      <c r="EOX39" s="434"/>
      <c r="EOY39" s="1027"/>
      <c r="EOZ39" s="1027"/>
      <c r="EPA39" s="24"/>
      <c r="EPB39" s="1027"/>
      <c r="EPC39" s="1027"/>
      <c r="EPD39" s="25"/>
      <c r="EPE39" s="987">
        <f>SUM(EPE36:EPE38)</f>
        <v>0</v>
      </c>
      <c r="EPF39" s="987">
        <f t="shared" si="128"/>
        <v>0</v>
      </c>
      <c r="EPG39" s="987">
        <f t="shared" si="128"/>
        <v>0</v>
      </c>
      <c r="EPH39" s="987"/>
      <c r="EPI39" s="987"/>
      <c r="EPJ39" s="987"/>
      <c r="EPK39" s="987"/>
      <c r="EPL39" s="987">
        <f t="shared" si="129"/>
        <v>0</v>
      </c>
      <c r="EPM39" s="1026" t="s">
        <v>45</v>
      </c>
      <c r="EPN39" s="434"/>
      <c r="EPO39" s="1027"/>
      <c r="EPP39" s="1027"/>
      <c r="EPQ39" s="24"/>
      <c r="EPR39" s="1027"/>
      <c r="EPS39" s="1027"/>
      <c r="EPT39" s="25"/>
      <c r="EPU39" s="987">
        <f>SUM(EPU36:EPU38)</f>
        <v>0</v>
      </c>
      <c r="EPV39" s="987">
        <f t="shared" si="128"/>
        <v>0</v>
      </c>
      <c r="EPW39" s="987">
        <f t="shared" si="128"/>
        <v>0</v>
      </c>
      <c r="EPX39" s="987"/>
      <c r="EPY39" s="987"/>
      <c r="EPZ39" s="987"/>
      <c r="EQA39" s="987"/>
      <c r="EQB39" s="987">
        <f t="shared" si="129"/>
        <v>0</v>
      </c>
      <c r="EQC39" s="1026" t="s">
        <v>45</v>
      </c>
      <c r="EQD39" s="434"/>
      <c r="EQE39" s="1027"/>
      <c r="EQF39" s="1027"/>
      <c r="EQG39" s="24"/>
      <c r="EQH39" s="1027"/>
      <c r="EQI39" s="1027"/>
      <c r="EQJ39" s="25"/>
      <c r="EQK39" s="987">
        <f>SUM(EQK36:EQK38)</f>
        <v>0</v>
      </c>
      <c r="EQL39" s="987">
        <f t="shared" si="128"/>
        <v>0</v>
      </c>
      <c r="EQM39" s="987">
        <f t="shared" si="128"/>
        <v>0</v>
      </c>
      <c r="EQN39" s="987"/>
      <c r="EQO39" s="987"/>
      <c r="EQP39" s="987"/>
      <c r="EQQ39" s="987"/>
      <c r="EQR39" s="987">
        <f t="shared" si="129"/>
        <v>0</v>
      </c>
      <c r="EQS39" s="1026" t="s">
        <v>45</v>
      </c>
      <c r="EQT39" s="434"/>
      <c r="EQU39" s="1027"/>
      <c r="EQV39" s="1027"/>
      <c r="EQW39" s="24"/>
      <c r="EQX39" s="1027"/>
      <c r="EQY39" s="1027"/>
      <c r="EQZ39" s="25"/>
      <c r="ERA39" s="987">
        <f>SUM(ERA36:ERA38)</f>
        <v>0</v>
      </c>
      <c r="ERB39" s="987">
        <f t="shared" ref="ERB39:ESY39" si="130">SUM(ERB36:ERB38)</f>
        <v>0</v>
      </c>
      <c r="ERC39" s="987">
        <f t="shared" si="130"/>
        <v>0</v>
      </c>
      <c r="ERD39" s="987"/>
      <c r="ERE39" s="987"/>
      <c r="ERF39" s="987"/>
      <c r="ERG39" s="987"/>
      <c r="ERH39" s="987">
        <f t="shared" ref="ERH39:ETD39" si="131">SUM(ERH36:ERH38)</f>
        <v>0</v>
      </c>
      <c r="ERI39" s="1026" t="s">
        <v>45</v>
      </c>
      <c r="ERJ39" s="434"/>
      <c r="ERK39" s="1027"/>
      <c r="ERL39" s="1027"/>
      <c r="ERM39" s="24"/>
      <c r="ERN39" s="1027"/>
      <c r="ERO39" s="1027"/>
      <c r="ERP39" s="25"/>
      <c r="ERQ39" s="987">
        <f>SUM(ERQ36:ERQ38)</f>
        <v>0</v>
      </c>
      <c r="ERR39" s="987">
        <f t="shared" si="130"/>
        <v>0</v>
      </c>
      <c r="ERS39" s="987">
        <f t="shared" si="130"/>
        <v>0</v>
      </c>
      <c r="ERT39" s="987"/>
      <c r="ERU39" s="987"/>
      <c r="ERV39" s="987"/>
      <c r="ERW39" s="987"/>
      <c r="ERX39" s="987">
        <f t="shared" si="131"/>
        <v>0</v>
      </c>
      <c r="ERY39" s="1026" t="s">
        <v>45</v>
      </c>
      <c r="ERZ39" s="434"/>
      <c r="ESA39" s="1027"/>
      <c r="ESB39" s="1027"/>
      <c r="ESC39" s="24"/>
      <c r="ESD39" s="1027"/>
      <c r="ESE39" s="1027"/>
      <c r="ESF39" s="25"/>
      <c r="ESG39" s="987">
        <f>SUM(ESG36:ESG38)</f>
        <v>0</v>
      </c>
      <c r="ESH39" s="987">
        <f t="shared" si="130"/>
        <v>0</v>
      </c>
      <c r="ESI39" s="987">
        <f t="shared" si="130"/>
        <v>0</v>
      </c>
      <c r="ESJ39" s="987"/>
      <c r="ESK39" s="987"/>
      <c r="ESL39" s="987"/>
      <c r="ESM39" s="987"/>
      <c r="ESN39" s="987">
        <f t="shared" si="131"/>
        <v>0</v>
      </c>
      <c r="ESO39" s="1026" t="s">
        <v>45</v>
      </c>
      <c r="ESP39" s="434"/>
      <c r="ESQ39" s="1027"/>
      <c r="ESR39" s="1027"/>
      <c r="ESS39" s="24"/>
      <c r="EST39" s="1027"/>
      <c r="ESU39" s="1027"/>
      <c r="ESV39" s="25"/>
      <c r="ESW39" s="987">
        <f>SUM(ESW36:ESW38)</f>
        <v>0</v>
      </c>
      <c r="ESX39" s="987">
        <f t="shared" si="130"/>
        <v>0</v>
      </c>
      <c r="ESY39" s="987">
        <f t="shared" si="130"/>
        <v>0</v>
      </c>
      <c r="ESZ39" s="987"/>
      <c r="ETA39" s="987"/>
      <c r="ETB39" s="987"/>
      <c r="ETC39" s="987"/>
      <c r="ETD39" s="987">
        <f t="shared" si="131"/>
        <v>0</v>
      </c>
      <c r="ETE39" s="1026" t="s">
        <v>45</v>
      </c>
      <c r="ETF39" s="434"/>
      <c r="ETG39" s="1027"/>
      <c r="ETH39" s="1027"/>
      <c r="ETI39" s="24"/>
      <c r="ETJ39" s="1027"/>
      <c r="ETK39" s="1027"/>
      <c r="ETL39" s="25"/>
      <c r="ETM39" s="987">
        <f>SUM(ETM36:ETM38)</f>
        <v>0</v>
      </c>
      <c r="ETN39" s="987">
        <f t="shared" ref="ETN39:EVK39" si="132">SUM(ETN36:ETN38)</f>
        <v>0</v>
      </c>
      <c r="ETO39" s="987">
        <f t="shared" si="132"/>
        <v>0</v>
      </c>
      <c r="ETP39" s="987"/>
      <c r="ETQ39" s="987"/>
      <c r="ETR39" s="987"/>
      <c r="ETS39" s="987"/>
      <c r="ETT39" s="987">
        <f t="shared" ref="ETT39:EVP39" si="133">SUM(ETT36:ETT38)</f>
        <v>0</v>
      </c>
      <c r="ETU39" s="1026" t="s">
        <v>45</v>
      </c>
      <c r="ETV39" s="434"/>
      <c r="ETW39" s="1027"/>
      <c r="ETX39" s="1027"/>
      <c r="ETY39" s="24"/>
      <c r="ETZ39" s="1027"/>
      <c r="EUA39" s="1027"/>
      <c r="EUB39" s="25"/>
      <c r="EUC39" s="987">
        <f>SUM(EUC36:EUC38)</f>
        <v>0</v>
      </c>
      <c r="EUD39" s="987">
        <f t="shared" si="132"/>
        <v>0</v>
      </c>
      <c r="EUE39" s="987">
        <f t="shared" si="132"/>
        <v>0</v>
      </c>
      <c r="EUF39" s="987"/>
      <c r="EUG39" s="987"/>
      <c r="EUH39" s="987"/>
      <c r="EUI39" s="987"/>
      <c r="EUJ39" s="987">
        <f t="shared" si="133"/>
        <v>0</v>
      </c>
      <c r="EUK39" s="1026" t="s">
        <v>45</v>
      </c>
      <c r="EUL39" s="434"/>
      <c r="EUM39" s="1027"/>
      <c r="EUN39" s="1027"/>
      <c r="EUO39" s="24"/>
      <c r="EUP39" s="1027"/>
      <c r="EUQ39" s="1027"/>
      <c r="EUR39" s="25"/>
      <c r="EUS39" s="987">
        <f>SUM(EUS36:EUS38)</f>
        <v>0</v>
      </c>
      <c r="EUT39" s="987">
        <f t="shared" si="132"/>
        <v>0</v>
      </c>
      <c r="EUU39" s="987">
        <f t="shared" si="132"/>
        <v>0</v>
      </c>
      <c r="EUV39" s="987"/>
      <c r="EUW39" s="987"/>
      <c r="EUX39" s="987"/>
      <c r="EUY39" s="987"/>
      <c r="EUZ39" s="987">
        <f t="shared" si="133"/>
        <v>0</v>
      </c>
      <c r="EVA39" s="1026" t="s">
        <v>45</v>
      </c>
      <c r="EVB39" s="434"/>
      <c r="EVC39" s="1027"/>
      <c r="EVD39" s="1027"/>
      <c r="EVE39" s="24"/>
      <c r="EVF39" s="1027"/>
      <c r="EVG39" s="1027"/>
      <c r="EVH39" s="25"/>
      <c r="EVI39" s="987">
        <f>SUM(EVI36:EVI38)</f>
        <v>0</v>
      </c>
      <c r="EVJ39" s="987">
        <f t="shared" si="132"/>
        <v>0</v>
      </c>
      <c r="EVK39" s="987">
        <f t="shared" si="132"/>
        <v>0</v>
      </c>
      <c r="EVL39" s="987"/>
      <c r="EVM39" s="987"/>
      <c r="EVN39" s="987"/>
      <c r="EVO39" s="987"/>
      <c r="EVP39" s="987">
        <f t="shared" si="133"/>
        <v>0</v>
      </c>
      <c r="EVQ39" s="1026" t="s">
        <v>45</v>
      </c>
      <c r="EVR39" s="434"/>
      <c r="EVS39" s="1027"/>
      <c r="EVT39" s="1027"/>
      <c r="EVU39" s="24"/>
      <c r="EVV39" s="1027"/>
      <c r="EVW39" s="1027"/>
      <c r="EVX39" s="25"/>
      <c r="EVY39" s="987">
        <f>SUM(EVY36:EVY38)</f>
        <v>0</v>
      </c>
      <c r="EVZ39" s="987">
        <f t="shared" ref="EVZ39:EXW39" si="134">SUM(EVZ36:EVZ38)</f>
        <v>0</v>
      </c>
      <c r="EWA39" s="987">
        <f t="shared" si="134"/>
        <v>0</v>
      </c>
      <c r="EWB39" s="987"/>
      <c r="EWC39" s="987"/>
      <c r="EWD39" s="987"/>
      <c r="EWE39" s="987"/>
      <c r="EWF39" s="987">
        <f t="shared" ref="EWF39:EYB39" si="135">SUM(EWF36:EWF38)</f>
        <v>0</v>
      </c>
      <c r="EWG39" s="1026" t="s">
        <v>45</v>
      </c>
      <c r="EWH39" s="434"/>
      <c r="EWI39" s="1027"/>
      <c r="EWJ39" s="1027"/>
      <c r="EWK39" s="24"/>
      <c r="EWL39" s="1027"/>
      <c r="EWM39" s="1027"/>
      <c r="EWN39" s="25"/>
      <c r="EWO39" s="987">
        <f>SUM(EWO36:EWO38)</f>
        <v>0</v>
      </c>
      <c r="EWP39" s="987">
        <f t="shared" si="134"/>
        <v>0</v>
      </c>
      <c r="EWQ39" s="987">
        <f t="shared" si="134"/>
        <v>0</v>
      </c>
      <c r="EWR39" s="987"/>
      <c r="EWS39" s="987"/>
      <c r="EWT39" s="987"/>
      <c r="EWU39" s="987"/>
      <c r="EWV39" s="987">
        <f t="shared" si="135"/>
        <v>0</v>
      </c>
      <c r="EWW39" s="1026" t="s">
        <v>45</v>
      </c>
      <c r="EWX39" s="434"/>
      <c r="EWY39" s="1027"/>
      <c r="EWZ39" s="1027"/>
      <c r="EXA39" s="24"/>
      <c r="EXB39" s="1027"/>
      <c r="EXC39" s="1027"/>
      <c r="EXD39" s="25"/>
      <c r="EXE39" s="987">
        <f>SUM(EXE36:EXE38)</f>
        <v>0</v>
      </c>
      <c r="EXF39" s="987">
        <f t="shared" si="134"/>
        <v>0</v>
      </c>
      <c r="EXG39" s="987">
        <f t="shared" si="134"/>
        <v>0</v>
      </c>
      <c r="EXH39" s="987"/>
      <c r="EXI39" s="987"/>
      <c r="EXJ39" s="987"/>
      <c r="EXK39" s="987"/>
      <c r="EXL39" s="987">
        <f t="shared" si="135"/>
        <v>0</v>
      </c>
      <c r="EXM39" s="1026" t="s">
        <v>45</v>
      </c>
      <c r="EXN39" s="434"/>
      <c r="EXO39" s="1027"/>
      <c r="EXP39" s="1027"/>
      <c r="EXQ39" s="24"/>
      <c r="EXR39" s="1027"/>
      <c r="EXS39" s="1027"/>
      <c r="EXT39" s="25"/>
      <c r="EXU39" s="987">
        <f>SUM(EXU36:EXU38)</f>
        <v>0</v>
      </c>
      <c r="EXV39" s="987">
        <f t="shared" si="134"/>
        <v>0</v>
      </c>
      <c r="EXW39" s="987">
        <f t="shared" si="134"/>
        <v>0</v>
      </c>
      <c r="EXX39" s="987"/>
      <c r="EXY39" s="987"/>
      <c r="EXZ39" s="987"/>
      <c r="EYA39" s="987"/>
      <c r="EYB39" s="987">
        <f t="shared" si="135"/>
        <v>0</v>
      </c>
      <c r="EYC39" s="1026" t="s">
        <v>45</v>
      </c>
      <c r="EYD39" s="434"/>
      <c r="EYE39" s="1027"/>
      <c r="EYF39" s="1027"/>
      <c r="EYG39" s="24"/>
      <c r="EYH39" s="1027"/>
      <c r="EYI39" s="1027"/>
      <c r="EYJ39" s="25"/>
      <c r="EYK39" s="987">
        <f>SUM(EYK36:EYK38)</f>
        <v>0</v>
      </c>
      <c r="EYL39" s="987">
        <f t="shared" ref="EYL39:FAI39" si="136">SUM(EYL36:EYL38)</f>
        <v>0</v>
      </c>
      <c r="EYM39" s="987">
        <f t="shared" si="136"/>
        <v>0</v>
      </c>
      <c r="EYN39" s="987"/>
      <c r="EYO39" s="987"/>
      <c r="EYP39" s="987"/>
      <c r="EYQ39" s="987"/>
      <c r="EYR39" s="987">
        <f t="shared" ref="EYR39:FAN39" si="137">SUM(EYR36:EYR38)</f>
        <v>0</v>
      </c>
      <c r="EYS39" s="1026" t="s">
        <v>45</v>
      </c>
      <c r="EYT39" s="434"/>
      <c r="EYU39" s="1027"/>
      <c r="EYV39" s="1027"/>
      <c r="EYW39" s="24"/>
      <c r="EYX39" s="1027"/>
      <c r="EYY39" s="1027"/>
      <c r="EYZ39" s="25"/>
      <c r="EZA39" s="987">
        <f>SUM(EZA36:EZA38)</f>
        <v>0</v>
      </c>
      <c r="EZB39" s="987">
        <f t="shared" si="136"/>
        <v>0</v>
      </c>
      <c r="EZC39" s="987">
        <f t="shared" si="136"/>
        <v>0</v>
      </c>
      <c r="EZD39" s="987"/>
      <c r="EZE39" s="987"/>
      <c r="EZF39" s="987"/>
      <c r="EZG39" s="987"/>
      <c r="EZH39" s="987">
        <f t="shared" si="137"/>
        <v>0</v>
      </c>
      <c r="EZI39" s="1026" t="s">
        <v>45</v>
      </c>
      <c r="EZJ39" s="434"/>
      <c r="EZK39" s="1027"/>
      <c r="EZL39" s="1027"/>
      <c r="EZM39" s="24"/>
      <c r="EZN39" s="1027"/>
      <c r="EZO39" s="1027"/>
      <c r="EZP39" s="25"/>
      <c r="EZQ39" s="987">
        <f>SUM(EZQ36:EZQ38)</f>
        <v>0</v>
      </c>
      <c r="EZR39" s="987">
        <f t="shared" si="136"/>
        <v>0</v>
      </c>
      <c r="EZS39" s="987">
        <f t="shared" si="136"/>
        <v>0</v>
      </c>
      <c r="EZT39" s="987"/>
      <c r="EZU39" s="987"/>
      <c r="EZV39" s="987"/>
      <c r="EZW39" s="987"/>
      <c r="EZX39" s="987">
        <f t="shared" si="137"/>
        <v>0</v>
      </c>
      <c r="EZY39" s="1026" t="s">
        <v>45</v>
      </c>
      <c r="EZZ39" s="434"/>
      <c r="FAA39" s="1027"/>
      <c r="FAB39" s="1027"/>
      <c r="FAC39" s="24"/>
      <c r="FAD39" s="1027"/>
      <c r="FAE39" s="1027"/>
      <c r="FAF39" s="25"/>
      <c r="FAG39" s="987">
        <f>SUM(FAG36:FAG38)</f>
        <v>0</v>
      </c>
      <c r="FAH39" s="987">
        <f t="shared" si="136"/>
        <v>0</v>
      </c>
      <c r="FAI39" s="987">
        <f t="shared" si="136"/>
        <v>0</v>
      </c>
      <c r="FAJ39" s="987"/>
      <c r="FAK39" s="987"/>
      <c r="FAL39" s="987"/>
      <c r="FAM39" s="987"/>
      <c r="FAN39" s="987">
        <f t="shared" si="137"/>
        <v>0</v>
      </c>
      <c r="FAO39" s="1026" t="s">
        <v>45</v>
      </c>
      <c r="FAP39" s="434"/>
      <c r="FAQ39" s="1027"/>
      <c r="FAR39" s="1027"/>
      <c r="FAS39" s="24"/>
      <c r="FAT39" s="1027"/>
      <c r="FAU39" s="1027"/>
      <c r="FAV39" s="25"/>
      <c r="FAW39" s="987">
        <f>SUM(FAW36:FAW38)</f>
        <v>0</v>
      </c>
      <c r="FAX39" s="987">
        <f t="shared" ref="FAX39:FCU39" si="138">SUM(FAX36:FAX38)</f>
        <v>0</v>
      </c>
      <c r="FAY39" s="987">
        <f t="shared" si="138"/>
        <v>0</v>
      </c>
      <c r="FAZ39" s="987"/>
      <c r="FBA39" s="987"/>
      <c r="FBB39" s="987"/>
      <c r="FBC39" s="987"/>
      <c r="FBD39" s="987">
        <f t="shared" ref="FBD39:FCZ39" si="139">SUM(FBD36:FBD38)</f>
        <v>0</v>
      </c>
      <c r="FBE39" s="1026" t="s">
        <v>45</v>
      </c>
      <c r="FBF39" s="434"/>
      <c r="FBG39" s="1027"/>
      <c r="FBH39" s="1027"/>
      <c r="FBI39" s="24"/>
      <c r="FBJ39" s="1027"/>
      <c r="FBK39" s="1027"/>
      <c r="FBL39" s="25"/>
      <c r="FBM39" s="987">
        <f>SUM(FBM36:FBM38)</f>
        <v>0</v>
      </c>
      <c r="FBN39" s="987">
        <f t="shared" si="138"/>
        <v>0</v>
      </c>
      <c r="FBO39" s="987">
        <f t="shared" si="138"/>
        <v>0</v>
      </c>
      <c r="FBP39" s="987"/>
      <c r="FBQ39" s="987"/>
      <c r="FBR39" s="987"/>
      <c r="FBS39" s="987"/>
      <c r="FBT39" s="987">
        <f t="shared" si="139"/>
        <v>0</v>
      </c>
      <c r="FBU39" s="1026" t="s">
        <v>45</v>
      </c>
      <c r="FBV39" s="434"/>
      <c r="FBW39" s="1027"/>
      <c r="FBX39" s="1027"/>
      <c r="FBY39" s="24"/>
      <c r="FBZ39" s="1027"/>
      <c r="FCA39" s="1027"/>
      <c r="FCB39" s="25"/>
      <c r="FCC39" s="987">
        <f>SUM(FCC36:FCC38)</f>
        <v>0</v>
      </c>
      <c r="FCD39" s="987">
        <f t="shared" si="138"/>
        <v>0</v>
      </c>
      <c r="FCE39" s="987">
        <f t="shared" si="138"/>
        <v>0</v>
      </c>
      <c r="FCF39" s="987"/>
      <c r="FCG39" s="987"/>
      <c r="FCH39" s="987"/>
      <c r="FCI39" s="987"/>
      <c r="FCJ39" s="987">
        <f t="shared" si="139"/>
        <v>0</v>
      </c>
      <c r="FCK39" s="1026" t="s">
        <v>45</v>
      </c>
      <c r="FCL39" s="434"/>
      <c r="FCM39" s="1027"/>
      <c r="FCN39" s="1027"/>
      <c r="FCO39" s="24"/>
      <c r="FCP39" s="1027"/>
      <c r="FCQ39" s="1027"/>
      <c r="FCR39" s="25"/>
      <c r="FCS39" s="987">
        <f>SUM(FCS36:FCS38)</f>
        <v>0</v>
      </c>
      <c r="FCT39" s="987">
        <f t="shared" si="138"/>
        <v>0</v>
      </c>
      <c r="FCU39" s="987">
        <f t="shared" si="138"/>
        <v>0</v>
      </c>
      <c r="FCV39" s="987"/>
      <c r="FCW39" s="987"/>
      <c r="FCX39" s="987"/>
      <c r="FCY39" s="987"/>
      <c r="FCZ39" s="987">
        <f t="shared" si="139"/>
        <v>0</v>
      </c>
      <c r="FDA39" s="1026" t="s">
        <v>45</v>
      </c>
      <c r="FDB39" s="434"/>
      <c r="FDC39" s="1027"/>
      <c r="FDD39" s="1027"/>
      <c r="FDE39" s="24"/>
      <c r="FDF39" s="1027"/>
      <c r="FDG39" s="1027"/>
      <c r="FDH39" s="25"/>
      <c r="FDI39" s="987">
        <f>SUM(FDI36:FDI38)</f>
        <v>0</v>
      </c>
      <c r="FDJ39" s="987">
        <f t="shared" ref="FDJ39:FFG39" si="140">SUM(FDJ36:FDJ38)</f>
        <v>0</v>
      </c>
      <c r="FDK39" s="987">
        <f t="shared" si="140"/>
        <v>0</v>
      </c>
      <c r="FDL39" s="987"/>
      <c r="FDM39" s="987"/>
      <c r="FDN39" s="987"/>
      <c r="FDO39" s="987"/>
      <c r="FDP39" s="987">
        <f t="shared" ref="FDP39:FFL39" si="141">SUM(FDP36:FDP38)</f>
        <v>0</v>
      </c>
      <c r="FDQ39" s="1026" t="s">
        <v>45</v>
      </c>
      <c r="FDR39" s="434"/>
      <c r="FDS39" s="1027"/>
      <c r="FDT39" s="1027"/>
      <c r="FDU39" s="24"/>
      <c r="FDV39" s="1027"/>
      <c r="FDW39" s="1027"/>
      <c r="FDX39" s="25"/>
      <c r="FDY39" s="987">
        <f>SUM(FDY36:FDY38)</f>
        <v>0</v>
      </c>
      <c r="FDZ39" s="987">
        <f t="shared" si="140"/>
        <v>0</v>
      </c>
      <c r="FEA39" s="987">
        <f t="shared" si="140"/>
        <v>0</v>
      </c>
      <c r="FEB39" s="987"/>
      <c r="FEC39" s="987"/>
      <c r="FED39" s="987"/>
      <c r="FEE39" s="987"/>
      <c r="FEF39" s="987">
        <f t="shared" si="141"/>
        <v>0</v>
      </c>
      <c r="FEG39" s="1026" t="s">
        <v>45</v>
      </c>
      <c r="FEH39" s="434"/>
      <c r="FEI39" s="1027"/>
      <c r="FEJ39" s="1027"/>
      <c r="FEK39" s="24"/>
      <c r="FEL39" s="1027"/>
      <c r="FEM39" s="1027"/>
      <c r="FEN39" s="25"/>
      <c r="FEO39" s="987">
        <f>SUM(FEO36:FEO38)</f>
        <v>0</v>
      </c>
      <c r="FEP39" s="987">
        <f t="shared" si="140"/>
        <v>0</v>
      </c>
      <c r="FEQ39" s="987">
        <f t="shared" si="140"/>
        <v>0</v>
      </c>
      <c r="FER39" s="987"/>
      <c r="FES39" s="987"/>
      <c r="FET39" s="987"/>
      <c r="FEU39" s="987"/>
      <c r="FEV39" s="987">
        <f t="shared" si="141"/>
        <v>0</v>
      </c>
      <c r="FEW39" s="1026" t="s">
        <v>45</v>
      </c>
      <c r="FEX39" s="434"/>
      <c r="FEY39" s="1027"/>
      <c r="FEZ39" s="1027"/>
      <c r="FFA39" s="24"/>
      <c r="FFB39" s="1027"/>
      <c r="FFC39" s="1027"/>
      <c r="FFD39" s="25"/>
      <c r="FFE39" s="987">
        <f>SUM(FFE36:FFE38)</f>
        <v>0</v>
      </c>
      <c r="FFF39" s="987">
        <f t="shared" si="140"/>
        <v>0</v>
      </c>
      <c r="FFG39" s="987">
        <f t="shared" si="140"/>
        <v>0</v>
      </c>
      <c r="FFH39" s="987"/>
      <c r="FFI39" s="987"/>
      <c r="FFJ39" s="987"/>
      <c r="FFK39" s="987"/>
      <c r="FFL39" s="987">
        <f t="shared" si="141"/>
        <v>0</v>
      </c>
      <c r="FFM39" s="1026" t="s">
        <v>45</v>
      </c>
      <c r="FFN39" s="434"/>
      <c r="FFO39" s="1027"/>
      <c r="FFP39" s="1027"/>
      <c r="FFQ39" s="24"/>
      <c r="FFR39" s="1027"/>
      <c r="FFS39" s="1027"/>
      <c r="FFT39" s="25"/>
      <c r="FFU39" s="987">
        <f>SUM(FFU36:FFU38)</f>
        <v>0</v>
      </c>
      <c r="FFV39" s="987">
        <f t="shared" ref="FFV39:FHS39" si="142">SUM(FFV36:FFV38)</f>
        <v>0</v>
      </c>
      <c r="FFW39" s="987">
        <f t="shared" si="142"/>
        <v>0</v>
      </c>
      <c r="FFX39" s="987"/>
      <c r="FFY39" s="987"/>
      <c r="FFZ39" s="987"/>
      <c r="FGA39" s="987"/>
      <c r="FGB39" s="987">
        <f t="shared" ref="FGB39:FHX39" si="143">SUM(FGB36:FGB38)</f>
        <v>0</v>
      </c>
      <c r="FGC39" s="1026" t="s">
        <v>45</v>
      </c>
      <c r="FGD39" s="434"/>
      <c r="FGE39" s="1027"/>
      <c r="FGF39" s="1027"/>
      <c r="FGG39" s="24"/>
      <c r="FGH39" s="1027"/>
      <c r="FGI39" s="1027"/>
      <c r="FGJ39" s="25"/>
      <c r="FGK39" s="987">
        <f>SUM(FGK36:FGK38)</f>
        <v>0</v>
      </c>
      <c r="FGL39" s="987">
        <f t="shared" si="142"/>
        <v>0</v>
      </c>
      <c r="FGM39" s="987">
        <f t="shared" si="142"/>
        <v>0</v>
      </c>
      <c r="FGN39" s="987"/>
      <c r="FGO39" s="987"/>
      <c r="FGP39" s="987"/>
      <c r="FGQ39" s="987"/>
      <c r="FGR39" s="987">
        <f t="shared" si="143"/>
        <v>0</v>
      </c>
      <c r="FGS39" s="1026" t="s">
        <v>45</v>
      </c>
      <c r="FGT39" s="434"/>
      <c r="FGU39" s="1027"/>
      <c r="FGV39" s="1027"/>
      <c r="FGW39" s="24"/>
      <c r="FGX39" s="1027"/>
      <c r="FGY39" s="1027"/>
      <c r="FGZ39" s="25"/>
      <c r="FHA39" s="987">
        <f>SUM(FHA36:FHA38)</f>
        <v>0</v>
      </c>
      <c r="FHB39" s="987">
        <f t="shared" si="142"/>
        <v>0</v>
      </c>
      <c r="FHC39" s="987">
        <f t="shared" si="142"/>
        <v>0</v>
      </c>
      <c r="FHD39" s="987"/>
      <c r="FHE39" s="987"/>
      <c r="FHF39" s="987"/>
      <c r="FHG39" s="987"/>
      <c r="FHH39" s="987">
        <f t="shared" si="143"/>
        <v>0</v>
      </c>
      <c r="FHI39" s="1026" t="s">
        <v>45</v>
      </c>
      <c r="FHJ39" s="434"/>
      <c r="FHK39" s="1027"/>
      <c r="FHL39" s="1027"/>
      <c r="FHM39" s="24"/>
      <c r="FHN39" s="1027"/>
      <c r="FHO39" s="1027"/>
      <c r="FHP39" s="25"/>
      <c r="FHQ39" s="987">
        <f>SUM(FHQ36:FHQ38)</f>
        <v>0</v>
      </c>
      <c r="FHR39" s="987">
        <f t="shared" si="142"/>
        <v>0</v>
      </c>
      <c r="FHS39" s="987">
        <f t="shared" si="142"/>
        <v>0</v>
      </c>
      <c r="FHT39" s="987"/>
      <c r="FHU39" s="987"/>
      <c r="FHV39" s="987"/>
      <c r="FHW39" s="987"/>
      <c r="FHX39" s="987">
        <f t="shared" si="143"/>
        <v>0</v>
      </c>
      <c r="FHY39" s="1026" t="s">
        <v>45</v>
      </c>
      <c r="FHZ39" s="434"/>
      <c r="FIA39" s="1027"/>
      <c r="FIB39" s="1027"/>
      <c r="FIC39" s="24"/>
      <c r="FID39" s="1027"/>
      <c r="FIE39" s="1027"/>
      <c r="FIF39" s="25"/>
      <c r="FIG39" s="987">
        <f>SUM(FIG36:FIG38)</f>
        <v>0</v>
      </c>
      <c r="FIH39" s="987">
        <f t="shared" ref="FIH39:FKE39" si="144">SUM(FIH36:FIH38)</f>
        <v>0</v>
      </c>
      <c r="FII39" s="987">
        <f t="shared" si="144"/>
        <v>0</v>
      </c>
      <c r="FIJ39" s="987"/>
      <c r="FIK39" s="987"/>
      <c r="FIL39" s="987"/>
      <c r="FIM39" s="987"/>
      <c r="FIN39" s="987">
        <f t="shared" ref="FIN39:FKJ39" si="145">SUM(FIN36:FIN38)</f>
        <v>0</v>
      </c>
      <c r="FIO39" s="1026" t="s">
        <v>45</v>
      </c>
      <c r="FIP39" s="434"/>
      <c r="FIQ39" s="1027"/>
      <c r="FIR39" s="1027"/>
      <c r="FIS39" s="24"/>
      <c r="FIT39" s="1027"/>
      <c r="FIU39" s="1027"/>
      <c r="FIV39" s="25"/>
      <c r="FIW39" s="987">
        <f>SUM(FIW36:FIW38)</f>
        <v>0</v>
      </c>
      <c r="FIX39" s="987">
        <f t="shared" si="144"/>
        <v>0</v>
      </c>
      <c r="FIY39" s="987">
        <f t="shared" si="144"/>
        <v>0</v>
      </c>
      <c r="FIZ39" s="987"/>
      <c r="FJA39" s="987"/>
      <c r="FJB39" s="987"/>
      <c r="FJC39" s="987"/>
      <c r="FJD39" s="987">
        <f t="shared" si="145"/>
        <v>0</v>
      </c>
      <c r="FJE39" s="1026" t="s">
        <v>45</v>
      </c>
      <c r="FJF39" s="434"/>
      <c r="FJG39" s="1027"/>
      <c r="FJH39" s="1027"/>
      <c r="FJI39" s="24"/>
      <c r="FJJ39" s="1027"/>
      <c r="FJK39" s="1027"/>
      <c r="FJL39" s="25"/>
      <c r="FJM39" s="987">
        <f>SUM(FJM36:FJM38)</f>
        <v>0</v>
      </c>
      <c r="FJN39" s="987">
        <f t="shared" si="144"/>
        <v>0</v>
      </c>
      <c r="FJO39" s="987">
        <f t="shared" si="144"/>
        <v>0</v>
      </c>
      <c r="FJP39" s="987"/>
      <c r="FJQ39" s="987"/>
      <c r="FJR39" s="987"/>
      <c r="FJS39" s="987"/>
      <c r="FJT39" s="987">
        <f t="shared" si="145"/>
        <v>0</v>
      </c>
      <c r="FJU39" s="1026" t="s">
        <v>45</v>
      </c>
      <c r="FJV39" s="434"/>
      <c r="FJW39" s="1027"/>
      <c r="FJX39" s="1027"/>
      <c r="FJY39" s="24"/>
      <c r="FJZ39" s="1027"/>
      <c r="FKA39" s="1027"/>
      <c r="FKB39" s="25"/>
      <c r="FKC39" s="987">
        <f>SUM(FKC36:FKC38)</f>
        <v>0</v>
      </c>
      <c r="FKD39" s="987">
        <f t="shared" si="144"/>
        <v>0</v>
      </c>
      <c r="FKE39" s="987">
        <f t="shared" si="144"/>
        <v>0</v>
      </c>
      <c r="FKF39" s="987"/>
      <c r="FKG39" s="987"/>
      <c r="FKH39" s="987"/>
      <c r="FKI39" s="987"/>
      <c r="FKJ39" s="987">
        <f t="shared" si="145"/>
        <v>0</v>
      </c>
      <c r="FKK39" s="1026" t="s">
        <v>45</v>
      </c>
      <c r="FKL39" s="434"/>
      <c r="FKM39" s="1027"/>
      <c r="FKN39" s="1027"/>
      <c r="FKO39" s="24"/>
      <c r="FKP39" s="1027"/>
      <c r="FKQ39" s="1027"/>
      <c r="FKR39" s="25"/>
      <c r="FKS39" s="987">
        <f>SUM(FKS36:FKS38)</f>
        <v>0</v>
      </c>
      <c r="FKT39" s="987">
        <f t="shared" ref="FKT39:FMQ39" si="146">SUM(FKT36:FKT38)</f>
        <v>0</v>
      </c>
      <c r="FKU39" s="987">
        <f t="shared" si="146"/>
        <v>0</v>
      </c>
      <c r="FKV39" s="987"/>
      <c r="FKW39" s="987"/>
      <c r="FKX39" s="987"/>
      <c r="FKY39" s="987"/>
      <c r="FKZ39" s="987">
        <f t="shared" ref="FKZ39:FMV39" si="147">SUM(FKZ36:FKZ38)</f>
        <v>0</v>
      </c>
      <c r="FLA39" s="1026" t="s">
        <v>45</v>
      </c>
      <c r="FLB39" s="434"/>
      <c r="FLC39" s="1027"/>
      <c r="FLD39" s="1027"/>
      <c r="FLE39" s="24"/>
      <c r="FLF39" s="1027"/>
      <c r="FLG39" s="1027"/>
      <c r="FLH39" s="25"/>
      <c r="FLI39" s="987">
        <f>SUM(FLI36:FLI38)</f>
        <v>0</v>
      </c>
      <c r="FLJ39" s="987">
        <f t="shared" si="146"/>
        <v>0</v>
      </c>
      <c r="FLK39" s="987">
        <f t="shared" si="146"/>
        <v>0</v>
      </c>
      <c r="FLL39" s="987"/>
      <c r="FLM39" s="987"/>
      <c r="FLN39" s="987"/>
      <c r="FLO39" s="987"/>
      <c r="FLP39" s="987">
        <f t="shared" si="147"/>
        <v>0</v>
      </c>
      <c r="FLQ39" s="1026" t="s">
        <v>45</v>
      </c>
      <c r="FLR39" s="434"/>
      <c r="FLS39" s="1027"/>
      <c r="FLT39" s="1027"/>
      <c r="FLU39" s="24"/>
      <c r="FLV39" s="1027"/>
      <c r="FLW39" s="1027"/>
      <c r="FLX39" s="25"/>
      <c r="FLY39" s="987">
        <f>SUM(FLY36:FLY38)</f>
        <v>0</v>
      </c>
      <c r="FLZ39" s="987">
        <f t="shared" si="146"/>
        <v>0</v>
      </c>
      <c r="FMA39" s="987">
        <f t="shared" si="146"/>
        <v>0</v>
      </c>
      <c r="FMB39" s="987"/>
      <c r="FMC39" s="987"/>
      <c r="FMD39" s="987"/>
      <c r="FME39" s="987"/>
      <c r="FMF39" s="987">
        <f t="shared" si="147"/>
        <v>0</v>
      </c>
      <c r="FMG39" s="1026" t="s">
        <v>45</v>
      </c>
      <c r="FMH39" s="434"/>
      <c r="FMI39" s="1027"/>
      <c r="FMJ39" s="1027"/>
      <c r="FMK39" s="24"/>
      <c r="FML39" s="1027"/>
      <c r="FMM39" s="1027"/>
      <c r="FMN39" s="25"/>
      <c r="FMO39" s="987">
        <f>SUM(FMO36:FMO38)</f>
        <v>0</v>
      </c>
      <c r="FMP39" s="987">
        <f t="shared" si="146"/>
        <v>0</v>
      </c>
      <c r="FMQ39" s="987">
        <f t="shared" si="146"/>
        <v>0</v>
      </c>
      <c r="FMR39" s="987"/>
      <c r="FMS39" s="987"/>
      <c r="FMT39" s="987"/>
      <c r="FMU39" s="987"/>
      <c r="FMV39" s="987">
        <f t="shared" si="147"/>
        <v>0</v>
      </c>
      <c r="FMW39" s="1026" t="s">
        <v>45</v>
      </c>
      <c r="FMX39" s="434"/>
      <c r="FMY39" s="1027"/>
      <c r="FMZ39" s="1027"/>
      <c r="FNA39" s="24"/>
      <c r="FNB39" s="1027"/>
      <c r="FNC39" s="1027"/>
      <c r="FND39" s="25"/>
      <c r="FNE39" s="987">
        <f>SUM(FNE36:FNE38)</f>
        <v>0</v>
      </c>
      <c r="FNF39" s="987">
        <f t="shared" ref="FNF39:FPC39" si="148">SUM(FNF36:FNF38)</f>
        <v>0</v>
      </c>
      <c r="FNG39" s="987">
        <f t="shared" si="148"/>
        <v>0</v>
      </c>
      <c r="FNH39" s="987"/>
      <c r="FNI39" s="987"/>
      <c r="FNJ39" s="987"/>
      <c r="FNK39" s="987"/>
      <c r="FNL39" s="987">
        <f t="shared" ref="FNL39:FPH39" si="149">SUM(FNL36:FNL38)</f>
        <v>0</v>
      </c>
      <c r="FNM39" s="1026" t="s">
        <v>45</v>
      </c>
      <c r="FNN39" s="434"/>
      <c r="FNO39" s="1027"/>
      <c r="FNP39" s="1027"/>
      <c r="FNQ39" s="24"/>
      <c r="FNR39" s="1027"/>
      <c r="FNS39" s="1027"/>
      <c r="FNT39" s="25"/>
      <c r="FNU39" s="987">
        <f>SUM(FNU36:FNU38)</f>
        <v>0</v>
      </c>
      <c r="FNV39" s="987">
        <f t="shared" si="148"/>
        <v>0</v>
      </c>
      <c r="FNW39" s="987">
        <f t="shared" si="148"/>
        <v>0</v>
      </c>
      <c r="FNX39" s="987"/>
      <c r="FNY39" s="987"/>
      <c r="FNZ39" s="987"/>
      <c r="FOA39" s="987"/>
      <c r="FOB39" s="987">
        <f t="shared" si="149"/>
        <v>0</v>
      </c>
      <c r="FOC39" s="1026" t="s">
        <v>45</v>
      </c>
      <c r="FOD39" s="434"/>
      <c r="FOE39" s="1027"/>
      <c r="FOF39" s="1027"/>
      <c r="FOG39" s="24"/>
      <c r="FOH39" s="1027"/>
      <c r="FOI39" s="1027"/>
      <c r="FOJ39" s="25"/>
      <c r="FOK39" s="987">
        <f>SUM(FOK36:FOK38)</f>
        <v>0</v>
      </c>
      <c r="FOL39" s="987">
        <f t="shared" si="148"/>
        <v>0</v>
      </c>
      <c r="FOM39" s="987">
        <f t="shared" si="148"/>
        <v>0</v>
      </c>
      <c r="FON39" s="987"/>
      <c r="FOO39" s="987"/>
      <c r="FOP39" s="987"/>
      <c r="FOQ39" s="987"/>
      <c r="FOR39" s="987">
        <f t="shared" si="149"/>
        <v>0</v>
      </c>
      <c r="FOS39" s="1026" t="s">
        <v>45</v>
      </c>
      <c r="FOT39" s="434"/>
      <c r="FOU39" s="1027"/>
      <c r="FOV39" s="1027"/>
      <c r="FOW39" s="24"/>
      <c r="FOX39" s="1027"/>
      <c r="FOY39" s="1027"/>
      <c r="FOZ39" s="25"/>
      <c r="FPA39" s="987">
        <f>SUM(FPA36:FPA38)</f>
        <v>0</v>
      </c>
      <c r="FPB39" s="987">
        <f t="shared" si="148"/>
        <v>0</v>
      </c>
      <c r="FPC39" s="987">
        <f t="shared" si="148"/>
        <v>0</v>
      </c>
      <c r="FPD39" s="987"/>
      <c r="FPE39" s="987"/>
      <c r="FPF39" s="987"/>
      <c r="FPG39" s="987"/>
      <c r="FPH39" s="987">
        <f t="shared" si="149"/>
        <v>0</v>
      </c>
      <c r="FPI39" s="1026" t="s">
        <v>45</v>
      </c>
      <c r="FPJ39" s="434"/>
      <c r="FPK39" s="1027"/>
      <c r="FPL39" s="1027"/>
      <c r="FPM39" s="24"/>
      <c r="FPN39" s="1027"/>
      <c r="FPO39" s="1027"/>
      <c r="FPP39" s="25"/>
      <c r="FPQ39" s="987">
        <f>SUM(FPQ36:FPQ38)</f>
        <v>0</v>
      </c>
      <c r="FPR39" s="987">
        <f t="shared" ref="FPR39:FRO39" si="150">SUM(FPR36:FPR38)</f>
        <v>0</v>
      </c>
      <c r="FPS39" s="987">
        <f t="shared" si="150"/>
        <v>0</v>
      </c>
      <c r="FPT39" s="987"/>
      <c r="FPU39" s="987"/>
      <c r="FPV39" s="987"/>
      <c r="FPW39" s="987"/>
      <c r="FPX39" s="987">
        <f t="shared" ref="FPX39:FRT39" si="151">SUM(FPX36:FPX38)</f>
        <v>0</v>
      </c>
      <c r="FPY39" s="1026" t="s">
        <v>45</v>
      </c>
      <c r="FPZ39" s="434"/>
      <c r="FQA39" s="1027"/>
      <c r="FQB39" s="1027"/>
      <c r="FQC39" s="24"/>
      <c r="FQD39" s="1027"/>
      <c r="FQE39" s="1027"/>
      <c r="FQF39" s="25"/>
      <c r="FQG39" s="987">
        <f>SUM(FQG36:FQG38)</f>
        <v>0</v>
      </c>
      <c r="FQH39" s="987">
        <f t="shared" si="150"/>
        <v>0</v>
      </c>
      <c r="FQI39" s="987">
        <f t="shared" si="150"/>
        <v>0</v>
      </c>
      <c r="FQJ39" s="987"/>
      <c r="FQK39" s="987"/>
      <c r="FQL39" s="987"/>
      <c r="FQM39" s="987"/>
      <c r="FQN39" s="987">
        <f t="shared" si="151"/>
        <v>0</v>
      </c>
      <c r="FQO39" s="1026" t="s">
        <v>45</v>
      </c>
      <c r="FQP39" s="434"/>
      <c r="FQQ39" s="1027"/>
      <c r="FQR39" s="1027"/>
      <c r="FQS39" s="24"/>
      <c r="FQT39" s="1027"/>
      <c r="FQU39" s="1027"/>
      <c r="FQV39" s="25"/>
      <c r="FQW39" s="987">
        <f>SUM(FQW36:FQW38)</f>
        <v>0</v>
      </c>
      <c r="FQX39" s="987">
        <f t="shared" si="150"/>
        <v>0</v>
      </c>
      <c r="FQY39" s="987">
        <f t="shared" si="150"/>
        <v>0</v>
      </c>
      <c r="FQZ39" s="987"/>
      <c r="FRA39" s="987"/>
      <c r="FRB39" s="987"/>
      <c r="FRC39" s="987"/>
      <c r="FRD39" s="987">
        <f t="shared" si="151"/>
        <v>0</v>
      </c>
      <c r="FRE39" s="1026" t="s">
        <v>45</v>
      </c>
      <c r="FRF39" s="434"/>
      <c r="FRG39" s="1027"/>
      <c r="FRH39" s="1027"/>
      <c r="FRI39" s="24"/>
      <c r="FRJ39" s="1027"/>
      <c r="FRK39" s="1027"/>
      <c r="FRL39" s="25"/>
      <c r="FRM39" s="987">
        <f>SUM(FRM36:FRM38)</f>
        <v>0</v>
      </c>
      <c r="FRN39" s="987">
        <f t="shared" si="150"/>
        <v>0</v>
      </c>
      <c r="FRO39" s="987">
        <f t="shared" si="150"/>
        <v>0</v>
      </c>
      <c r="FRP39" s="987"/>
      <c r="FRQ39" s="987"/>
      <c r="FRR39" s="987"/>
      <c r="FRS39" s="987"/>
      <c r="FRT39" s="987">
        <f t="shared" si="151"/>
        <v>0</v>
      </c>
      <c r="FRU39" s="1026" t="s">
        <v>45</v>
      </c>
      <c r="FRV39" s="434"/>
      <c r="FRW39" s="1027"/>
      <c r="FRX39" s="1027"/>
      <c r="FRY39" s="24"/>
      <c r="FRZ39" s="1027"/>
      <c r="FSA39" s="1027"/>
      <c r="FSB39" s="25"/>
      <c r="FSC39" s="987">
        <f>SUM(FSC36:FSC38)</f>
        <v>0</v>
      </c>
      <c r="FSD39" s="987">
        <f t="shared" ref="FSD39:FUA39" si="152">SUM(FSD36:FSD38)</f>
        <v>0</v>
      </c>
      <c r="FSE39" s="987">
        <f t="shared" si="152"/>
        <v>0</v>
      </c>
      <c r="FSF39" s="987"/>
      <c r="FSG39" s="987"/>
      <c r="FSH39" s="987"/>
      <c r="FSI39" s="987"/>
      <c r="FSJ39" s="987">
        <f t="shared" ref="FSJ39:FUF39" si="153">SUM(FSJ36:FSJ38)</f>
        <v>0</v>
      </c>
      <c r="FSK39" s="1026" t="s">
        <v>45</v>
      </c>
      <c r="FSL39" s="434"/>
      <c r="FSM39" s="1027"/>
      <c r="FSN39" s="1027"/>
      <c r="FSO39" s="24"/>
      <c r="FSP39" s="1027"/>
      <c r="FSQ39" s="1027"/>
      <c r="FSR39" s="25"/>
      <c r="FSS39" s="987">
        <f>SUM(FSS36:FSS38)</f>
        <v>0</v>
      </c>
      <c r="FST39" s="987">
        <f t="shared" si="152"/>
        <v>0</v>
      </c>
      <c r="FSU39" s="987">
        <f t="shared" si="152"/>
        <v>0</v>
      </c>
      <c r="FSV39" s="987"/>
      <c r="FSW39" s="987"/>
      <c r="FSX39" s="987"/>
      <c r="FSY39" s="987"/>
      <c r="FSZ39" s="987">
        <f t="shared" si="153"/>
        <v>0</v>
      </c>
      <c r="FTA39" s="1026" t="s">
        <v>45</v>
      </c>
      <c r="FTB39" s="434"/>
      <c r="FTC39" s="1027"/>
      <c r="FTD39" s="1027"/>
      <c r="FTE39" s="24"/>
      <c r="FTF39" s="1027"/>
      <c r="FTG39" s="1027"/>
      <c r="FTH39" s="25"/>
      <c r="FTI39" s="987">
        <f>SUM(FTI36:FTI38)</f>
        <v>0</v>
      </c>
      <c r="FTJ39" s="987">
        <f t="shared" si="152"/>
        <v>0</v>
      </c>
      <c r="FTK39" s="987">
        <f t="shared" si="152"/>
        <v>0</v>
      </c>
      <c r="FTL39" s="987"/>
      <c r="FTM39" s="987"/>
      <c r="FTN39" s="987"/>
      <c r="FTO39" s="987"/>
      <c r="FTP39" s="987">
        <f t="shared" si="153"/>
        <v>0</v>
      </c>
      <c r="FTQ39" s="1026" t="s">
        <v>45</v>
      </c>
      <c r="FTR39" s="434"/>
      <c r="FTS39" s="1027"/>
      <c r="FTT39" s="1027"/>
      <c r="FTU39" s="24"/>
      <c r="FTV39" s="1027"/>
      <c r="FTW39" s="1027"/>
      <c r="FTX39" s="25"/>
      <c r="FTY39" s="987">
        <f>SUM(FTY36:FTY38)</f>
        <v>0</v>
      </c>
      <c r="FTZ39" s="987">
        <f t="shared" si="152"/>
        <v>0</v>
      </c>
      <c r="FUA39" s="987">
        <f t="shared" si="152"/>
        <v>0</v>
      </c>
      <c r="FUB39" s="987"/>
      <c r="FUC39" s="987"/>
      <c r="FUD39" s="987"/>
      <c r="FUE39" s="987"/>
      <c r="FUF39" s="987">
        <f t="shared" si="153"/>
        <v>0</v>
      </c>
      <c r="FUG39" s="1026" t="s">
        <v>45</v>
      </c>
      <c r="FUH39" s="434"/>
      <c r="FUI39" s="1027"/>
      <c r="FUJ39" s="1027"/>
      <c r="FUK39" s="24"/>
      <c r="FUL39" s="1027"/>
      <c r="FUM39" s="1027"/>
      <c r="FUN39" s="25"/>
      <c r="FUO39" s="987">
        <f>SUM(FUO36:FUO38)</f>
        <v>0</v>
      </c>
      <c r="FUP39" s="987">
        <f t="shared" ref="FUP39:FWM39" si="154">SUM(FUP36:FUP38)</f>
        <v>0</v>
      </c>
      <c r="FUQ39" s="987">
        <f t="shared" si="154"/>
        <v>0</v>
      </c>
      <c r="FUR39" s="987"/>
      <c r="FUS39" s="987"/>
      <c r="FUT39" s="987"/>
      <c r="FUU39" s="987"/>
      <c r="FUV39" s="987">
        <f t="shared" ref="FUV39:FWR39" si="155">SUM(FUV36:FUV38)</f>
        <v>0</v>
      </c>
      <c r="FUW39" s="1026" t="s">
        <v>45</v>
      </c>
      <c r="FUX39" s="434"/>
      <c r="FUY39" s="1027"/>
      <c r="FUZ39" s="1027"/>
      <c r="FVA39" s="24"/>
      <c r="FVB39" s="1027"/>
      <c r="FVC39" s="1027"/>
      <c r="FVD39" s="25"/>
      <c r="FVE39" s="987">
        <f>SUM(FVE36:FVE38)</f>
        <v>0</v>
      </c>
      <c r="FVF39" s="987">
        <f t="shared" si="154"/>
        <v>0</v>
      </c>
      <c r="FVG39" s="987">
        <f t="shared" si="154"/>
        <v>0</v>
      </c>
      <c r="FVH39" s="987"/>
      <c r="FVI39" s="987"/>
      <c r="FVJ39" s="987"/>
      <c r="FVK39" s="987"/>
      <c r="FVL39" s="987">
        <f t="shared" si="155"/>
        <v>0</v>
      </c>
      <c r="FVM39" s="1026" t="s">
        <v>45</v>
      </c>
      <c r="FVN39" s="434"/>
      <c r="FVO39" s="1027"/>
      <c r="FVP39" s="1027"/>
      <c r="FVQ39" s="24"/>
      <c r="FVR39" s="1027"/>
      <c r="FVS39" s="1027"/>
      <c r="FVT39" s="25"/>
      <c r="FVU39" s="987">
        <f>SUM(FVU36:FVU38)</f>
        <v>0</v>
      </c>
      <c r="FVV39" s="987">
        <f t="shared" si="154"/>
        <v>0</v>
      </c>
      <c r="FVW39" s="987">
        <f t="shared" si="154"/>
        <v>0</v>
      </c>
      <c r="FVX39" s="987"/>
      <c r="FVY39" s="987"/>
      <c r="FVZ39" s="987"/>
      <c r="FWA39" s="987"/>
      <c r="FWB39" s="987">
        <f t="shared" si="155"/>
        <v>0</v>
      </c>
      <c r="FWC39" s="1026" t="s">
        <v>45</v>
      </c>
      <c r="FWD39" s="434"/>
      <c r="FWE39" s="1027"/>
      <c r="FWF39" s="1027"/>
      <c r="FWG39" s="24"/>
      <c r="FWH39" s="1027"/>
      <c r="FWI39" s="1027"/>
      <c r="FWJ39" s="25"/>
      <c r="FWK39" s="987">
        <f>SUM(FWK36:FWK38)</f>
        <v>0</v>
      </c>
      <c r="FWL39" s="987">
        <f t="shared" si="154"/>
        <v>0</v>
      </c>
      <c r="FWM39" s="987">
        <f t="shared" si="154"/>
        <v>0</v>
      </c>
      <c r="FWN39" s="987"/>
      <c r="FWO39" s="987"/>
      <c r="FWP39" s="987"/>
      <c r="FWQ39" s="987"/>
      <c r="FWR39" s="987">
        <f t="shared" si="155"/>
        <v>0</v>
      </c>
      <c r="FWS39" s="1026" t="s">
        <v>45</v>
      </c>
      <c r="FWT39" s="434"/>
      <c r="FWU39" s="1027"/>
      <c r="FWV39" s="1027"/>
      <c r="FWW39" s="24"/>
      <c r="FWX39" s="1027"/>
      <c r="FWY39" s="1027"/>
      <c r="FWZ39" s="25"/>
      <c r="FXA39" s="987">
        <f>SUM(FXA36:FXA38)</f>
        <v>0</v>
      </c>
      <c r="FXB39" s="987">
        <f t="shared" ref="FXB39:FYY39" si="156">SUM(FXB36:FXB38)</f>
        <v>0</v>
      </c>
      <c r="FXC39" s="987">
        <f t="shared" si="156"/>
        <v>0</v>
      </c>
      <c r="FXD39" s="987"/>
      <c r="FXE39" s="987"/>
      <c r="FXF39" s="987"/>
      <c r="FXG39" s="987"/>
      <c r="FXH39" s="987">
        <f t="shared" ref="FXH39:FZD39" si="157">SUM(FXH36:FXH38)</f>
        <v>0</v>
      </c>
      <c r="FXI39" s="1026" t="s">
        <v>45</v>
      </c>
      <c r="FXJ39" s="434"/>
      <c r="FXK39" s="1027"/>
      <c r="FXL39" s="1027"/>
      <c r="FXM39" s="24"/>
      <c r="FXN39" s="1027"/>
      <c r="FXO39" s="1027"/>
      <c r="FXP39" s="25"/>
      <c r="FXQ39" s="987">
        <f>SUM(FXQ36:FXQ38)</f>
        <v>0</v>
      </c>
      <c r="FXR39" s="987">
        <f t="shared" si="156"/>
        <v>0</v>
      </c>
      <c r="FXS39" s="987">
        <f t="shared" si="156"/>
        <v>0</v>
      </c>
      <c r="FXT39" s="987"/>
      <c r="FXU39" s="987"/>
      <c r="FXV39" s="987"/>
      <c r="FXW39" s="987"/>
      <c r="FXX39" s="987">
        <f t="shared" si="157"/>
        <v>0</v>
      </c>
      <c r="FXY39" s="1026" t="s">
        <v>45</v>
      </c>
      <c r="FXZ39" s="434"/>
      <c r="FYA39" s="1027"/>
      <c r="FYB39" s="1027"/>
      <c r="FYC39" s="24"/>
      <c r="FYD39" s="1027"/>
      <c r="FYE39" s="1027"/>
      <c r="FYF39" s="25"/>
      <c r="FYG39" s="987">
        <f>SUM(FYG36:FYG38)</f>
        <v>0</v>
      </c>
      <c r="FYH39" s="987">
        <f t="shared" si="156"/>
        <v>0</v>
      </c>
      <c r="FYI39" s="987">
        <f t="shared" si="156"/>
        <v>0</v>
      </c>
      <c r="FYJ39" s="987"/>
      <c r="FYK39" s="987"/>
      <c r="FYL39" s="987"/>
      <c r="FYM39" s="987"/>
      <c r="FYN39" s="987">
        <f t="shared" si="157"/>
        <v>0</v>
      </c>
      <c r="FYO39" s="1026" t="s">
        <v>45</v>
      </c>
      <c r="FYP39" s="434"/>
      <c r="FYQ39" s="1027"/>
      <c r="FYR39" s="1027"/>
      <c r="FYS39" s="24"/>
      <c r="FYT39" s="1027"/>
      <c r="FYU39" s="1027"/>
      <c r="FYV39" s="25"/>
      <c r="FYW39" s="987">
        <f>SUM(FYW36:FYW38)</f>
        <v>0</v>
      </c>
      <c r="FYX39" s="987">
        <f t="shared" si="156"/>
        <v>0</v>
      </c>
      <c r="FYY39" s="987">
        <f t="shared" si="156"/>
        <v>0</v>
      </c>
      <c r="FYZ39" s="987"/>
      <c r="FZA39" s="987"/>
      <c r="FZB39" s="987"/>
      <c r="FZC39" s="987"/>
      <c r="FZD39" s="987">
        <f t="shared" si="157"/>
        <v>0</v>
      </c>
      <c r="FZE39" s="1026" t="s">
        <v>45</v>
      </c>
      <c r="FZF39" s="434"/>
      <c r="FZG39" s="1027"/>
      <c r="FZH39" s="1027"/>
      <c r="FZI39" s="24"/>
      <c r="FZJ39" s="1027"/>
      <c r="FZK39" s="1027"/>
      <c r="FZL39" s="25"/>
      <c r="FZM39" s="987">
        <f>SUM(FZM36:FZM38)</f>
        <v>0</v>
      </c>
      <c r="FZN39" s="987">
        <f t="shared" ref="FZN39:GBK39" si="158">SUM(FZN36:FZN38)</f>
        <v>0</v>
      </c>
      <c r="FZO39" s="987">
        <f t="shared" si="158"/>
        <v>0</v>
      </c>
      <c r="FZP39" s="987"/>
      <c r="FZQ39" s="987"/>
      <c r="FZR39" s="987"/>
      <c r="FZS39" s="987"/>
      <c r="FZT39" s="987">
        <f t="shared" ref="FZT39:GBP39" si="159">SUM(FZT36:FZT38)</f>
        <v>0</v>
      </c>
      <c r="FZU39" s="1026" t="s">
        <v>45</v>
      </c>
      <c r="FZV39" s="434"/>
      <c r="FZW39" s="1027"/>
      <c r="FZX39" s="1027"/>
      <c r="FZY39" s="24"/>
      <c r="FZZ39" s="1027"/>
      <c r="GAA39" s="1027"/>
      <c r="GAB39" s="25"/>
      <c r="GAC39" s="987">
        <f>SUM(GAC36:GAC38)</f>
        <v>0</v>
      </c>
      <c r="GAD39" s="987">
        <f t="shared" si="158"/>
        <v>0</v>
      </c>
      <c r="GAE39" s="987">
        <f t="shared" si="158"/>
        <v>0</v>
      </c>
      <c r="GAF39" s="987"/>
      <c r="GAG39" s="987"/>
      <c r="GAH39" s="987"/>
      <c r="GAI39" s="987"/>
      <c r="GAJ39" s="987">
        <f t="shared" si="159"/>
        <v>0</v>
      </c>
      <c r="GAK39" s="1026" t="s">
        <v>45</v>
      </c>
      <c r="GAL39" s="434"/>
      <c r="GAM39" s="1027"/>
      <c r="GAN39" s="1027"/>
      <c r="GAO39" s="24"/>
      <c r="GAP39" s="1027"/>
      <c r="GAQ39" s="1027"/>
      <c r="GAR39" s="25"/>
      <c r="GAS39" s="987">
        <f>SUM(GAS36:GAS38)</f>
        <v>0</v>
      </c>
      <c r="GAT39" s="987">
        <f t="shared" si="158"/>
        <v>0</v>
      </c>
      <c r="GAU39" s="987">
        <f t="shared" si="158"/>
        <v>0</v>
      </c>
      <c r="GAV39" s="987"/>
      <c r="GAW39" s="987"/>
      <c r="GAX39" s="987"/>
      <c r="GAY39" s="987"/>
      <c r="GAZ39" s="987">
        <f t="shared" si="159"/>
        <v>0</v>
      </c>
      <c r="GBA39" s="1026" t="s">
        <v>45</v>
      </c>
      <c r="GBB39" s="434"/>
      <c r="GBC39" s="1027"/>
      <c r="GBD39" s="1027"/>
      <c r="GBE39" s="24"/>
      <c r="GBF39" s="1027"/>
      <c r="GBG39" s="1027"/>
      <c r="GBH39" s="25"/>
      <c r="GBI39" s="987">
        <f>SUM(GBI36:GBI38)</f>
        <v>0</v>
      </c>
      <c r="GBJ39" s="987">
        <f t="shared" si="158"/>
        <v>0</v>
      </c>
      <c r="GBK39" s="987">
        <f t="shared" si="158"/>
        <v>0</v>
      </c>
      <c r="GBL39" s="987"/>
      <c r="GBM39" s="987"/>
      <c r="GBN39" s="987"/>
      <c r="GBO39" s="987"/>
      <c r="GBP39" s="987">
        <f t="shared" si="159"/>
        <v>0</v>
      </c>
      <c r="GBQ39" s="1026" t="s">
        <v>45</v>
      </c>
      <c r="GBR39" s="434"/>
      <c r="GBS39" s="1027"/>
      <c r="GBT39" s="1027"/>
      <c r="GBU39" s="24"/>
      <c r="GBV39" s="1027"/>
      <c r="GBW39" s="1027"/>
      <c r="GBX39" s="25"/>
      <c r="GBY39" s="987">
        <f>SUM(GBY36:GBY38)</f>
        <v>0</v>
      </c>
      <c r="GBZ39" s="987">
        <f t="shared" ref="GBZ39:GDW39" si="160">SUM(GBZ36:GBZ38)</f>
        <v>0</v>
      </c>
      <c r="GCA39" s="987">
        <f t="shared" si="160"/>
        <v>0</v>
      </c>
      <c r="GCB39" s="987"/>
      <c r="GCC39" s="987"/>
      <c r="GCD39" s="987"/>
      <c r="GCE39" s="987"/>
      <c r="GCF39" s="987">
        <f t="shared" ref="GCF39:GEB39" si="161">SUM(GCF36:GCF38)</f>
        <v>0</v>
      </c>
      <c r="GCG39" s="1026" t="s">
        <v>45</v>
      </c>
      <c r="GCH39" s="434"/>
      <c r="GCI39" s="1027"/>
      <c r="GCJ39" s="1027"/>
      <c r="GCK39" s="24"/>
      <c r="GCL39" s="1027"/>
      <c r="GCM39" s="1027"/>
      <c r="GCN39" s="25"/>
      <c r="GCO39" s="987">
        <f>SUM(GCO36:GCO38)</f>
        <v>0</v>
      </c>
      <c r="GCP39" s="987">
        <f t="shared" si="160"/>
        <v>0</v>
      </c>
      <c r="GCQ39" s="987">
        <f t="shared" si="160"/>
        <v>0</v>
      </c>
      <c r="GCR39" s="987"/>
      <c r="GCS39" s="987"/>
      <c r="GCT39" s="987"/>
      <c r="GCU39" s="987"/>
      <c r="GCV39" s="987">
        <f t="shared" si="161"/>
        <v>0</v>
      </c>
      <c r="GCW39" s="1026" t="s">
        <v>45</v>
      </c>
      <c r="GCX39" s="434"/>
      <c r="GCY39" s="1027"/>
      <c r="GCZ39" s="1027"/>
      <c r="GDA39" s="24"/>
      <c r="GDB39" s="1027"/>
      <c r="GDC39" s="1027"/>
      <c r="GDD39" s="25"/>
      <c r="GDE39" s="987">
        <f>SUM(GDE36:GDE38)</f>
        <v>0</v>
      </c>
      <c r="GDF39" s="987">
        <f t="shared" si="160"/>
        <v>0</v>
      </c>
      <c r="GDG39" s="987">
        <f t="shared" si="160"/>
        <v>0</v>
      </c>
      <c r="GDH39" s="987"/>
      <c r="GDI39" s="987"/>
      <c r="GDJ39" s="987"/>
      <c r="GDK39" s="987"/>
      <c r="GDL39" s="987">
        <f t="shared" si="161"/>
        <v>0</v>
      </c>
      <c r="GDM39" s="1026" t="s">
        <v>45</v>
      </c>
      <c r="GDN39" s="434"/>
      <c r="GDO39" s="1027"/>
      <c r="GDP39" s="1027"/>
      <c r="GDQ39" s="24"/>
      <c r="GDR39" s="1027"/>
      <c r="GDS39" s="1027"/>
      <c r="GDT39" s="25"/>
      <c r="GDU39" s="987">
        <f>SUM(GDU36:GDU38)</f>
        <v>0</v>
      </c>
      <c r="GDV39" s="987">
        <f t="shared" si="160"/>
        <v>0</v>
      </c>
      <c r="GDW39" s="987">
        <f t="shared" si="160"/>
        <v>0</v>
      </c>
      <c r="GDX39" s="987"/>
      <c r="GDY39" s="987"/>
      <c r="GDZ39" s="987"/>
      <c r="GEA39" s="987"/>
      <c r="GEB39" s="987">
        <f t="shared" si="161"/>
        <v>0</v>
      </c>
      <c r="GEC39" s="1026" t="s">
        <v>45</v>
      </c>
      <c r="GED39" s="434"/>
      <c r="GEE39" s="1027"/>
      <c r="GEF39" s="1027"/>
      <c r="GEG39" s="24"/>
      <c r="GEH39" s="1027"/>
      <c r="GEI39" s="1027"/>
      <c r="GEJ39" s="25"/>
      <c r="GEK39" s="987">
        <f>SUM(GEK36:GEK38)</f>
        <v>0</v>
      </c>
      <c r="GEL39" s="987">
        <f t="shared" ref="GEL39:GGI39" si="162">SUM(GEL36:GEL38)</f>
        <v>0</v>
      </c>
      <c r="GEM39" s="987">
        <f t="shared" si="162"/>
        <v>0</v>
      </c>
      <c r="GEN39" s="987"/>
      <c r="GEO39" s="987"/>
      <c r="GEP39" s="987"/>
      <c r="GEQ39" s="987"/>
      <c r="GER39" s="987">
        <f t="shared" ref="GER39:GGN39" si="163">SUM(GER36:GER38)</f>
        <v>0</v>
      </c>
      <c r="GES39" s="1026" t="s">
        <v>45</v>
      </c>
      <c r="GET39" s="434"/>
      <c r="GEU39" s="1027"/>
      <c r="GEV39" s="1027"/>
      <c r="GEW39" s="24"/>
      <c r="GEX39" s="1027"/>
      <c r="GEY39" s="1027"/>
      <c r="GEZ39" s="25"/>
      <c r="GFA39" s="987">
        <f>SUM(GFA36:GFA38)</f>
        <v>0</v>
      </c>
      <c r="GFB39" s="987">
        <f t="shared" si="162"/>
        <v>0</v>
      </c>
      <c r="GFC39" s="987">
        <f t="shared" si="162"/>
        <v>0</v>
      </c>
      <c r="GFD39" s="987"/>
      <c r="GFE39" s="987"/>
      <c r="GFF39" s="987"/>
      <c r="GFG39" s="987"/>
      <c r="GFH39" s="987">
        <f t="shared" si="163"/>
        <v>0</v>
      </c>
      <c r="GFI39" s="1026" t="s">
        <v>45</v>
      </c>
      <c r="GFJ39" s="434"/>
      <c r="GFK39" s="1027"/>
      <c r="GFL39" s="1027"/>
      <c r="GFM39" s="24"/>
      <c r="GFN39" s="1027"/>
      <c r="GFO39" s="1027"/>
      <c r="GFP39" s="25"/>
      <c r="GFQ39" s="987">
        <f>SUM(GFQ36:GFQ38)</f>
        <v>0</v>
      </c>
      <c r="GFR39" s="987">
        <f t="shared" si="162"/>
        <v>0</v>
      </c>
      <c r="GFS39" s="987">
        <f t="shared" si="162"/>
        <v>0</v>
      </c>
      <c r="GFT39" s="987"/>
      <c r="GFU39" s="987"/>
      <c r="GFV39" s="987"/>
      <c r="GFW39" s="987"/>
      <c r="GFX39" s="987">
        <f t="shared" si="163"/>
        <v>0</v>
      </c>
      <c r="GFY39" s="1026" t="s">
        <v>45</v>
      </c>
      <c r="GFZ39" s="434"/>
      <c r="GGA39" s="1027"/>
      <c r="GGB39" s="1027"/>
      <c r="GGC39" s="24"/>
      <c r="GGD39" s="1027"/>
      <c r="GGE39" s="1027"/>
      <c r="GGF39" s="25"/>
      <c r="GGG39" s="987">
        <f>SUM(GGG36:GGG38)</f>
        <v>0</v>
      </c>
      <c r="GGH39" s="987">
        <f t="shared" si="162"/>
        <v>0</v>
      </c>
      <c r="GGI39" s="987">
        <f t="shared" si="162"/>
        <v>0</v>
      </c>
      <c r="GGJ39" s="987"/>
      <c r="GGK39" s="987"/>
      <c r="GGL39" s="987"/>
      <c r="GGM39" s="987"/>
      <c r="GGN39" s="987">
        <f t="shared" si="163"/>
        <v>0</v>
      </c>
      <c r="GGO39" s="1026" t="s">
        <v>45</v>
      </c>
      <c r="GGP39" s="434"/>
      <c r="GGQ39" s="1027"/>
      <c r="GGR39" s="1027"/>
      <c r="GGS39" s="24"/>
      <c r="GGT39" s="1027"/>
      <c r="GGU39" s="1027"/>
      <c r="GGV39" s="25"/>
      <c r="GGW39" s="987">
        <f>SUM(GGW36:GGW38)</f>
        <v>0</v>
      </c>
      <c r="GGX39" s="987">
        <f t="shared" ref="GGX39:GIU39" si="164">SUM(GGX36:GGX38)</f>
        <v>0</v>
      </c>
      <c r="GGY39" s="987">
        <f t="shared" si="164"/>
        <v>0</v>
      </c>
      <c r="GGZ39" s="987"/>
      <c r="GHA39" s="987"/>
      <c r="GHB39" s="987"/>
      <c r="GHC39" s="987"/>
      <c r="GHD39" s="987">
        <f t="shared" ref="GHD39:GIZ39" si="165">SUM(GHD36:GHD38)</f>
        <v>0</v>
      </c>
      <c r="GHE39" s="1026" t="s">
        <v>45</v>
      </c>
      <c r="GHF39" s="434"/>
      <c r="GHG39" s="1027"/>
      <c r="GHH39" s="1027"/>
      <c r="GHI39" s="24"/>
      <c r="GHJ39" s="1027"/>
      <c r="GHK39" s="1027"/>
      <c r="GHL39" s="25"/>
      <c r="GHM39" s="987">
        <f>SUM(GHM36:GHM38)</f>
        <v>0</v>
      </c>
      <c r="GHN39" s="987">
        <f t="shared" si="164"/>
        <v>0</v>
      </c>
      <c r="GHO39" s="987">
        <f t="shared" si="164"/>
        <v>0</v>
      </c>
      <c r="GHP39" s="987"/>
      <c r="GHQ39" s="987"/>
      <c r="GHR39" s="987"/>
      <c r="GHS39" s="987"/>
      <c r="GHT39" s="987">
        <f t="shared" si="165"/>
        <v>0</v>
      </c>
      <c r="GHU39" s="1026" t="s">
        <v>45</v>
      </c>
      <c r="GHV39" s="434"/>
      <c r="GHW39" s="1027"/>
      <c r="GHX39" s="1027"/>
      <c r="GHY39" s="24"/>
      <c r="GHZ39" s="1027"/>
      <c r="GIA39" s="1027"/>
      <c r="GIB39" s="25"/>
      <c r="GIC39" s="987">
        <f>SUM(GIC36:GIC38)</f>
        <v>0</v>
      </c>
      <c r="GID39" s="987">
        <f t="shared" si="164"/>
        <v>0</v>
      </c>
      <c r="GIE39" s="987">
        <f t="shared" si="164"/>
        <v>0</v>
      </c>
      <c r="GIF39" s="987"/>
      <c r="GIG39" s="987"/>
      <c r="GIH39" s="987"/>
      <c r="GII39" s="987"/>
      <c r="GIJ39" s="987">
        <f t="shared" si="165"/>
        <v>0</v>
      </c>
      <c r="GIK39" s="1026" t="s">
        <v>45</v>
      </c>
      <c r="GIL39" s="434"/>
      <c r="GIM39" s="1027"/>
      <c r="GIN39" s="1027"/>
      <c r="GIO39" s="24"/>
      <c r="GIP39" s="1027"/>
      <c r="GIQ39" s="1027"/>
      <c r="GIR39" s="25"/>
      <c r="GIS39" s="987">
        <f>SUM(GIS36:GIS38)</f>
        <v>0</v>
      </c>
      <c r="GIT39" s="987">
        <f t="shared" si="164"/>
        <v>0</v>
      </c>
      <c r="GIU39" s="987">
        <f t="shared" si="164"/>
        <v>0</v>
      </c>
      <c r="GIV39" s="987"/>
      <c r="GIW39" s="987"/>
      <c r="GIX39" s="987"/>
      <c r="GIY39" s="987"/>
      <c r="GIZ39" s="987">
        <f t="shared" si="165"/>
        <v>0</v>
      </c>
      <c r="GJA39" s="1026" t="s">
        <v>45</v>
      </c>
      <c r="GJB39" s="434"/>
      <c r="GJC39" s="1027"/>
      <c r="GJD39" s="1027"/>
      <c r="GJE39" s="24"/>
      <c r="GJF39" s="1027"/>
      <c r="GJG39" s="1027"/>
      <c r="GJH39" s="25"/>
      <c r="GJI39" s="987">
        <f>SUM(GJI36:GJI38)</f>
        <v>0</v>
      </c>
      <c r="GJJ39" s="987">
        <f t="shared" ref="GJJ39:GLG39" si="166">SUM(GJJ36:GJJ38)</f>
        <v>0</v>
      </c>
      <c r="GJK39" s="987">
        <f t="shared" si="166"/>
        <v>0</v>
      </c>
      <c r="GJL39" s="987"/>
      <c r="GJM39" s="987"/>
      <c r="GJN39" s="987"/>
      <c r="GJO39" s="987"/>
      <c r="GJP39" s="987">
        <f t="shared" ref="GJP39:GLL39" si="167">SUM(GJP36:GJP38)</f>
        <v>0</v>
      </c>
      <c r="GJQ39" s="1026" t="s">
        <v>45</v>
      </c>
      <c r="GJR39" s="434"/>
      <c r="GJS39" s="1027"/>
      <c r="GJT39" s="1027"/>
      <c r="GJU39" s="24"/>
      <c r="GJV39" s="1027"/>
      <c r="GJW39" s="1027"/>
      <c r="GJX39" s="25"/>
      <c r="GJY39" s="987">
        <f>SUM(GJY36:GJY38)</f>
        <v>0</v>
      </c>
      <c r="GJZ39" s="987">
        <f t="shared" si="166"/>
        <v>0</v>
      </c>
      <c r="GKA39" s="987">
        <f t="shared" si="166"/>
        <v>0</v>
      </c>
      <c r="GKB39" s="987"/>
      <c r="GKC39" s="987"/>
      <c r="GKD39" s="987"/>
      <c r="GKE39" s="987"/>
      <c r="GKF39" s="987">
        <f t="shared" si="167"/>
        <v>0</v>
      </c>
      <c r="GKG39" s="1026" t="s">
        <v>45</v>
      </c>
      <c r="GKH39" s="434"/>
      <c r="GKI39" s="1027"/>
      <c r="GKJ39" s="1027"/>
      <c r="GKK39" s="24"/>
      <c r="GKL39" s="1027"/>
      <c r="GKM39" s="1027"/>
      <c r="GKN39" s="25"/>
      <c r="GKO39" s="987">
        <f>SUM(GKO36:GKO38)</f>
        <v>0</v>
      </c>
      <c r="GKP39" s="987">
        <f t="shared" si="166"/>
        <v>0</v>
      </c>
      <c r="GKQ39" s="987">
        <f t="shared" si="166"/>
        <v>0</v>
      </c>
      <c r="GKR39" s="987"/>
      <c r="GKS39" s="987"/>
      <c r="GKT39" s="987"/>
      <c r="GKU39" s="987"/>
      <c r="GKV39" s="987">
        <f t="shared" si="167"/>
        <v>0</v>
      </c>
      <c r="GKW39" s="1026" t="s">
        <v>45</v>
      </c>
      <c r="GKX39" s="434"/>
      <c r="GKY39" s="1027"/>
      <c r="GKZ39" s="1027"/>
      <c r="GLA39" s="24"/>
      <c r="GLB39" s="1027"/>
      <c r="GLC39" s="1027"/>
      <c r="GLD39" s="25"/>
      <c r="GLE39" s="987">
        <f>SUM(GLE36:GLE38)</f>
        <v>0</v>
      </c>
      <c r="GLF39" s="987">
        <f t="shared" si="166"/>
        <v>0</v>
      </c>
      <c r="GLG39" s="987">
        <f t="shared" si="166"/>
        <v>0</v>
      </c>
      <c r="GLH39" s="987"/>
      <c r="GLI39" s="987"/>
      <c r="GLJ39" s="987"/>
      <c r="GLK39" s="987"/>
      <c r="GLL39" s="987">
        <f t="shared" si="167"/>
        <v>0</v>
      </c>
      <c r="GLM39" s="1026" t="s">
        <v>45</v>
      </c>
      <c r="GLN39" s="434"/>
      <c r="GLO39" s="1027"/>
      <c r="GLP39" s="1027"/>
      <c r="GLQ39" s="24"/>
      <c r="GLR39" s="1027"/>
      <c r="GLS39" s="1027"/>
      <c r="GLT39" s="25"/>
      <c r="GLU39" s="987">
        <f>SUM(GLU36:GLU38)</f>
        <v>0</v>
      </c>
      <c r="GLV39" s="987">
        <f t="shared" ref="GLV39:GNS39" si="168">SUM(GLV36:GLV38)</f>
        <v>0</v>
      </c>
      <c r="GLW39" s="987">
        <f t="shared" si="168"/>
        <v>0</v>
      </c>
      <c r="GLX39" s="987"/>
      <c r="GLY39" s="987"/>
      <c r="GLZ39" s="987"/>
      <c r="GMA39" s="987"/>
      <c r="GMB39" s="987">
        <f t="shared" ref="GMB39:GNX39" si="169">SUM(GMB36:GMB38)</f>
        <v>0</v>
      </c>
      <c r="GMC39" s="1026" t="s">
        <v>45</v>
      </c>
      <c r="GMD39" s="434"/>
      <c r="GME39" s="1027"/>
      <c r="GMF39" s="1027"/>
      <c r="GMG39" s="24"/>
      <c r="GMH39" s="1027"/>
      <c r="GMI39" s="1027"/>
      <c r="GMJ39" s="25"/>
      <c r="GMK39" s="987">
        <f>SUM(GMK36:GMK38)</f>
        <v>0</v>
      </c>
      <c r="GML39" s="987">
        <f t="shared" si="168"/>
        <v>0</v>
      </c>
      <c r="GMM39" s="987">
        <f t="shared" si="168"/>
        <v>0</v>
      </c>
      <c r="GMN39" s="987"/>
      <c r="GMO39" s="987"/>
      <c r="GMP39" s="987"/>
      <c r="GMQ39" s="987"/>
      <c r="GMR39" s="987">
        <f t="shared" si="169"/>
        <v>0</v>
      </c>
      <c r="GMS39" s="1026" t="s">
        <v>45</v>
      </c>
      <c r="GMT39" s="434"/>
      <c r="GMU39" s="1027"/>
      <c r="GMV39" s="1027"/>
      <c r="GMW39" s="24"/>
      <c r="GMX39" s="1027"/>
      <c r="GMY39" s="1027"/>
      <c r="GMZ39" s="25"/>
      <c r="GNA39" s="987">
        <f>SUM(GNA36:GNA38)</f>
        <v>0</v>
      </c>
      <c r="GNB39" s="987">
        <f t="shared" si="168"/>
        <v>0</v>
      </c>
      <c r="GNC39" s="987">
        <f t="shared" si="168"/>
        <v>0</v>
      </c>
      <c r="GND39" s="987"/>
      <c r="GNE39" s="987"/>
      <c r="GNF39" s="987"/>
      <c r="GNG39" s="987"/>
      <c r="GNH39" s="987">
        <f t="shared" si="169"/>
        <v>0</v>
      </c>
      <c r="GNI39" s="1026" t="s">
        <v>45</v>
      </c>
      <c r="GNJ39" s="434"/>
      <c r="GNK39" s="1027"/>
      <c r="GNL39" s="1027"/>
      <c r="GNM39" s="24"/>
      <c r="GNN39" s="1027"/>
      <c r="GNO39" s="1027"/>
      <c r="GNP39" s="25"/>
      <c r="GNQ39" s="987">
        <f>SUM(GNQ36:GNQ38)</f>
        <v>0</v>
      </c>
      <c r="GNR39" s="987">
        <f t="shared" si="168"/>
        <v>0</v>
      </c>
      <c r="GNS39" s="987">
        <f t="shared" si="168"/>
        <v>0</v>
      </c>
      <c r="GNT39" s="987"/>
      <c r="GNU39" s="987"/>
      <c r="GNV39" s="987"/>
      <c r="GNW39" s="987"/>
      <c r="GNX39" s="987">
        <f t="shared" si="169"/>
        <v>0</v>
      </c>
      <c r="GNY39" s="1026" t="s">
        <v>45</v>
      </c>
      <c r="GNZ39" s="434"/>
      <c r="GOA39" s="1027"/>
      <c r="GOB39" s="1027"/>
      <c r="GOC39" s="24"/>
      <c r="GOD39" s="1027"/>
      <c r="GOE39" s="1027"/>
      <c r="GOF39" s="25"/>
      <c r="GOG39" s="987">
        <f>SUM(GOG36:GOG38)</f>
        <v>0</v>
      </c>
      <c r="GOH39" s="987">
        <f t="shared" ref="GOH39:GQE39" si="170">SUM(GOH36:GOH38)</f>
        <v>0</v>
      </c>
      <c r="GOI39" s="987">
        <f t="shared" si="170"/>
        <v>0</v>
      </c>
      <c r="GOJ39" s="987"/>
      <c r="GOK39" s="987"/>
      <c r="GOL39" s="987"/>
      <c r="GOM39" s="987"/>
      <c r="GON39" s="987">
        <f t="shared" ref="GON39:GQJ39" si="171">SUM(GON36:GON38)</f>
        <v>0</v>
      </c>
      <c r="GOO39" s="1026" t="s">
        <v>45</v>
      </c>
      <c r="GOP39" s="434"/>
      <c r="GOQ39" s="1027"/>
      <c r="GOR39" s="1027"/>
      <c r="GOS39" s="24"/>
      <c r="GOT39" s="1027"/>
      <c r="GOU39" s="1027"/>
      <c r="GOV39" s="25"/>
      <c r="GOW39" s="987">
        <f>SUM(GOW36:GOW38)</f>
        <v>0</v>
      </c>
      <c r="GOX39" s="987">
        <f t="shared" si="170"/>
        <v>0</v>
      </c>
      <c r="GOY39" s="987">
        <f t="shared" si="170"/>
        <v>0</v>
      </c>
      <c r="GOZ39" s="987"/>
      <c r="GPA39" s="987"/>
      <c r="GPB39" s="987"/>
      <c r="GPC39" s="987"/>
      <c r="GPD39" s="987">
        <f t="shared" si="171"/>
        <v>0</v>
      </c>
      <c r="GPE39" s="1026" t="s">
        <v>45</v>
      </c>
      <c r="GPF39" s="434"/>
      <c r="GPG39" s="1027"/>
      <c r="GPH39" s="1027"/>
      <c r="GPI39" s="24"/>
      <c r="GPJ39" s="1027"/>
      <c r="GPK39" s="1027"/>
      <c r="GPL39" s="25"/>
      <c r="GPM39" s="987">
        <f>SUM(GPM36:GPM38)</f>
        <v>0</v>
      </c>
      <c r="GPN39" s="987">
        <f t="shared" si="170"/>
        <v>0</v>
      </c>
      <c r="GPO39" s="987">
        <f t="shared" si="170"/>
        <v>0</v>
      </c>
      <c r="GPP39" s="987"/>
      <c r="GPQ39" s="987"/>
      <c r="GPR39" s="987"/>
      <c r="GPS39" s="987"/>
      <c r="GPT39" s="987">
        <f t="shared" si="171"/>
        <v>0</v>
      </c>
      <c r="GPU39" s="1026" t="s">
        <v>45</v>
      </c>
      <c r="GPV39" s="434"/>
      <c r="GPW39" s="1027"/>
      <c r="GPX39" s="1027"/>
      <c r="GPY39" s="24"/>
      <c r="GPZ39" s="1027"/>
      <c r="GQA39" s="1027"/>
      <c r="GQB39" s="25"/>
      <c r="GQC39" s="987">
        <f>SUM(GQC36:GQC38)</f>
        <v>0</v>
      </c>
      <c r="GQD39" s="987">
        <f t="shared" si="170"/>
        <v>0</v>
      </c>
      <c r="GQE39" s="987">
        <f t="shared" si="170"/>
        <v>0</v>
      </c>
      <c r="GQF39" s="987"/>
      <c r="GQG39" s="987"/>
      <c r="GQH39" s="987"/>
      <c r="GQI39" s="987"/>
      <c r="GQJ39" s="987">
        <f t="shared" si="171"/>
        <v>0</v>
      </c>
      <c r="GQK39" s="1026" t="s">
        <v>45</v>
      </c>
      <c r="GQL39" s="434"/>
      <c r="GQM39" s="1027"/>
      <c r="GQN39" s="1027"/>
      <c r="GQO39" s="24"/>
      <c r="GQP39" s="1027"/>
      <c r="GQQ39" s="1027"/>
      <c r="GQR39" s="25"/>
      <c r="GQS39" s="987">
        <f>SUM(GQS36:GQS38)</f>
        <v>0</v>
      </c>
      <c r="GQT39" s="987">
        <f t="shared" ref="GQT39:GSQ39" si="172">SUM(GQT36:GQT38)</f>
        <v>0</v>
      </c>
      <c r="GQU39" s="987">
        <f t="shared" si="172"/>
        <v>0</v>
      </c>
      <c r="GQV39" s="987"/>
      <c r="GQW39" s="987"/>
      <c r="GQX39" s="987"/>
      <c r="GQY39" s="987"/>
      <c r="GQZ39" s="987">
        <f t="shared" ref="GQZ39:GSV39" si="173">SUM(GQZ36:GQZ38)</f>
        <v>0</v>
      </c>
      <c r="GRA39" s="1026" t="s">
        <v>45</v>
      </c>
      <c r="GRB39" s="434"/>
      <c r="GRC39" s="1027"/>
      <c r="GRD39" s="1027"/>
      <c r="GRE39" s="24"/>
      <c r="GRF39" s="1027"/>
      <c r="GRG39" s="1027"/>
      <c r="GRH39" s="25"/>
      <c r="GRI39" s="987">
        <f>SUM(GRI36:GRI38)</f>
        <v>0</v>
      </c>
      <c r="GRJ39" s="987">
        <f t="shared" si="172"/>
        <v>0</v>
      </c>
      <c r="GRK39" s="987">
        <f t="shared" si="172"/>
        <v>0</v>
      </c>
      <c r="GRL39" s="987"/>
      <c r="GRM39" s="987"/>
      <c r="GRN39" s="987"/>
      <c r="GRO39" s="987"/>
      <c r="GRP39" s="987">
        <f t="shared" si="173"/>
        <v>0</v>
      </c>
      <c r="GRQ39" s="1026" t="s">
        <v>45</v>
      </c>
      <c r="GRR39" s="434"/>
      <c r="GRS39" s="1027"/>
      <c r="GRT39" s="1027"/>
      <c r="GRU39" s="24"/>
      <c r="GRV39" s="1027"/>
      <c r="GRW39" s="1027"/>
      <c r="GRX39" s="25"/>
      <c r="GRY39" s="987">
        <f>SUM(GRY36:GRY38)</f>
        <v>0</v>
      </c>
      <c r="GRZ39" s="987">
        <f t="shared" si="172"/>
        <v>0</v>
      </c>
      <c r="GSA39" s="987">
        <f t="shared" si="172"/>
        <v>0</v>
      </c>
      <c r="GSB39" s="987"/>
      <c r="GSC39" s="987"/>
      <c r="GSD39" s="987"/>
      <c r="GSE39" s="987"/>
      <c r="GSF39" s="987">
        <f t="shared" si="173"/>
        <v>0</v>
      </c>
      <c r="GSG39" s="1026" t="s">
        <v>45</v>
      </c>
      <c r="GSH39" s="434"/>
      <c r="GSI39" s="1027"/>
      <c r="GSJ39" s="1027"/>
      <c r="GSK39" s="24"/>
      <c r="GSL39" s="1027"/>
      <c r="GSM39" s="1027"/>
      <c r="GSN39" s="25"/>
      <c r="GSO39" s="987">
        <f>SUM(GSO36:GSO38)</f>
        <v>0</v>
      </c>
      <c r="GSP39" s="987">
        <f t="shared" si="172"/>
        <v>0</v>
      </c>
      <c r="GSQ39" s="987">
        <f t="shared" si="172"/>
        <v>0</v>
      </c>
      <c r="GSR39" s="987"/>
      <c r="GSS39" s="987"/>
      <c r="GST39" s="987"/>
      <c r="GSU39" s="987"/>
      <c r="GSV39" s="987">
        <f t="shared" si="173"/>
        <v>0</v>
      </c>
      <c r="GSW39" s="1026" t="s">
        <v>45</v>
      </c>
      <c r="GSX39" s="434"/>
      <c r="GSY39" s="1027"/>
      <c r="GSZ39" s="1027"/>
      <c r="GTA39" s="24"/>
      <c r="GTB39" s="1027"/>
      <c r="GTC39" s="1027"/>
      <c r="GTD39" s="25"/>
      <c r="GTE39" s="987">
        <f>SUM(GTE36:GTE38)</f>
        <v>0</v>
      </c>
      <c r="GTF39" s="987">
        <f t="shared" ref="GTF39:GVC39" si="174">SUM(GTF36:GTF38)</f>
        <v>0</v>
      </c>
      <c r="GTG39" s="987">
        <f t="shared" si="174"/>
        <v>0</v>
      </c>
      <c r="GTH39" s="987"/>
      <c r="GTI39" s="987"/>
      <c r="GTJ39" s="987"/>
      <c r="GTK39" s="987"/>
      <c r="GTL39" s="987">
        <f t="shared" ref="GTL39:GVH39" si="175">SUM(GTL36:GTL38)</f>
        <v>0</v>
      </c>
      <c r="GTM39" s="1026" t="s">
        <v>45</v>
      </c>
      <c r="GTN39" s="434"/>
      <c r="GTO39" s="1027"/>
      <c r="GTP39" s="1027"/>
      <c r="GTQ39" s="24"/>
      <c r="GTR39" s="1027"/>
      <c r="GTS39" s="1027"/>
      <c r="GTT39" s="25"/>
      <c r="GTU39" s="987">
        <f>SUM(GTU36:GTU38)</f>
        <v>0</v>
      </c>
      <c r="GTV39" s="987">
        <f t="shared" si="174"/>
        <v>0</v>
      </c>
      <c r="GTW39" s="987">
        <f t="shared" si="174"/>
        <v>0</v>
      </c>
      <c r="GTX39" s="987"/>
      <c r="GTY39" s="987"/>
      <c r="GTZ39" s="987"/>
      <c r="GUA39" s="987"/>
      <c r="GUB39" s="987">
        <f t="shared" si="175"/>
        <v>0</v>
      </c>
      <c r="GUC39" s="1026" t="s">
        <v>45</v>
      </c>
      <c r="GUD39" s="434"/>
      <c r="GUE39" s="1027"/>
      <c r="GUF39" s="1027"/>
      <c r="GUG39" s="24"/>
      <c r="GUH39" s="1027"/>
      <c r="GUI39" s="1027"/>
      <c r="GUJ39" s="25"/>
      <c r="GUK39" s="987">
        <f>SUM(GUK36:GUK38)</f>
        <v>0</v>
      </c>
      <c r="GUL39" s="987">
        <f t="shared" si="174"/>
        <v>0</v>
      </c>
      <c r="GUM39" s="987">
        <f t="shared" si="174"/>
        <v>0</v>
      </c>
      <c r="GUN39" s="987"/>
      <c r="GUO39" s="987"/>
      <c r="GUP39" s="987"/>
      <c r="GUQ39" s="987"/>
      <c r="GUR39" s="987">
        <f t="shared" si="175"/>
        <v>0</v>
      </c>
      <c r="GUS39" s="1026" t="s">
        <v>45</v>
      </c>
      <c r="GUT39" s="434"/>
      <c r="GUU39" s="1027"/>
      <c r="GUV39" s="1027"/>
      <c r="GUW39" s="24"/>
      <c r="GUX39" s="1027"/>
      <c r="GUY39" s="1027"/>
      <c r="GUZ39" s="25"/>
      <c r="GVA39" s="987">
        <f>SUM(GVA36:GVA38)</f>
        <v>0</v>
      </c>
      <c r="GVB39" s="987">
        <f t="shared" si="174"/>
        <v>0</v>
      </c>
      <c r="GVC39" s="987">
        <f t="shared" si="174"/>
        <v>0</v>
      </c>
      <c r="GVD39" s="987"/>
      <c r="GVE39" s="987"/>
      <c r="GVF39" s="987"/>
      <c r="GVG39" s="987"/>
      <c r="GVH39" s="987">
        <f t="shared" si="175"/>
        <v>0</v>
      </c>
      <c r="GVI39" s="1026" t="s">
        <v>45</v>
      </c>
      <c r="GVJ39" s="434"/>
      <c r="GVK39" s="1027"/>
      <c r="GVL39" s="1027"/>
      <c r="GVM39" s="24"/>
      <c r="GVN39" s="1027"/>
      <c r="GVO39" s="1027"/>
      <c r="GVP39" s="25"/>
      <c r="GVQ39" s="987">
        <f>SUM(GVQ36:GVQ38)</f>
        <v>0</v>
      </c>
      <c r="GVR39" s="987">
        <f t="shared" ref="GVR39:GXO39" si="176">SUM(GVR36:GVR38)</f>
        <v>0</v>
      </c>
      <c r="GVS39" s="987">
        <f t="shared" si="176"/>
        <v>0</v>
      </c>
      <c r="GVT39" s="987"/>
      <c r="GVU39" s="987"/>
      <c r="GVV39" s="987"/>
      <c r="GVW39" s="987"/>
      <c r="GVX39" s="987">
        <f t="shared" ref="GVX39:GXT39" si="177">SUM(GVX36:GVX38)</f>
        <v>0</v>
      </c>
      <c r="GVY39" s="1026" t="s">
        <v>45</v>
      </c>
      <c r="GVZ39" s="434"/>
      <c r="GWA39" s="1027"/>
      <c r="GWB39" s="1027"/>
      <c r="GWC39" s="24"/>
      <c r="GWD39" s="1027"/>
      <c r="GWE39" s="1027"/>
      <c r="GWF39" s="25"/>
      <c r="GWG39" s="987">
        <f>SUM(GWG36:GWG38)</f>
        <v>0</v>
      </c>
      <c r="GWH39" s="987">
        <f t="shared" si="176"/>
        <v>0</v>
      </c>
      <c r="GWI39" s="987">
        <f t="shared" si="176"/>
        <v>0</v>
      </c>
      <c r="GWJ39" s="987"/>
      <c r="GWK39" s="987"/>
      <c r="GWL39" s="987"/>
      <c r="GWM39" s="987"/>
      <c r="GWN39" s="987">
        <f t="shared" si="177"/>
        <v>0</v>
      </c>
      <c r="GWO39" s="1026" t="s">
        <v>45</v>
      </c>
      <c r="GWP39" s="434"/>
      <c r="GWQ39" s="1027"/>
      <c r="GWR39" s="1027"/>
      <c r="GWS39" s="24"/>
      <c r="GWT39" s="1027"/>
      <c r="GWU39" s="1027"/>
      <c r="GWV39" s="25"/>
      <c r="GWW39" s="987">
        <f>SUM(GWW36:GWW38)</f>
        <v>0</v>
      </c>
      <c r="GWX39" s="987">
        <f t="shared" si="176"/>
        <v>0</v>
      </c>
      <c r="GWY39" s="987">
        <f t="shared" si="176"/>
        <v>0</v>
      </c>
      <c r="GWZ39" s="987"/>
      <c r="GXA39" s="987"/>
      <c r="GXB39" s="987"/>
      <c r="GXC39" s="987"/>
      <c r="GXD39" s="987">
        <f t="shared" si="177"/>
        <v>0</v>
      </c>
      <c r="GXE39" s="1026" t="s">
        <v>45</v>
      </c>
      <c r="GXF39" s="434"/>
      <c r="GXG39" s="1027"/>
      <c r="GXH39" s="1027"/>
      <c r="GXI39" s="24"/>
      <c r="GXJ39" s="1027"/>
      <c r="GXK39" s="1027"/>
      <c r="GXL39" s="25"/>
      <c r="GXM39" s="987">
        <f>SUM(GXM36:GXM38)</f>
        <v>0</v>
      </c>
      <c r="GXN39" s="987">
        <f t="shared" si="176"/>
        <v>0</v>
      </c>
      <c r="GXO39" s="987">
        <f t="shared" si="176"/>
        <v>0</v>
      </c>
      <c r="GXP39" s="987"/>
      <c r="GXQ39" s="987"/>
      <c r="GXR39" s="987"/>
      <c r="GXS39" s="987"/>
      <c r="GXT39" s="987">
        <f t="shared" si="177"/>
        <v>0</v>
      </c>
      <c r="GXU39" s="1026" t="s">
        <v>45</v>
      </c>
      <c r="GXV39" s="434"/>
      <c r="GXW39" s="1027"/>
      <c r="GXX39" s="1027"/>
      <c r="GXY39" s="24"/>
      <c r="GXZ39" s="1027"/>
      <c r="GYA39" s="1027"/>
      <c r="GYB39" s="25"/>
      <c r="GYC39" s="987">
        <f>SUM(GYC36:GYC38)</f>
        <v>0</v>
      </c>
      <c r="GYD39" s="987">
        <f t="shared" ref="GYD39:HAA39" si="178">SUM(GYD36:GYD38)</f>
        <v>0</v>
      </c>
      <c r="GYE39" s="987">
        <f t="shared" si="178"/>
        <v>0</v>
      </c>
      <c r="GYF39" s="987"/>
      <c r="GYG39" s="987"/>
      <c r="GYH39" s="987"/>
      <c r="GYI39" s="987"/>
      <c r="GYJ39" s="987">
        <f t="shared" ref="GYJ39:HAF39" si="179">SUM(GYJ36:GYJ38)</f>
        <v>0</v>
      </c>
      <c r="GYK39" s="1026" t="s">
        <v>45</v>
      </c>
      <c r="GYL39" s="434"/>
      <c r="GYM39" s="1027"/>
      <c r="GYN39" s="1027"/>
      <c r="GYO39" s="24"/>
      <c r="GYP39" s="1027"/>
      <c r="GYQ39" s="1027"/>
      <c r="GYR39" s="25"/>
      <c r="GYS39" s="987">
        <f>SUM(GYS36:GYS38)</f>
        <v>0</v>
      </c>
      <c r="GYT39" s="987">
        <f t="shared" si="178"/>
        <v>0</v>
      </c>
      <c r="GYU39" s="987">
        <f t="shared" si="178"/>
        <v>0</v>
      </c>
      <c r="GYV39" s="987"/>
      <c r="GYW39" s="987"/>
      <c r="GYX39" s="987"/>
      <c r="GYY39" s="987"/>
      <c r="GYZ39" s="987">
        <f t="shared" si="179"/>
        <v>0</v>
      </c>
      <c r="GZA39" s="1026" t="s">
        <v>45</v>
      </c>
      <c r="GZB39" s="434"/>
      <c r="GZC39" s="1027"/>
      <c r="GZD39" s="1027"/>
      <c r="GZE39" s="24"/>
      <c r="GZF39" s="1027"/>
      <c r="GZG39" s="1027"/>
      <c r="GZH39" s="25"/>
      <c r="GZI39" s="987">
        <f>SUM(GZI36:GZI38)</f>
        <v>0</v>
      </c>
      <c r="GZJ39" s="987">
        <f t="shared" si="178"/>
        <v>0</v>
      </c>
      <c r="GZK39" s="987">
        <f t="shared" si="178"/>
        <v>0</v>
      </c>
      <c r="GZL39" s="987"/>
      <c r="GZM39" s="987"/>
      <c r="GZN39" s="987"/>
      <c r="GZO39" s="987"/>
      <c r="GZP39" s="987">
        <f t="shared" si="179"/>
        <v>0</v>
      </c>
      <c r="GZQ39" s="1026" t="s">
        <v>45</v>
      </c>
      <c r="GZR39" s="434"/>
      <c r="GZS39" s="1027"/>
      <c r="GZT39" s="1027"/>
      <c r="GZU39" s="24"/>
      <c r="GZV39" s="1027"/>
      <c r="GZW39" s="1027"/>
      <c r="GZX39" s="25"/>
      <c r="GZY39" s="987">
        <f>SUM(GZY36:GZY38)</f>
        <v>0</v>
      </c>
      <c r="GZZ39" s="987">
        <f t="shared" si="178"/>
        <v>0</v>
      </c>
      <c r="HAA39" s="987">
        <f t="shared" si="178"/>
        <v>0</v>
      </c>
      <c r="HAB39" s="987"/>
      <c r="HAC39" s="987"/>
      <c r="HAD39" s="987"/>
      <c r="HAE39" s="987"/>
      <c r="HAF39" s="987">
        <f t="shared" si="179"/>
        <v>0</v>
      </c>
      <c r="HAG39" s="1026" t="s">
        <v>45</v>
      </c>
      <c r="HAH39" s="434"/>
      <c r="HAI39" s="1027"/>
      <c r="HAJ39" s="1027"/>
      <c r="HAK39" s="24"/>
      <c r="HAL39" s="1027"/>
      <c r="HAM39" s="1027"/>
      <c r="HAN39" s="25"/>
      <c r="HAO39" s="987">
        <f>SUM(HAO36:HAO38)</f>
        <v>0</v>
      </c>
      <c r="HAP39" s="987">
        <f t="shared" ref="HAP39:HCM39" si="180">SUM(HAP36:HAP38)</f>
        <v>0</v>
      </c>
      <c r="HAQ39" s="987">
        <f t="shared" si="180"/>
        <v>0</v>
      </c>
      <c r="HAR39" s="987"/>
      <c r="HAS39" s="987"/>
      <c r="HAT39" s="987"/>
      <c r="HAU39" s="987"/>
      <c r="HAV39" s="987">
        <f t="shared" ref="HAV39:HCR39" si="181">SUM(HAV36:HAV38)</f>
        <v>0</v>
      </c>
      <c r="HAW39" s="1026" t="s">
        <v>45</v>
      </c>
      <c r="HAX39" s="434"/>
      <c r="HAY39" s="1027"/>
      <c r="HAZ39" s="1027"/>
      <c r="HBA39" s="24"/>
      <c r="HBB39" s="1027"/>
      <c r="HBC39" s="1027"/>
      <c r="HBD39" s="25"/>
      <c r="HBE39" s="987">
        <f>SUM(HBE36:HBE38)</f>
        <v>0</v>
      </c>
      <c r="HBF39" s="987">
        <f t="shared" si="180"/>
        <v>0</v>
      </c>
      <c r="HBG39" s="987">
        <f t="shared" si="180"/>
        <v>0</v>
      </c>
      <c r="HBH39" s="987"/>
      <c r="HBI39" s="987"/>
      <c r="HBJ39" s="987"/>
      <c r="HBK39" s="987"/>
      <c r="HBL39" s="987">
        <f t="shared" si="181"/>
        <v>0</v>
      </c>
      <c r="HBM39" s="1026" t="s">
        <v>45</v>
      </c>
      <c r="HBN39" s="434"/>
      <c r="HBO39" s="1027"/>
      <c r="HBP39" s="1027"/>
      <c r="HBQ39" s="24"/>
      <c r="HBR39" s="1027"/>
      <c r="HBS39" s="1027"/>
      <c r="HBT39" s="25"/>
      <c r="HBU39" s="987">
        <f>SUM(HBU36:HBU38)</f>
        <v>0</v>
      </c>
      <c r="HBV39" s="987">
        <f t="shared" si="180"/>
        <v>0</v>
      </c>
      <c r="HBW39" s="987">
        <f t="shared" si="180"/>
        <v>0</v>
      </c>
      <c r="HBX39" s="987"/>
      <c r="HBY39" s="987"/>
      <c r="HBZ39" s="987"/>
      <c r="HCA39" s="987"/>
      <c r="HCB39" s="987">
        <f t="shared" si="181"/>
        <v>0</v>
      </c>
      <c r="HCC39" s="1026" t="s">
        <v>45</v>
      </c>
      <c r="HCD39" s="434"/>
      <c r="HCE39" s="1027"/>
      <c r="HCF39" s="1027"/>
      <c r="HCG39" s="24"/>
      <c r="HCH39" s="1027"/>
      <c r="HCI39" s="1027"/>
      <c r="HCJ39" s="25"/>
      <c r="HCK39" s="987">
        <f>SUM(HCK36:HCK38)</f>
        <v>0</v>
      </c>
      <c r="HCL39" s="987">
        <f t="shared" si="180"/>
        <v>0</v>
      </c>
      <c r="HCM39" s="987">
        <f t="shared" si="180"/>
        <v>0</v>
      </c>
      <c r="HCN39" s="987"/>
      <c r="HCO39" s="987"/>
      <c r="HCP39" s="987"/>
      <c r="HCQ39" s="987"/>
      <c r="HCR39" s="987">
        <f t="shared" si="181"/>
        <v>0</v>
      </c>
      <c r="HCS39" s="1026" t="s">
        <v>45</v>
      </c>
      <c r="HCT39" s="434"/>
      <c r="HCU39" s="1027"/>
      <c r="HCV39" s="1027"/>
      <c r="HCW39" s="24"/>
      <c r="HCX39" s="1027"/>
      <c r="HCY39" s="1027"/>
      <c r="HCZ39" s="25"/>
      <c r="HDA39" s="987">
        <f>SUM(HDA36:HDA38)</f>
        <v>0</v>
      </c>
      <c r="HDB39" s="987">
        <f t="shared" ref="HDB39:HEY39" si="182">SUM(HDB36:HDB38)</f>
        <v>0</v>
      </c>
      <c r="HDC39" s="987">
        <f t="shared" si="182"/>
        <v>0</v>
      </c>
      <c r="HDD39" s="987"/>
      <c r="HDE39" s="987"/>
      <c r="HDF39" s="987"/>
      <c r="HDG39" s="987"/>
      <c r="HDH39" s="987">
        <f t="shared" ref="HDH39:HFD39" si="183">SUM(HDH36:HDH38)</f>
        <v>0</v>
      </c>
      <c r="HDI39" s="1026" t="s">
        <v>45</v>
      </c>
      <c r="HDJ39" s="434"/>
      <c r="HDK39" s="1027"/>
      <c r="HDL39" s="1027"/>
      <c r="HDM39" s="24"/>
      <c r="HDN39" s="1027"/>
      <c r="HDO39" s="1027"/>
      <c r="HDP39" s="25"/>
      <c r="HDQ39" s="987">
        <f>SUM(HDQ36:HDQ38)</f>
        <v>0</v>
      </c>
      <c r="HDR39" s="987">
        <f t="shared" si="182"/>
        <v>0</v>
      </c>
      <c r="HDS39" s="987">
        <f t="shared" si="182"/>
        <v>0</v>
      </c>
      <c r="HDT39" s="987"/>
      <c r="HDU39" s="987"/>
      <c r="HDV39" s="987"/>
      <c r="HDW39" s="987"/>
      <c r="HDX39" s="987">
        <f t="shared" si="183"/>
        <v>0</v>
      </c>
      <c r="HDY39" s="1026" t="s">
        <v>45</v>
      </c>
      <c r="HDZ39" s="434"/>
      <c r="HEA39" s="1027"/>
      <c r="HEB39" s="1027"/>
      <c r="HEC39" s="24"/>
      <c r="HED39" s="1027"/>
      <c r="HEE39" s="1027"/>
      <c r="HEF39" s="25"/>
      <c r="HEG39" s="987">
        <f>SUM(HEG36:HEG38)</f>
        <v>0</v>
      </c>
      <c r="HEH39" s="987">
        <f t="shared" si="182"/>
        <v>0</v>
      </c>
      <c r="HEI39" s="987">
        <f t="shared" si="182"/>
        <v>0</v>
      </c>
      <c r="HEJ39" s="987"/>
      <c r="HEK39" s="987"/>
      <c r="HEL39" s="987"/>
      <c r="HEM39" s="987"/>
      <c r="HEN39" s="987">
        <f t="shared" si="183"/>
        <v>0</v>
      </c>
      <c r="HEO39" s="1026" t="s">
        <v>45</v>
      </c>
      <c r="HEP39" s="434"/>
      <c r="HEQ39" s="1027"/>
      <c r="HER39" s="1027"/>
      <c r="HES39" s="24"/>
      <c r="HET39" s="1027"/>
      <c r="HEU39" s="1027"/>
      <c r="HEV39" s="25"/>
      <c r="HEW39" s="987">
        <f>SUM(HEW36:HEW38)</f>
        <v>0</v>
      </c>
      <c r="HEX39" s="987">
        <f t="shared" si="182"/>
        <v>0</v>
      </c>
      <c r="HEY39" s="987">
        <f t="shared" si="182"/>
        <v>0</v>
      </c>
      <c r="HEZ39" s="987"/>
      <c r="HFA39" s="987"/>
      <c r="HFB39" s="987"/>
      <c r="HFC39" s="987"/>
      <c r="HFD39" s="987">
        <f t="shared" si="183"/>
        <v>0</v>
      </c>
      <c r="HFE39" s="1026" t="s">
        <v>45</v>
      </c>
      <c r="HFF39" s="434"/>
      <c r="HFG39" s="1027"/>
      <c r="HFH39" s="1027"/>
      <c r="HFI39" s="24"/>
      <c r="HFJ39" s="1027"/>
      <c r="HFK39" s="1027"/>
      <c r="HFL39" s="25"/>
      <c r="HFM39" s="987">
        <f>SUM(HFM36:HFM38)</f>
        <v>0</v>
      </c>
      <c r="HFN39" s="987">
        <f t="shared" ref="HFN39:HHK39" si="184">SUM(HFN36:HFN38)</f>
        <v>0</v>
      </c>
      <c r="HFO39" s="987">
        <f t="shared" si="184"/>
        <v>0</v>
      </c>
      <c r="HFP39" s="987"/>
      <c r="HFQ39" s="987"/>
      <c r="HFR39" s="987"/>
      <c r="HFS39" s="987"/>
      <c r="HFT39" s="987">
        <f t="shared" ref="HFT39:HHP39" si="185">SUM(HFT36:HFT38)</f>
        <v>0</v>
      </c>
      <c r="HFU39" s="1026" t="s">
        <v>45</v>
      </c>
      <c r="HFV39" s="434"/>
      <c r="HFW39" s="1027"/>
      <c r="HFX39" s="1027"/>
      <c r="HFY39" s="24"/>
      <c r="HFZ39" s="1027"/>
      <c r="HGA39" s="1027"/>
      <c r="HGB39" s="25"/>
      <c r="HGC39" s="987">
        <f>SUM(HGC36:HGC38)</f>
        <v>0</v>
      </c>
      <c r="HGD39" s="987">
        <f t="shared" si="184"/>
        <v>0</v>
      </c>
      <c r="HGE39" s="987">
        <f t="shared" si="184"/>
        <v>0</v>
      </c>
      <c r="HGF39" s="987"/>
      <c r="HGG39" s="987"/>
      <c r="HGH39" s="987"/>
      <c r="HGI39" s="987"/>
      <c r="HGJ39" s="987">
        <f t="shared" si="185"/>
        <v>0</v>
      </c>
      <c r="HGK39" s="1026" t="s">
        <v>45</v>
      </c>
      <c r="HGL39" s="434"/>
      <c r="HGM39" s="1027"/>
      <c r="HGN39" s="1027"/>
      <c r="HGO39" s="24"/>
      <c r="HGP39" s="1027"/>
      <c r="HGQ39" s="1027"/>
      <c r="HGR39" s="25"/>
      <c r="HGS39" s="987">
        <f>SUM(HGS36:HGS38)</f>
        <v>0</v>
      </c>
      <c r="HGT39" s="987">
        <f t="shared" si="184"/>
        <v>0</v>
      </c>
      <c r="HGU39" s="987">
        <f t="shared" si="184"/>
        <v>0</v>
      </c>
      <c r="HGV39" s="987"/>
      <c r="HGW39" s="987"/>
      <c r="HGX39" s="987"/>
      <c r="HGY39" s="987"/>
      <c r="HGZ39" s="987">
        <f t="shared" si="185"/>
        <v>0</v>
      </c>
      <c r="HHA39" s="1026" t="s">
        <v>45</v>
      </c>
      <c r="HHB39" s="434"/>
      <c r="HHC39" s="1027"/>
      <c r="HHD39" s="1027"/>
      <c r="HHE39" s="24"/>
      <c r="HHF39" s="1027"/>
      <c r="HHG39" s="1027"/>
      <c r="HHH39" s="25"/>
      <c r="HHI39" s="987">
        <f>SUM(HHI36:HHI38)</f>
        <v>0</v>
      </c>
      <c r="HHJ39" s="987">
        <f t="shared" si="184"/>
        <v>0</v>
      </c>
      <c r="HHK39" s="987">
        <f t="shared" si="184"/>
        <v>0</v>
      </c>
      <c r="HHL39" s="987"/>
      <c r="HHM39" s="987"/>
      <c r="HHN39" s="987"/>
      <c r="HHO39" s="987"/>
      <c r="HHP39" s="987">
        <f t="shared" si="185"/>
        <v>0</v>
      </c>
      <c r="HHQ39" s="1026" t="s">
        <v>45</v>
      </c>
      <c r="HHR39" s="434"/>
      <c r="HHS39" s="1027"/>
      <c r="HHT39" s="1027"/>
      <c r="HHU39" s="24"/>
      <c r="HHV39" s="1027"/>
      <c r="HHW39" s="1027"/>
      <c r="HHX39" s="25"/>
      <c r="HHY39" s="987">
        <f>SUM(HHY36:HHY38)</f>
        <v>0</v>
      </c>
      <c r="HHZ39" s="987">
        <f t="shared" ref="HHZ39:HJW39" si="186">SUM(HHZ36:HHZ38)</f>
        <v>0</v>
      </c>
      <c r="HIA39" s="987">
        <f t="shared" si="186"/>
        <v>0</v>
      </c>
      <c r="HIB39" s="987"/>
      <c r="HIC39" s="987"/>
      <c r="HID39" s="987"/>
      <c r="HIE39" s="987"/>
      <c r="HIF39" s="987">
        <f t="shared" ref="HIF39:HKB39" si="187">SUM(HIF36:HIF38)</f>
        <v>0</v>
      </c>
      <c r="HIG39" s="1026" t="s">
        <v>45</v>
      </c>
      <c r="HIH39" s="434"/>
      <c r="HII39" s="1027"/>
      <c r="HIJ39" s="1027"/>
      <c r="HIK39" s="24"/>
      <c r="HIL39" s="1027"/>
      <c r="HIM39" s="1027"/>
      <c r="HIN39" s="25"/>
      <c r="HIO39" s="987">
        <f>SUM(HIO36:HIO38)</f>
        <v>0</v>
      </c>
      <c r="HIP39" s="987">
        <f t="shared" si="186"/>
        <v>0</v>
      </c>
      <c r="HIQ39" s="987">
        <f t="shared" si="186"/>
        <v>0</v>
      </c>
      <c r="HIR39" s="987"/>
      <c r="HIS39" s="987"/>
      <c r="HIT39" s="987"/>
      <c r="HIU39" s="987"/>
      <c r="HIV39" s="987">
        <f t="shared" si="187"/>
        <v>0</v>
      </c>
      <c r="HIW39" s="1026" t="s">
        <v>45</v>
      </c>
      <c r="HIX39" s="434"/>
      <c r="HIY39" s="1027"/>
      <c r="HIZ39" s="1027"/>
      <c r="HJA39" s="24"/>
      <c r="HJB39" s="1027"/>
      <c r="HJC39" s="1027"/>
      <c r="HJD39" s="25"/>
      <c r="HJE39" s="987">
        <f>SUM(HJE36:HJE38)</f>
        <v>0</v>
      </c>
      <c r="HJF39" s="987">
        <f t="shared" si="186"/>
        <v>0</v>
      </c>
      <c r="HJG39" s="987">
        <f t="shared" si="186"/>
        <v>0</v>
      </c>
      <c r="HJH39" s="987"/>
      <c r="HJI39" s="987"/>
      <c r="HJJ39" s="987"/>
      <c r="HJK39" s="987"/>
      <c r="HJL39" s="987">
        <f t="shared" si="187"/>
        <v>0</v>
      </c>
      <c r="HJM39" s="1026" t="s">
        <v>45</v>
      </c>
      <c r="HJN39" s="434"/>
      <c r="HJO39" s="1027"/>
      <c r="HJP39" s="1027"/>
      <c r="HJQ39" s="24"/>
      <c r="HJR39" s="1027"/>
      <c r="HJS39" s="1027"/>
      <c r="HJT39" s="25"/>
      <c r="HJU39" s="987">
        <f>SUM(HJU36:HJU38)</f>
        <v>0</v>
      </c>
      <c r="HJV39" s="987">
        <f t="shared" si="186"/>
        <v>0</v>
      </c>
      <c r="HJW39" s="987">
        <f t="shared" si="186"/>
        <v>0</v>
      </c>
      <c r="HJX39" s="987"/>
      <c r="HJY39" s="987"/>
      <c r="HJZ39" s="987"/>
      <c r="HKA39" s="987"/>
      <c r="HKB39" s="987">
        <f t="shared" si="187"/>
        <v>0</v>
      </c>
      <c r="HKC39" s="1026" t="s">
        <v>45</v>
      </c>
      <c r="HKD39" s="434"/>
      <c r="HKE39" s="1027"/>
      <c r="HKF39" s="1027"/>
      <c r="HKG39" s="24"/>
      <c r="HKH39" s="1027"/>
      <c r="HKI39" s="1027"/>
      <c r="HKJ39" s="25"/>
      <c r="HKK39" s="987">
        <f>SUM(HKK36:HKK38)</f>
        <v>0</v>
      </c>
      <c r="HKL39" s="987">
        <f t="shared" ref="HKL39:HMI39" si="188">SUM(HKL36:HKL38)</f>
        <v>0</v>
      </c>
      <c r="HKM39" s="987">
        <f t="shared" si="188"/>
        <v>0</v>
      </c>
      <c r="HKN39" s="987"/>
      <c r="HKO39" s="987"/>
      <c r="HKP39" s="987"/>
      <c r="HKQ39" s="987"/>
      <c r="HKR39" s="987">
        <f t="shared" ref="HKR39:HMN39" si="189">SUM(HKR36:HKR38)</f>
        <v>0</v>
      </c>
      <c r="HKS39" s="1026" t="s">
        <v>45</v>
      </c>
      <c r="HKT39" s="434"/>
      <c r="HKU39" s="1027"/>
      <c r="HKV39" s="1027"/>
      <c r="HKW39" s="24"/>
      <c r="HKX39" s="1027"/>
      <c r="HKY39" s="1027"/>
      <c r="HKZ39" s="25"/>
      <c r="HLA39" s="987">
        <f>SUM(HLA36:HLA38)</f>
        <v>0</v>
      </c>
      <c r="HLB39" s="987">
        <f t="shared" si="188"/>
        <v>0</v>
      </c>
      <c r="HLC39" s="987">
        <f t="shared" si="188"/>
        <v>0</v>
      </c>
      <c r="HLD39" s="987"/>
      <c r="HLE39" s="987"/>
      <c r="HLF39" s="987"/>
      <c r="HLG39" s="987"/>
      <c r="HLH39" s="987">
        <f t="shared" si="189"/>
        <v>0</v>
      </c>
      <c r="HLI39" s="1026" t="s">
        <v>45</v>
      </c>
      <c r="HLJ39" s="434"/>
      <c r="HLK39" s="1027"/>
      <c r="HLL39" s="1027"/>
      <c r="HLM39" s="24"/>
      <c r="HLN39" s="1027"/>
      <c r="HLO39" s="1027"/>
      <c r="HLP39" s="25"/>
      <c r="HLQ39" s="987">
        <f>SUM(HLQ36:HLQ38)</f>
        <v>0</v>
      </c>
      <c r="HLR39" s="987">
        <f t="shared" si="188"/>
        <v>0</v>
      </c>
      <c r="HLS39" s="987">
        <f t="shared" si="188"/>
        <v>0</v>
      </c>
      <c r="HLT39" s="987"/>
      <c r="HLU39" s="987"/>
      <c r="HLV39" s="987"/>
      <c r="HLW39" s="987"/>
      <c r="HLX39" s="987">
        <f t="shared" si="189"/>
        <v>0</v>
      </c>
      <c r="HLY39" s="1026" t="s">
        <v>45</v>
      </c>
      <c r="HLZ39" s="434"/>
      <c r="HMA39" s="1027"/>
      <c r="HMB39" s="1027"/>
      <c r="HMC39" s="24"/>
      <c r="HMD39" s="1027"/>
      <c r="HME39" s="1027"/>
      <c r="HMF39" s="25"/>
      <c r="HMG39" s="987">
        <f>SUM(HMG36:HMG38)</f>
        <v>0</v>
      </c>
      <c r="HMH39" s="987">
        <f t="shared" si="188"/>
        <v>0</v>
      </c>
      <c r="HMI39" s="987">
        <f t="shared" si="188"/>
        <v>0</v>
      </c>
      <c r="HMJ39" s="987"/>
      <c r="HMK39" s="987"/>
      <c r="HML39" s="987"/>
      <c r="HMM39" s="987"/>
      <c r="HMN39" s="987">
        <f t="shared" si="189"/>
        <v>0</v>
      </c>
      <c r="HMO39" s="1026" t="s">
        <v>45</v>
      </c>
      <c r="HMP39" s="434"/>
      <c r="HMQ39" s="1027"/>
      <c r="HMR39" s="1027"/>
      <c r="HMS39" s="24"/>
      <c r="HMT39" s="1027"/>
      <c r="HMU39" s="1027"/>
      <c r="HMV39" s="25"/>
      <c r="HMW39" s="987">
        <f>SUM(HMW36:HMW38)</f>
        <v>0</v>
      </c>
      <c r="HMX39" s="987">
        <f t="shared" ref="HMX39:HOU39" si="190">SUM(HMX36:HMX38)</f>
        <v>0</v>
      </c>
      <c r="HMY39" s="987">
        <f t="shared" si="190"/>
        <v>0</v>
      </c>
      <c r="HMZ39" s="987"/>
      <c r="HNA39" s="987"/>
      <c r="HNB39" s="987"/>
      <c r="HNC39" s="987"/>
      <c r="HND39" s="987">
        <f t="shared" ref="HND39:HOZ39" si="191">SUM(HND36:HND38)</f>
        <v>0</v>
      </c>
      <c r="HNE39" s="1026" t="s">
        <v>45</v>
      </c>
      <c r="HNF39" s="434"/>
      <c r="HNG39" s="1027"/>
      <c r="HNH39" s="1027"/>
      <c r="HNI39" s="24"/>
      <c r="HNJ39" s="1027"/>
      <c r="HNK39" s="1027"/>
      <c r="HNL39" s="25"/>
      <c r="HNM39" s="987">
        <f>SUM(HNM36:HNM38)</f>
        <v>0</v>
      </c>
      <c r="HNN39" s="987">
        <f t="shared" si="190"/>
        <v>0</v>
      </c>
      <c r="HNO39" s="987">
        <f t="shared" si="190"/>
        <v>0</v>
      </c>
      <c r="HNP39" s="987"/>
      <c r="HNQ39" s="987"/>
      <c r="HNR39" s="987"/>
      <c r="HNS39" s="987"/>
      <c r="HNT39" s="987">
        <f t="shared" si="191"/>
        <v>0</v>
      </c>
      <c r="HNU39" s="1026" t="s">
        <v>45</v>
      </c>
      <c r="HNV39" s="434"/>
      <c r="HNW39" s="1027"/>
      <c r="HNX39" s="1027"/>
      <c r="HNY39" s="24"/>
      <c r="HNZ39" s="1027"/>
      <c r="HOA39" s="1027"/>
      <c r="HOB39" s="25"/>
      <c r="HOC39" s="987">
        <f>SUM(HOC36:HOC38)</f>
        <v>0</v>
      </c>
      <c r="HOD39" s="987">
        <f t="shared" si="190"/>
        <v>0</v>
      </c>
      <c r="HOE39" s="987">
        <f t="shared" si="190"/>
        <v>0</v>
      </c>
      <c r="HOF39" s="987"/>
      <c r="HOG39" s="987"/>
      <c r="HOH39" s="987"/>
      <c r="HOI39" s="987"/>
      <c r="HOJ39" s="987">
        <f t="shared" si="191"/>
        <v>0</v>
      </c>
      <c r="HOK39" s="1026" t="s">
        <v>45</v>
      </c>
      <c r="HOL39" s="434"/>
      <c r="HOM39" s="1027"/>
      <c r="HON39" s="1027"/>
      <c r="HOO39" s="24"/>
      <c r="HOP39" s="1027"/>
      <c r="HOQ39" s="1027"/>
      <c r="HOR39" s="25"/>
      <c r="HOS39" s="987">
        <f>SUM(HOS36:HOS38)</f>
        <v>0</v>
      </c>
      <c r="HOT39" s="987">
        <f t="shared" si="190"/>
        <v>0</v>
      </c>
      <c r="HOU39" s="987">
        <f t="shared" si="190"/>
        <v>0</v>
      </c>
      <c r="HOV39" s="987"/>
      <c r="HOW39" s="987"/>
      <c r="HOX39" s="987"/>
      <c r="HOY39" s="987"/>
      <c r="HOZ39" s="987">
        <f t="shared" si="191"/>
        <v>0</v>
      </c>
      <c r="HPA39" s="1026" t="s">
        <v>45</v>
      </c>
      <c r="HPB39" s="434"/>
      <c r="HPC39" s="1027"/>
      <c r="HPD39" s="1027"/>
      <c r="HPE39" s="24"/>
      <c r="HPF39" s="1027"/>
      <c r="HPG39" s="1027"/>
      <c r="HPH39" s="25"/>
      <c r="HPI39" s="987">
        <f>SUM(HPI36:HPI38)</f>
        <v>0</v>
      </c>
      <c r="HPJ39" s="987">
        <f t="shared" ref="HPJ39:HRG39" si="192">SUM(HPJ36:HPJ38)</f>
        <v>0</v>
      </c>
      <c r="HPK39" s="987">
        <f t="shared" si="192"/>
        <v>0</v>
      </c>
      <c r="HPL39" s="987"/>
      <c r="HPM39" s="987"/>
      <c r="HPN39" s="987"/>
      <c r="HPO39" s="987"/>
      <c r="HPP39" s="987">
        <f t="shared" ref="HPP39:HRL39" si="193">SUM(HPP36:HPP38)</f>
        <v>0</v>
      </c>
      <c r="HPQ39" s="1026" t="s">
        <v>45</v>
      </c>
      <c r="HPR39" s="434"/>
      <c r="HPS39" s="1027"/>
      <c r="HPT39" s="1027"/>
      <c r="HPU39" s="24"/>
      <c r="HPV39" s="1027"/>
      <c r="HPW39" s="1027"/>
      <c r="HPX39" s="25"/>
      <c r="HPY39" s="987">
        <f>SUM(HPY36:HPY38)</f>
        <v>0</v>
      </c>
      <c r="HPZ39" s="987">
        <f t="shared" si="192"/>
        <v>0</v>
      </c>
      <c r="HQA39" s="987">
        <f t="shared" si="192"/>
        <v>0</v>
      </c>
      <c r="HQB39" s="987"/>
      <c r="HQC39" s="987"/>
      <c r="HQD39" s="987"/>
      <c r="HQE39" s="987"/>
      <c r="HQF39" s="987">
        <f t="shared" si="193"/>
        <v>0</v>
      </c>
      <c r="HQG39" s="1026" t="s">
        <v>45</v>
      </c>
      <c r="HQH39" s="434"/>
      <c r="HQI39" s="1027"/>
      <c r="HQJ39" s="1027"/>
      <c r="HQK39" s="24"/>
      <c r="HQL39" s="1027"/>
      <c r="HQM39" s="1027"/>
      <c r="HQN39" s="25"/>
      <c r="HQO39" s="987">
        <f>SUM(HQO36:HQO38)</f>
        <v>0</v>
      </c>
      <c r="HQP39" s="987">
        <f t="shared" si="192"/>
        <v>0</v>
      </c>
      <c r="HQQ39" s="987">
        <f t="shared" si="192"/>
        <v>0</v>
      </c>
      <c r="HQR39" s="987"/>
      <c r="HQS39" s="987"/>
      <c r="HQT39" s="987"/>
      <c r="HQU39" s="987"/>
      <c r="HQV39" s="987">
        <f t="shared" si="193"/>
        <v>0</v>
      </c>
      <c r="HQW39" s="1026" t="s">
        <v>45</v>
      </c>
      <c r="HQX39" s="434"/>
      <c r="HQY39" s="1027"/>
      <c r="HQZ39" s="1027"/>
      <c r="HRA39" s="24"/>
      <c r="HRB39" s="1027"/>
      <c r="HRC39" s="1027"/>
      <c r="HRD39" s="25"/>
      <c r="HRE39" s="987">
        <f>SUM(HRE36:HRE38)</f>
        <v>0</v>
      </c>
      <c r="HRF39" s="987">
        <f t="shared" si="192"/>
        <v>0</v>
      </c>
      <c r="HRG39" s="987">
        <f t="shared" si="192"/>
        <v>0</v>
      </c>
      <c r="HRH39" s="987"/>
      <c r="HRI39" s="987"/>
      <c r="HRJ39" s="987"/>
      <c r="HRK39" s="987"/>
      <c r="HRL39" s="987">
        <f t="shared" si="193"/>
        <v>0</v>
      </c>
      <c r="HRM39" s="1026" t="s">
        <v>45</v>
      </c>
      <c r="HRN39" s="434"/>
      <c r="HRO39" s="1027"/>
      <c r="HRP39" s="1027"/>
      <c r="HRQ39" s="24"/>
      <c r="HRR39" s="1027"/>
      <c r="HRS39" s="1027"/>
      <c r="HRT39" s="25"/>
      <c r="HRU39" s="987">
        <f>SUM(HRU36:HRU38)</f>
        <v>0</v>
      </c>
      <c r="HRV39" s="987">
        <f t="shared" ref="HRV39:HTS39" si="194">SUM(HRV36:HRV38)</f>
        <v>0</v>
      </c>
      <c r="HRW39" s="987">
        <f t="shared" si="194"/>
        <v>0</v>
      </c>
      <c r="HRX39" s="987"/>
      <c r="HRY39" s="987"/>
      <c r="HRZ39" s="987"/>
      <c r="HSA39" s="987"/>
      <c r="HSB39" s="987">
        <f t="shared" ref="HSB39:HTX39" si="195">SUM(HSB36:HSB38)</f>
        <v>0</v>
      </c>
      <c r="HSC39" s="1026" t="s">
        <v>45</v>
      </c>
      <c r="HSD39" s="434"/>
      <c r="HSE39" s="1027"/>
      <c r="HSF39" s="1027"/>
      <c r="HSG39" s="24"/>
      <c r="HSH39" s="1027"/>
      <c r="HSI39" s="1027"/>
      <c r="HSJ39" s="25"/>
      <c r="HSK39" s="987">
        <f>SUM(HSK36:HSK38)</f>
        <v>0</v>
      </c>
      <c r="HSL39" s="987">
        <f t="shared" si="194"/>
        <v>0</v>
      </c>
      <c r="HSM39" s="987">
        <f t="shared" si="194"/>
        <v>0</v>
      </c>
      <c r="HSN39" s="987"/>
      <c r="HSO39" s="987"/>
      <c r="HSP39" s="987"/>
      <c r="HSQ39" s="987"/>
      <c r="HSR39" s="987">
        <f t="shared" si="195"/>
        <v>0</v>
      </c>
      <c r="HSS39" s="1026" t="s">
        <v>45</v>
      </c>
      <c r="HST39" s="434"/>
      <c r="HSU39" s="1027"/>
      <c r="HSV39" s="1027"/>
      <c r="HSW39" s="24"/>
      <c r="HSX39" s="1027"/>
      <c r="HSY39" s="1027"/>
      <c r="HSZ39" s="25"/>
      <c r="HTA39" s="987">
        <f>SUM(HTA36:HTA38)</f>
        <v>0</v>
      </c>
      <c r="HTB39" s="987">
        <f t="shared" si="194"/>
        <v>0</v>
      </c>
      <c r="HTC39" s="987">
        <f t="shared" si="194"/>
        <v>0</v>
      </c>
      <c r="HTD39" s="987"/>
      <c r="HTE39" s="987"/>
      <c r="HTF39" s="987"/>
      <c r="HTG39" s="987"/>
      <c r="HTH39" s="987">
        <f t="shared" si="195"/>
        <v>0</v>
      </c>
      <c r="HTI39" s="1026" t="s">
        <v>45</v>
      </c>
      <c r="HTJ39" s="434"/>
      <c r="HTK39" s="1027"/>
      <c r="HTL39" s="1027"/>
      <c r="HTM39" s="24"/>
      <c r="HTN39" s="1027"/>
      <c r="HTO39" s="1027"/>
      <c r="HTP39" s="25"/>
      <c r="HTQ39" s="987">
        <f>SUM(HTQ36:HTQ38)</f>
        <v>0</v>
      </c>
      <c r="HTR39" s="987">
        <f t="shared" si="194"/>
        <v>0</v>
      </c>
      <c r="HTS39" s="987">
        <f t="shared" si="194"/>
        <v>0</v>
      </c>
      <c r="HTT39" s="987"/>
      <c r="HTU39" s="987"/>
      <c r="HTV39" s="987"/>
      <c r="HTW39" s="987"/>
      <c r="HTX39" s="987">
        <f t="shared" si="195"/>
        <v>0</v>
      </c>
      <c r="HTY39" s="1026" t="s">
        <v>45</v>
      </c>
      <c r="HTZ39" s="434"/>
      <c r="HUA39" s="1027"/>
      <c r="HUB39" s="1027"/>
      <c r="HUC39" s="24"/>
      <c r="HUD39" s="1027"/>
      <c r="HUE39" s="1027"/>
      <c r="HUF39" s="25"/>
      <c r="HUG39" s="987">
        <f>SUM(HUG36:HUG38)</f>
        <v>0</v>
      </c>
      <c r="HUH39" s="987">
        <f t="shared" ref="HUH39:HWE39" si="196">SUM(HUH36:HUH38)</f>
        <v>0</v>
      </c>
      <c r="HUI39" s="987">
        <f t="shared" si="196"/>
        <v>0</v>
      </c>
      <c r="HUJ39" s="987"/>
      <c r="HUK39" s="987"/>
      <c r="HUL39" s="987"/>
      <c r="HUM39" s="987"/>
      <c r="HUN39" s="987">
        <f t="shared" ref="HUN39:HWJ39" si="197">SUM(HUN36:HUN38)</f>
        <v>0</v>
      </c>
      <c r="HUO39" s="1026" t="s">
        <v>45</v>
      </c>
      <c r="HUP39" s="434"/>
      <c r="HUQ39" s="1027"/>
      <c r="HUR39" s="1027"/>
      <c r="HUS39" s="24"/>
      <c r="HUT39" s="1027"/>
      <c r="HUU39" s="1027"/>
      <c r="HUV39" s="25"/>
      <c r="HUW39" s="987">
        <f>SUM(HUW36:HUW38)</f>
        <v>0</v>
      </c>
      <c r="HUX39" s="987">
        <f t="shared" si="196"/>
        <v>0</v>
      </c>
      <c r="HUY39" s="987">
        <f t="shared" si="196"/>
        <v>0</v>
      </c>
      <c r="HUZ39" s="987"/>
      <c r="HVA39" s="987"/>
      <c r="HVB39" s="987"/>
      <c r="HVC39" s="987"/>
      <c r="HVD39" s="987">
        <f t="shared" si="197"/>
        <v>0</v>
      </c>
      <c r="HVE39" s="1026" t="s">
        <v>45</v>
      </c>
      <c r="HVF39" s="434"/>
      <c r="HVG39" s="1027"/>
      <c r="HVH39" s="1027"/>
      <c r="HVI39" s="24"/>
      <c r="HVJ39" s="1027"/>
      <c r="HVK39" s="1027"/>
      <c r="HVL39" s="25"/>
      <c r="HVM39" s="987">
        <f>SUM(HVM36:HVM38)</f>
        <v>0</v>
      </c>
      <c r="HVN39" s="987">
        <f t="shared" si="196"/>
        <v>0</v>
      </c>
      <c r="HVO39" s="987">
        <f t="shared" si="196"/>
        <v>0</v>
      </c>
      <c r="HVP39" s="987"/>
      <c r="HVQ39" s="987"/>
      <c r="HVR39" s="987"/>
      <c r="HVS39" s="987"/>
      <c r="HVT39" s="987">
        <f t="shared" si="197"/>
        <v>0</v>
      </c>
      <c r="HVU39" s="1026" t="s">
        <v>45</v>
      </c>
      <c r="HVV39" s="434"/>
      <c r="HVW39" s="1027"/>
      <c r="HVX39" s="1027"/>
      <c r="HVY39" s="24"/>
      <c r="HVZ39" s="1027"/>
      <c r="HWA39" s="1027"/>
      <c r="HWB39" s="25"/>
      <c r="HWC39" s="987">
        <f>SUM(HWC36:HWC38)</f>
        <v>0</v>
      </c>
      <c r="HWD39" s="987">
        <f t="shared" si="196"/>
        <v>0</v>
      </c>
      <c r="HWE39" s="987">
        <f t="shared" si="196"/>
        <v>0</v>
      </c>
      <c r="HWF39" s="987"/>
      <c r="HWG39" s="987"/>
      <c r="HWH39" s="987"/>
      <c r="HWI39" s="987"/>
      <c r="HWJ39" s="987">
        <f t="shared" si="197"/>
        <v>0</v>
      </c>
      <c r="HWK39" s="1026" t="s">
        <v>45</v>
      </c>
      <c r="HWL39" s="434"/>
      <c r="HWM39" s="1027"/>
      <c r="HWN39" s="1027"/>
      <c r="HWO39" s="24"/>
      <c r="HWP39" s="1027"/>
      <c r="HWQ39" s="1027"/>
      <c r="HWR39" s="25"/>
      <c r="HWS39" s="987">
        <f>SUM(HWS36:HWS38)</f>
        <v>0</v>
      </c>
      <c r="HWT39" s="987">
        <f t="shared" ref="HWT39:HYQ39" si="198">SUM(HWT36:HWT38)</f>
        <v>0</v>
      </c>
      <c r="HWU39" s="987">
        <f t="shared" si="198"/>
        <v>0</v>
      </c>
      <c r="HWV39" s="987"/>
      <c r="HWW39" s="987"/>
      <c r="HWX39" s="987"/>
      <c r="HWY39" s="987"/>
      <c r="HWZ39" s="987">
        <f t="shared" ref="HWZ39:HYV39" si="199">SUM(HWZ36:HWZ38)</f>
        <v>0</v>
      </c>
      <c r="HXA39" s="1026" t="s">
        <v>45</v>
      </c>
      <c r="HXB39" s="434"/>
      <c r="HXC39" s="1027"/>
      <c r="HXD39" s="1027"/>
      <c r="HXE39" s="24"/>
      <c r="HXF39" s="1027"/>
      <c r="HXG39" s="1027"/>
      <c r="HXH39" s="25"/>
      <c r="HXI39" s="987">
        <f>SUM(HXI36:HXI38)</f>
        <v>0</v>
      </c>
      <c r="HXJ39" s="987">
        <f t="shared" si="198"/>
        <v>0</v>
      </c>
      <c r="HXK39" s="987">
        <f t="shared" si="198"/>
        <v>0</v>
      </c>
      <c r="HXL39" s="987"/>
      <c r="HXM39" s="987"/>
      <c r="HXN39" s="987"/>
      <c r="HXO39" s="987"/>
      <c r="HXP39" s="987">
        <f t="shared" si="199"/>
        <v>0</v>
      </c>
      <c r="HXQ39" s="1026" t="s">
        <v>45</v>
      </c>
      <c r="HXR39" s="434"/>
      <c r="HXS39" s="1027"/>
      <c r="HXT39" s="1027"/>
      <c r="HXU39" s="24"/>
      <c r="HXV39" s="1027"/>
      <c r="HXW39" s="1027"/>
      <c r="HXX39" s="25"/>
      <c r="HXY39" s="987">
        <f>SUM(HXY36:HXY38)</f>
        <v>0</v>
      </c>
      <c r="HXZ39" s="987">
        <f t="shared" si="198"/>
        <v>0</v>
      </c>
      <c r="HYA39" s="987">
        <f t="shared" si="198"/>
        <v>0</v>
      </c>
      <c r="HYB39" s="987"/>
      <c r="HYC39" s="987"/>
      <c r="HYD39" s="987"/>
      <c r="HYE39" s="987"/>
      <c r="HYF39" s="987">
        <f t="shared" si="199"/>
        <v>0</v>
      </c>
      <c r="HYG39" s="1026" t="s">
        <v>45</v>
      </c>
      <c r="HYH39" s="434"/>
      <c r="HYI39" s="1027"/>
      <c r="HYJ39" s="1027"/>
      <c r="HYK39" s="24"/>
      <c r="HYL39" s="1027"/>
      <c r="HYM39" s="1027"/>
      <c r="HYN39" s="25"/>
      <c r="HYO39" s="987">
        <f>SUM(HYO36:HYO38)</f>
        <v>0</v>
      </c>
      <c r="HYP39" s="987">
        <f t="shared" si="198"/>
        <v>0</v>
      </c>
      <c r="HYQ39" s="987">
        <f t="shared" si="198"/>
        <v>0</v>
      </c>
      <c r="HYR39" s="987"/>
      <c r="HYS39" s="987"/>
      <c r="HYT39" s="987"/>
      <c r="HYU39" s="987"/>
      <c r="HYV39" s="987">
        <f t="shared" si="199"/>
        <v>0</v>
      </c>
      <c r="HYW39" s="1026" t="s">
        <v>45</v>
      </c>
      <c r="HYX39" s="434"/>
      <c r="HYY39" s="1027"/>
      <c r="HYZ39" s="1027"/>
      <c r="HZA39" s="24"/>
      <c r="HZB39" s="1027"/>
      <c r="HZC39" s="1027"/>
      <c r="HZD39" s="25"/>
      <c r="HZE39" s="987">
        <f>SUM(HZE36:HZE38)</f>
        <v>0</v>
      </c>
      <c r="HZF39" s="987">
        <f t="shared" ref="HZF39:IBC39" si="200">SUM(HZF36:HZF38)</f>
        <v>0</v>
      </c>
      <c r="HZG39" s="987">
        <f t="shared" si="200"/>
        <v>0</v>
      </c>
      <c r="HZH39" s="987"/>
      <c r="HZI39" s="987"/>
      <c r="HZJ39" s="987"/>
      <c r="HZK39" s="987"/>
      <c r="HZL39" s="987">
        <f t="shared" ref="HZL39:IBH39" si="201">SUM(HZL36:HZL38)</f>
        <v>0</v>
      </c>
      <c r="HZM39" s="1026" t="s">
        <v>45</v>
      </c>
      <c r="HZN39" s="434"/>
      <c r="HZO39" s="1027"/>
      <c r="HZP39" s="1027"/>
      <c r="HZQ39" s="24"/>
      <c r="HZR39" s="1027"/>
      <c r="HZS39" s="1027"/>
      <c r="HZT39" s="25"/>
      <c r="HZU39" s="987">
        <f>SUM(HZU36:HZU38)</f>
        <v>0</v>
      </c>
      <c r="HZV39" s="987">
        <f t="shared" si="200"/>
        <v>0</v>
      </c>
      <c r="HZW39" s="987">
        <f t="shared" si="200"/>
        <v>0</v>
      </c>
      <c r="HZX39" s="987"/>
      <c r="HZY39" s="987"/>
      <c r="HZZ39" s="987"/>
      <c r="IAA39" s="987"/>
      <c r="IAB39" s="987">
        <f t="shared" si="201"/>
        <v>0</v>
      </c>
      <c r="IAC39" s="1026" t="s">
        <v>45</v>
      </c>
      <c r="IAD39" s="434"/>
      <c r="IAE39" s="1027"/>
      <c r="IAF39" s="1027"/>
      <c r="IAG39" s="24"/>
      <c r="IAH39" s="1027"/>
      <c r="IAI39" s="1027"/>
      <c r="IAJ39" s="25"/>
      <c r="IAK39" s="987">
        <f>SUM(IAK36:IAK38)</f>
        <v>0</v>
      </c>
      <c r="IAL39" s="987">
        <f t="shared" si="200"/>
        <v>0</v>
      </c>
      <c r="IAM39" s="987">
        <f t="shared" si="200"/>
        <v>0</v>
      </c>
      <c r="IAN39" s="987"/>
      <c r="IAO39" s="987"/>
      <c r="IAP39" s="987"/>
      <c r="IAQ39" s="987"/>
      <c r="IAR39" s="987">
        <f t="shared" si="201"/>
        <v>0</v>
      </c>
      <c r="IAS39" s="1026" t="s">
        <v>45</v>
      </c>
      <c r="IAT39" s="434"/>
      <c r="IAU39" s="1027"/>
      <c r="IAV39" s="1027"/>
      <c r="IAW39" s="24"/>
      <c r="IAX39" s="1027"/>
      <c r="IAY39" s="1027"/>
      <c r="IAZ39" s="25"/>
      <c r="IBA39" s="987">
        <f>SUM(IBA36:IBA38)</f>
        <v>0</v>
      </c>
      <c r="IBB39" s="987">
        <f t="shared" si="200"/>
        <v>0</v>
      </c>
      <c r="IBC39" s="987">
        <f t="shared" si="200"/>
        <v>0</v>
      </c>
      <c r="IBD39" s="987"/>
      <c r="IBE39" s="987"/>
      <c r="IBF39" s="987"/>
      <c r="IBG39" s="987"/>
      <c r="IBH39" s="987">
        <f t="shared" si="201"/>
        <v>0</v>
      </c>
      <c r="IBI39" s="1026" t="s">
        <v>45</v>
      </c>
      <c r="IBJ39" s="434"/>
      <c r="IBK39" s="1027"/>
      <c r="IBL39" s="1027"/>
      <c r="IBM39" s="24"/>
      <c r="IBN39" s="1027"/>
      <c r="IBO39" s="1027"/>
      <c r="IBP39" s="25"/>
      <c r="IBQ39" s="987">
        <f>SUM(IBQ36:IBQ38)</f>
        <v>0</v>
      </c>
      <c r="IBR39" s="987">
        <f t="shared" ref="IBR39:IDO39" si="202">SUM(IBR36:IBR38)</f>
        <v>0</v>
      </c>
      <c r="IBS39" s="987">
        <f t="shared" si="202"/>
        <v>0</v>
      </c>
      <c r="IBT39" s="987"/>
      <c r="IBU39" s="987"/>
      <c r="IBV39" s="987"/>
      <c r="IBW39" s="987"/>
      <c r="IBX39" s="987">
        <f t="shared" ref="IBX39:IDT39" si="203">SUM(IBX36:IBX38)</f>
        <v>0</v>
      </c>
      <c r="IBY39" s="1026" t="s">
        <v>45</v>
      </c>
      <c r="IBZ39" s="434"/>
      <c r="ICA39" s="1027"/>
      <c r="ICB39" s="1027"/>
      <c r="ICC39" s="24"/>
      <c r="ICD39" s="1027"/>
      <c r="ICE39" s="1027"/>
      <c r="ICF39" s="25"/>
      <c r="ICG39" s="987">
        <f>SUM(ICG36:ICG38)</f>
        <v>0</v>
      </c>
      <c r="ICH39" s="987">
        <f t="shared" si="202"/>
        <v>0</v>
      </c>
      <c r="ICI39" s="987">
        <f t="shared" si="202"/>
        <v>0</v>
      </c>
      <c r="ICJ39" s="987"/>
      <c r="ICK39" s="987"/>
      <c r="ICL39" s="987"/>
      <c r="ICM39" s="987"/>
      <c r="ICN39" s="987">
        <f t="shared" si="203"/>
        <v>0</v>
      </c>
      <c r="ICO39" s="1026" t="s">
        <v>45</v>
      </c>
      <c r="ICP39" s="434"/>
      <c r="ICQ39" s="1027"/>
      <c r="ICR39" s="1027"/>
      <c r="ICS39" s="24"/>
      <c r="ICT39" s="1027"/>
      <c r="ICU39" s="1027"/>
      <c r="ICV39" s="25"/>
      <c r="ICW39" s="987">
        <f>SUM(ICW36:ICW38)</f>
        <v>0</v>
      </c>
      <c r="ICX39" s="987">
        <f t="shared" si="202"/>
        <v>0</v>
      </c>
      <c r="ICY39" s="987">
        <f t="shared" si="202"/>
        <v>0</v>
      </c>
      <c r="ICZ39" s="987"/>
      <c r="IDA39" s="987"/>
      <c r="IDB39" s="987"/>
      <c r="IDC39" s="987"/>
      <c r="IDD39" s="987">
        <f t="shared" si="203"/>
        <v>0</v>
      </c>
      <c r="IDE39" s="1026" t="s">
        <v>45</v>
      </c>
      <c r="IDF39" s="434"/>
      <c r="IDG39" s="1027"/>
      <c r="IDH39" s="1027"/>
      <c r="IDI39" s="24"/>
      <c r="IDJ39" s="1027"/>
      <c r="IDK39" s="1027"/>
      <c r="IDL39" s="25"/>
      <c r="IDM39" s="987">
        <f>SUM(IDM36:IDM38)</f>
        <v>0</v>
      </c>
      <c r="IDN39" s="987">
        <f t="shared" si="202"/>
        <v>0</v>
      </c>
      <c r="IDO39" s="987">
        <f t="shared" si="202"/>
        <v>0</v>
      </c>
      <c r="IDP39" s="987"/>
      <c r="IDQ39" s="987"/>
      <c r="IDR39" s="987"/>
      <c r="IDS39" s="987"/>
      <c r="IDT39" s="987">
        <f t="shared" si="203"/>
        <v>0</v>
      </c>
      <c r="IDU39" s="1026" t="s">
        <v>45</v>
      </c>
      <c r="IDV39" s="434"/>
      <c r="IDW39" s="1027"/>
      <c r="IDX39" s="1027"/>
      <c r="IDY39" s="24"/>
      <c r="IDZ39" s="1027"/>
      <c r="IEA39" s="1027"/>
      <c r="IEB39" s="25"/>
      <c r="IEC39" s="987">
        <f>SUM(IEC36:IEC38)</f>
        <v>0</v>
      </c>
      <c r="IED39" s="987">
        <f t="shared" ref="IED39:IGA39" si="204">SUM(IED36:IED38)</f>
        <v>0</v>
      </c>
      <c r="IEE39" s="987">
        <f t="shared" si="204"/>
        <v>0</v>
      </c>
      <c r="IEF39" s="987"/>
      <c r="IEG39" s="987"/>
      <c r="IEH39" s="987"/>
      <c r="IEI39" s="987"/>
      <c r="IEJ39" s="987">
        <f t="shared" ref="IEJ39:IGF39" si="205">SUM(IEJ36:IEJ38)</f>
        <v>0</v>
      </c>
      <c r="IEK39" s="1026" t="s">
        <v>45</v>
      </c>
      <c r="IEL39" s="434"/>
      <c r="IEM39" s="1027"/>
      <c r="IEN39" s="1027"/>
      <c r="IEO39" s="24"/>
      <c r="IEP39" s="1027"/>
      <c r="IEQ39" s="1027"/>
      <c r="IER39" s="25"/>
      <c r="IES39" s="987">
        <f>SUM(IES36:IES38)</f>
        <v>0</v>
      </c>
      <c r="IET39" s="987">
        <f t="shared" si="204"/>
        <v>0</v>
      </c>
      <c r="IEU39" s="987">
        <f t="shared" si="204"/>
        <v>0</v>
      </c>
      <c r="IEV39" s="987"/>
      <c r="IEW39" s="987"/>
      <c r="IEX39" s="987"/>
      <c r="IEY39" s="987"/>
      <c r="IEZ39" s="987">
        <f t="shared" si="205"/>
        <v>0</v>
      </c>
      <c r="IFA39" s="1026" t="s">
        <v>45</v>
      </c>
      <c r="IFB39" s="434"/>
      <c r="IFC39" s="1027"/>
      <c r="IFD39" s="1027"/>
      <c r="IFE39" s="24"/>
      <c r="IFF39" s="1027"/>
      <c r="IFG39" s="1027"/>
      <c r="IFH39" s="25"/>
      <c r="IFI39" s="987">
        <f>SUM(IFI36:IFI38)</f>
        <v>0</v>
      </c>
      <c r="IFJ39" s="987">
        <f t="shared" si="204"/>
        <v>0</v>
      </c>
      <c r="IFK39" s="987">
        <f t="shared" si="204"/>
        <v>0</v>
      </c>
      <c r="IFL39" s="987"/>
      <c r="IFM39" s="987"/>
      <c r="IFN39" s="987"/>
      <c r="IFO39" s="987"/>
      <c r="IFP39" s="987">
        <f t="shared" si="205"/>
        <v>0</v>
      </c>
      <c r="IFQ39" s="1026" t="s">
        <v>45</v>
      </c>
      <c r="IFR39" s="434"/>
      <c r="IFS39" s="1027"/>
      <c r="IFT39" s="1027"/>
      <c r="IFU39" s="24"/>
      <c r="IFV39" s="1027"/>
      <c r="IFW39" s="1027"/>
      <c r="IFX39" s="25"/>
      <c r="IFY39" s="987">
        <f>SUM(IFY36:IFY38)</f>
        <v>0</v>
      </c>
      <c r="IFZ39" s="987">
        <f t="shared" si="204"/>
        <v>0</v>
      </c>
      <c r="IGA39" s="987">
        <f t="shared" si="204"/>
        <v>0</v>
      </c>
      <c r="IGB39" s="987"/>
      <c r="IGC39" s="987"/>
      <c r="IGD39" s="987"/>
      <c r="IGE39" s="987"/>
      <c r="IGF39" s="987">
        <f t="shared" si="205"/>
        <v>0</v>
      </c>
      <c r="IGG39" s="1026" t="s">
        <v>45</v>
      </c>
      <c r="IGH39" s="434"/>
      <c r="IGI39" s="1027"/>
      <c r="IGJ39" s="1027"/>
      <c r="IGK39" s="24"/>
      <c r="IGL39" s="1027"/>
      <c r="IGM39" s="1027"/>
      <c r="IGN39" s="25"/>
      <c r="IGO39" s="987">
        <f>SUM(IGO36:IGO38)</f>
        <v>0</v>
      </c>
      <c r="IGP39" s="987">
        <f t="shared" ref="IGP39:IIM39" si="206">SUM(IGP36:IGP38)</f>
        <v>0</v>
      </c>
      <c r="IGQ39" s="987">
        <f t="shared" si="206"/>
        <v>0</v>
      </c>
      <c r="IGR39" s="987"/>
      <c r="IGS39" s="987"/>
      <c r="IGT39" s="987"/>
      <c r="IGU39" s="987"/>
      <c r="IGV39" s="987">
        <f t="shared" ref="IGV39:IIR39" si="207">SUM(IGV36:IGV38)</f>
        <v>0</v>
      </c>
      <c r="IGW39" s="1026" t="s">
        <v>45</v>
      </c>
      <c r="IGX39" s="434"/>
      <c r="IGY39" s="1027"/>
      <c r="IGZ39" s="1027"/>
      <c r="IHA39" s="24"/>
      <c r="IHB39" s="1027"/>
      <c r="IHC39" s="1027"/>
      <c r="IHD39" s="25"/>
      <c r="IHE39" s="987">
        <f>SUM(IHE36:IHE38)</f>
        <v>0</v>
      </c>
      <c r="IHF39" s="987">
        <f t="shared" si="206"/>
        <v>0</v>
      </c>
      <c r="IHG39" s="987">
        <f t="shared" si="206"/>
        <v>0</v>
      </c>
      <c r="IHH39" s="987"/>
      <c r="IHI39" s="987"/>
      <c r="IHJ39" s="987"/>
      <c r="IHK39" s="987"/>
      <c r="IHL39" s="987">
        <f t="shared" si="207"/>
        <v>0</v>
      </c>
      <c r="IHM39" s="1026" t="s">
        <v>45</v>
      </c>
      <c r="IHN39" s="434"/>
      <c r="IHO39" s="1027"/>
      <c r="IHP39" s="1027"/>
      <c r="IHQ39" s="24"/>
      <c r="IHR39" s="1027"/>
      <c r="IHS39" s="1027"/>
      <c r="IHT39" s="25"/>
      <c r="IHU39" s="987">
        <f>SUM(IHU36:IHU38)</f>
        <v>0</v>
      </c>
      <c r="IHV39" s="987">
        <f t="shared" si="206"/>
        <v>0</v>
      </c>
      <c r="IHW39" s="987">
        <f t="shared" si="206"/>
        <v>0</v>
      </c>
      <c r="IHX39" s="987"/>
      <c r="IHY39" s="987"/>
      <c r="IHZ39" s="987"/>
      <c r="IIA39" s="987"/>
      <c r="IIB39" s="987">
        <f t="shared" si="207"/>
        <v>0</v>
      </c>
      <c r="IIC39" s="1026" t="s">
        <v>45</v>
      </c>
      <c r="IID39" s="434"/>
      <c r="IIE39" s="1027"/>
      <c r="IIF39" s="1027"/>
      <c r="IIG39" s="24"/>
      <c r="IIH39" s="1027"/>
      <c r="III39" s="1027"/>
      <c r="IIJ39" s="25"/>
      <c r="IIK39" s="987">
        <f>SUM(IIK36:IIK38)</f>
        <v>0</v>
      </c>
      <c r="IIL39" s="987">
        <f t="shared" si="206"/>
        <v>0</v>
      </c>
      <c r="IIM39" s="987">
        <f t="shared" si="206"/>
        <v>0</v>
      </c>
      <c r="IIN39" s="987"/>
      <c r="IIO39" s="987"/>
      <c r="IIP39" s="987"/>
      <c r="IIQ39" s="987"/>
      <c r="IIR39" s="987">
        <f t="shared" si="207"/>
        <v>0</v>
      </c>
      <c r="IIS39" s="1026" t="s">
        <v>45</v>
      </c>
      <c r="IIT39" s="434"/>
      <c r="IIU39" s="1027"/>
      <c r="IIV39" s="1027"/>
      <c r="IIW39" s="24"/>
      <c r="IIX39" s="1027"/>
      <c r="IIY39" s="1027"/>
      <c r="IIZ39" s="25"/>
      <c r="IJA39" s="987">
        <f>SUM(IJA36:IJA38)</f>
        <v>0</v>
      </c>
      <c r="IJB39" s="987">
        <f t="shared" ref="IJB39:IKY39" si="208">SUM(IJB36:IJB38)</f>
        <v>0</v>
      </c>
      <c r="IJC39" s="987">
        <f t="shared" si="208"/>
        <v>0</v>
      </c>
      <c r="IJD39" s="987"/>
      <c r="IJE39" s="987"/>
      <c r="IJF39" s="987"/>
      <c r="IJG39" s="987"/>
      <c r="IJH39" s="987">
        <f t="shared" ref="IJH39:ILD39" si="209">SUM(IJH36:IJH38)</f>
        <v>0</v>
      </c>
      <c r="IJI39" s="1026" t="s">
        <v>45</v>
      </c>
      <c r="IJJ39" s="434"/>
      <c r="IJK39" s="1027"/>
      <c r="IJL39" s="1027"/>
      <c r="IJM39" s="24"/>
      <c r="IJN39" s="1027"/>
      <c r="IJO39" s="1027"/>
      <c r="IJP39" s="25"/>
      <c r="IJQ39" s="987">
        <f>SUM(IJQ36:IJQ38)</f>
        <v>0</v>
      </c>
      <c r="IJR39" s="987">
        <f t="shared" si="208"/>
        <v>0</v>
      </c>
      <c r="IJS39" s="987">
        <f t="shared" si="208"/>
        <v>0</v>
      </c>
      <c r="IJT39" s="987"/>
      <c r="IJU39" s="987"/>
      <c r="IJV39" s="987"/>
      <c r="IJW39" s="987"/>
      <c r="IJX39" s="987">
        <f t="shared" si="209"/>
        <v>0</v>
      </c>
      <c r="IJY39" s="1026" t="s">
        <v>45</v>
      </c>
      <c r="IJZ39" s="434"/>
      <c r="IKA39" s="1027"/>
      <c r="IKB39" s="1027"/>
      <c r="IKC39" s="24"/>
      <c r="IKD39" s="1027"/>
      <c r="IKE39" s="1027"/>
      <c r="IKF39" s="25"/>
      <c r="IKG39" s="987">
        <f>SUM(IKG36:IKG38)</f>
        <v>0</v>
      </c>
      <c r="IKH39" s="987">
        <f t="shared" si="208"/>
        <v>0</v>
      </c>
      <c r="IKI39" s="987">
        <f t="shared" si="208"/>
        <v>0</v>
      </c>
      <c r="IKJ39" s="987"/>
      <c r="IKK39" s="987"/>
      <c r="IKL39" s="987"/>
      <c r="IKM39" s="987"/>
      <c r="IKN39" s="987">
        <f t="shared" si="209"/>
        <v>0</v>
      </c>
      <c r="IKO39" s="1026" t="s">
        <v>45</v>
      </c>
      <c r="IKP39" s="434"/>
      <c r="IKQ39" s="1027"/>
      <c r="IKR39" s="1027"/>
      <c r="IKS39" s="24"/>
      <c r="IKT39" s="1027"/>
      <c r="IKU39" s="1027"/>
      <c r="IKV39" s="25"/>
      <c r="IKW39" s="987">
        <f>SUM(IKW36:IKW38)</f>
        <v>0</v>
      </c>
      <c r="IKX39" s="987">
        <f t="shared" si="208"/>
        <v>0</v>
      </c>
      <c r="IKY39" s="987">
        <f t="shared" si="208"/>
        <v>0</v>
      </c>
      <c r="IKZ39" s="987"/>
      <c r="ILA39" s="987"/>
      <c r="ILB39" s="987"/>
      <c r="ILC39" s="987"/>
      <c r="ILD39" s="987">
        <f t="shared" si="209"/>
        <v>0</v>
      </c>
      <c r="ILE39" s="1026" t="s">
        <v>45</v>
      </c>
      <c r="ILF39" s="434"/>
      <c r="ILG39" s="1027"/>
      <c r="ILH39" s="1027"/>
      <c r="ILI39" s="24"/>
      <c r="ILJ39" s="1027"/>
      <c r="ILK39" s="1027"/>
      <c r="ILL39" s="25"/>
      <c r="ILM39" s="987">
        <f>SUM(ILM36:ILM38)</f>
        <v>0</v>
      </c>
      <c r="ILN39" s="987">
        <f t="shared" ref="ILN39:INK39" si="210">SUM(ILN36:ILN38)</f>
        <v>0</v>
      </c>
      <c r="ILO39" s="987">
        <f t="shared" si="210"/>
        <v>0</v>
      </c>
      <c r="ILP39" s="987"/>
      <c r="ILQ39" s="987"/>
      <c r="ILR39" s="987"/>
      <c r="ILS39" s="987"/>
      <c r="ILT39" s="987">
        <f t="shared" ref="ILT39:INP39" si="211">SUM(ILT36:ILT38)</f>
        <v>0</v>
      </c>
      <c r="ILU39" s="1026" t="s">
        <v>45</v>
      </c>
      <c r="ILV39" s="434"/>
      <c r="ILW39" s="1027"/>
      <c r="ILX39" s="1027"/>
      <c r="ILY39" s="24"/>
      <c r="ILZ39" s="1027"/>
      <c r="IMA39" s="1027"/>
      <c r="IMB39" s="25"/>
      <c r="IMC39" s="987">
        <f>SUM(IMC36:IMC38)</f>
        <v>0</v>
      </c>
      <c r="IMD39" s="987">
        <f t="shared" si="210"/>
        <v>0</v>
      </c>
      <c r="IME39" s="987">
        <f t="shared" si="210"/>
        <v>0</v>
      </c>
      <c r="IMF39" s="987"/>
      <c r="IMG39" s="987"/>
      <c r="IMH39" s="987"/>
      <c r="IMI39" s="987"/>
      <c r="IMJ39" s="987">
        <f t="shared" si="211"/>
        <v>0</v>
      </c>
      <c r="IMK39" s="1026" t="s">
        <v>45</v>
      </c>
      <c r="IML39" s="434"/>
      <c r="IMM39" s="1027"/>
      <c r="IMN39" s="1027"/>
      <c r="IMO39" s="24"/>
      <c r="IMP39" s="1027"/>
      <c r="IMQ39" s="1027"/>
      <c r="IMR39" s="25"/>
      <c r="IMS39" s="987">
        <f>SUM(IMS36:IMS38)</f>
        <v>0</v>
      </c>
      <c r="IMT39" s="987">
        <f t="shared" si="210"/>
        <v>0</v>
      </c>
      <c r="IMU39" s="987">
        <f t="shared" si="210"/>
        <v>0</v>
      </c>
      <c r="IMV39" s="987"/>
      <c r="IMW39" s="987"/>
      <c r="IMX39" s="987"/>
      <c r="IMY39" s="987"/>
      <c r="IMZ39" s="987">
        <f t="shared" si="211"/>
        <v>0</v>
      </c>
      <c r="INA39" s="1026" t="s">
        <v>45</v>
      </c>
      <c r="INB39" s="434"/>
      <c r="INC39" s="1027"/>
      <c r="IND39" s="1027"/>
      <c r="INE39" s="24"/>
      <c r="INF39" s="1027"/>
      <c r="ING39" s="1027"/>
      <c r="INH39" s="25"/>
      <c r="INI39" s="987">
        <f>SUM(INI36:INI38)</f>
        <v>0</v>
      </c>
      <c r="INJ39" s="987">
        <f t="shared" si="210"/>
        <v>0</v>
      </c>
      <c r="INK39" s="987">
        <f t="shared" si="210"/>
        <v>0</v>
      </c>
      <c r="INL39" s="987"/>
      <c r="INM39" s="987"/>
      <c r="INN39" s="987"/>
      <c r="INO39" s="987"/>
      <c r="INP39" s="987">
        <f t="shared" si="211"/>
        <v>0</v>
      </c>
      <c r="INQ39" s="1026" t="s">
        <v>45</v>
      </c>
      <c r="INR39" s="434"/>
      <c r="INS39" s="1027"/>
      <c r="INT39" s="1027"/>
      <c r="INU39" s="24"/>
      <c r="INV39" s="1027"/>
      <c r="INW39" s="1027"/>
      <c r="INX39" s="25"/>
      <c r="INY39" s="987">
        <f>SUM(INY36:INY38)</f>
        <v>0</v>
      </c>
      <c r="INZ39" s="987">
        <f t="shared" ref="INZ39:IPW39" si="212">SUM(INZ36:INZ38)</f>
        <v>0</v>
      </c>
      <c r="IOA39" s="987">
        <f t="shared" si="212"/>
        <v>0</v>
      </c>
      <c r="IOB39" s="987"/>
      <c r="IOC39" s="987"/>
      <c r="IOD39" s="987"/>
      <c r="IOE39" s="987"/>
      <c r="IOF39" s="987">
        <f t="shared" ref="IOF39:IQB39" si="213">SUM(IOF36:IOF38)</f>
        <v>0</v>
      </c>
      <c r="IOG39" s="1026" t="s">
        <v>45</v>
      </c>
      <c r="IOH39" s="434"/>
      <c r="IOI39" s="1027"/>
      <c r="IOJ39" s="1027"/>
      <c r="IOK39" s="24"/>
      <c r="IOL39" s="1027"/>
      <c r="IOM39" s="1027"/>
      <c r="ION39" s="25"/>
      <c r="IOO39" s="987">
        <f>SUM(IOO36:IOO38)</f>
        <v>0</v>
      </c>
      <c r="IOP39" s="987">
        <f t="shared" si="212"/>
        <v>0</v>
      </c>
      <c r="IOQ39" s="987">
        <f t="shared" si="212"/>
        <v>0</v>
      </c>
      <c r="IOR39" s="987"/>
      <c r="IOS39" s="987"/>
      <c r="IOT39" s="987"/>
      <c r="IOU39" s="987"/>
      <c r="IOV39" s="987">
        <f t="shared" si="213"/>
        <v>0</v>
      </c>
      <c r="IOW39" s="1026" t="s">
        <v>45</v>
      </c>
      <c r="IOX39" s="434"/>
      <c r="IOY39" s="1027"/>
      <c r="IOZ39" s="1027"/>
      <c r="IPA39" s="24"/>
      <c r="IPB39" s="1027"/>
      <c r="IPC39" s="1027"/>
      <c r="IPD39" s="25"/>
      <c r="IPE39" s="987">
        <f>SUM(IPE36:IPE38)</f>
        <v>0</v>
      </c>
      <c r="IPF39" s="987">
        <f t="shared" si="212"/>
        <v>0</v>
      </c>
      <c r="IPG39" s="987">
        <f t="shared" si="212"/>
        <v>0</v>
      </c>
      <c r="IPH39" s="987"/>
      <c r="IPI39" s="987"/>
      <c r="IPJ39" s="987"/>
      <c r="IPK39" s="987"/>
      <c r="IPL39" s="987">
        <f t="shared" si="213"/>
        <v>0</v>
      </c>
      <c r="IPM39" s="1026" t="s">
        <v>45</v>
      </c>
      <c r="IPN39" s="434"/>
      <c r="IPO39" s="1027"/>
      <c r="IPP39" s="1027"/>
      <c r="IPQ39" s="24"/>
      <c r="IPR39" s="1027"/>
      <c r="IPS39" s="1027"/>
      <c r="IPT39" s="25"/>
      <c r="IPU39" s="987">
        <f>SUM(IPU36:IPU38)</f>
        <v>0</v>
      </c>
      <c r="IPV39" s="987">
        <f t="shared" si="212"/>
        <v>0</v>
      </c>
      <c r="IPW39" s="987">
        <f t="shared" si="212"/>
        <v>0</v>
      </c>
      <c r="IPX39" s="987"/>
      <c r="IPY39" s="987"/>
      <c r="IPZ39" s="987"/>
      <c r="IQA39" s="987"/>
      <c r="IQB39" s="987">
        <f t="shared" si="213"/>
        <v>0</v>
      </c>
      <c r="IQC39" s="1026" t="s">
        <v>45</v>
      </c>
      <c r="IQD39" s="434"/>
      <c r="IQE39" s="1027"/>
      <c r="IQF39" s="1027"/>
      <c r="IQG39" s="24"/>
      <c r="IQH39" s="1027"/>
      <c r="IQI39" s="1027"/>
      <c r="IQJ39" s="25"/>
      <c r="IQK39" s="987">
        <f>SUM(IQK36:IQK38)</f>
        <v>0</v>
      </c>
      <c r="IQL39" s="987">
        <f t="shared" ref="IQL39:ISI39" si="214">SUM(IQL36:IQL38)</f>
        <v>0</v>
      </c>
      <c r="IQM39" s="987">
        <f t="shared" si="214"/>
        <v>0</v>
      </c>
      <c r="IQN39" s="987"/>
      <c r="IQO39" s="987"/>
      <c r="IQP39" s="987"/>
      <c r="IQQ39" s="987"/>
      <c r="IQR39" s="987">
        <f t="shared" ref="IQR39:ISN39" si="215">SUM(IQR36:IQR38)</f>
        <v>0</v>
      </c>
      <c r="IQS39" s="1026" t="s">
        <v>45</v>
      </c>
      <c r="IQT39" s="434"/>
      <c r="IQU39" s="1027"/>
      <c r="IQV39" s="1027"/>
      <c r="IQW39" s="24"/>
      <c r="IQX39" s="1027"/>
      <c r="IQY39" s="1027"/>
      <c r="IQZ39" s="25"/>
      <c r="IRA39" s="987">
        <f>SUM(IRA36:IRA38)</f>
        <v>0</v>
      </c>
      <c r="IRB39" s="987">
        <f t="shared" si="214"/>
        <v>0</v>
      </c>
      <c r="IRC39" s="987">
        <f t="shared" si="214"/>
        <v>0</v>
      </c>
      <c r="IRD39" s="987"/>
      <c r="IRE39" s="987"/>
      <c r="IRF39" s="987"/>
      <c r="IRG39" s="987"/>
      <c r="IRH39" s="987">
        <f t="shared" si="215"/>
        <v>0</v>
      </c>
      <c r="IRI39" s="1026" t="s">
        <v>45</v>
      </c>
      <c r="IRJ39" s="434"/>
      <c r="IRK39" s="1027"/>
      <c r="IRL39" s="1027"/>
      <c r="IRM39" s="24"/>
      <c r="IRN39" s="1027"/>
      <c r="IRO39" s="1027"/>
      <c r="IRP39" s="25"/>
      <c r="IRQ39" s="987">
        <f>SUM(IRQ36:IRQ38)</f>
        <v>0</v>
      </c>
      <c r="IRR39" s="987">
        <f t="shared" si="214"/>
        <v>0</v>
      </c>
      <c r="IRS39" s="987">
        <f t="shared" si="214"/>
        <v>0</v>
      </c>
      <c r="IRT39" s="987"/>
      <c r="IRU39" s="987"/>
      <c r="IRV39" s="987"/>
      <c r="IRW39" s="987"/>
      <c r="IRX39" s="987">
        <f t="shared" si="215"/>
        <v>0</v>
      </c>
      <c r="IRY39" s="1026" t="s">
        <v>45</v>
      </c>
      <c r="IRZ39" s="434"/>
      <c r="ISA39" s="1027"/>
      <c r="ISB39" s="1027"/>
      <c r="ISC39" s="24"/>
      <c r="ISD39" s="1027"/>
      <c r="ISE39" s="1027"/>
      <c r="ISF39" s="25"/>
      <c r="ISG39" s="987">
        <f>SUM(ISG36:ISG38)</f>
        <v>0</v>
      </c>
      <c r="ISH39" s="987">
        <f t="shared" si="214"/>
        <v>0</v>
      </c>
      <c r="ISI39" s="987">
        <f t="shared" si="214"/>
        <v>0</v>
      </c>
      <c r="ISJ39" s="987"/>
      <c r="ISK39" s="987"/>
      <c r="ISL39" s="987"/>
      <c r="ISM39" s="987"/>
      <c r="ISN39" s="987">
        <f t="shared" si="215"/>
        <v>0</v>
      </c>
      <c r="ISO39" s="1026" t="s">
        <v>45</v>
      </c>
      <c r="ISP39" s="434"/>
      <c r="ISQ39" s="1027"/>
      <c r="ISR39" s="1027"/>
      <c r="ISS39" s="24"/>
      <c r="IST39" s="1027"/>
      <c r="ISU39" s="1027"/>
      <c r="ISV39" s="25"/>
      <c r="ISW39" s="987">
        <f>SUM(ISW36:ISW38)</f>
        <v>0</v>
      </c>
      <c r="ISX39" s="987">
        <f t="shared" ref="ISX39:IUU39" si="216">SUM(ISX36:ISX38)</f>
        <v>0</v>
      </c>
      <c r="ISY39" s="987">
        <f t="shared" si="216"/>
        <v>0</v>
      </c>
      <c r="ISZ39" s="987"/>
      <c r="ITA39" s="987"/>
      <c r="ITB39" s="987"/>
      <c r="ITC39" s="987"/>
      <c r="ITD39" s="987">
        <f t="shared" ref="ITD39:IUZ39" si="217">SUM(ITD36:ITD38)</f>
        <v>0</v>
      </c>
      <c r="ITE39" s="1026" t="s">
        <v>45</v>
      </c>
      <c r="ITF39" s="434"/>
      <c r="ITG39" s="1027"/>
      <c r="ITH39" s="1027"/>
      <c r="ITI39" s="24"/>
      <c r="ITJ39" s="1027"/>
      <c r="ITK39" s="1027"/>
      <c r="ITL39" s="25"/>
      <c r="ITM39" s="987">
        <f>SUM(ITM36:ITM38)</f>
        <v>0</v>
      </c>
      <c r="ITN39" s="987">
        <f t="shared" si="216"/>
        <v>0</v>
      </c>
      <c r="ITO39" s="987">
        <f t="shared" si="216"/>
        <v>0</v>
      </c>
      <c r="ITP39" s="987"/>
      <c r="ITQ39" s="987"/>
      <c r="ITR39" s="987"/>
      <c r="ITS39" s="987"/>
      <c r="ITT39" s="987">
        <f t="shared" si="217"/>
        <v>0</v>
      </c>
      <c r="ITU39" s="1026" t="s">
        <v>45</v>
      </c>
      <c r="ITV39" s="434"/>
      <c r="ITW39" s="1027"/>
      <c r="ITX39" s="1027"/>
      <c r="ITY39" s="24"/>
      <c r="ITZ39" s="1027"/>
      <c r="IUA39" s="1027"/>
      <c r="IUB39" s="25"/>
      <c r="IUC39" s="987">
        <f>SUM(IUC36:IUC38)</f>
        <v>0</v>
      </c>
      <c r="IUD39" s="987">
        <f t="shared" si="216"/>
        <v>0</v>
      </c>
      <c r="IUE39" s="987">
        <f t="shared" si="216"/>
        <v>0</v>
      </c>
      <c r="IUF39" s="987"/>
      <c r="IUG39" s="987"/>
      <c r="IUH39" s="987"/>
      <c r="IUI39" s="987"/>
      <c r="IUJ39" s="987">
        <f t="shared" si="217"/>
        <v>0</v>
      </c>
      <c r="IUK39" s="1026" t="s">
        <v>45</v>
      </c>
      <c r="IUL39" s="434"/>
      <c r="IUM39" s="1027"/>
      <c r="IUN39" s="1027"/>
      <c r="IUO39" s="24"/>
      <c r="IUP39" s="1027"/>
      <c r="IUQ39" s="1027"/>
      <c r="IUR39" s="25"/>
      <c r="IUS39" s="987">
        <f>SUM(IUS36:IUS38)</f>
        <v>0</v>
      </c>
      <c r="IUT39" s="987">
        <f t="shared" si="216"/>
        <v>0</v>
      </c>
      <c r="IUU39" s="987">
        <f t="shared" si="216"/>
        <v>0</v>
      </c>
      <c r="IUV39" s="987"/>
      <c r="IUW39" s="987"/>
      <c r="IUX39" s="987"/>
      <c r="IUY39" s="987"/>
      <c r="IUZ39" s="987">
        <f t="shared" si="217"/>
        <v>0</v>
      </c>
      <c r="IVA39" s="1026" t="s">
        <v>45</v>
      </c>
      <c r="IVB39" s="434"/>
      <c r="IVC39" s="1027"/>
      <c r="IVD39" s="1027"/>
      <c r="IVE39" s="24"/>
      <c r="IVF39" s="1027"/>
      <c r="IVG39" s="1027"/>
      <c r="IVH39" s="25"/>
      <c r="IVI39" s="987">
        <f>SUM(IVI36:IVI38)</f>
        <v>0</v>
      </c>
      <c r="IVJ39" s="987">
        <f t="shared" ref="IVJ39:IXG39" si="218">SUM(IVJ36:IVJ38)</f>
        <v>0</v>
      </c>
      <c r="IVK39" s="987">
        <f t="shared" si="218"/>
        <v>0</v>
      </c>
      <c r="IVL39" s="987"/>
      <c r="IVM39" s="987"/>
      <c r="IVN39" s="987"/>
      <c r="IVO39" s="987"/>
      <c r="IVP39" s="987">
        <f t="shared" ref="IVP39:IXL39" si="219">SUM(IVP36:IVP38)</f>
        <v>0</v>
      </c>
      <c r="IVQ39" s="1026" t="s">
        <v>45</v>
      </c>
      <c r="IVR39" s="434"/>
      <c r="IVS39" s="1027"/>
      <c r="IVT39" s="1027"/>
      <c r="IVU39" s="24"/>
      <c r="IVV39" s="1027"/>
      <c r="IVW39" s="1027"/>
      <c r="IVX39" s="25"/>
      <c r="IVY39" s="987">
        <f>SUM(IVY36:IVY38)</f>
        <v>0</v>
      </c>
      <c r="IVZ39" s="987">
        <f t="shared" si="218"/>
        <v>0</v>
      </c>
      <c r="IWA39" s="987">
        <f t="shared" si="218"/>
        <v>0</v>
      </c>
      <c r="IWB39" s="987"/>
      <c r="IWC39" s="987"/>
      <c r="IWD39" s="987"/>
      <c r="IWE39" s="987"/>
      <c r="IWF39" s="987">
        <f t="shared" si="219"/>
        <v>0</v>
      </c>
      <c r="IWG39" s="1026" t="s">
        <v>45</v>
      </c>
      <c r="IWH39" s="434"/>
      <c r="IWI39" s="1027"/>
      <c r="IWJ39" s="1027"/>
      <c r="IWK39" s="24"/>
      <c r="IWL39" s="1027"/>
      <c r="IWM39" s="1027"/>
      <c r="IWN39" s="25"/>
      <c r="IWO39" s="987">
        <f>SUM(IWO36:IWO38)</f>
        <v>0</v>
      </c>
      <c r="IWP39" s="987">
        <f t="shared" si="218"/>
        <v>0</v>
      </c>
      <c r="IWQ39" s="987">
        <f t="shared" si="218"/>
        <v>0</v>
      </c>
      <c r="IWR39" s="987"/>
      <c r="IWS39" s="987"/>
      <c r="IWT39" s="987"/>
      <c r="IWU39" s="987"/>
      <c r="IWV39" s="987">
        <f t="shared" si="219"/>
        <v>0</v>
      </c>
      <c r="IWW39" s="1026" t="s">
        <v>45</v>
      </c>
      <c r="IWX39" s="434"/>
      <c r="IWY39" s="1027"/>
      <c r="IWZ39" s="1027"/>
      <c r="IXA39" s="24"/>
      <c r="IXB39" s="1027"/>
      <c r="IXC39" s="1027"/>
      <c r="IXD39" s="25"/>
      <c r="IXE39" s="987">
        <f>SUM(IXE36:IXE38)</f>
        <v>0</v>
      </c>
      <c r="IXF39" s="987">
        <f t="shared" si="218"/>
        <v>0</v>
      </c>
      <c r="IXG39" s="987">
        <f t="shared" si="218"/>
        <v>0</v>
      </c>
      <c r="IXH39" s="987"/>
      <c r="IXI39" s="987"/>
      <c r="IXJ39" s="987"/>
      <c r="IXK39" s="987"/>
      <c r="IXL39" s="987">
        <f t="shared" si="219"/>
        <v>0</v>
      </c>
      <c r="IXM39" s="1026" t="s">
        <v>45</v>
      </c>
      <c r="IXN39" s="434"/>
      <c r="IXO39" s="1027"/>
      <c r="IXP39" s="1027"/>
      <c r="IXQ39" s="24"/>
      <c r="IXR39" s="1027"/>
      <c r="IXS39" s="1027"/>
      <c r="IXT39" s="25"/>
      <c r="IXU39" s="987">
        <f>SUM(IXU36:IXU38)</f>
        <v>0</v>
      </c>
      <c r="IXV39" s="987">
        <f t="shared" ref="IXV39:IZS39" si="220">SUM(IXV36:IXV38)</f>
        <v>0</v>
      </c>
      <c r="IXW39" s="987">
        <f t="shared" si="220"/>
        <v>0</v>
      </c>
      <c r="IXX39" s="987"/>
      <c r="IXY39" s="987"/>
      <c r="IXZ39" s="987"/>
      <c r="IYA39" s="987"/>
      <c r="IYB39" s="987">
        <f t="shared" ref="IYB39:IZX39" si="221">SUM(IYB36:IYB38)</f>
        <v>0</v>
      </c>
      <c r="IYC39" s="1026" t="s">
        <v>45</v>
      </c>
      <c r="IYD39" s="434"/>
      <c r="IYE39" s="1027"/>
      <c r="IYF39" s="1027"/>
      <c r="IYG39" s="24"/>
      <c r="IYH39" s="1027"/>
      <c r="IYI39" s="1027"/>
      <c r="IYJ39" s="25"/>
      <c r="IYK39" s="987">
        <f>SUM(IYK36:IYK38)</f>
        <v>0</v>
      </c>
      <c r="IYL39" s="987">
        <f t="shared" si="220"/>
        <v>0</v>
      </c>
      <c r="IYM39" s="987">
        <f t="shared" si="220"/>
        <v>0</v>
      </c>
      <c r="IYN39" s="987"/>
      <c r="IYO39" s="987"/>
      <c r="IYP39" s="987"/>
      <c r="IYQ39" s="987"/>
      <c r="IYR39" s="987">
        <f t="shared" si="221"/>
        <v>0</v>
      </c>
      <c r="IYS39" s="1026" t="s">
        <v>45</v>
      </c>
      <c r="IYT39" s="434"/>
      <c r="IYU39" s="1027"/>
      <c r="IYV39" s="1027"/>
      <c r="IYW39" s="24"/>
      <c r="IYX39" s="1027"/>
      <c r="IYY39" s="1027"/>
      <c r="IYZ39" s="25"/>
      <c r="IZA39" s="987">
        <f>SUM(IZA36:IZA38)</f>
        <v>0</v>
      </c>
      <c r="IZB39" s="987">
        <f t="shared" si="220"/>
        <v>0</v>
      </c>
      <c r="IZC39" s="987">
        <f t="shared" si="220"/>
        <v>0</v>
      </c>
      <c r="IZD39" s="987"/>
      <c r="IZE39" s="987"/>
      <c r="IZF39" s="987"/>
      <c r="IZG39" s="987"/>
      <c r="IZH39" s="987">
        <f t="shared" si="221"/>
        <v>0</v>
      </c>
      <c r="IZI39" s="1026" t="s">
        <v>45</v>
      </c>
      <c r="IZJ39" s="434"/>
      <c r="IZK39" s="1027"/>
      <c r="IZL39" s="1027"/>
      <c r="IZM39" s="24"/>
      <c r="IZN39" s="1027"/>
      <c r="IZO39" s="1027"/>
      <c r="IZP39" s="25"/>
      <c r="IZQ39" s="987">
        <f>SUM(IZQ36:IZQ38)</f>
        <v>0</v>
      </c>
      <c r="IZR39" s="987">
        <f t="shared" si="220"/>
        <v>0</v>
      </c>
      <c r="IZS39" s="987">
        <f t="shared" si="220"/>
        <v>0</v>
      </c>
      <c r="IZT39" s="987"/>
      <c r="IZU39" s="987"/>
      <c r="IZV39" s="987"/>
      <c r="IZW39" s="987"/>
      <c r="IZX39" s="987">
        <f t="shared" si="221"/>
        <v>0</v>
      </c>
      <c r="IZY39" s="1026" t="s">
        <v>45</v>
      </c>
      <c r="IZZ39" s="434"/>
      <c r="JAA39" s="1027"/>
      <c r="JAB39" s="1027"/>
      <c r="JAC39" s="24"/>
      <c r="JAD39" s="1027"/>
      <c r="JAE39" s="1027"/>
      <c r="JAF39" s="25"/>
      <c r="JAG39" s="987">
        <f>SUM(JAG36:JAG38)</f>
        <v>0</v>
      </c>
      <c r="JAH39" s="987">
        <f t="shared" ref="JAH39:JCE39" si="222">SUM(JAH36:JAH38)</f>
        <v>0</v>
      </c>
      <c r="JAI39" s="987">
        <f t="shared" si="222"/>
        <v>0</v>
      </c>
      <c r="JAJ39" s="987"/>
      <c r="JAK39" s="987"/>
      <c r="JAL39" s="987"/>
      <c r="JAM39" s="987"/>
      <c r="JAN39" s="987">
        <f t="shared" ref="JAN39:JCJ39" si="223">SUM(JAN36:JAN38)</f>
        <v>0</v>
      </c>
      <c r="JAO39" s="1026" t="s">
        <v>45</v>
      </c>
      <c r="JAP39" s="434"/>
      <c r="JAQ39" s="1027"/>
      <c r="JAR39" s="1027"/>
      <c r="JAS39" s="24"/>
      <c r="JAT39" s="1027"/>
      <c r="JAU39" s="1027"/>
      <c r="JAV39" s="25"/>
      <c r="JAW39" s="987">
        <f>SUM(JAW36:JAW38)</f>
        <v>0</v>
      </c>
      <c r="JAX39" s="987">
        <f t="shared" si="222"/>
        <v>0</v>
      </c>
      <c r="JAY39" s="987">
        <f t="shared" si="222"/>
        <v>0</v>
      </c>
      <c r="JAZ39" s="987"/>
      <c r="JBA39" s="987"/>
      <c r="JBB39" s="987"/>
      <c r="JBC39" s="987"/>
      <c r="JBD39" s="987">
        <f t="shared" si="223"/>
        <v>0</v>
      </c>
      <c r="JBE39" s="1026" t="s">
        <v>45</v>
      </c>
      <c r="JBF39" s="434"/>
      <c r="JBG39" s="1027"/>
      <c r="JBH39" s="1027"/>
      <c r="JBI39" s="24"/>
      <c r="JBJ39" s="1027"/>
      <c r="JBK39" s="1027"/>
      <c r="JBL39" s="25"/>
      <c r="JBM39" s="987">
        <f>SUM(JBM36:JBM38)</f>
        <v>0</v>
      </c>
      <c r="JBN39" s="987">
        <f t="shared" si="222"/>
        <v>0</v>
      </c>
      <c r="JBO39" s="987">
        <f t="shared" si="222"/>
        <v>0</v>
      </c>
      <c r="JBP39" s="987"/>
      <c r="JBQ39" s="987"/>
      <c r="JBR39" s="987"/>
      <c r="JBS39" s="987"/>
      <c r="JBT39" s="987">
        <f t="shared" si="223"/>
        <v>0</v>
      </c>
      <c r="JBU39" s="1026" t="s">
        <v>45</v>
      </c>
      <c r="JBV39" s="434"/>
      <c r="JBW39" s="1027"/>
      <c r="JBX39" s="1027"/>
      <c r="JBY39" s="24"/>
      <c r="JBZ39" s="1027"/>
      <c r="JCA39" s="1027"/>
      <c r="JCB39" s="25"/>
      <c r="JCC39" s="987">
        <f>SUM(JCC36:JCC38)</f>
        <v>0</v>
      </c>
      <c r="JCD39" s="987">
        <f t="shared" si="222"/>
        <v>0</v>
      </c>
      <c r="JCE39" s="987">
        <f t="shared" si="222"/>
        <v>0</v>
      </c>
      <c r="JCF39" s="987"/>
      <c r="JCG39" s="987"/>
      <c r="JCH39" s="987"/>
      <c r="JCI39" s="987"/>
      <c r="JCJ39" s="987">
        <f t="shared" si="223"/>
        <v>0</v>
      </c>
      <c r="JCK39" s="1026" t="s">
        <v>45</v>
      </c>
      <c r="JCL39" s="434"/>
      <c r="JCM39" s="1027"/>
      <c r="JCN39" s="1027"/>
      <c r="JCO39" s="24"/>
      <c r="JCP39" s="1027"/>
      <c r="JCQ39" s="1027"/>
      <c r="JCR39" s="25"/>
      <c r="JCS39" s="987">
        <f>SUM(JCS36:JCS38)</f>
        <v>0</v>
      </c>
      <c r="JCT39" s="987">
        <f t="shared" ref="JCT39:JEQ39" si="224">SUM(JCT36:JCT38)</f>
        <v>0</v>
      </c>
      <c r="JCU39" s="987">
        <f t="shared" si="224"/>
        <v>0</v>
      </c>
      <c r="JCV39" s="987"/>
      <c r="JCW39" s="987"/>
      <c r="JCX39" s="987"/>
      <c r="JCY39" s="987"/>
      <c r="JCZ39" s="987">
        <f t="shared" ref="JCZ39:JEV39" si="225">SUM(JCZ36:JCZ38)</f>
        <v>0</v>
      </c>
      <c r="JDA39" s="1026" t="s">
        <v>45</v>
      </c>
      <c r="JDB39" s="434"/>
      <c r="JDC39" s="1027"/>
      <c r="JDD39" s="1027"/>
      <c r="JDE39" s="24"/>
      <c r="JDF39" s="1027"/>
      <c r="JDG39" s="1027"/>
      <c r="JDH39" s="25"/>
      <c r="JDI39" s="987">
        <f>SUM(JDI36:JDI38)</f>
        <v>0</v>
      </c>
      <c r="JDJ39" s="987">
        <f t="shared" si="224"/>
        <v>0</v>
      </c>
      <c r="JDK39" s="987">
        <f t="shared" si="224"/>
        <v>0</v>
      </c>
      <c r="JDL39" s="987"/>
      <c r="JDM39" s="987"/>
      <c r="JDN39" s="987"/>
      <c r="JDO39" s="987"/>
      <c r="JDP39" s="987">
        <f t="shared" si="225"/>
        <v>0</v>
      </c>
      <c r="JDQ39" s="1026" t="s">
        <v>45</v>
      </c>
      <c r="JDR39" s="434"/>
      <c r="JDS39" s="1027"/>
      <c r="JDT39" s="1027"/>
      <c r="JDU39" s="24"/>
      <c r="JDV39" s="1027"/>
      <c r="JDW39" s="1027"/>
      <c r="JDX39" s="25"/>
      <c r="JDY39" s="987">
        <f>SUM(JDY36:JDY38)</f>
        <v>0</v>
      </c>
      <c r="JDZ39" s="987">
        <f t="shared" si="224"/>
        <v>0</v>
      </c>
      <c r="JEA39" s="987">
        <f t="shared" si="224"/>
        <v>0</v>
      </c>
      <c r="JEB39" s="987"/>
      <c r="JEC39" s="987"/>
      <c r="JED39" s="987"/>
      <c r="JEE39" s="987"/>
      <c r="JEF39" s="987">
        <f t="shared" si="225"/>
        <v>0</v>
      </c>
      <c r="JEG39" s="1026" t="s">
        <v>45</v>
      </c>
      <c r="JEH39" s="434"/>
      <c r="JEI39" s="1027"/>
      <c r="JEJ39" s="1027"/>
      <c r="JEK39" s="24"/>
      <c r="JEL39" s="1027"/>
      <c r="JEM39" s="1027"/>
      <c r="JEN39" s="25"/>
      <c r="JEO39" s="987">
        <f>SUM(JEO36:JEO38)</f>
        <v>0</v>
      </c>
      <c r="JEP39" s="987">
        <f t="shared" si="224"/>
        <v>0</v>
      </c>
      <c r="JEQ39" s="987">
        <f t="shared" si="224"/>
        <v>0</v>
      </c>
      <c r="JER39" s="987"/>
      <c r="JES39" s="987"/>
      <c r="JET39" s="987"/>
      <c r="JEU39" s="987"/>
      <c r="JEV39" s="987">
        <f t="shared" si="225"/>
        <v>0</v>
      </c>
      <c r="JEW39" s="1026" t="s">
        <v>45</v>
      </c>
      <c r="JEX39" s="434"/>
      <c r="JEY39" s="1027"/>
      <c r="JEZ39" s="1027"/>
      <c r="JFA39" s="24"/>
      <c r="JFB39" s="1027"/>
      <c r="JFC39" s="1027"/>
      <c r="JFD39" s="25"/>
      <c r="JFE39" s="987">
        <f>SUM(JFE36:JFE38)</f>
        <v>0</v>
      </c>
      <c r="JFF39" s="987">
        <f t="shared" ref="JFF39:JHC39" si="226">SUM(JFF36:JFF38)</f>
        <v>0</v>
      </c>
      <c r="JFG39" s="987">
        <f t="shared" si="226"/>
        <v>0</v>
      </c>
      <c r="JFH39" s="987"/>
      <c r="JFI39" s="987"/>
      <c r="JFJ39" s="987"/>
      <c r="JFK39" s="987"/>
      <c r="JFL39" s="987">
        <f t="shared" ref="JFL39:JHH39" si="227">SUM(JFL36:JFL38)</f>
        <v>0</v>
      </c>
      <c r="JFM39" s="1026" t="s">
        <v>45</v>
      </c>
      <c r="JFN39" s="434"/>
      <c r="JFO39" s="1027"/>
      <c r="JFP39" s="1027"/>
      <c r="JFQ39" s="24"/>
      <c r="JFR39" s="1027"/>
      <c r="JFS39" s="1027"/>
      <c r="JFT39" s="25"/>
      <c r="JFU39" s="987">
        <f>SUM(JFU36:JFU38)</f>
        <v>0</v>
      </c>
      <c r="JFV39" s="987">
        <f t="shared" si="226"/>
        <v>0</v>
      </c>
      <c r="JFW39" s="987">
        <f t="shared" si="226"/>
        <v>0</v>
      </c>
      <c r="JFX39" s="987"/>
      <c r="JFY39" s="987"/>
      <c r="JFZ39" s="987"/>
      <c r="JGA39" s="987"/>
      <c r="JGB39" s="987">
        <f t="shared" si="227"/>
        <v>0</v>
      </c>
      <c r="JGC39" s="1026" t="s">
        <v>45</v>
      </c>
      <c r="JGD39" s="434"/>
      <c r="JGE39" s="1027"/>
      <c r="JGF39" s="1027"/>
      <c r="JGG39" s="24"/>
      <c r="JGH39" s="1027"/>
      <c r="JGI39" s="1027"/>
      <c r="JGJ39" s="25"/>
      <c r="JGK39" s="987">
        <f>SUM(JGK36:JGK38)</f>
        <v>0</v>
      </c>
      <c r="JGL39" s="987">
        <f t="shared" si="226"/>
        <v>0</v>
      </c>
      <c r="JGM39" s="987">
        <f t="shared" si="226"/>
        <v>0</v>
      </c>
      <c r="JGN39" s="987"/>
      <c r="JGO39" s="987"/>
      <c r="JGP39" s="987"/>
      <c r="JGQ39" s="987"/>
      <c r="JGR39" s="987">
        <f t="shared" si="227"/>
        <v>0</v>
      </c>
      <c r="JGS39" s="1026" t="s">
        <v>45</v>
      </c>
      <c r="JGT39" s="434"/>
      <c r="JGU39" s="1027"/>
      <c r="JGV39" s="1027"/>
      <c r="JGW39" s="24"/>
      <c r="JGX39" s="1027"/>
      <c r="JGY39" s="1027"/>
      <c r="JGZ39" s="25"/>
      <c r="JHA39" s="987">
        <f>SUM(JHA36:JHA38)</f>
        <v>0</v>
      </c>
      <c r="JHB39" s="987">
        <f t="shared" si="226"/>
        <v>0</v>
      </c>
      <c r="JHC39" s="987">
        <f t="shared" si="226"/>
        <v>0</v>
      </c>
      <c r="JHD39" s="987"/>
      <c r="JHE39" s="987"/>
      <c r="JHF39" s="987"/>
      <c r="JHG39" s="987"/>
      <c r="JHH39" s="987">
        <f t="shared" si="227"/>
        <v>0</v>
      </c>
      <c r="JHI39" s="1026" t="s">
        <v>45</v>
      </c>
      <c r="JHJ39" s="434"/>
      <c r="JHK39" s="1027"/>
      <c r="JHL39" s="1027"/>
      <c r="JHM39" s="24"/>
      <c r="JHN39" s="1027"/>
      <c r="JHO39" s="1027"/>
      <c r="JHP39" s="25"/>
      <c r="JHQ39" s="987">
        <f>SUM(JHQ36:JHQ38)</f>
        <v>0</v>
      </c>
      <c r="JHR39" s="987">
        <f t="shared" ref="JHR39:JJO39" si="228">SUM(JHR36:JHR38)</f>
        <v>0</v>
      </c>
      <c r="JHS39" s="987">
        <f t="shared" si="228"/>
        <v>0</v>
      </c>
      <c r="JHT39" s="987"/>
      <c r="JHU39" s="987"/>
      <c r="JHV39" s="987"/>
      <c r="JHW39" s="987"/>
      <c r="JHX39" s="987">
        <f t="shared" ref="JHX39:JJT39" si="229">SUM(JHX36:JHX38)</f>
        <v>0</v>
      </c>
      <c r="JHY39" s="1026" t="s">
        <v>45</v>
      </c>
      <c r="JHZ39" s="434"/>
      <c r="JIA39" s="1027"/>
      <c r="JIB39" s="1027"/>
      <c r="JIC39" s="24"/>
      <c r="JID39" s="1027"/>
      <c r="JIE39" s="1027"/>
      <c r="JIF39" s="25"/>
      <c r="JIG39" s="987">
        <f>SUM(JIG36:JIG38)</f>
        <v>0</v>
      </c>
      <c r="JIH39" s="987">
        <f t="shared" si="228"/>
        <v>0</v>
      </c>
      <c r="JII39" s="987">
        <f t="shared" si="228"/>
        <v>0</v>
      </c>
      <c r="JIJ39" s="987"/>
      <c r="JIK39" s="987"/>
      <c r="JIL39" s="987"/>
      <c r="JIM39" s="987"/>
      <c r="JIN39" s="987">
        <f t="shared" si="229"/>
        <v>0</v>
      </c>
      <c r="JIO39" s="1026" t="s">
        <v>45</v>
      </c>
      <c r="JIP39" s="434"/>
      <c r="JIQ39" s="1027"/>
      <c r="JIR39" s="1027"/>
      <c r="JIS39" s="24"/>
      <c r="JIT39" s="1027"/>
      <c r="JIU39" s="1027"/>
      <c r="JIV39" s="25"/>
      <c r="JIW39" s="987">
        <f>SUM(JIW36:JIW38)</f>
        <v>0</v>
      </c>
      <c r="JIX39" s="987">
        <f t="shared" si="228"/>
        <v>0</v>
      </c>
      <c r="JIY39" s="987">
        <f t="shared" si="228"/>
        <v>0</v>
      </c>
      <c r="JIZ39" s="987"/>
      <c r="JJA39" s="987"/>
      <c r="JJB39" s="987"/>
      <c r="JJC39" s="987"/>
      <c r="JJD39" s="987">
        <f t="shared" si="229"/>
        <v>0</v>
      </c>
      <c r="JJE39" s="1026" t="s">
        <v>45</v>
      </c>
      <c r="JJF39" s="434"/>
      <c r="JJG39" s="1027"/>
      <c r="JJH39" s="1027"/>
      <c r="JJI39" s="24"/>
      <c r="JJJ39" s="1027"/>
      <c r="JJK39" s="1027"/>
      <c r="JJL39" s="25"/>
      <c r="JJM39" s="987">
        <f>SUM(JJM36:JJM38)</f>
        <v>0</v>
      </c>
      <c r="JJN39" s="987">
        <f t="shared" si="228"/>
        <v>0</v>
      </c>
      <c r="JJO39" s="987">
        <f t="shared" si="228"/>
        <v>0</v>
      </c>
      <c r="JJP39" s="987"/>
      <c r="JJQ39" s="987"/>
      <c r="JJR39" s="987"/>
      <c r="JJS39" s="987"/>
      <c r="JJT39" s="987">
        <f t="shared" si="229"/>
        <v>0</v>
      </c>
      <c r="JJU39" s="1026" t="s">
        <v>45</v>
      </c>
      <c r="JJV39" s="434"/>
      <c r="JJW39" s="1027"/>
      <c r="JJX39" s="1027"/>
      <c r="JJY39" s="24"/>
      <c r="JJZ39" s="1027"/>
      <c r="JKA39" s="1027"/>
      <c r="JKB39" s="25"/>
      <c r="JKC39" s="987">
        <f>SUM(JKC36:JKC38)</f>
        <v>0</v>
      </c>
      <c r="JKD39" s="987">
        <f t="shared" ref="JKD39:JMA39" si="230">SUM(JKD36:JKD38)</f>
        <v>0</v>
      </c>
      <c r="JKE39" s="987">
        <f t="shared" si="230"/>
        <v>0</v>
      </c>
      <c r="JKF39" s="987"/>
      <c r="JKG39" s="987"/>
      <c r="JKH39" s="987"/>
      <c r="JKI39" s="987"/>
      <c r="JKJ39" s="987">
        <f t="shared" ref="JKJ39:JMF39" si="231">SUM(JKJ36:JKJ38)</f>
        <v>0</v>
      </c>
      <c r="JKK39" s="1026" t="s">
        <v>45</v>
      </c>
      <c r="JKL39" s="434"/>
      <c r="JKM39" s="1027"/>
      <c r="JKN39" s="1027"/>
      <c r="JKO39" s="24"/>
      <c r="JKP39" s="1027"/>
      <c r="JKQ39" s="1027"/>
      <c r="JKR39" s="25"/>
      <c r="JKS39" s="987">
        <f>SUM(JKS36:JKS38)</f>
        <v>0</v>
      </c>
      <c r="JKT39" s="987">
        <f t="shared" si="230"/>
        <v>0</v>
      </c>
      <c r="JKU39" s="987">
        <f t="shared" si="230"/>
        <v>0</v>
      </c>
      <c r="JKV39" s="987"/>
      <c r="JKW39" s="987"/>
      <c r="JKX39" s="987"/>
      <c r="JKY39" s="987"/>
      <c r="JKZ39" s="987">
        <f t="shared" si="231"/>
        <v>0</v>
      </c>
      <c r="JLA39" s="1026" t="s">
        <v>45</v>
      </c>
      <c r="JLB39" s="434"/>
      <c r="JLC39" s="1027"/>
      <c r="JLD39" s="1027"/>
      <c r="JLE39" s="24"/>
      <c r="JLF39" s="1027"/>
      <c r="JLG39" s="1027"/>
      <c r="JLH39" s="25"/>
      <c r="JLI39" s="987">
        <f>SUM(JLI36:JLI38)</f>
        <v>0</v>
      </c>
      <c r="JLJ39" s="987">
        <f t="shared" si="230"/>
        <v>0</v>
      </c>
      <c r="JLK39" s="987">
        <f t="shared" si="230"/>
        <v>0</v>
      </c>
      <c r="JLL39" s="987"/>
      <c r="JLM39" s="987"/>
      <c r="JLN39" s="987"/>
      <c r="JLO39" s="987"/>
      <c r="JLP39" s="987">
        <f t="shared" si="231"/>
        <v>0</v>
      </c>
      <c r="JLQ39" s="1026" t="s">
        <v>45</v>
      </c>
      <c r="JLR39" s="434"/>
      <c r="JLS39" s="1027"/>
      <c r="JLT39" s="1027"/>
      <c r="JLU39" s="24"/>
      <c r="JLV39" s="1027"/>
      <c r="JLW39" s="1027"/>
      <c r="JLX39" s="25"/>
      <c r="JLY39" s="987">
        <f>SUM(JLY36:JLY38)</f>
        <v>0</v>
      </c>
      <c r="JLZ39" s="987">
        <f t="shared" si="230"/>
        <v>0</v>
      </c>
      <c r="JMA39" s="987">
        <f t="shared" si="230"/>
        <v>0</v>
      </c>
      <c r="JMB39" s="987"/>
      <c r="JMC39" s="987"/>
      <c r="JMD39" s="987"/>
      <c r="JME39" s="987"/>
      <c r="JMF39" s="987">
        <f t="shared" si="231"/>
        <v>0</v>
      </c>
      <c r="JMG39" s="1026" t="s">
        <v>45</v>
      </c>
      <c r="JMH39" s="434"/>
      <c r="JMI39" s="1027"/>
      <c r="JMJ39" s="1027"/>
      <c r="JMK39" s="24"/>
      <c r="JML39" s="1027"/>
      <c r="JMM39" s="1027"/>
      <c r="JMN39" s="25"/>
      <c r="JMO39" s="987">
        <f>SUM(JMO36:JMO38)</f>
        <v>0</v>
      </c>
      <c r="JMP39" s="987">
        <f t="shared" ref="JMP39:JOM39" si="232">SUM(JMP36:JMP38)</f>
        <v>0</v>
      </c>
      <c r="JMQ39" s="987">
        <f t="shared" si="232"/>
        <v>0</v>
      </c>
      <c r="JMR39" s="987"/>
      <c r="JMS39" s="987"/>
      <c r="JMT39" s="987"/>
      <c r="JMU39" s="987"/>
      <c r="JMV39" s="987">
        <f t="shared" ref="JMV39:JOR39" si="233">SUM(JMV36:JMV38)</f>
        <v>0</v>
      </c>
      <c r="JMW39" s="1026" t="s">
        <v>45</v>
      </c>
      <c r="JMX39" s="434"/>
      <c r="JMY39" s="1027"/>
      <c r="JMZ39" s="1027"/>
      <c r="JNA39" s="24"/>
      <c r="JNB39" s="1027"/>
      <c r="JNC39" s="1027"/>
      <c r="JND39" s="25"/>
      <c r="JNE39" s="987">
        <f>SUM(JNE36:JNE38)</f>
        <v>0</v>
      </c>
      <c r="JNF39" s="987">
        <f t="shared" si="232"/>
        <v>0</v>
      </c>
      <c r="JNG39" s="987">
        <f t="shared" si="232"/>
        <v>0</v>
      </c>
      <c r="JNH39" s="987"/>
      <c r="JNI39" s="987"/>
      <c r="JNJ39" s="987"/>
      <c r="JNK39" s="987"/>
      <c r="JNL39" s="987">
        <f t="shared" si="233"/>
        <v>0</v>
      </c>
      <c r="JNM39" s="1026" t="s">
        <v>45</v>
      </c>
      <c r="JNN39" s="434"/>
      <c r="JNO39" s="1027"/>
      <c r="JNP39" s="1027"/>
      <c r="JNQ39" s="24"/>
      <c r="JNR39" s="1027"/>
      <c r="JNS39" s="1027"/>
      <c r="JNT39" s="25"/>
      <c r="JNU39" s="987">
        <f>SUM(JNU36:JNU38)</f>
        <v>0</v>
      </c>
      <c r="JNV39" s="987">
        <f t="shared" si="232"/>
        <v>0</v>
      </c>
      <c r="JNW39" s="987">
        <f t="shared" si="232"/>
        <v>0</v>
      </c>
      <c r="JNX39" s="987"/>
      <c r="JNY39" s="987"/>
      <c r="JNZ39" s="987"/>
      <c r="JOA39" s="987"/>
      <c r="JOB39" s="987">
        <f t="shared" si="233"/>
        <v>0</v>
      </c>
      <c r="JOC39" s="1026" t="s">
        <v>45</v>
      </c>
      <c r="JOD39" s="434"/>
      <c r="JOE39" s="1027"/>
      <c r="JOF39" s="1027"/>
      <c r="JOG39" s="24"/>
      <c r="JOH39" s="1027"/>
      <c r="JOI39" s="1027"/>
      <c r="JOJ39" s="25"/>
      <c r="JOK39" s="987">
        <f>SUM(JOK36:JOK38)</f>
        <v>0</v>
      </c>
      <c r="JOL39" s="987">
        <f t="shared" si="232"/>
        <v>0</v>
      </c>
      <c r="JOM39" s="987">
        <f t="shared" si="232"/>
        <v>0</v>
      </c>
      <c r="JON39" s="987"/>
      <c r="JOO39" s="987"/>
      <c r="JOP39" s="987"/>
      <c r="JOQ39" s="987"/>
      <c r="JOR39" s="987">
        <f t="shared" si="233"/>
        <v>0</v>
      </c>
      <c r="JOS39" s="1026" t="s">
        <v>45</v>
      </c>
      <c r="JOT39" s="434"/>
      <c r="JOU39" s="1027"/>
      <c r="JOV39" s="1027"/>
      <c r="JOW39" s="24"/>
      <c r="JOX39" s="1027"/>
      <c r="JOY39" s="1027"/>
      <c r="JOZ39" s="25"/>
      <c r="JPA39" s="987">
        <f>SUM(JPA36:JPA38)</f>
        <v>0</v>
      </c>
      <c r="JPB39" s="987">
        <f t="shared" ref="JPB39:JQY39" si="234">SUM(JPB36:JPB38)</f>
        <v>0</v>
      </c>
      <c r="JPC39" s="987">
        <f t="shared" si="234"/>
        <v>0</v>
      </c>
      <c r="JPD39" s="987"/>
      <c r="JPE39" s="987"/>
      <c r="JPF39" s="987"/>
      <c r="JPG39" s="987"/>
      <c r="JPH39" s="987">
        <f t="shared" ref="JPH39:JRD39" si="235">SUM(JPH36:JPH38)</f>
        <v>0</v>
      </c>
      <c r="JPI39" s="1026" t="s">
        <v>45</v>
      </c>
      <c r="JPJ39" s="434"/>
      <c r="JPK39" s="1027"/>
      <c r="JPL39" s="1027"/>
      <c r="JPM39" s="24"/>
      <c r="JPN39" s="1027"/>
      <c r="JPO39" s="1027"/>
      <c r="JPP39" s="25"/>
      <c r="JPQ39" s="987">
        <f>SUM(JPQ36:JPQ38)</f>
        <v>0</v>
      </c>
      <c r="JPR39" s="987">
        <f t="shared" si="234"/>
        <v>0</v>
      </c>
      <c r="JPS39" s="987">
        <f t="shared" si="234"/>
        <v>0</v>
      </c>
      <c r="JPT39" s="987"/>
      <c r="JPU39" s="987"/>
      <c r="JPV39" s="987"/>
      <c r="JPW39" s="987"/>
      <c r="JPX39" s="987">
        <f t="shared" si="235"/>
        <v>0</v>
      </c>
      <c r="JPY39" s="1026" t="s">
        <v>45</v>
      </c>
      <c r="JPZ39" s="434"/>
      <c r="JQA39" s="1027"/>
      <c r="JQB39" s="1027"/>
      <c r="JQC39" s="24"/>
      <c r="JQD39" s="1027"/>
      <c r="JQE39" s="1027"/>
      <c r="JQF39" s="25"/>
      <c r="JQG39" s="987">
        <f>SUM(JQG36:JQG38)</f>
        <v>0</v>
      </c>
      <c r="JQH39" s="987">
        <f t="shared" si="234"/>
        <v>0</v>
      </c>
      <c r="JQI39" s="987">
        <f t="shared" si="234"/>
        <v>0</v>
      </c>
      <c r="JQJ39" s="987"/>
      <c r="JQK39" s="987"/>
      <c r="JQL39" s="987"/>
      <c r="JQM39" s="987"/>
      <c r="JQN39" s="987">
        <f t="shared" si="235"/>
        <v>0</v>
      </c>
      <c r="JQO39" s="1026" t="s">
        <v>45</v>
      </c>
      <c r="JQP39" s="434"/>
      <c r="JQQ39" s="1027"/>
      <c r="JQR39" s="1027"/>
      <c r="JQS39" s="24"/>
      <c r="JQT39" s="1027"/>
      <c r="JQU39" s="1027"/>
      <c r="JQV39" s="25"/>
      <c r="JQW39" s="987">
        <f>SUM(JQW36:JQW38)</f>
        <v>0</v>
      </c>
      <c r="JQX39" s="987">
        <f t="shared" si="234"/>
        <v>0</v>
      </c>
      <c r="JQY39" s="987">
        <f t="shared" si="234"/>
        <v>0</v>
      </c>
      <c r="JQZ39" s="987"/>
      <c r="JRA39" s="987"/>
      <c r="JRB39" s="987"/>
      <c r="JRC39" s="987"/>
      <c r="JRD39" s="987">
        <f t="shared" si="235"/>
        <v>0</v>
      </c>
      <c r="JRE39" s="1026" t="s">
        <v>45</v>
      </c>
      <c r="JRF39" s="434"/>
      <c r="JRG39" s="1027"/>
      <c r="JRH39" s="1027"/>
      <c r="JRI39" s="24"/>
      <c r="JRJ39" s="1027"/>
      <c r="JRK39" s="1027"/>
      <c r="JRL39" s="25"/>
      <c r="JRM39" s="987">
        <f>SUM(JRM36:JRM38)</f>
        <v>0</v>
      </c>
      <c r="JRN39" s="987">
        <f t="shared" ref="JRN39:JTK39" si="236">SUM(JRN36:JRN38)</f>
        <v>0</v>
      </c>
      <c r="JRO39" s="987">
        <f t="shared" si="236"/>
        <v>0</v>
      </c>
      <c r="JRP39" s="987"/>
      <c r="JRQ39" s="987"/>
      <c r="JRR39" s="987"/>
      <c r="JRS39" s="987"/>
      <c r="JRT39" s="987">
        <f t="shared" ref="JRT39:JTP39" si="237">SUM(JRT36:JRT38)</f>
        <v>0</v>
      </c>
      <c r="JRU39" s="1026" t="s">
        <v>45</v>
      </c>
      <c r="JRV39" s="434"/>
      <c r="JRW39" s="1027"/>
      <c r="JRX39" s="1027"/>
      <c r="JRY39" s="24"/>
      <c r="JRZ39" s="1027"/>
      <c r="JSA39" s="1027"/>
      <c r="JSB39" s="25"/>
      <c r="JSC39" s="987">
        <f>SUM(JSC36:JSC38)</f>
        <v>0</v>
      </c>
      <c r="JSD39" s="987">
        <f t="shared" si="236"/>
        <v>0</v>
      </c>
      <c r="JSE39" s="987">
        <f t="shared" si="236"/>
        <v>0</v>
      </c>
      <c r="JSF39" s="987"/>
      <c r="JSG39" s="987"/>
      <c r="JSH39" s="987"/>
      <c r="JSI39" s="987"/>
      <c r="JSJ39" s="987">
        <f t="shared" si="237"/>
        <v>0</v>
      </c>
      <c r="JSK39" s="1026" t="s">
        <v>45</v>
      </c>
      <c r="JSL39" s="434"/>
      <c r="JSM39" s="1027"/>
      <c r="JSN39" s="1027"/>
      <c r="JSO39" s="24"/>
      <c r="JSP39" s="1027"/>
      <c r="JSQ39" s="1027"/>
      <c r="JSR39" s="25"/>
      <c r="JSS39" s="987">
        <f>SUM(JSS36:JSS38)</f>
        <v>0</v>
      </c>
      <c r="JST39" s="987">
        <f t="shared" si="236"/>
        <v>0</v>
      </c>
      <c r="JSU39" s="987">
        <f t="shared" si="236"/>
        <v>0</v>
      </c>
      <c r="JSV39" s="987"/>
      <c r="JSW39" s="987"/>
      <c r="JSX39" s="987"/>
      <c r="JSY39" s="987"/>
      <c r="JSZ39" s="987">
        <f t="shared" si="237"/>
        <v>0</v>
      </c>
      <c r="JTA39" s="1026" t="s">
        <v>45</v>
      </c>
      <c r="JTB39" s="434"/>
      <c r="JTC39" s="1027"/>
      <c r="JTD39" s="1027"/>
      <c r="JTE39" s="24"/>
      <c r="JTF39" s="1027"/>
      <c r="JTG39" s="1027"/>
      <c r="JTH39" s="25"/>
      <c r="JTI39" s="987">
        <f>SUM(JTI36:JTI38)</f>
        <v>0</v>
      </c>
      <c r="JTJ39" s="987">
        <f t="shared" si="236"/>
        <v>0</v>
      </c>
      <c r="JTK39" s="987">
        <f t="shared" si="236"/>
        <v>0</v>
      </c>
      <c r="JTL39" s="987"/>
      <c r="JTM39" s="987"/>
      <c r="JTN39" s="987"/>
      <c r="JTO39" s="987"/>
      <c r="JTP39" s="987">
        <f t="shared" si="237"/>
        <v>0</v>
      </c>
      <c r="JTQ39" s="1026" t="s">
        <v>45</v>
      </c>
      <c r="JTR39" s="434"/>
      <c r="JTS39" s="1027"/>
      <c r="JTT39" s="1027"/>
      <c r="JTU39" s="24"/>
      <c r="JTV39" s="1027"/>
      <c r="JTW39" s="1027"/>
      <c r="JTX39" s="25"/>
      <c r="JTY39" s="987">
        <f>SUM(JTY36:JTY38)</f>
        <v>0</v>
      </c>
      <c r="JTZ39" s="987">
        <f t="shared" ref="JTZ39:JVW39" si="238">SUM(JTZ36:JTZ38)</f>
        <v>0</v>
      </c>
      <c r="JUA39" s="987">
        <f t="shared" si="238"/>
        <v>0</v>
      </c>
      <c r="JUB39" s="987"/>
      <c r="JUC39" s="987"/>
      <c r="JUD39" s="987"/>
      <c r="JUE39" s="987"/>
      <c r="JUF39" s="987">
        <f t="shared" ref="JUF39:JWB39" si="239">SUM(JUF36:JUF38)</f>
        <v>0</v>
      </c>
      <c r="JUG39" s="1026" t="s">
        <v>45</v>
      </c>
      <c r="JUH39" s="434"/>
      <c r="JUI39" s="1027"/>
      <c r="JUJ39" s="1027"/>
      <c r="JUK39" s="24"/>
      <c r="JUL39" s="1027"/>
      <c r="JUM39" s="1027"/>
      <c r="JUN39" s="25"/>
      <c r="JUO39" s="987">
        <f>SUM(JUO36:JUO38)</f>
        <v>0</v>
      </c>
      <c r="JUP39" s="987">
        <f t="shared" si="238"/>
        <v>0</v>
      </c>
      <c r="JUQ39" s="987">
        <f t="shared" si="238"/>
        <v>0</v>
      </c>
      <c r="JUR39" s="987"/>
      <c r="JUS39" s="987"/>
      <c r="JUT39" s="987"/>
      <c r="JUU39" s="987"/>
      <c r="JUV39" s="987">
        <f t="shared" si="239"/>
        <v>0</v>
      </c>
      <c r="JUW39" s="1026" t="s">
        <v>45</v>
      </c>
      <c r="JUX39" s="434"/>
      <c r="JUY39" s="1027"/>
      <c r="JUZ39" s="1027"/>
      <c r="JVA39" s="24"/>
      <c r="JVB39" s="1027"/>
      <c r="JVC39" s="1027"/>
      <c r="JVD39" s="25"/>
      <c r="JVE39" s="987">
        <f>SUM(JVE36:JVE38)</f>
        <v>0</v>
      </c>
      <c r="JVF39" s="987">
        <f t="shared" si="238"/>
        <v>0</v>
      </c>
      <c r="JVG39" s="987">
        <f t="shared" si="238"/>
        <v>0</v>
      </c>
      <c r="JVH39" s="987"/>
      <c r="JVI39" s="987"/>
      <c r="JVJ39" s="987"/>
      <c r="JVK39" s="987"/>
      <c r="JVL39" s="987">
        <f t="shared" si="239"/>
        <v>0</v>
      </c>
      <c r="JVM39" s="1026" t="s">
        <v>45</v>
      </c>
      <c r="JVN39" s="434"/>
      <c r="JVO39" s="1027"/>
      <c r="JVP39" s="1027"/>
      <c r="JVQ39" s="24"/>
      <c r="JVR39" s="1027"/>
      <c r="JVS39" s="1027"/>
      <c r="JVT39" s="25"/>
      <c r="JVU39" s="987">
        <f>SUM(JVU36:JVU38)</f>
        <v>0</v>
      </c>
      <c r="JVV39" s="987">
        <f t="shared" si="238"/>
        <v>0</v>
      </c>
      <c r="JVW39" s="987">
        <f t="shared" si="238"/>
        <v>0</v>
      </c>
      <c r="JVX39" s="987"/>
      <c r="JVY39" s="987"/>
      <c r="JVZ39" s="987"/>
      <c r="JWA39" s="987"/>
      <c r="JWB39" s="987">
        <f t="shared" si="239"/>
        <v>0</v>
      </c>
      <c r="JWC39" s="1026" t="s">
        <v>45</v>
      </c>
      <c r="JWD39" s="434"/>
      <c r="JWE39" s="1027"/>
      <c r="JWF39" s="1027"/>
      <c r="JWG39" s="24"/>
      <c r="JWH39" s="1027"/>
      <c r="JWI39" s="1027"/>
      <c r="JWJ39" s="25"/>
      <c r="JWK39" s="987">
        <f>SUM(JWK36:JWK38)</f>
        <v>0</v>
      </c>
      <c r="JWL39" s="987">
        <f t="shared" ref="JWL39:JYI39" si="240">SUM(JWL36:JWL38)</f>
        <v>0</v>
      </c>
      <c r="JWM39" s="987">
        <f t="shared" si="240"/>
        <v>0</v>
      </c>
      <c r="JWN39" s="987"/>
      <c r="JWO39" s="987"/>
      <c r="JWP39" s="987"/>
      <c r="JWQ39" s="987"/>
      <c r="JWR39" s="987">
        <f t="shared" ref="JWR39:JYN39" si="241">SUM(JWR36:JWR38)</f>
        <v>0</v>
      </c>
      <c r="JWS39" s="1026" t="s">
        <v>45</v>
      </c>
      <c r="JWT39" s="434"/>
      <c r="JWU39" s="1027"/>
      <c r="JWV39" s="1027"/>
      <c r="JWW39" s="24"/>
      <c r="JWX39" s="1027"/>
      <c r="JWY39" s="1027"/>
      <c r="JWZ39" s="25"/>
      <c r="JXA39" s="987">
        <f>SUM(JXA36:JXA38)</f>
        <v>0</v>
      </c>
      <c r="JXB39" s="987">
        <f t="shared" si="240"/>
        <v>0</v>
      </c>
      <c r="JXC39" s="987">
        <f t="shared" si="240"/>
        <v>0</v>
      </c>
      <c r="JXD39" s="987"/>
      <c r="JXE39" s="987"/>
      <c r="JXF39" s="987"/>
      <c r="JXG39" s="987"/>
      <c r="JXH39" s="987">
        <f t="shared" si="241"/>
        <v>0</v>
      </c>
      <c r="JXI39" s="1026" t="s">
        <v>45</v>
      </c>
      <c r="JXJ39" s="434"/>
      <c r="JXK39" s="1027"/>
      <c r="JXL39" s="1027"/>
      <c r="JXM39" s="24"/>
      <c r="JXN39" s="1027"/>
      <c r="JXO39" s="1027"/>
      <c r="JXP39" s="25"/>
      <c r="JXQ39" s="987">
        <f>SUM(JXQ36:JXQ38)</f>
        <v>0</v>
      </c>
      <c r="JXR39" s="987">
        <f t="shared" si="240"/>
        <v>0</v>
      </c>
      <c r="JXS39" s="987">
        <f t="shared" si="240"/>
        <v>0</v>
      </c>
      <c r="JXT39" s="987"/>
      <c r="JXU39" s="987"/>
      <c r="JXV39" s="987"/>
      <c r="JXW39" s="987"/>
      <c r="JXX39" s="987">
        <f t="shared" si="241"/>
        <v>0</v>
      </c>
      <c r="JXY39" s="1026" t="s">
        <v>45</v>
      </c>
      <c r="JXZ39" s="434"/>
      <c r="JYA39" s="1027"/>
      <c r="JYB39" s="1027"/>
      <c r="JYC39" s="24"/>
      <c r="JYD39" s="1027"/>
      <c r="JYE39" s="1027"/>
      <c r="JYF39" s="25"/>
      <c r="JYG39" s="987">
        <f>SUM(JYG36:JYG38)</f>
        <v>0</v>
      </c>
      <c r="JYH39" s="987">
        <f t="shared" si="240"/>
        <v>0</v>
      </c>
      <c r="JYI39" s="987">
        <f t="shared" si="240"/>
        <v>0</v>
      </c>
      <c r="JYJ39" s="987"/>
      <c r="JYK39" s="987"/>
      <c r="JYL39" s="987"/>
      <c r="JYM39" s="987"/>
      <c r="JYN39" s="987">
        <f t="shared" si="241"/>
        <v>0</v>
      </c>
      <c r="JYO39" s="1026" t="s">
        <v>45</v>
      </c>
      <c r="JYP39" s="434"/>
      <c r="JYQ39" s="1027"/>
      <c r="JYR39" s="1027"/>
      <c r="JYS39" s="24"/>
      <c r="JYT39" s="1027"/>
      <c r="JYU39" s="1027"/>
      <c r="JYV39" s="25"/>
      <c r="JYW39" s="987">
        <f>SUM(JYW36:JYW38)</f>
        <v>0</v>
      </c>
      <c r="JYX39" s="987">
        <f t="shared" ref="JYX39:KAU39" si="242">SUM(JYX36:JYX38)</f>
        <v>0</v>
      </c>
      <c r="JYY39" s="987">
        <f t="shared" si="242"/>
        <v>0</v>
      </c>
      <c r="JYZ39" s="987"/>
      <c r="JZA39" s="987"/>
      <c r="JZB39" s="987"/>
      <c r="JZC39" s="987"/>
      <c r="JZD39" s="987">
        <f t="shared" ref="JZD39:KAZ39" si="243">SUM(JZD36:JZD38)</f>
        <v>0</v>
      </c>
      <c r="JZE39" s="1026" t="s">
        <v>45</v>
      </c>
      <c r="JZF39" s="434"/>
      <c r="JZG39" s="1027"/>
      <c r="JZH39" s="1027"/>
      <c r="JZI39" s="24"/>
      <c r="JZJ39" s="1027"/>
      <c r="JZK39" s="1027"/>
      <c r="JZL39" s="25"/>
      <c r="JZM39" s="987">
        <f>SUM(JZM36:JZM38)</f>
        <v>0</v>
      </c>
      <c r="JZN39" s="987">
        <f t="shared" si="242"/>
        <v>0</v>
      </c>
      <c r="JZO39" s="987">
        <f t="shared" si="242"/>
        <v>0</v>
      </c>
      <c r="JZP39" s="987"/>
      <c r="JZQ39" s="987"/>
      <c r="JZR39" s="987"/>
      <c r="JZS39" s="987"/>
      <c r="JZT39" s="987">
        <f t="shared" si="243"/>
        <v>0</v>
      </c>
      <c r="JZU39" s="1026" t="s">
        <v>45</v>
      </c>
      <c r="JZV39" s="434"/>
      <c r="JZW39" s="1027"/>
      <c r="JZX39" s="1027"/>
      <c r="JZY39" s="24"/>
      <c r="JZZ39" s="1027"/>
      <c r="KAA39" s="1027"/>
      <c r="KAB39" s="25"/>
      <c r="KAC39" s="987">
        <f>SUM(KAC36:KAC38)</f>
        <v>0</v>
      </c>
      <c r="KAD39" s="987">
        <f t="shared" si="242"/>
        <v>0</v>
      </c>
      <c r="KAE39" s="987">
        <f t="shared" si="242"/>
        <v>0</v>
      </c>
      <c r="KAF39" s="987"/>
      <c r="KAG39" s="987"/>
      <c r="KAH39" s="987"/>
      <c r="KAI39" s="987"/>
      <c r="KAJ39" s="987">
        <f t="shared" si="243"/>
        <v>0</v>
      </c>
      <c r="KAK39" s="1026" t="s">
        <v>45</v>
      </c>
      <c r="KAL39" s="434"/>
      <c r="KAM39" s="1027"/>
      <c r="KAN39" s="1027"/>
      <c r="KAO39" s="24"/>
      <c r="KAP39" s="1027"/>
      <c r="KAQ39" s="1027"/>
      <c r="KAR39" s="25"/>
      <c r="KAS39" s="987">
        <f>SUM(KAS36:KAS38)</f>
        <v>0</v>
      </c>
      <c r="KAT39" s="987">
        <f t="shared" si="242"/>
        <v>0</v>
      </c>
      <c r="KAU39" s="987">
        <f t="shared" si="242"/>
        <v>0</v>
      </c>
      <c r="KAV39" s="987"/>
      <c r="KAW39" s="987"/>
      <c r="KAX39" s="987"/>
      <c r="KAY39" s="987"/>
      <c r="KAZ39" s="987">
        <f t="shared" si="243"/>
        <v>0</v>
      </c>
      <c r="KBA39" s="1026" t="s">
        <v>45</v>
      </c>
      <c r="KBB39" s="434"/>
      <c r="KBC39" s="1027"/>
      <c r="KBD39" s="1027"/>
      <c r="KBE39" s="24"/>
      <c r="KBF39" s="1027"/>
      <c r="KBG39" s="1027"/>
      <c r="KBH39" s="25"/>
      <c r="KBI39" s="987">
        <f>SUM(KBI36:KBI38)</f>
        <v>0</v>
      </c>
      <c r="KBJ39" s="987">
        <f t="shared" ref="KBJ39:KDG39" si="244">SUM(KBJ36:KBJ38)</f>
        <v>0</v>
      </c>
      <c r="KBK39" s="987">
        <f t="shared" si="244"/>
        <v>0</v>
      </c>
      <c r="KBL39" s="987"/>
      <c r="KBM39" s="987"/>
      <c r="KBN39" s="987"/>
      <c r="KBO39" s="987"/>
      <c r="KBP39" s="987">
        <f t="shared" ref="KBP39:KDL39" si="245">SUM(KBP36:KBP38)</f>
        <v>0</v>
      </c>
      <c r="KBQ39" s="1026" t="s">
        <v>45</v>
      </c>
      <c r="KBR39" s="434"/>
      <c r="KBS39" s="1027"/>
      <c r="KBT39" s="1027"/>
      <c r="KBU39" s="24"/>
      <c r="KBV39" s="1027"/>
      <c r="KBW39" s="1027"/>
      <c r="KBX39" s="25"/>
      <c r="KBY39" s="987">
        <f>SUM(KBY36:KBY38)</f>
        <v>0</v>
      </c>
      <c r="KBZ39" s="987">
        <f t="shared" si="244"/>
        <v>0</v>
      </c>
      <c r="KCA39" s="987">
        <f t="shared" si="244"/>
        <v>0</v>
      </c>
      <c r="KCB39" s="987"/>
      <c r="KCC39" s="987"/>
      <c r="KCD39" s="987"/>
      <c r="KCE39" s="987"/>
      <c r="KCF39" s="987">
        <f t="shared" si="245"/>
        <v>0</v>
      </c>
      <c r="KCG39" s="1026" t="s">
        <v>45</v>
      </c>
      <c r="KCH39" s="434"/>
      <c r="KCI39" s="1027"/>
      <c r="KCJ39" s="1027"/>
      <c r="KCK39" s="24"/>
      <c r="KCL39" s="1027"/>
      <c r="KCM39" s="1027"/>
      <c r="KCN39" s="25"/>
      <c r="KCO39" s="987">
        <f>SUM(KCO36:KCO38)</f>
        <v>0</v>
      </c>
      <c r="KCP39" s="987">
        <f t="shared" si="244"/>
        <v>0</v>
      </c>
      <c r="KCQ39" s="987">
        <f t="shared" si="244"/>
        <v>0</v>
      </c>
      <c r="KCR39" s="987"/>
      <c r="KCS39" s="987"/>
      <c r="KCT39" s="987"/>
      <c r="KCU39" s="987"/>
      <c r="KCV39" s="987">
        <f t="shared" si="245"/>
        <v>0</v>
      </c>
      <c r="KCW39" s="1026" t="s">
        <v>45</v>
      </c>
      <c r="KCX39" s="434"/>
      <c r="KCY39" s="1027"/>
      <c r="KCZ39" s="1027"/>
      <c r="KDA39" s="24"/>
      <c r="KDB39" s="1027"/>
      <c r="KDC39" s="1027"/>
      <c r="KDD39" s="25"/>
      <c r="KDE39" s="987">
        <f>SUM(KDE36:KDE38)</f>
        <v>0</v>
      </c>
      <c r="KDF39" s="987">
        <f t="shared" si="244"/>
        <v>0</v>
      </c>
      <c r="KDG39" s="987">
        <f t="shared" si="244"/>
        <v>0</v>
      </c>
      <c r="KDH39" s="987"/>
      <c r="KDI39" s="987"/>
      <c r="KDJ39" s="987"/>
      <c r="KDK39" s="987"/>
      <c r="KDL39" s="987">
        <f t="shared" si="245"/>
        <v>0</v>
      </c>
      <c r="KDM39" s="1026" t="s">
        <v>45</v>
      </c>
      <c r="KDN39" s="434"/>
      <c r="KDO39" s="1027"/>
      <c r="KDP39" s="1027"/>
      <c r="KDQ39" s="24"/>
      <c r="KDR39" s="1027"/>
      <c r="KDS39" s="1027"/>
      <c r="KDT39" s="25"/>
      <c r="KDU39" s="987">
        <f>SUM(KDU36:KDU38)</f>
        <v>0</v>
      </c>
      <c r="KDV39" s="987">
        <f t="shared" ref="KDV39:KFS39" si="246">SUM(KDV36:KDV38)</f>
        <v>0</v>
      </c>
      <c r="KDW39" s="987">
        <f t="shared" si="246"/>
        <v>0</v>
      </c>
      <c r="KDX39" s="987"/>
      <c r="KDY39" s="987"/>
      <c r="KDZ39" s="987"/>
      <c r="KEA39" s="987"/>
      <c r="KEB39" s="987">
        <f t="shared" ref="KEB39:KFX39" si="247">SUM(KEB36:KEB38)</f>
        <v>0</v>
      </c>
      <c r="KEC39" s="1026" t="s">
        <v>45</v>
      </c>
      <c r="KED39" s="434"/>
      <c r="KEE39" s="1027"/>
      <c r="KEF39" s="1027"/>
      <c r="KEG39" s="24"/>
      <c r="KEH39" s="1027"/>
      <c r="KEI39" s="1027"/>
      <c r="KEJ39" s="25"/>
      <c r="KEK39" s="987">
        <f>SUM(KEK36:KEK38)</f>
        <v>0</v>
      </c>
      <c r="KEL39" s="987">
        <f t="shared" si="246"/>
        <v>0</v>
      </c>
      <c r="KEM39" s="987">
        <f t="shared" si="246"/>
        <v>0</v>
      </c>
      <c r="KEN39" s="987"/>
      <c r="KEO39" s="987"/>
      <c r="KEP39" s="987"/>
      <c r="KEQ39" s="987"/>
      <c r="KER39" s="987">
        <f t="shared" si="247"/>
        <v>0</v>
      </c>
      <c r="KES39" s="1026" t="s">
        <v>45</v>
      </c>
      <c r="KET39" s="434"/>
      <c r="KEU39" s="1027"/>
      <c r="KEV39" s="1027"/>
      <c r="KEW39" s="24"/>
      <c r="KEX39" s="1027"/>
      <c r="KEY39" s="1027"/>
      <c r="KEZ39" s="25"/>
      <c r="KFA39" s="987">
        <f>SUM(KFA36:KFA38)</f>
        <v>0</v>
      </c>
      <c r="KFB39" s="987">
        <f t="shared" si="246"/>
        <v>0</v>
      </c>
      <c r="KFC39" s="987">
        <f t="shared" si="246"/>
        <v>0</v>
      </c>
      <c r="KFD39" s="987"/>
      <c r="KFE39" s="987"/>
      <c r="KFF39" s="987"/>
      <c r="KFG39" s="987"/>
      <c r="KFH39" s="987">
        <f t="shared" si="247"/>
        <v>0</v>
      </c>
      <c r="KFI39" s="1026" t="s">
        <v>45</v>
      </c>
      <c r="KFJ39" s="434"/>
      <c r="KFK39" s="1027"/>
      <c r="KFL39" s="1027"/>
      <c r="KFM39" s="24"/>
      <c r="KFN39" s="1027"/>
      <c r="KFO39" s="1027"/>
      <c r="KFP39" s="25"/>
      <c r="KFQ39" s="987">
        <f>SUM(KFQ36:KFQ38)</f>
        <v>0</v>
      </c>
      <c r="KFR39" s="987">
        <f t="shared" si="246"/>
        <v>0</v>
      </c>
      <c r="KFS39" s="987">
        <f t="shared" si="246"/>
        <v>0</v>
      </c>
      <c r="KFT39" s="987"/>
      <c r="KFU39" s="987"/>
      <c r="KFV39" s="987"/>
      <c r="KFW39" s="987"/>
      <c r="KFX39" s="987">
        <f t="shared" si="247"/>
        <v>0</v>
      </c>
      <c r="KFY39" s="1026" t="s">
        <v>45</v>
      </c>
      <c r="KFZ39" s="434"/>
      <c r="KGA39" s="1027"/>
      <c r="KGB39" s="1027"/>
      <c r="KGC39" s="24"/>
      <c r="KGD39" s="1027"/>
      <c r="KGE39" s="1027"/>
      <c r="KGF39" s="25"/>
      <c r="KGG39" s="987">
        <f>SUM(KGG36:KGG38)</f>
        <v>0</v>
      </c>
      <c r="KGH39" s="987">
        <f t="shared" ref="KGH39:KIE39" si="248">SUM(KGH36:KGH38)</f>
        <v>0</v>
      </c>
      <c r="KGI39" s="987">
        <f t="shared" si="248"/>
        <v>0</v>
      </c>
      <c r="KGJ39" s="987"/>
      <c r="KGK39" s="987"/>
      <c r="KGL39" s="987"/>
      <c r="KGM39" s="987"/>
      <c r="KGN39" s="987">
        <f t="shared" ref="KGN39:KIJ39" si="249">SUM(KGN36:KGN38)</f>
        <v>0</v>
      </c>
      <c r="KGO39" s="1026" t="s">
        <v>45</v>
      </c>
      <c r="KGP39" s="434"/>
      <c r="KGQ39" s="1027"/>
      <c r="KGR39" s="1027"/>
      <c r="KGS39" s="24"/>
      <c r="KGT39" s="1027"/>
      <c r="KGU39" s="1027"/>
      <c r="KGV39" s="25"/>
      <c r="KGW39" s="987">
        <f>SUM(KGW36:KGW38)</f>
        <v>0</v>
      </c>
      <c r="KGX39" s="987">
        <f t="shared" si="248"/>
        <v>0</v>
      </c>
      <c r="KGY39" s="987">
        <f t="shared" si="248"/>
        <v>0</v>
      </c>
      <c r="KGZ39" s="987"/>
      <c r="KHA39" s="987"/>
      <c r="KHB39" s="987"/>
      <c r="KHC39" s="987"/>
      <c r="KHD39" s="987">
        <f t="shared" si="249"/>
        <v>0</v>
      </c>
      <c r="KHE39" s="1026" t="s">
        <v>45</v>
      </c>
      <c r="KHF39" s="434"/>
      <c r="KHG39" s="1027"/>
      <c r="KHH39" s="1027"/>
      <c r="KHI39" s="24"/>
      <c r="KHJ39" s="1027"/>
      <c r="KHK39" s="1027"/>
      <c r="KHL39" s="25"/>
      <c r="KHM39" s="987">
        <f>SUM(KHM36:KHM38)</f>
        <v>0</v>
      </c>
      <c r="KHN39" s="987">
        <f t="shared" si="248"/>
        <v>0</v>
      </c>
      <c r="KHO39" s="987">
        <f t="shared" si="248"/>
        <v>0</v>
      </c>
      <c r="KHP39" s="987"/>
      <c r="KHQ39" s="987"/>
      <c r="KHR39" s="987"/>
      <c r="KHS39" s="987"/>
      <c r="KHT39" s="987">
        <f t="shared" si="249"/>
        <v>0</v>
      </c>
      <c r="KHU39" s="1026" t="s">
        <v>45</v>
      </c>
      <c r="KHV39" s="434"/>
      <c r="KHW39" s="1027"/>
      <c r="KHX39" s="1027"/>
      <c r="KHY39" s="24"/>
      <c r="KHZ39" s="1027"/>
      <c r="KIA39" s="1027"/>
      <c r="KIB39" s="25"/>
      <c r="KIC39" s="987">
        <f>SUM(KIC36:KIC38)</f>
        <v>0</v>
      </c>
      <c r="KID39" s="987">
        <f t="shared" si="248"/>
        <v>0</v>
      </c>
      <c r="KIE39" s="987">
        <f t="shared" si="248"/>
        <v>0</v>
      </c>
      <c r="KIF39" s="987"/>
      <c r="KIG39" s="987"/>
      <c r="KIH39" s="987"/>
      <c r="KII39" s="987"/>
      <c r="KIJ39" s="987">
        <f t="shared" si="249"/>
        <v>0</v>
      </c>
      <c r="KIK39" s="1026" t="s">
        <v>45</v>
      </c>
      <c r="KIL39" s="434"/>
      <c r="KIM39" s="1027"/>
      <c r="KIN39" s="1027"/>
      <c r="KIO39" s="24"/>
      <c r="KIP39" s="1027"/>
      <c r="KIQ39" s="1027"/>
      <c r="KIR39" s="25"/>
      <c r="KIS39" s="987">
        <f>SUM(KIS36:KIS38)</f>
        <v>0</v>
      </c>
      <c r="KIT39" s="987">
        <f t="shared" ref="KIT39:KKQ39" si="250">SUM(KIT36:KIT38)</f>
        <v>0</v>
      </c>
      <c r="KIU39" s="987">
        <f t="shared" si="250"/>
        <v>0</v>
      </c>
      <c r="KIV39" s="987"/>
      <c r="KIW39" s="987"/>
      <c r="KIX39" s="987"/>
      <c r="KIY39" s="987"/>
      <c r="KIZ39" s="987">
        <f t="shared" ref="KIZ39:KKV39" si="251">SUM(KIZ36:KIZ38)</f>
        <v>0</v>
      </c>
      <c r="KJA39" s="1026" t="s">
        <v>45</v>
      </c>
      <c r="KJB39" s="434"/>
      <c r="KJC39" s="1027"/>
      <c r="KJD39" s="1027"/>
      <c r="KJE39" s="24"/>
      <c r="KJF39" s="1027"/>
      <c r="KJG39" s="1027"/>
      <c r="KJH39" s="25"/>
      <c r="KJI39" s="987">
        <f>SUM(KJI36:KJI38)</f>
        <v>0</v>
      </c>
      <c r="KJJ39" s="987">
        <f t="shared" si="250"/>
        <v>0</v>
      </c>
      <c r="KJK39" s="987">
        <f t="shared" si="250"/>
        <v>0</v>
      </c>
      <c r="KJL39" s="987"/>
      <c r="KJM39" s="987"/>
      <c r="KJN39" s="987"/>
      <c r="KJO39" s="987"/>
      <c r="KJP39" s="987">
        <f t="shared" si="251"/>
        <v>0</v>
      </c>
      <c r="KJQ39" s="1026" t="s">
        <v>45</v>
      </c>
      <c r="KJR39" s="434"/>
      <c r="KJS39" s="1027"/>
      <c r="KJT39" s="1027"/>
      <c r="KJU39" s="24"/>
      <c r="KJV39" s="1027"/>
      <c r="KJW39" s="1027"/>
      <c r="KJX39" s="25"/>
      <c r="KJY39" s="987">
        <f>SUM(KJY36:KJY38)</f>
        <v>0</v>
      </c>
      <c r="KJZ39" s="987">
        <f t="shared" si="250"/>
        <v>0</v>
      </c>
      <c r="KKA39" s="987">
        <f t="shared" si="250"/>
        <v>0</v>
      </c>
      <c r="KKB39" s="987"/>
      <c r="KKC39" s="987"/>
      <c r="KKD39" s="987"/>
      <c r="KKE39" s="987"/>
      <c r="KKF39" s="987">
        <f t="shared" si="251"/>
        <v>0</v>
      </c>
      <c r="KKG39" s="1026" t="s">
        <v>45</v>
      </c>
      <c r="KKH39" s="434"/>
      <c r="KKI39" s="1027"/>
      <c r="KKJ39" s="1027"/>
      <c r="KKK39" s="24"/>
      <c r="KKL39" s="1027"/>
      <c r="KKM39" s="1027"/>
      <c r="KKN39" s="25"/>
      <c r="KKO39" s="987">
        <f>SUM(KKO36:KKO38)</f>
        <v>0</v>
      </c>
      <c r="KKP39" s="987">
        <f t="shared" si="250"/>
        <v>0</v>
      </c>
      <c r="KKQ39" s="987">
        <f t="shared" si="250"/>
        <v>0</v>
      </c>
      <c r="KKR39" s="987"/>
      <c r="KKS39" s="987"/>
      <c r="KKT39" s="987"/>
      <c r="KKU39" s="987"/>
      <c r="KKV39" s="987">
        <f t="shared" si="251"/>
        <v>0</v>
      </c>
      <c r="KKW39" s="1026" t="s">
        <v>45</v>
      </c>
      <c r="KKX39" s="434"/>
      <c r="KKY39" s="1027"/>
      <c r="KKZ39" s="1027"/>
      <c r="KLA39" s="24"/>
      <c r="KLB39" s="1027"/>
      <c r="KLC39" s="1027"/>
      <c r="KLD39" s="25"/>
      <c r="KLE39" s="987">
        <f>SUM(KLE36:KLE38)</f>
        <v>0</v>
      </c>
      <c r="KLF39" s="987">
        <f t="shared" ref="KLF39:KNC39" si="252">SUM(KLF36:KLF38)</f>
        <v>0</v>
      </c>
      <c r="KLG39" s="987">
        <f t="shared" si="252"/>
        <v>0</v>
      </c>
      <c r="KLH39" s="987"/>
      <c r="KLI39" s="987"/>
      <c r="KLJ39" s="987"/>
      <c r="KLK39" s="987"/>
      <c r="KLL39" s="987">
        <f t="shared" ref="KLL39:KNH39" si="253">SUM(KLL36:KLL38)</f>
        <v>0</v>
      </c>
      <c r="KLM39" s="1026" t="s">
        <v>45</v>
      </c>
      <c r="KLN39" s="434"/>
      <c r="KLO39" s="1027"/>
      <c r="KLP39" s="1027"/>
      <c r="KLQ39" s="24"/>
      <c r="KLR39" s="1027"/>
      <c r="KLS39" s="1027"/>
      <c r="KLT39" s="25"/>
      <c r="KLU39" s="987">
        <f>SUM(KLU36:KLU38)</f>
        <v>0</v>
      </c>
      <c r="KLV39" s="987">
        <f t="shared" si="252"/>
        <v>0</v>
      </c>
      <c r="KLW39" s="987">
        <f t="shared" si="252"/>
        <v>0</v>
      </c>
      <c r="KLX39" s="987"/>
      <c r="KLY39" s="987"/>
      <c r="KLZ39" s="987"/>
      <c r="KMA39" s="987"/>
      <c r="KMB39" s="987">
        <f t="shared" si="253"/>
        <v>0</v>
      </c>
      <c r="KMC39" s="1026" t="s">
        <v>45</v>
      </c>
      <c r="KMD39" s="434"/>
      <c r="KME39" s="1027"/>
      <c r="KMF39" s="1027"/>
      <c r="KMG39" s="24"/>
      <c r="KMH39" s="1027"/>
      <c r="KMI39" s="1027"/>
      <c r="KMJ39" s="25"/>
      <c r="KMK39" s="987">
        <f>SUM(KMK36:KMK38)</f>
        <v>0</v>
      </c>
      <c r="KML39" s="987">
        <f t="shared" si="252"/>
        <v>0</v>
      </c>
      <c r="KMM39" s="987">
        <f t="shared" si="252"/>
        <v>0</v>
      </c>
      <c r="KMN39" s="987"/>
      <c r="KMO39" s="987"/>
      <c r="KMP39" s="987"/>
      <c r="KMQ39" s="987"/>
      <c r="KMR39" s="987">
        <f t="shared" si="253"/>
        <v>0</v>
      </c>
      <c r="KMS39" s="1026" t="s">
        <v>45</v>
      </c>
      <c r="KMT39" s="434"/>
      <c r="KMU39" s="1027"/>
      <c r="KMV39" s="1027"/>
      <c r="KMW39" s="24"/>
      <c r="KMX39" s="1027"/>
      <c r="KMY39" s="1027"/>
      <c r="KMZ39" s="25"/>
      <c r="KNA39" s="987">
        <f>SUM(KNA36:KNA38)</f>
        <v>0</v>
      </c>
      <c r="KNB39" s="987">
        <f t="shared" si="252"/>
        <v>0</v>
      </c>
      <c r="KNC39" s="987">
        <f t="shared" si="252"/>
        <v>0</v>
      </c>
      <c r="KND39" s="987"/>
      <c r="KNE39" s="987"/>
      <c r="KNF39" s="987"/>
      <c r="KNG39" s="987"/>
      <c r="KNH39" s="987">
        <f t="shared" si="253"/>
        <v>0</v>
      </c>
      <c r="KNI39" s="1026" t="s">
        <v>45</v>
      </c>
      <c r="KNJ39" s="434"/>
      <c r="KNK39" s="1027"/>
      <c r="KNL39" s="1027"/>
      <c r="KNM39" s="24"/>
      <c r="KNN39" s="1027"/>
      <c r="KNO39" s="1027"/>
      <c r="KNP39" s="25"/>
      <c r="KNQ39" s="987">
        <f>SUM(KNQ36:KNQ38)</f>
        <v>0</v>
      </c>
      <c r="KNR39" s="987">
        <f t="shared" ref="KNR39:KPO39" si="254">SUM(KNR36:KNR38)</f>
        <v>0</v>
      </c>
      <c r="KNS39" s="987">
        <f t="shared" si="254"/>
        <v>0</v>
      </c>
      <c r="KNT39" s="987"/>
      <c r="KNU39" s="987"/>
      <c r="KNV39" s="987"/>
      <c r="KNW39" s="987"/>
      <c r="KNX39" s="987">
        <f t="shared" ref="KNX39:KPT39" si="255">SUM(KNX36:KNX38)</f>
        <v>0</v>
      </c>
      <c r="KNY39" s="1026" t="s">
        <v>45</v>
      </c>
      <c r="KNZ39" s="434"/>
      <c r="KOA39" s="1027"/>
      <c r="KOB39" s="1027"/>
      <c r="KOC39" s="24"/>
      <c r="KOD39" s="1027"/>
      <c r="KOE39" s="1027"/>
      <c r="KOF39" s="25"/>
      <c r="KOG39" s="987">
        <f>SUM(KOG36:KOG38)</f>
        <v>0</v>
      </c>
      <c r="KOH39" s="987">
        <f t="shared" si="254"/>
        <v>0</v>
      </c>
      <c r="KOI39" s="987">
        <f t="shared" si="254"/>
        <v>0</v>
      </c>
      <c r="KOJ39" s="987"/>
      <c r="KOK39" s="987"/>
      <c r="KOL39" s="987"/>
      <c r="KOM39" s="987"/>
      <c r="KON39" s="987">
        <f t="shared" si="255"/>
        <v>0</v>
      </c>
      <c r="KOO39" s="1026" t="s">
        <v>45</v>
      </c>
      <c r="KOP39" s="434"/>
      <c r="KOQ39" s="1027"/>
      <c r="KOR39" s="1027"/>
      <c r="KOS39" s="24"/>
      <c r="KOT39" s="1027"/>
      <c r="KOU39" s="1027"/>
      <c r="KOV39" s="25"/>
      <c r="KOW39" s="987">
        <f>SUM(KOW36:KOW38)</f>
        <v>0</v>
      </c>
      <c r="KOX39" s="987">
        <f t="shared" si="254"/>
        <v>0</v>
      </c>
      <c r="KOY39" s="987">
        <f t="shared" si="254"/>
        <v>0</v>
      </c>
      <c r="KOZ39" s="987"/>
      <c r="KPA39" s="987"/>
      <c r="KPB39" s="987"/>
      <c r="KPC39" s="987"/>
      <c r="KPD39" s="987">
        <f t="shared" si="255"/>
        <v>0</v>
      </c>
      <c r="KPE39" s="1026" t="s">
        <v>45</v>
      </c>
      <c r="KPF39" s="434"/>
      <c r="KPG39" s="1027"/>
      <c r="KPH39" s="1027"/>
      <c r="KPI39" s="24"/>
      <c r="KPJ39" s="1027"/>
      <c r="KPK39" s="1027"/>
      <c r="KPL39" s="25"/>
      <c r="KPM39" s="987">
        <f>SUM(KPM36:KPM38)</f>
        <v>0</v>
      </c>
      <c r="KPN39" s="987">
        <f t="shared" si="254"/>
        <v>0</v>
      </c>
      <c r="KPO39" s="987">
        <f t="shared" si="254"/>
        <v>0</v>
      </c>
      <c r="KPP39" s="987"/>
      <c r="KPQ39" s="987"/>
      <c r="KPR39" s="987"/>
      <c r="KPS39" s="987"/>
      <c r="KPT39" s="987">
        <f t="shared" si="255"/>
        <v>0</v>
      </c>
      <c r="KPU39" s="1026" t="s">
        <v>45</v>
      </c>
      <c r="KPV39" s="434"/>
      <c r="KPW39" s="1027"/>
      <c r="KPX39" s="1027"/>
      <c r="KPY39" s="24"/>
      <c r="KPZ39" s="1027"/>
      <c r="KQA39" s="1027"/>
      <c r="KQB39" s="25"/>
      <c r="KQC39" s="987">
        <f>SUM(KQC36:KQC38)</f>
        <v>0</v>
      </c>
      <c r="KQD39" s="987">
        <f t="shared" ref="KQD39:KSA39" si="256">SUM(KQD36:KQD38)</f>
        <v>0</v>
      </c>
      <c r="KQE39" s="987">
        <f t="shared" si="256"/>
        <v>0</v>
      </c>
      <c r="KQF39" s="987"/>
      <c r="KQG39" s="987"/>
      <c r="KQH39" s="987"/>
      <c r="KQI39" s="987"/>
      <c r="KQJ39" s="987">
        <f t="shared" ref="KQJ39:KSF39" si="257">SUM(KQJ36:KQJ38)</f>
        <v>0</v>
      </c>
      <c r="KQK39" s="1026" t="s">
        <v>45</v>
      </c>
      <c r="KQL39" s="434"/>
      <c r="KQM39" s="1027"/>
      <c r="KQN39" s="1027"/>
      <c r="KQO39" s="24"/>
      <c r="KQP39" s="1027"/>
      <c r="KQQ39" s="1027"/>
      <c r="KQR39" s="25"/>
      <c r="KQS39" s="987">
        <f>SUM(KQS36:KQS38)</f>
        <v>0</v>
      </c>
      <c r="KQT39" s="987">
        <f t="shared" si="256"/>
        <v>0</v>
      </c>
      <c r="KQU39" s="987">
        <f t="shared" si="256"/>
        <v>0</v>
      </c>
      <c r="KQV39" s="987"/>
      <c r="KQW39" s="987"/>
      <c r="KQX39" s="987"/>
      <c r="KQY39" s="987"/>
      <c r="KQZ39" s="987">
        <f t="shared" si="257"/>
        <v>0</v>
      </c>
      <c r="KRA39" s="1026" t="s">
        <v>45</v>
      </c>
      <c r="KRB39" s="434"/>
      <c r="KRC39" s="1027"/>
      <c r="KRD39" s="1027"/>
      <c r="KRE39" s="24"/>
      <c r="KRF39" s="1027"/>
      <c r="KRG39" s="1027"/>
      <c r="KRH39" s="25"/>
      <c r="KRI39" s="987">
        <f>SUM(KRI36:KRI38)</f>
        <v>0</v>
      </c>
      <c r="KRJ39" s="987">
        <f t="shared" si="256"/>
        <v>0</v>
      </c>
      <c r="KRK39" s="987">
        <f t="shared" si="256"/>
        <v>0</v>
      </c>
      <c r="KRL39" s="987"/>
      <c r="KRM39" s="987"/>
      <c r="KRN39" s="987"/>
      <c r="KRO39" s="987"/>
      <c r="KRP39" s="987">
        <f t="shared" si="257"/>
        <v>0</v>
      </c>
      <c r="KRQ39" s="1026" t="s">
        <v>45</v>
      </c>
      <c r="KRR39" s="434"/>
      <c r="KRS39" s="1027"/>
      <c r="KRT39" s="1027"/>
      <c r="KRU39" s="24"/>
      <c r="KRV39" s="1027"/>
      <c r="KRW39" s="1027"/>
      <c r="KRX39" s="25"/>
      <c r="KRY39" s="987">
        <f>SUM(KRY36:KRY38)</f>
        <v>0</v>
      </c>
      <c r="KRZ39" s="987">
        <f t="shared" si="256"/>
        <v>0</v>
      </c>
      <c r="KSA39" s="987">
        <f t="shared" si="256"/>
        <v>0</v>
      </c>
      <c r="KSB39" s="987"/>
      <c r="KSC39" s="987"/>
      <c r="KSD39" s="987"/>
      <c r="KSE39" s="987"/>
      <c r="KSF39" s="987">
        <f t="shared" si="257"/>
        <v>0</v>
      </c>
      <c r="KSG39" s="1026" t="s">
        <v>45</v>
      </c>
      <c r="KSH39" s="434"/>
      <c r="KSI39" s="1027"/>
      <c r="KSJ39" s="1027"/>
      <c r="KSK39" s="24"/>
      <c r="KSL39" s="1027"/>
      <c r="KSM39" s="1027"/>
      <c r="KSN39" s="25"/>
      <c r="KSO39" s="987">
        <f>SUM(KSO36:KSO38)</f>
        <v>0</v>
      </c>
      <c r="KSP39" s="987">
        <f t="shared" ref="KSP39:KUM39" si="258">SUM(KSP36:KSP38)</f>
        <v>0</v>
      </c>
      <c r="KSQ39" s="987">
        <f t="shared" si="258"/>
        <v>0</v>
      </c>
      <c r="KSR39" s="987"/>
      <c r="KSS39" s="987"/>
      <c r="KST39" s="987"/>
      <c r="KSU39" s="987"/>
      <c r="KSV39" s="987">
        <f t="shared" ref="KSV39:KUR39" si="259">SUM(KSV36:KSV38)</f>
        <v>0</v>
      </c>
      <c r="KSW39" s="1026" t="s">
        <v>45</v>
      </c>
      <c r="KSX39" s="434"/>
      <c r="KSY39" s="1027"/>
      <c r="KSZ39" s="1027"/>
      <c r="KTA39" s="24"/>
      <c r="KTB39" s="1027"/>
      <c r="KTC39" s="1027"/>
      <c r="KTD39" s="25"/>
      <c r="KTE39" s="987">
        <f>SUM(KTE36:KTE38)</f>
        <v>0</v>
      </c>
      <c r="KTF39" s="987">
        <f t="shared" si="258"/>
        <v>0</v>
      </c>
      <c r="KTG39" s="987">
        <f t="shared" si="258"/>
        <v>0</v>
      </c>
      <c r="KTH39" s="987"/>
      <c r="KTI39" s="987"/>
      <c r="KTJ39" s="987"/>
      <c r="KTK39" s="987"/>
      <c r="KTL39" s="987">
        <f t="shared" si="259"/>
        <v>0</v>
      </c>
      <c r="KTM39" s="1026" t="s">
        <v>45</v>
      </c>
      <c r="KTN39" s="434"/>
      <c r="KTO39" s="1027"/>
      <c r="KTP39" s="1027"/>
      <c r="KTQ39" s="24"/>
      <c r="KTR39" s="1027"/>
      <c r="KTS39" s="1027"/>
      <c r="KTT39" s="25"/>
      <c r="KTU39" s="987">
        <f>SUM(KTU36:KTU38)</f>
        <v>0</v>
      </c>
      <c r="KTV39" s="987">
        <f t="shared" si="258"/>
        <v>0</v>
      </c>
      <c r="KTW39" s="987">
        <f t="shared" si="258"/>
        <v>0</v>
      </c>
      <c r="KTX39" s="987"/>
      <c r="KTY39" s="987"/>
      <c r="KTZ39" s="987"/>
      <c r="KUA39" s="987"/>
      <c r="KUB39" s="987">
        <f t="shared" si="259"/>
        <v>0</v>
      </c>
      <c r="KUC39" s="1026" t="s">
        <v>45</v>
      </c>
      <c r="KUD39" s="434"/>
      <c r="KUE39" s="1027"/>
      <c r="KUF39" s="1027"/>
      <c r="KUG39" s="24"/>
      <c r="KUH39" s="1027"/>
      <c r="KUI39" s="1027"/>
      <c r="KUJ39" s="25"/>
      <c r="KUK39" s="987">
        <f>SUM(KUK36:KUK38)</f>
        <v>0</v>
      </c>
      <c r="KUL39" s="987">
        <f t="shared" si="258"/>
        <v>0</v>
      </c>
      <c r="KUM39" s="987">
        <f t="shared" si="258"/>
        <v>0</v>
      </c>
      <c r="KUN39" s="987"/>
      <c r="KUO39" s="987"/>
      <c r="KUP39" s="987"/>
      <c r="KUQ39" s="987"/>
      <c r="KUR39" s="987">
        <f t="shared" si="259"/>
        <v>0</v>
      </c>
      <c r="KUS39" s="1026" t="s">
        <v>45</v>
      </c>
      <c r="KUT39" s="434"/>
      <c r="KUU39" s="1027"/>
      <c r="KUV39" s="1027"/>
      <c r="KUW39" s="24"/>
      <c r="KUX39" s="1027"/>
      <c r="KUY39" s="1027"/>
      <c r="KUZ39" s="25"/>
      <c r="KVA39" s="987">
        <f>SUM(KVA36:KVA38)</f>
        <v>0</v>
      </c>
      <c r="KVB39" s="987">
        <f t="shared" ref="KVB39:KWY39" si="260">SUM(KVB36:KVB38)</f>
        <v>0</v>
      </c>
      <c r="KVC39" s="987">
        <f t="shared" si="260"/>
        <v>0</v>
      </c>
      <c r="KVD39" s="987"/>
      <c r="KVE39" s="987"/>
      <c r="KVF39" s="987"/>
      <c r="KVG39" s="987"/>
      <c r="KVH39" s="987">
        <f t="shared" ref="KVH39:KXD39" si="261">SUM(KVH36:KVH38)</f>
        <v>0</v>
      </c>
      <c r="KVI39" s="1026" t="s">
        <v>45</v>
      </c>
      <c r="KVJ39" s="434"/>
      <c r="KVK39" s="1027"/>
      <c r="KVL39" s="1027"/>
      <c r="KVM39" s="24"/>
      <c r="KVN39" s="1027"/>
      <c r="KVO39" s="1027"/>
      <c r="KVP39" s="25"/>
      <c r="KVQ39" s="987">
        <f>SUM(KVQ36:KVQ38)</f>
        <v>0</v>
      </c>
      <c r="KVR39" s="987">
        <f t="shared" si="260"/>
        <v>0</v>
      </c>
      <c r="KVS39" s="987">
        <f t="shared" si="260"/>
        <v>0</v>
      </c>
      <c r="KVT39" s="987"/>
      <c r="KVU39" s="987"/>
      <c r="KVV39" s="987"/>
      <c r="KVW39" s="987"/>
      <c r="KVX39" s="987">
        <f t="shared" si="261"/>
        <v>0</v>
      </c>
      <c r="KVY39" s="1026" t="s">
        <v>45</v>
      </c>
      <c r="KVZ39" s="434"/>
      <c r="KWA39" s="1027"/>
      <c r="KWB39" s="1027"/>
      <c r="KWC39" s="24"/>
      <c r="KWD39" s="1027"/>
      <c r="KWE39" s="1027"/>
      <c r="KWF39" s="25"/>
      <c r="KWG39" s="987">
        <f>SUM(KWG36:KWG38)</f>
        <v>0</v>
      </c>
      <c r="KWH39" s="987">
        <f t="shared" si="260"/>
        <v>0</v>
      </c>
      <c r="KWI39" s="987">
        <f t="shared" si="260"/>
        <v>0</v>
      </c>
      <c r="KWJ39" s="987"/>
      <c r="KWK39" s="987"/>
      <c r="KWL39" s="987"/>
      <c r="KWM39" s="987"/>
      <c r="KWN39" s="987">
        <f t="shared" si="261"/>
        <v>0</v>
      </c>
      <c r="KWO39" s="1026" t="s">
        <v>45</v>
      </c>
      <c r="KWP39" s="434"/>
      <c r="KWQ39" s="1027"/>
      <c r="KWR39" s="1027"/>
      <c r="KWS39" s="24"/>
      <c r="KWT39" s="1027"/>
      <c r="KWU39" s="1027"/>
      <c r="KWV39" s="25"/>
      <c r="KWW39" s="987">
        <f>SUM(KWW36:KWW38)</f>
        <v>0</v>
      </c>
      <c r="KWX39" s="987">
        <f t="shared" si="260"/>
        <v>0</v>
      </c>
      <c r="KWY39" s="987">
        <f t="shared" si="260"/>
        <v>0</v>
      </c>
      <c r="KWZ39" s="987"/>
      <c r="KXA39" s="987"/>
      <c r="KXB39" s="987"/>
      <c r="KXC39" s="987"/>
      <c r="KXD39" s="987">
        <f t="shared" si="261"/>
        <v>0</v>
      </c>
      <c r="KXE39" s="1026" t="s">
        <v>45</v>
      </c>
      <c r="KXF39" s="434"/>
      <c r="KXG39" s="1027"/>
      <c r="KXH39" s="1027"/>
      <c r="KXI39" s="24"/>
      <c r="KXJ39" s="1027"/>
      <c r="KXK39" s="1027"/>
      <c r="KXL39" s="25"/>
      <c r="KXM39" s="987">
        <f>SUM(KXM36:KXM38)</f>
        <v>0</v>
      </c>
      <c r="KXN39" s="987">
        <f t="shared" ref="KXN39:KZK39" si="262">SUM(KXN36:KXN38)</f>
        <v>0</v>
      </c>
      <c r="KXO39" s="987">
        <f t="shared" si="262"/>
        <v>0</v>
      </c>
      <c r="KXP39" s="987"/>
      <c r="KXQ39" s="987"/>
      <c r="KXR39" s="987"/>
      <c r="KXS39" s="987"/>
      <c r="KXT39" s="987">
        <f t="shared" ref="KXT39:KZP39" si="263">SUM(KXT36:KXT38)</f>
        <v>0</v>
      </c>
      <c r="KXU39" s="1026" t="s">
        <v>45</v>
      </c>
      <c r="KXV39" s="434"/>
      <c r="KXW39" s="1027"/>
      <c r="KXX39" s="1027"/>
      <c r="KXY39" s="24"/>
      <c r="KXZ39" s="1027"/>
      <c r="KYA39" s="1027"/>
      <c r="KYB39" s="25"/>
      <c r="KYC39" s="987">
        <f>SUM(KYC36:KYC38)</f>
        <v>0</v>
      </c>
      <c r="KYD39" s="987">
        <f t="shared" si="262"/>
        <v>0</v>
      </c>
      <c r="KYE39" s="987">
        <f t="shared" si="262"/>
        <v>0</v>
      </c>
      <c r="KYF39" s="987"/>
      <c r="KYG39" s="987"/>
      <c r="KYH39" s="987"/>
      <c r="KYI39" s="987"/>
      <c r="KYJ39" s="987">
        <f t="shared" si="263"/>
        <v>0</v>
      </c>
      <c r="KYK39" s="1026" t="s">
        <v>45</v>
      </c>
      <c r="KYL39" s="434"/>
      <c r="KYM39" s="1027"/>
      <c r="KYN39" s="1027"/>
      <c r="KYO39" s="24"/>
      <c r="KYP39" s="1027"/>
      <c r="KYQ39" s="1027"/>
      <c r="KYR39" s="25"/>
      <c r="KYS39" s="987">
        <f>SUM(KYS36:KYS38)</f>
        <v>0</v>
      </c>
      <c r="KYT39" s="987">
        <f t="shared" si="262"/>
        <v>0</v>
      </c>
      <c r="KYU39" s="987">
        <f t="shared" si="262"/>
        <v>0</v>
      </c>
      <c r="KYV39" s="987"/>
      <c r="KYW39" s="987"/>
      <c r="KYX39" s="987"/>
      <c r="KYY39" s="987"/>
      <c r="KYZ39" s="987">
        <f t="shared" si="263"/>
        <v>0</v>
      </c>
      <c r="KZA39" s="1026" t="s">
        <v>45</v>
      </c>
      <c r="KZB39" s="434"/>
      <c r="KZC39" s="1027"/>
      <c r="KZD39" s="1027"/>
      <c r="KZE39" s="24"/>
      <c r="KZF39" s="1027"/>
      <c r="KZG39" s="1027"/>
      <c r="KZH39" s="25"/>
      <c r="KZI39" s="987">
        <f>SUM(KZI36:KZI38)</f>
        <v>0</v>
      </c>
      <c r="KZJ39" s="987">
        <f t="shared" si="262"/>
        <v>0</v>
      </c>
      <c r="KZK39" s="987">
        <f t="shared" si="262"/>
        <v>0</v>
      </c>
      <c r="KZL39" s="987"/>
      <c r="KZM39" s="987"/>
      <c r="KZN39" s="987"/>
      <c r="KZO39" s="987"/>
      <c r="KZP39" s="987">
        <f t="shared" si="263"/>
        <v>0</v>
      </c>
      <c r="KZQ39" s="1026" t="s">
        <v>45</v>
      </c>
      <c r="KZR39" s="434"/>
      <c r="KZS39" s="1027"/>
      <c r="KZT39" s="1027"/>
      <c r="KZU39" s="24"/>
      <c r="KZV39" s="1027"/>
      <c r="KZW39" s="1027"/>
      <c r="KZX39" s="25"/>
      <c r="KZY39" s="987">
        <f>SUM(KZY36:KZY38)</f>
        <v>0</v>
      </c>
      <c r="KZZ39" s="987">
        <f t="shared" ref="KZZ39:LBW39" si="264">SUM(KZZ36:KZZ38)</f>
        <v>0</v>
      </c>
      <c r="LAA39" s="987">
        <f t="shared" si="264"/>
        <v>0</v>
      </c>
      <c r="LAB39" s="987"/>
      <c r="LAC39" s="987"/>
      <c r="LAD39" s="987"/>
      <c r="LAE39" s="987"/>
      <c r="LAF39" s="987">
        <f t="shared" ref="LAF39:LCB39" si="265">SUM(LAF36:LAF38)</f>
        <v>0</v>
      </c>
      <c r="LAG39" s="1026" t="s">
        <v>45</v>
      </c>
      <c r="LAH39" s="434"/>
      <c r="LAI39" s="1027"/>
      <c r="LAJ39" s="1027"/>
      <c r="LAK39" s="24"/>
      <c r="LAL39" s="1027"/>
      <c r="LAM39" s="1027"/>
      <c r="LAN39" s="25"/>
      <c r="LAO39" s="987">
        <f>SUM(LAO36:LAO38)</f>
        <v>0</v>
      </c>
      <c r="LAP39" s="987">
        <f t="shared" si="264"/>
        <v>0</v>
      </c>
      <c r="LAQ39" s="987">
        <f t="shared" si="264"/>
        <v>0</v>
      </c>
      <c r="LAR39" s="987"/>
      <c r="LAS39" s="987"/>
      <c r="LAT39" s="987"/>
      <c r="LAU39" s="987"/>
      <c r="LAV39" s="987">
        <f t="shared" si="265"/>
        <v>0</v>
      </c>
      <c r="LAW39" s="1026" t="s">
        <v>45</v>
      </c>
      <c r="LAX39" s="434"/>
      <c r="LAY39" s="1027"/>
      <c r="LAZ39" s="1027"/>
      <c r="LBA39" s="24"/>
      <c r="LBB39" s="1027"/>
      <c r="LBC39" s="1027"/>
      <c r="LBD39" s="25"/>
      <c r="LBE39" s="987">
        <f>SUM(LBE36:LBE38)</f>
        <v>0</v>
      </c>
      <c r="LBF39" s="987">
        <f t="shared" si="264"/>
        <v>0</v>
      </c>
      <c r="LBG39" s="987">
        <f t="shared" si="264"/>
        <v>0</v>
      </c>
      <c r="LBH39" s="987"/>
      <c r="LBI39" s="987"/>
      <c r="LBJ39" s="987"/>
      <c r="LBK39" s="987"/>
      <c r="LBL39" s="987">
        <f t="shared" si="265"/>
        <v>0</v>
      </c>
      <c r="LBM39" s="1026" t="s">
        <v>45</v>
      </c>
      <c r="LBN39" s="434"/>
      <c r="LBO39" s="1027"/>
      <c r="LBP39" s="1027"/>
      <c r="LBQ39" s="24"/>
      <c r="LBR39" s="1027"/>
      <c r="LBS39" s="1027"/>
      <c r="LBT39" s="25"/>
      <c r="LBU39" s="987">
        <f>SUM(LBU36:LBU38)</f>
        <v>0</v>
      </c>
      <c r="LBV39" s="987">
        <f t="shared" si="264"/>
        <v>0</v>
      </c>
      <c r="LBW39" s="987">
        <f t="shared" si="264"/>
        <v>0</v>
      </c>
      <c r="LBX39" s="987"/>
      <c r="LBY39" s="987"/>
      <c r="LBZ39" s="987"/>
      <c r="LCA39" s="987"/>
      <c r="LCB39" s="987">
        <f t="shared" si="265"/>
        <v>0</v>
      </c>
      <c r="LCC39" s="1026" t="s">
        <v>45</v>
      </c>
      <c r="LCD39" s="434"/>
      <c r="LCE39" s="1027"/>
      <c r="LCF39" s="1027"/>
      <c r="LCG39" s="24"/>
      <c r="LCH39" s="1027"/>
      <c r="LCI39" s="1027"/>
      <c r="LCJ39" s="25"/>
      <c r="LCK39" s="987">
        <f>SUM(LCK36:LCK38)</f>
        <v>0</v>
      </c>
      <c r="LCL39" s="987">
        <f t="shared" ref="LCL39:LEI39" si="266">SUM(LCL36:LCL38)</f>
        <v>0</v>
      </c>
      <c r="LCM39" s="987">
        <f t="shared" si="266"/>
        <v>0</v>
      </c>
      <c r="LCN39" s="987"/>
      <c r="LCO39" s="987"/>
      <c r="LCP39" s="987"/>
      <c r="LCQ39" s="987"/>
      <c r="LCR39" s="987">
        <f t="shared" ref="LCR39:LEN39" si="267">SUM(LCR36:LCR38)</f>
        <v>0</v>
      </c>
      <c r="LCS39" s="1026" t="s">
        <v>45</v>
      </c>
      <c r="LCT39" s="434"/>
      <c r="LCU39" s="1027"/>
      <c r="LCV39" s="1027"/>
      <c r="LCW39" s="24"/>
      <c r="LCX39" s="1027"/>
      <c r="LCY39" s="1027"/>
      <c r="LCZ39" s="25"/>
      <c r="LDA39" s="987">
        <f>SUM(LDA36:LDA38)</f>
        <v>0</v>
      </c>
      <c r="LDB39" s="987">
        <f t="shared" si="266"/>
        <v>0</v>
      </c>
      <c r="LDC39" s="987">
        <f t="shared" si="266"/>
        <v>0</v>
      </c>
      <c r="LDD39" s="987"/>
      <c r="LDE39" s="987"/>
      <c r="LDF39" s="987"/>
      <c r="LDG39" s="987"/>
      <c r="LDH39" s="987">
        <f t="shared" si="267"/>
        <v>0</v>
      </c>
      <c r="LDI39" s="1026" t="s">
        <v>45</v>
      </c>
      <c r="LDJ39" s="434"/>
      <c r="LDK39" s="1027"/>
      <c r="LDL39" s="1027"/>
      <c r="LDM39" s="24"/>
      <c r="LDN39" s="1027"/>
      <c r="LDO39" s="1027"/>
      <c r="LDP39" s="25"/>
      <c r="LDQ39" s="987">
        <f>SUM(LDQ36:LDQ38)</f>
        <v>0</v>
      </c>
      <c r="LDR39" s="987">
        <f t="shared" si="266"/>
        <v>0</v>
      </c>
      <c r="LDS39" s="987">
        <f t="shared" si="266"/>
        <v>0</v>
      </c>
      <c r="LDT39" s="987"/>
      <c r="LDU39" s="987"/>
      <c r="LDV39" s="987"/>
      <c r="LDW39" s="987"/>
      <c r="LDX39" s="987">
        <f t="shared" si="267"/>
        <v>0</v>
      </c>
      <c r="LDY39" s="1026" t="s">
        <v>45</v>
      </c>
      <c r="LDZ39" s="434"/>
      <c r="LEA39" s="1027"/>
      <c r="LEB39" s="1027"/>
      <c r="LEC39" s="24"/>
      <c r="LED39" s="1027"/>
      <c r="LEE39" s="1027"/>
      <c r="LEF39" s="25"/>
      <c r="LEG39" s="987">
        <f>SUM(LEG36:LEG38)</f>
        <v>0</v>
      </c>
      <c r="LEH39" s="987">
        <f t="shared" si="266"/>
        <v>0</v>
      </c>
      <c r="LEI39" s="987">
        <f t="shared" si="266"/>
        <v>0</v>
      </c>
      <c r="LEJ39" s="987"/>
      <c r="LEK39" s="987"/>
      <c r="LEL39" s="987"/>
      <c r="LEM39" s="987"/>
      <c r="LEN39" s="987">
        <f t="shared" si="267"/>
        <v>0</v>
      </c>
      <c r="LEO39" s="1026" t="s">
        <v>45</v>
      </c>
      <c r="LEP39" s="434"/>
      <c r="LEQ39" s="1027"/>
      <c r="LER39" s="1027"/>
      <c r="LES39" s="24"/>
      <c r="LET39" s="1027"/>
      <c r="LEU39" s="1027"/>
      <c r="LEV39" s="25"/>
      <c r="LEW39" s="987">
        <f>SUM(LEW36:LEW38)</f>
        <v>0</v>
      </c>
      <c r="LEX39" s="987">
        <f t="shared" ref="LEX39:LGU39" si="268">SUM(LEX36:LEX38)</f>
        <v>0</v>
      </c>
      <c r="LEY39" s="987">
        <f t="shared" si="268"/>
        <v>0</v>
      </c>
      <c r="LEZ39" s="987"/>
      <c r="LFA39" s="987"/>
      <c r="LFB39" s="987"/>
      <c r="LFC39" s="987"/>
      <c r="LFD39" s="987">
        <f t="shared" ref="LFD39:LGZ39" si="269">SUM(LFD36:LFD38)</f>
        <v>0</v>
      </c>
      <c r="LFE39" s="1026" t="s">
        <v>45</v>
      </c>
      <c r="LFF39" s="434"/>
      <c r="LFG39" s="1027"/>
      <c r="LFH39" s="1027"/>
      <c r="LFI39" s="24"/>
      <c r="LFJ39" s="1027"/>
      <c r="LFK39" s="1027"/>
      <c r="LFL39" s="25"/>
      <c r="LFM39" s="987">
        <f>SUM(LFM36:LFM38)</f>
        <v>0</v>
      </c>
      <c r="LFN39" s="987">
        <f t="shared" si="268"/>
        <v>0</v>
      </c>
      <c r="LFO39" s="987">
        <f t="shared" si="268"/>
        <v>0</v>
      </c>
      <c r="LFP39" s="987"/>
      <c r="LFQ39" s="987"/>
      <c r="LFR39" s="987"/>
      <c r="LFS39" s="987"/>
      <c r="LFT39" s="987">
        <f t="shared" si="269"/>
        <v>0</v>
      </c>
      <c r="LFU39" s="1026" t="s">
        <v>45</v>
      </c>
      <c r="LFV39" s="434"/>
      <c r="LFW39" s="1027"/>
      <c r="LFX39" s="1027"/>
      <c r="LFY39" s="24"/>
      <c r="LFZ39" s="1027"/>
      <c r="LGA39" s="1027"/>
      <c r="LGB39" s="25"/>
      <c r="LGC39" s="987">
        <f>SUM(LGC36:LGC38)</f>
        <v>0</v>
      </c>
      <c r="LGD39" s="987">
        <f t="shared" si="268"/>
        <v>0</v>
      </c>
      <c r="LGE39" s="987">
        <f t="shared" si="268"/>
        <v>0</v>
      </c>
      <c r="LGF39" s="987"/>
      <c r="LGG39" s="987"/>
      <c r="LGH39" s="987"/>
      <c r="LGI39" s="987"/>
      <c r="LGJ39" s="987">
        <f t="shared" si="269"/>
        <v>0</v>
      </c>
      <c r="LGK39" s="1026" t="s">
        <v>45</v>
      </c>
      <c r="LGL39" s="434"/>
      <c r="LGM39" s="1027"/>
      <c r="LGN39" s="1027"/>
      <c r="LGO39" s="24"/>
      <c r="LGP39" s="1027"/>
      <c r="LGQ39" s="1027"/>
      <c r="LGR39" s="25"/>
      <c r="LGS39" s="987">
        <f>SUM(LGS36:LGS38)</f>
        <v>0</v>
      </c>
      <c r="LGT39" s="987">
        <f t="shared" si="268"/>
        <v>0</v>
      </c>
      <c r="LGU39" s="987">
        <f t="shared" si="268"/>
        <v>0</v>
      </c>
      <c r="LGV39" s="987"/>
      <c r="LGW39" s="987"/>
      <c r="LGX39" s="987"/>
      <c r="LGY39" s="987"/>
      <c r="LGZ39" s="987">
        <f t="shared" si="269"/>
        <v>0</v>
      </c>
      <c r="LHA39" s="1026" t="s">
        <v>45</v>
      </c>
      <c r="LHB39" s="434"/>
      <c r="LHC39" s="1027"/>
      <c r="LHD39" s="1027"/>
      <c r="LHE39" s="24"/>
      <c r="LHF39" s="1027"/>
      <c r="LHG39" s="1027"/>
      <c r="LHH39" s="25"/>
      <c r="LHI39" s="987">
        <f>SUM(LHI36:LHI38)</f>
        <v>0</v>
      </c>
      <c r="LHJ39" s="987">
        <f t="shared" ref="LHJ39:LJG39" si="270">SUM(LHJ36:LHJ38)</f>
        <v>0</v>
      </c>
      <c r="LHK39" s="987">
        <f t="shared" si="270"/>
        <v>0</v>
      </c>
      <c r="LHL39" s="987"/>
      <c r="LHM39" s="987"/>
      <c r="LHN39" s="987"/>
      <c r="LHO39" s="987"/>
      <c r="LHP39" s="987">
        <f t="shared" ref="LHP39:LJL39" si="271">SUM(LHP36:LHP38)</f>
        <v>0</v>
      </c>
      <c r="LHQ39" s="1026" t="s">
        <v>45</v>
      </c>
      <c r="LHR39" s="434"/>
      <c r="LHS39" s="1027"/>
      <c r="LHT39" s="1027"/>
      <c r="LHU39" s="24"/>
      <c r="LHV39" s="1027"/>
      <c r="LHW39" s="1027"/>
      <c r="LHX39" s="25"/>
      <c r="LHY39" s="987">
        <f>SUM(LHY36:LHY38)</f>
        <v>0</v>
      </c>
      <c r="LHZ39" s="987">
        <f t="shared" si="270"/>
        <v>0</v>
      </c>
      <c r="LIA39" s="987">
        <f t="shared" si="270"/>
        <v>0</v>
      </c>
      <c r="LIB39" s="987"/>
      <c r="LIC39" s="987"/>
      <c r="LID39" s="987"/>
      <c r="LIE39" s="987"/>
      <c r="LIF39" s="987">
        <f t="shared" si="271"/>
        <v>0</v>
      </c>
      <c r="LIG39" s="1026" t="s">
        <v>45</v>
      </c>
      <c r="LIH39" s="434"/>
      <c r="LII39" s="1027"/>
      <c r="LIJ39" s="1027"/>
      <c r="LIK39" s="24"/>
      <c r="LIL39" s="1027"/>
      <c r="LIM39" s="1027"/>
      <c r="LIN39" s="25"/>
      <c r="LIO39" s="987">
        <f>SUM(LIO36:LIO38)</f>
        <v>0</v>
      </c>
      <c r="LIP39" s="987">
        <f t="shared" si="270"/>
        <v>0</v>
      </c>
      <c r="LIQ39" s="987">
        <f t="shared" si="270"/>
        <v>0</v>
      </c>
      <c r="LIR39" s="987"/>
      <c r="LIS39" s="987"/>
      <c r="LIT39" s="987"/>
      <c r="LIU39" s="987"/>
      <c r="LIV39" s="987">
        <f t="shared" si="271"/>
        <v>0</v>
      </c>
      <c r="LIW39" s="1026" t="s">
        <v>45</v>
      </c>
      <c r="LIX39" s="434"/>
      <c r="LIY39" s="1027"/>
      <c r="LIZ39" s="1027"/>
      <c r="LJA39" s="24"/>
      <c r="LJB39" s="1027"/>
      <c r="LJC39" s="1027"/>
      <c r="LJD39" s="25"/>
      <c r="LJE39" s="987">
        <f>SUM(LJE36:LJE38)</f>
        <v>0</v>
      </c>
      <c r="LJF39" s="987">
        <f t="shared" si="270"/>
        <v>0</v>
      </c>
      <c r="LJG39" s="987">
        <f t="shared" si="270"/>
        <v>0</v>
      </c>
      <c r="LJH39" s="987"/>
      <c r="LJI39" s="987"/>
      <c r="LJJ39" s="987"/>
      <c r="LJK39" s="987"/>
      <c r="LJL39" s="987">
        <f t="shared" si="271"/>
        <v>0</v>
      </c>
      <c r="LJM39" s="1026" t="s">
        <v>45</v>
      </c>
      <c r="LJN39" s="434"/>
      <c r="LJO39" s="1027"/>
      <c r="LJP39" s="1027"/>
      <c r="LJQ39" s="24"/>
      <c r="LJR39" s="1027"/>
      <c r="LJS39" s="1027"/>
      <c r="LJT39" s="25"/>
      <c r="LJU39" s="987">
        <f>SUM(LJU36:LJU38)</f>
        <v>0</v>
      </c>
      <c r="LJV39" s="987">
        <f t="shared" ref="LJV39:LLS39" si="272">SUM(LJV36:LJV38)</f>
        <v>0</v>
      </c>
      <c r="LJW39" s="987">
        <f t="shared" si="272"/>
        <v>0</v>
      </c>
      <c r="LJX39" s="987"/>
      <c r="LJY39" s="987"/>
      <c r="LJZ39" s="987"/>
      <c r="LKA39" s="987"/>
      <c r="LKB39" s="987">
        <f t="shared" ref="LKB39:LLX39" si="273">SUM(LKB36:LKB38)</f>
        <v>0</v>
      </c>
      <c r="LKC39" s="1026" t="s">
        <v>45</v>
      </c>
      <c r="LKD39" s="434"/>
      <c r="LKE39" s="1027"/>
      <c r="LKF39" s="1027"/>
      <c r="LKG39" s="24"/>
      <c r="LKH39" s="1027"/>
      <c r="LKI39" s="1027"/>
      <c r="LKJ39" s="25"/>
      <c r="LKK39" s="987">
        <f>SUM(LKK36:LKK38)</f>
        <v>0</v>
      </c>
      <c r="LKL39" s="987">
        <f t="shared" si="272"/>
        <v>0</v>
      </c>
      <c r="LKM39" s="987">
        <f t="shared" si="272"/>
        <v>0</v>
      </c>
      <c r="LKN39" s="987"/>
      <c r="LKO39" s="987"/>
      <c r="LKP39" s="987"/>
      <c r="LKQ39" s="987"/>
      <c r="LKR39" s="987">
        <f t="shared" si="273"/>
        <v>0</v>
      </c>
      <c r="LKS39" s="1026" t="s">
        <v>45</v>
      </c>
      <c r="LKT39" s="434"/>
      <c r="LKU39" s="1027"/>
      <c r="LKV39" s="1027"/>
      <c r="LKW39" s="24"/>
      <c r="LKX39" s="1027"/>
      <c r="LKY39" s="1027"/>
      <c r="LKZ39" s="25"/>
      <c r="LLA39" s="987">
        <f>SUM(LLA36:LLA38)</f>
        <v>0</v>
      </c>
      <c r="LLB39" s="987">
        <f t="shared" si="272"/>
        <v>0</v>
      </c>
      <c r="LLC39" s="987">
        <f t="shared" si="272"/>
        <v>0</v>
      </c>
      <c r="LLD39" s="987"/>
      <c r="LLE39" s="987"/>
      <c r="LLF39" s="987"/>
      <c r="LLG39" s="987"/>
      <c r="LLH39" s="987">
        <f t="shared" si="273"/>
        <v>0</v>
      </c>
      <c r="LLI39" s="1026" t="s">
        <v>45</v>
      </c>
      <c r="LLJ39" s="434"/>
      <c r="LLK39" s="1027"/>
      <c r="LLL39" s="1027"/>
      <c r="LLM39" s="24"/>
      <c r="LLN39" s="1027"/>
      <c r="LLO39" s="1027"/>
      <c r="LLP39" s="25"/>
      <c r="LLQ39" s="987">
        <f>SUM(LLQ36:LLQ38)</f>
        <v>0</v>
      </c>
      <c r="LLR39" s="987">
        <f t="shared" si="272"/>
        <v>0</v>
      </c>
      <c r="LLS39" s="987">
        <f t="shared" si="272"/>
        <v>0</v>
      </c>
      <c r="LLT39" s="987"/>
      <c r="LLU39" s="987"/>
      <c r="LLV39" s="987"/>
      <c r="LLW39" s="987"/>
      <c r="LLX39" s="987">
        <f t="shared" si="273"/>
        <v>0</v>
      </c>
      <c r="LLY39" s="1026" t="s">
        <v>45</v>
      </c>
      <c r="LLZ39" s="434"/>
      <c r="LMA39" s="1027"/>
      <c r="LMB39" s="1027"/>
      <c r="LMC39" s="24"/>
      <c r="LMD39" s="1027"/>
      <c r="LME39" s="1027"/>
      <c r="LMF39" s="25"/>
      <c r="LMG39" s="987">
        <f>SUM(LMG36:LMG38)</f>
        <v>0</v>
      </c>
      <c r="LMH39" s="987">
        <f t="shared" ref="LMH39:LOE39" si="274">SUM(LMH36:LMH38)</f>
        <v>0</v>
      </c>
      <c r="LMI39" s="987">
        <f t="shared" si="274"/>
        <v>0</v>
      </c>
      <c r="LMJ39" s="987"/>
      <c r="LMK39" s="987"/>
      <c r="LML39" s="987"/>
      <c r="LMM39" s="987"/>
      <c r="LMN39" s="987">
        <f t="shared" ref="LMN39:LOJ39" si="275">SUM(LMN36:LMN38)</f>
        <v>0</v>
      </c>
      <c r="LMO39" s="1026" t="s">
        <v>45</v>
      </c>
      <c r="LMP39" s="434"/>
      <c r="LMQ39" s="1027"/>
      <c r="LMR39" s="1027"/>
      <c r="LMS39" s="24"/>
      <c r="LMT39" s="1027"/>
      <c r="LMU39" s="1027"/>
      <c r="LMV39" s="25"/>
      <c r="LMW39" s="987">
        <f>SUM(LMW36:LMW38)</f>
        <v>0</v>
      </c>
      <c r="LMX39" s="987">
        <f t="shared" si="274"/>
        <v>0</v>
      </c>
      <c r="LMY39" s="987">
        <f t="shared" si="274"/>
        <v>0</v>
      </c>
      <c r="LMZ39" s="987"/>
      <c r="LNA39" s="987"/>
      <c r="LNB39" s="987"/>
      <c r="LNC39" s="987"/>
      <c r="LND39" s="987">
        <f t="shared" si="275"/>
        <v>0</v>
      </c>
      <c r="LNE39" s="1026" t="s">
        <v>45</v>
      </c>
      <c r="LNF39" s="434"/>
      <c r="LNG39" s="1027"/>
      <c r="LNH39" s="1027"/>
      <c r="LNI39" s="24"/>
      <c r="LNJ39" s="1027"/>
      <c r="LNK39" s="1027"/>
      <c r="LNL39" s="25"/>
      <c r="LNM39" s="987">
        <f>SUM(LNM36:LNM38)</f>
        <v>0</v>
      </c>
      <c r="LNN39" s="987">
        <f t="shared" si="274"/>
        <v>0</v>
      </c>
      <c r="LNO39" s="987">
        <f t="shared" si="274"/>
        <v>0</v>
      </c>
      <c r="LNP39" s="987"/>
      <c r="LNQ39" s="987"/>
      <c r="LNR39" s="987"/>
      <c r="LNS39" s="987"/>
      <c r="LNT39" s="987">
        <f t="shared" si="275"/>
        <v>0</v>
      </c>
      <c r="LNU39" s="1026" t="s">
        <v>45</v>
      </c>
      <c r="LNV39" s="434"/>
      <c r="LNW39" s="1027"/>
      <c r="LNX39" s="1027"/>
      <c r="LNY39" s="24"/>
      <c r="LNZ39" s="1027"/>
      <c r="LOA39" s="1027"/>
      <c r="LOB39" s="25"/>
      <c r="LOC39" s="987">
        <f>SUM(LOC36:LOC38)</f>
        <v>0</v>
      </c>
      <c r="LOD39" s="987">
        <f t="shared" si="274"/>
        <v>0</v>
      </c>
      <c r="LOE39" s="987">
        <f t="shared" si="274"/>
        <v>0</v>
      </c>
      <c r="LOF39" s="987"/>
      <c r="LOG39" s="987"/>
      <c r="LOH39" s="987"/>
      <c r="LOI39" s="987"/>
      <c r="LOJ39" s="987">
        <f t="shared" si="275"/>
        <v>0</v>
      </c>
      <c r="LOK39" s="1026" t="s">
        <v>45</v>
      </c>
      <c r="LOL39" s="434"/>
      <c r="LOM39" s="1027"/>
      <c r="LON39" s="1027"/>
      <c r="LOO39" s="24"/>
      <c r="LOP39" s="1027"/>
      <c r="LOQ39" s="1027"/>
      <c r="LOR39" s="25"/>
      <c r="LOS39" s="987">
        <f>SUM(LOS36:LOS38)</f>
        <v>0</v>
      </c>
      <c r="LOT39" s="987">
        <f t="shared" ref="LOT39:LQQ39" si="276">SUM(LOT36:LOT38)</f>
        <v>0</v>
      </c>
      <c r="LOU39" s="987">
        <f t="shared" si="276"/>
        <v>0</v>
      </c>
      <c r="LOV39" s="987"/>
      <c r="LOW39" s="987"/>
      <c r="LOX39" s="987"/>
      <c r="LOY39" s="987"/>
      <c r="LOZ39" s="987">
        <f t="shared" ref="LOZ39:LQV39" si="277">SUM(LOZ36:LOZ38)</f>
        <v>0</v>
      </c>
      <c r="LPA39" s="1026" t="s">
        <v>45</v>
      </c>
      <c r="LPB39" s="434"/>
      <c r="LPC39" s="1027"/>
      <c r="LPD39" s="1027"/>
      <c r="LPE39" s="24"/>
      <c r="LPF39" s="1027"/>
      <c r="LPG39" s="1027"/>
      <c r="LPH39" s="25"/>
      <c r="LPI39" s="987">
        <f>SUM(LPI36:LPI38)</f>
        <v>0</v>
      </c>
      <c r="LPJ39" s="987">
        <f t="shared" si="276"/>
        <v>0</v>
      </c>
      <c r="LPK39" s="987">
        <f t="shared" si="276"/>
        <v>0</v>
      </c>
      <c r="LPL39" s="987"/>
      <c r="LPM39" s="987"/>
      <c r="LPN39" s="987"/>
      <c r="LPO39" s="987"/>
      <c r="LPP39" s="987">
        <f t="shared" si="277"/>
        <v>0</v>
      </c>
      <c r="LPQ39" s="1026" t="s">
        <v>45</v>
      </c>
      <c r="LPR39" s="434"/>
      <c r="LPS39" s="1027"/>
      <c r="LPT39" s="1027"/>
      <c r="LPU39" s="24"/>
      <c r="LPV39" s="1027"/>
      <c r="LPW39" s="1027"/>
      <c r="LPX39" s="25"/>
      <c r="LPY39" s="987">
        <f>SUM(LPY36:LPY38)</f>
        <v>0</v>
      </c>
      <c r="LPZ39" s="987">
        <f t="shared" si="276"/>
        <v>0</v>
      </c>
      <c r="LQA39" s="987">
        <f t="shared" si="276"/>
        <v>0</v>
      </c>
      <c r="LQB39" s="987"/>
      <c r="LQC39" s="987"/>
      <c r="LQD39" s="987"/>
      <c r="LQE39" s="987"/>
      <c r="LQF39" s="987">
        <f t="shared" si="277"/>
        <v>0</v>
      </c>
      <c r="LQG39" s="1026" t="s">
        <v>45</v>
      </c>
      <c r="LQH39" s="434"/>
      <c r="LQI39" s="1027"/>
      <c r="LQJ39" s="1027"/>
      <c r="LQK39" s="24"/>
      <c r="LQL39" s="1027"/>
      <c r="LQM39" s="1027"/>
      <c r="LQN39" s="25"/>
      <c r="LQO39" s="987">
        <f>SUM(LQO36:LQO38)</f>
        <v>0</v>
      </c>
      <c r="LQP39" s="987">
        <f t="shared" si="276"/>
        <v>0</v>
      </c>
      <c r="LQQ39" s="987">
        <f t="shared" si="276"/>
        <v>0</v>
      </c>
      <c r="LQR39" s="987"/>
      <c r="LQS39" s="987"/>
      <c r="LQT39" s="987"/>
      <c r="LQU39" s="987"/>
      <c r="LQV39" s="987">
        <f t="shared" si="277"/>
        <v>0</v>
      </c>
      <c r="LQW39" s="1026" t="s">
        <v>45</v>
      </c>
      <c r="LQX39" s="434"/>
      <c r="LQY39" s="1027"/>
      <c r="LQZ39" s="1027"/>
      <c r="LRA39" s="24"/>
      <c r="LRB39" s="1027"/>
      <c r="LRC39" s="1027"/>
      <c r="LRD39" s="25"/>
      <c r="LRE39" s="987">
        <f>SUM(LRE36:LRE38)</f>
        <v>0</v>
      </c>
      <c r="LRF39" s="987">
        <f t="shared" ref="LRF39:LTC39" si="278">SUM(LRF36:LRF38)</f>
        <v>0</v>
      </c>
      <c r="LRG39" s="987">
        <f t="shared" si="278"/>
        <v>0</v>
      </c>
      <c r="LRH39" s="987"/>
      <c r="LRI39" s="987"/>
      <c r="LRJ39" s="987"/>
      <c r="LRK39" s="987"/>
      <c r="LRL39" s="987">
        <f t="shared" ref="LRL39:LTH39" si="279">SUM(LRL36:LRL38)</f>
        <v>0</v>
      </c>
      <c r="LRM39" s="1026" t="s">
        <v>45</v>
      </c>
      <c r="LRN39" s="434"/>
      <c r="LRO39" s="1027"/>
      <c r="LRP39" s="1027"/>
      <c r="LRQ39" s="24"/>
      <c r="LRR39" s="1027"/>
      <c r="LRS39" s="1027"/>
      <c r="LRT39" s="25"/>
      <c r="LRU39" s="987">
        <f>SUM(LRU36:LRU38)</f>
        <v>0</v>
      </c>
      <c r="LRV39" s="987">
        <f t="shared" si="278"/>
        <v>0</v>
      </c>
      <c r="LRW39" s="987">
        <f t="shared" si="278"/>
        <v>0</v>
      </c>
      <c r="LRX39" s="987"/>
      <c r="LRY39" s="987"/>
      <c r="LRZ39" s="987"/>
      <c r="LSA39" s="987"/>
      <c r="LSB39" s="987">
        <f t="shared" si="279"/>
        <v>0</v>
      </c>
      <c r="LSC39" s="1026" t="s">
        <v>45</v>
      </c>
      <c r="LSD39" s="434"/>
      <c r="LSE39" s="1027"/>
      <c r="LSF39" s="1027"/>
      <c r="LSG39" s="24"/>
      <c r="LSH39" s="1027"/>
      <c r="LSI39" s="1027"/>
      <c r="LSJ39" s="25"/>
      <c r="LSK39" s="987">
        <f>SUM(LSK36:LSK38)</f>
        <v>0</v>
      </c>
      <c r="LSL39" s="987">
        <f t="shared" si="278"/>
        <v>0</v>
      </c>
      <c r="LSM39" s="987">
        <f t="shared" si="278"/>
        <v>0</v>
      </c>
      <c r="LSN39" s="987"/>
      <c r="LSO39" s="987"/>
      <c r="LSP39" s="987"/>
      <c r="LSQ39" s="987"/>
      <c r="LSR39" s="987">
        <f t="shared" si="279"/>
        <v>0</v>
      </c>
      <c r="LSS39" s="1026" t="s">
        <v>45</v>
      </c>
      <c r="LST39" s="434"/>
      <c r="LSU39" s="1027"/>
      <c r="LSV39" s="1027"/>
      <c r="LSW39" s="24"/>
      <c r="LSX39" s="1027"/>
      <c r="LSY39" s="1027"/>
      <c r="LSZ39" s="25"/>
      <c r="LTA39" s="987">
        <f>SUM(LTA36:LTA38)</f>
        <v>0</v>
      </c>
      <c r="LTB39" s="987">
        <f t="shared" si="278"/>
        <v>0</v>
      </c>
      <c r="LTC39" s="987">
        <f t="shared" si="278"/>
        <v>0</v>
      </c>
      <c r="LTD39" s="987"/>
      <c r="LTE39" s="987"/>
      <c r="LTF39" s="987"/>
      <c r="LTG39" s="987"/>
      <c r="LTH39" s="987">
        <f t="shared" si="279"/>
        <v>0</v>
      </c>
      <c r="LTI39" s="1026" t="s">
        <v>45</v>
      </c>
      <c r="LTJ39" s="434"/>
      <c r="LTK39" s="1027"/>
      <c r="LTL39" s="1027"/>
      <c r="LTM39" s="24"/>
      <c r="LTN39" s="1027"/>
      <c r="LTO39" s="1027"/>
      <c r="LTP39" s="25"/>
      <c r="LTQ39" s="987">
        <f>SUM(LTQ36:LTQ38)</f>
        <v>0</v>
      </c>
      <c r="LTR39" s="987">
        <f t="shared" ref="LTR39:LVO39" si="280">SUM(LTR36:LTR38)</f>
        <v>0</v>
      </c>
      <c r="LTS39" s="987">
        <f t="shared" si="280"/>
        <v>0</v>
      </c>
      <c r="LTT39" s="987"/>
      <c r="LTU39" s="987"/>
      <c r="LTV39" s="987"/>
      <c r="LTW39" s="987"/>
      <c r="LTX39" s="987">
        <f t="shared" ref="LTX39:LVT39" si="281">SUM(LTX36:LTX38)</f>
        <v>0</v>
      </c>
      <c r="LTY39" s="1026" t="s">
        <v>45</v>
      </c>
      <c r="LTZ39" s="434"/>
      <c r="LUA39" s="1027"/>
      <c r="LUB39" s="1027"/>
      <c r="LUC39" s="24"/>
      <c r="LUD39" s="1027"/>
      <c r="LUE39" s="1027"/>
      <c r="LUF39" s="25"/>
      <c r="LUG39" s="987">
        <f>SUM(LUG36:LUG38)</f>
        <v>0</v>
      </c>
      <c r="LUH39" s="987">
        <f t="shared" si="280"/>
        <v>0</v>
      </c>
      <c r="LUI39" s="987">
        <f t="shared" si="280"/>
        <v>0</v>
      </c>
      <c r="LUJ39" s="987"/>
      <c r="LUK39" s="987"/>
      <c r="LUL39" s="987"/>
      <c r="LUM39" s="987"/>
      <c r="LUN39" s="987">
        <f t="shared" si="281"/>
        <v>0</v>
      </c>
      <c r="LUO39" s="1026" t="s">
        <v>45</v>
      </c>
      <c r="LUP39" s="434"/>
      <c r="LUQ39" s="1027"/>
      <c r="LUR39" s="1027"/>
      <c r="LUS39" s="24"/>
      <c r="LUT39" s="1027"/>
      <c r="LUU39" s="1027"/>
      <c r="LUV39" s="25"/>
      <c r="LUW39" s="987">
        <f>SUM(LUW36:LUW38)</f>
        <v>0</v>
      </c>
      <c r="LUX39" s="987">
        <f t="shared" si="280"/>
        <v>0</v>
      </c>
      <c r="LUY39" s="987">
        <f t="shared" si="280"/>
        <v>0</v>
      </c>
      <c r="LUZ39" s="987"/>
      <c r="LVA39" s="987"/>
      <c r="LVB39" s="987"/>
      <c r="LVC39" s="987"/>
      <c r="LVD39" s="987">
        <f t="shared" si="281"/>
        <v>0</v>
      </c>
      <c r="LVE39" s="1026" t="s">
        <v>45</v>
      </c>
      <c r="LVF39" s="434"/>
      <c r="LVG39" s="1027"/>
      <c r="LVH39" s="1027"/>
      <c r="LVI39" s="24"/>
      <c r="LVJ39" s="1027"/>
      <c r="LVK39" s="1027"/>
      <c r="LVL39" s="25"/>
      <c r="LVM39" s="987">
        <f>SUM(LVM36:LVM38)</f>
        <v>0</v>
      </c>
      <c r="LVN39" s="987">
        <f t="shared" si="280"/>
        <v>0</v>
      </c>
      <c r="LVO39" s="987">
        <f t="shared" si="280"/>
        <v>0</v>
      </c>
      <c r="LVP39" s="987"/>
      <c r="LVQ39" s="987"/>
      <c r="LVR39" s="987"/>
      <c r="LVS39" s="987"/>
      <c r="LVT39" s="987">
        <f t="shared" si="281"/>
        <v>0</v>
      </c>
      <c r="LVU39" s="1026" t="s">
        <v>45</v>
      </c>
      <c r="LVV39" s="434"/>
      <c r="LVW39" s="1027"/>
      <c r="LVX39" s="1027"/>
      <c r="LVY39" s="24"/>
      <c r="LVZ39" s="1027"/>
      <c r="LWA39" s="1027"/>
      <c r="LWB39" s="25"/>
      <c r="LWC39" s="987">
        <f>SUM(LWC36:LWC38)</f>
        <v>0</v>
      </c>
      <c r="LWD39" s="987">
        <f t="shared" ref="LWD39:LYA39" si="282">SUM(LWD36:LWD38)</f>
        <v>0</v>
      </c>
      <c r="LWE39" s="987">
        <f t="shared" si="282"/>
        <v>0</v>
      </c>
      <c r="LWF39" s="987"/>
      <c r="LWG39" s="987"/>
      <c r="LWH39" s="987"/>
      <c r="LWI39" s="987"/>
      <c r="LWJ39" s="987">
        <f t="shared" ref="LWJ39:LYF39" si="283">SUM(LWJ36:LWJ38)</f>
        <v>0</v>
      </c>
      <c r="LWK39" s="1026" t="s">
        <v>45</v>
      </c>
      <c r="LWL39" s="434"/>
      <c r="LWM39" s="1027"/>
      <c r="LWN39" s="1027"/>
      <c r="LWO39" s="24"/>
      <c r="LWP39" s="1027"/>
      <c r="LWQ39" s="1027"/>
      <c r="LWR39" s="25"/>
      <c r="LWS39" s="987">
        <f>SUM(LWS36:LWS38)</f>
        <v>0</v>
      </c>
      <c r="LWT39" s="987">
        <f t="shared" si="282"/>
        <v>0</v>
      </c>
      <c r="LWU39" s="987">
        <f t="shared" si="282"/>
        <v>0</v>
      </c>
      <c r="LWV39" s="987"/>
      <c r="LWW39" s="987"/>
      <c r="LWX39" s="987"/>
      <c r="LWY39" s="987"/>
      <c r="LWZ39" s="987">
        <f t="shared" si="283"/>
        <v>0</v>
      </c>
      <c r="LXA39" s="1026" t="s">
        <v>45</v>
      </c>
      <c r="LXB39" s="434"/>
      <c r="LXC39" s="1027"/>
      <c r="LXD39" s="1027"/>
      <c r="LXE39" s="24"/>
      <c r="LXF39" s="1027"/>
      <c r="LXG39" s="1027"/>
      <c r="LXH39" s="25"/>
      <c r="LXI39" s="987">
        <f>SUM(LXI36:LXI38)</f>
        <v>0</v>
      </c>
      <c r="LXJ39" s="987">
        <f t="shared" si="282"/>
        <v>0</v>
      </c>
      <c r="LXK39" s="987">
        <f t="shared" si="282"/>
        <v>0</v>
      </c>
      <c r="LXL39" s="987"/>
      <c r="LXM39" s="987"/>
      <c r="LXN39" s="987"/>
      <c r="LXO39" s="987"/>
      <c r="LXP39" s="987">
        <f t="shared" si="283"/>
        <v>0</v>
      </c>
      <c r="LXQ39" s="1026" t="s">
        <v>45</v>
      </c>
      <c r="LXR39" s="434"/>
      <c r="LXS39" s="1027"/>
      <c r="LXT39" s="1027"/>
      <c r="LXU39" s="24"/>
      <c r="LXV39" s="1027"/>
      <c r="LXW39" s="1027"/>
      <c r="LXX39" s="25"/>
      <c r="LXY39" s="987">
        <f>SUM(LXY36:LXY38)</f>
        <v>0</v>
      </c>
      <c r="LXZ39" s="987">
        <f t="shared" si="282"/>
        <v>0</v>
      </c>
      <c r="LYA39" s="987">
        <f t="shared" si="282"/>
        <v>0</v>
      </c>
      <c r="LYB39" s="987"/>
      <c r="LYC39" s="987"/>
      <c r="LYD39" s="987"/>
      <c r="LYE39" s="987"/>
      <c r="LYF39" s="987">
        <f t="shared" si="283"/>
        <v>0</v>
      </c>
      <c r="LYG39" s="1026" t="s">
        <v>45</v>
      </c>
      <c r="LYH39" s="434"/>
      <c r="LYI39" s="1027"/>
      <c r="LYJ39" s="1027"/>
      <c r="LYK39" s="24"/>
      <c r="LYL39" s="1027"/>
      <c r="LYM39" s="1027"/>
      <c r="LYN39" s="25"/>
      <c r="LYO39" s="987">
        <f>SUM(LYO36:LYO38)</f>
        <v>0</v>
      </c>
      <c r="LYP39" s="987">
        <f t="shared" ref="LYP39:MAM39" si="284">SUM(LYP36:LYP38)</f>
        <v>0</v>
      </c>
      <c r="LYQ39" s="987">
        <f t="shared" si="284"/>
        <v>0</v>
      </c>
      <c r="LYR39" s="987"/>
      <c r="LYS39" s="987"/>
      <c r="LYT39" s="987"/>
      <c r="LYU39" s="987"/>
      <c r="LYV39" s="987">
        <f t="shared" ref="LYV39:MAR39" si="285">SUM(LYV36:LYV38)</f>
        <v>0</v>
      </c>
      <c r="LYW39" s="1026" t="s">
        <v>45</v>
      </c>
      <c r="LYX39" s="434"/>
      <c r="LYY39" s="1027"/>
      <c r="LYZ39" s="1027"/>
      <c r="LZA39" s="24"/>
      <c r="LZB39" s="1027"/>
      <c r="LZC39" s="1027"/>
      <c r="LZD39" s="25"/>
      <c r="LZE39" s="987">
        <f>SUM(LZE36:LZE38)</f>
        <v>0</v>
      </c>
      <c r="LZF39" s="987">
        <f t="shared" si="284"/>
        <v>0</v>
      </c>
      <c r="LZG39" s="987">
        <f t="shared" si="284"/>
        <v>0</v>
      </c>
      <c r="LZH39" s="987"/>
      <c r="LZI39" s="987"/>
      <c r="LZJ39" s="987"/>
      <c r="LZK39" s="987"/>
      <c r="LZL39" s="987">
        <f t="shared" si="285"/>
        <v>0</v>
      </c>
      <c r="LZM39" s="1026" t="s">
        <v>45</v>
      </c>
      <c r="LZN39" s="434"/>
      <c r="LZO39" s="1027"/>
      <c r="LZP39" s="1027"/>
      <c r="LZQ39" s="24"/>
      <c r="LZR39" s="1027"/>
      <c r="LZS39" s="1027"/>
      <c r="LZT39" s="25"/>
      <c r="LZU39" s="987">
        <f>SUM(LZU36:LZU38)</f>
        <v>0</v>
      </c>
      <c r="LZV39" s="987">
        <f t="shared" si="284"/>
        <v>0</v>
      </c>
      <c r="LZW39" s="987">
        <f t="shared" si="284"/>
        <v>0</v>
      </c>
      <c r="LZX39" s="987"/>
      <c r="LZY39" s="987"/>
      <c r="LZZ39" s="987"/>
      <c r="MAA39" s="987"/>
      <c r="MAB39" s="987">
        <f t="shared" si="285"/>
        <v>0</v>
      </c>
      <c r="MAC39" s="1026" t="s">
        <v>45</v>
      </c>
      <c r="MAD39" s="434"/>
      <c r="MAE39" s="1027"/>
      <c r="MAF39" s="1027"/>
      <c r="MAG39" s="24"/>
      <c r="MAH39" s="1027"/>
      <c r="MAI39" s="1027"/>
      <c r="MAJ39" s="25"/>
      <c r="MAK39" s="987">
        <f>SUM(MAK36:MAK38)</f>
        <v>0</v>
      </c>
      <c r="MAL39" s="987">
        <f t="shared" si="284"/>
        <v>0</v>
      </c>
      <c r="MAM39" s="987">
        <f t="shared" si="284"/>
        <v>0</v>
      </c>
      <c r="MAN39" s="987"/>
      <c r="MAO39" s="987"/>
      <c r="MAP39" s="987"/>
      <c r="MAQ39" s="987"/>
      <c r="MAR39" s="987">
        <f t="shared" si="285"/>
        <v>0</v>
      </c>
      <c r="MAS39" s="1026" t="s">
        <v>45</v>
      </c>
      <c r="MAT39" s="434"/>
      <c r="MAU39" s="1027"/>
      <c r="MAV39" s="1027"/>
      <c r="MAW39" s="24"/>
      <c r="MAX39" s="1027"/>
      <c r="MAY39" s="1027"/>
      <c r="MAZ39" s="25"/>
      <c r="MBA39" s="987">
        <f>SUM(MBA36:MBA38)</f>
        <v>0</v>
      </c>
      <c r="MBB39" s="987">
        <f t="shared" ref="MBB39:MCY39" si="286">SUM(MBB36:MBB38)</f>
        <v>0</v>
      </c>
      <c r="MBC39" s="987">
        <f t="shared" si="286"/>
        <v>0</v>
      </c>
      <c r="MBD39" s="987"/>
      <c r="MBE39" s="987"/>
      <c r="MBF39" s="987"/>
      <c r="MBG39" s="987"/>
      <c r="MBH39" s="987">
        <f t="shared" ref="MBH39:MDD39" si="287">SUM(MBH36:MBH38)</f>
        <v>0</v>
      </c>
      <c r="MBI39" s="1026" t="s">
        <v>45</v>
      </c>
      <c r="MBJ39" s="434"/>
      <c r="MBK39" s="1027"/>
      <c r="MBL39" s="1027"/>
      <c r="MBM39" s="24"/>
      <c r="MBN39" s="1027"/>
      <c r="MBO39" s="1027"/>
      <c r="MBP39" s="25"/>
      <c r="MBQ39" s="987">
        <f>SUM(MBQ36:MBQ38)</f>
        <v>0</v>
      </c>
      <c r="MBR39" s="987">
        <f t="shared" si="286"/>
        <v>0</v>
      </c>
      <c r="MBS39" s="987">
        <f t="shared" si="286"/>
        <v>0</v>
      </c>
      <c r="MBT39" s="987"/>
      <c r="MBU39" s="987"/>
      <c r="MBV39" s="987"/>
      <c r="MBW39" s="987"/>
      <c r="MBX39" s="987">
        <f t="shared" si="287"/>
        <v>0</v>
      </c>
      <c r="MBY39" s="1026" t="s">
        <v>45</v>
      </c>
      <c r="MBZ39" s="434"/>
      <c r="MCA39" s="1027"/>
      <c r="MCB39" s="1027"/>
      <c r="MCC39" s="24"/>
      <c r="MCD39" s="1027"/>
      <c r="MCE39" s="1027"/>
      <c r="MCF39" s="25"/>
      <c r="MCG39" s="987">
        <f>SUM(MCG36:MCG38)</f>
        <v>0</v>
      </c>
      <c r="MCH39" s="987">
        <f t="shared" si="286"/>
        <v>0</v>
      </c>
      <c r="MCI39" s="987">
        <f t="shared" si="286"/>
        <v>0</v>
      </c>
      <c r="MCJ39" s="987"/>
      <c r="MCK39" s="987"/>
      <c r="MCL39" s="987"/>
      <c r="MCM39" s="987"/>
      <c r="MCN39" s="987">
        <f t="shared" si="287"/>
        <v>0</v>
      </c>
      <c r="MCO39" s="1026" t="s">
        <v>45</v>
      </c>
      <c r="MCP39" s="434"/>
      <c r="MCQ39" s="1027"/>
      <c r="MCR39" s="1027"/>
      <c r="MCS39" s="24"/>
      <c r="MCT39" s="1027"/>
      <c r="MCU39" s="1027"/>
      <c r="MCV39" s="25"/>
      <c r="MCW39" s="987">
        <f>SUM(MCW36:MCW38)</f>
        <v>0</v>
      </c>
      <c r="MCX39" s="987">
        <f t="shared" si="286"/>
        <v>0</v>
      </c>
      <c r="MCY39" s="987">
        <f t="shared" si="286"/>
        <v>0</v>
      </c>
      <c r="MCZ39" s="987"/>
      <c r="MDA39" s="987"/>
      <c r="MDB39" s="987"/>
      <c r="MDC39" s="987"/>
      <c r="MDD39" s="987">
        <f t="shared" si="287"/>
        <v>0</v>
      </c>
      <c r="MDE39" s="1026" t="s">
        <v>45</v>
      </c>
      <c r="MDF39" s="434"/>
      <c r="MDG39" s="1027"/>
      <c r="MDH39" s="1027"/>
      <c r="MDI39" s="24"/>
      <c r="MDJ39" s="1027"/>
      <c r="MDK39" s="1027"/>
      <c r="MDL39" s="25"/>
      <c r="MDM39" s="987">
        <f>SUM(MDM36:MDM38)</f>
        <v>0</v>
      </c>
      <c r="MDN39" s="987">
        <f t="shared" ref="MDN39:MFK39" si="288">SUM(MDN36:MDN38)</f>
        <v>0</v>
      </c>
      <c r="MDO39" s="987">
        <f t="shared" si="288"/>
        <v>0</v>
      </c>
      <c r="MDP39" s="987"/>
      <c r="MDQ39" s="987"/>
      <c r="MDR39" s="987"/>
      <c r="MDS39" s="987"/>
      <c r="MDT39" s="987">
        <f t="shared" ref="MDT39:MFP39" si="289">SUM(MDT36:MDT38)</f>
        <v>0</v>
      </c>
      <c r="MDU39" s="1026" t="s">
        <v>45</v>
      </c>
      <c r="MDV39" s="434"/>
      <c r="MDW39" s="1027"/>
      <c r="MDX39" s="1027"/>
      <c r="MDY39" s="24"/>
      <c r="MDZ39" s="1027"/>
      <c r="MEA39" s="1027"/>
      <c r="MEB39" s="25"/>
      <c r="MEC39" s="987">
        <f>SUM(MEC36:MEC38)</f>
        <v>0</v>
      </c>
      <c r="MED39" s="987">
        <f t="shared" si="288"/>
        <v>0</v>
      </c>
      <c r="MEE39" s="987">
        <f t="shared" si="288"/>
        <v>0</v>
      </c>
      <c r="MEF39" s="987"/>
      <c r="MEG39" s="987"/>
      <c r="MEH39" s="987"/>
      <c r="MEI39" s="987"/>
      <c r="MEJ39" s="987">
        <f t="shared" si="289"/>
        <v>0</v>
      </c>
      <c r="MEK39" s="1026" t="s">
        <v>45</v>
      </c>
      <c r="MEL39" s="434"/>
      <c r="MEM39" s="1027"/>
      <c r="MEN39" s="1027"/>
      <c r="MEO39" s="24"/>
      <c r="MEP39" s="1027"/>
      <c r="MEQ39" s="1027"/>
      <c r="MER39" s="25"/>
      <c r="MES39" s="987">
        <f>SUM(MES36:MES38)</f>
        <v>0</v>
      </c>
      <c r="MET39" s="987">
        <f t="shared" si="288"/>
        <v>0</v>
      </c>
      <c r="MEU39" s="987">
        <f t="shared" si="288"/>
        <v>0</v>
      </c>
      <c r="MEV39" s="987"/>
      <c r="MEW39" s="987"/>
      <c r="MEX39" s="987"/>
      <c r="MEY39" s="987"/>
      <c r="MEZ39" s="987">
        <f t="shared" si="289"/>
        <v>0</v>
      </c>
      <c r="MFA39" s="1026" t="s">
        <v>45</v>
      </c>
      <c r="MFB39" s="434"/>
      <c r="MFC39" s="1027"/>
      <c r="MFD39" s="1027"/>
      <c r="MFE39" s="24"/>
      <c r="MFF39" s="1027"/>
      <c r="MFG39" s="1027"/>
      <c r="MFH39" s="25"/>
      <c r="MFI39" s="987">
        <f>SUM(MFI36:MFI38)</f>
        <v>0</v>
      </c>
      <c r="MFJ39" s="987">
        <f t="shared" si="288"/>
        <v>0</v>
      </c>
      <c r="MFK39" s="987">
        <f t="shared" si="288"/>
        <v>0</v>
      </c>
      <c r="MFL39" s="987"/>
      <c r="MFM39" s="987"/>
      <c r="MFN39" s="987"/>
      <c r="MFO39" s="987"/>
      <c r="MFP39" s="987">
        <f t="shared" si="289"/>
        <v>0</v>
      </c>
      <c r="MFQ39" s="1026" t="s">
        <v>45</v>
      </c>
      <c r="MFR39" s="434"/>
      <c r="MFS39" s="1027"/>
      <c r="MFT39" s="1027"/>
      <c r="MFU39" s="24"/>
      <c r="MFV39" s="1027"/>
      <c r="MFW39" s="1027"/>
      <c r="MFX39" s="25"/>
      <c r="MFY39" s="987">
        <f>SUM(MFY36:MFY38)</f>
        <v>0</v>
      </c>
      <c r="MFZ39" s="987">
        <f t="shared" ref="MFZ39:MHW39" si="290">SUM(MFZ36:MFZ38)</f>
        <v>0</v>
      </c>
      <c r="MGA39" s="987">
        <f t="shared" si="290"/>
        <v>0</v>
      </c>
      <c r="MGB39" s="987"/>
      <c r="MGC39" s="987"/>
      <c r="MGD39" s="987"/>
      <c r="MGE39" s="987"/>
      <c r="MGF39" s="987">
        <f t="shared" ref="MGF39:MIB39" si="291">SUM(MGF36:MGF38)</f>
        <v>0</v>
      </c>
      <c r="MGG39" s="1026" t="s">
        <v>45</v>
      </c>
      <c r="MGH39" s="434"/>
      <c r="MGI39" s="1027"/>
      <c r="MGJ39" s="1027"/>
      <c r="MGK39" s="24"/>
      <c r="MGL39" s="1027"/>
      <c r="MGM39" s="1027"/>
      <c r="MGN39" s="25"/>
      <c r="MGO39" s="987">
        <f>SUM(MGO36:MGO38)</f>
        <v>0</v>
      </c>
      <c r="MGP39" s="987">
        <f t="shared" si="290"/>
        <v>0</v>
      </c>
      <c r="MGQ39" s="987">
        <f t="shared" si="290"/>
        <v>0</v>
      </c>
      <c r="MGR39" s="987"/>
      <c r="MGS39" s="987"/>
      <c r="MGT39" s="987"/>
      <c r="MGU39" s="987"/>
      <c r="MGV39" s="987">
        <f t="shared" si="291"/>
        <v>0</v>
      </c>
      <c r="MGW39" s="1026" t="s">
        <v>45</v>
      </c>
      <c r="MGX39" s="434"/>
      <c r="MGY39" s="1027"/>
      <c r="MGZ39" s="1027"/>
      <c r="MHA39" s="24"/>
      <c r="MHB39" s="1027"/>
      <c r="MHC39" s="1027"/>
      <c r="MHD39" s="25"/>
      <c r="MHE39" s="987">
        <f>SUM(MHE36:MHE38)</f>
        <v>0</v>
      </c>
      <c r="MHF39" s="987">
        <f t="shared" si="290"/>
        <v>0</v>
      </c>
      <c r="MHG39" s="987">
        <f t="shared" si="290"/>
        <v>0</v>
      </c>
      <c r="MHH39" s="987"/>
      <c r="MHI39" s="987"/>
      <c r="MHJ39" s="987"/>
      <c r="MHK39" s="987"/>
      <c r="MHL39" s="987">
        <f t="shared" si="291"/>
        <v>0</v>
      </c>
      <c r="MHM39" s="1026" t="s">
        <v>45</v>
      </c>
      <c r="MHN39" s="434"/>
      <c r="MHO39" s="1027"/>
      <c r="MHP39" s="1027"/>
      <c r="MHQ39" s="24"/>
      <c r="MHR39" s="1027"/>
      <c r="MHS39" s="1027"/>
      <c r="MHT39" s="25"/>
      <c r="MHU39" s="987">
        <f>SUM(MHU36:MHU38)</f>
        <v>0</v>
      </c>
      <c r="MHV39" s="987">
        <f t="shared" si="290"/>
        <v>0</v>
      </c>
      <c r="MHW39" s="987">
        <f t="shared" si="290"/>
        <v>0</v>
      </c>
      <c r="MHX39" s="987"/>
      <c r="MHY39" s="987"/>
      <c r="MHZ39" s="987"/>
      <c r="MIA39" s="987"/>
      <c r="MIB39" s="987">
        <f t="shared" si="291"/>
        <v>0</v>
      </c>
      <c r="MIC39" s="1026" t="s">
        <v>45</v>
      </c>
      <c r="MID39" s="434"/>
      <c r="MIE39" s="1027"/>
      <c r="MIF39" s="1027"/>
      <c r="MIG39" s="24"/>
      <c r="MIH39" s="1027"/>
      <c r="MII39" s="1027"/>
      <c r="MIJ39" s="25"/>
      <c r="MIK39" s="987">
        <f>SUM(MIK36:MIK38)</f>
        <v>0</v>
      </c>
      <c r="MIL39" s="987">
        <f t="shared" ref="MIL39:MKI39" si="292">SUM(MIL36:MIL38)</f>
        <v>0</v>
      </c>
      <c r="MIM39" s="987">
        <f t="shared" si="292"/>
        <v>0</v>
      </c>
      <c r="MIN39" s="987"/>
      <c r="MIO39" s="987"/>
      <c r="MIP39" s="987"/>
      <c r="MIQ39" s="987"/>
      <c r="MIR39" s="987">
        <f t="shared" ref="MIR39:MKN39" si="293">SUM(MIR36:MIR38)</f>
        <v>0</v>
      </c>
      <c r="MIS39" s="1026" t="s">
        <v>45</v>
      </c>
      <c r="MIT39" s="434"/>
      <c r="MIU39" s="1027"/>
      <c r="MIV39" s="1027"/>
      <c r="MIW39" s="24"/>
      <c r="MIX39" s="1027"/>
      <c r="MIY39" s="1027"/>
      <c r="MIZ39" s="25"/>
      <c r="MJA39" s="987">
        <f>SUM(MJA36:MJA38)</f>
        <v>0</v>
      </c>
      <c r="MJB39" s="987">
        <f t="shared" si="292"/>
        <v>0</v>
      </c>
      <c r="MJC39" s="987">
        <f t="shared" si="292"/>
        <v>0</v>
      </c>
      <c r="MJD39" s="987"/>
      <c r="MJE39" s="987"/>
      <c r="MJF39" s="987"/>
      <c r="MJG39" s="987"/>
      <c r="MJH39" s="987">
        <f t="shared" si="293"/>
        <v>0</v>
      </c>
      <c r="MJI39" s="1026" t="s">
        <v>45</v>
      </c>
      <c r="MJJ39" s="434"/>
      <c r="MJK39" s="1027"/>
      <c r="MJL39" s="1027"/>
      <c r="MJM39" s="24"/>
      <c r="MJN39" s="1027"/>
      <c r="MJO39" s="1027"/>
      <c r="MJP39" s="25"/>
      <c r="MJQ39" s="987">
        <f>SUM(MJQ36:MJQ38)</f>
        <v>0</v>
      </c>
      <c r="MJR39" s="987">
        <f t="shared" si="292"/>
        <v>0</v>
      </c>
      <c r="MJS39" s="987">
        <f t="shared" si="292"/>
        <v>0</v>
      </c>
      <c r="MJT39" s="987"/>
      <c r="MJU39" s="987"/>
      <c r="MJV39" s="987"/>
      <c r="MJW39" s="987"/>
      <c r="MJX39" s="987">
        <f t="shared" si="293"/>
        <v>0</v>
      </c>
      <c r="MJY39" s="1026" t="s">
        <v>45</v>
      </c>
      <c r="MJZ39" s="434"/>
      <c r="MKA39" s="1027"/>
      <c r="MKB39" s="1027"/>
      <c r="MKC39" s="24"/>
      <c r="MKD39" s="1027"/>
      <c r="MKE39" s="1027"/>
      <c r="MKF39" s="25"/>
      <c r="MKG39" s="987">
        <f>SUM(MKG36:MKG38)</f>
        <v>0</v>
      </c>
      <c r="MKH39" s="987">
        <f t="shared" si="292"/>
        <v>0</v>
      </c>
      <c r="MKI39" s="987">
        <f t="shared" si="292"/>
        <v>0</v>
      </c>
      <c r="MKJ39" s="987"/>
      <c r="MKK39" s="987"/>
      <c r="MKL39" s="987"/>
      <c r="MKM39" s="987"/>
      <c r="MKN39" s="987">
        <f t="shared" si="293"/>
        <v>0</v>
      </c>
      <c r="MKO39" s="1026" t="s">
        <v>45</v>
      </c>
      <c r="MKP39" s="434"/>
      <c r="MKQ39" s="1027"/>
      <c r="MKR39" s="1027"/>
      <c r="MKS39" s="24"/>
      <c r="MKT39" s="1027"/>
      <c r="MKU39" s="1027"/>
      <c r="MKV39" s="25"/>
      <c r="MKW39" s="987">
        <f>SUM(MKW36:MKW38)</f>
        <v>0</v>
      </c>
      <c r="MKX39" s="987">
        <f t="shared" ref="MKX39:MMU39" si="294">SUM(MKX36:MKX38)</f>
        <v>0</v>
      </c>
      <c r="MKY39" s="987">
        <f t="shared" si="294"/>
        <v>0</v>
      </c>
      <c r="MKZ39" s="987"/>
      <c r="MLA39" s="987"/>
      <c r="MLB39" s="987"/>
      <c r="MLC39" s="987"/>
      <c r="MLD39" s="987">
        <f t="shared" ref="MLD39:MMZ39" si="295">SUM(MLD36:MLD38)</f>
        <v>0</v>
      </c>
      <c r="MLE39" s="1026" t="s">
        <v>45</v>
      </c>
      <c r="MLF39" s="434"/>
      <c r="MLG39" s="1027"/>
      <c r="MLH39" s="1027"/>
      <c r="MLI39" s="24"/>
      <c r="MLJ39" s="1027"/>
      <c r="MLK39" s="1027"/>
      <c r="MLL39" s="25"/>
      <c r="MLM39" s="987">
        <f>SUM(MLM36:MLM38)</f>
        <v>0</v>
      </c>
      <c r="MLN39" s="987">
        <f t="shared" si="294"/>
        <v>0</v>
      </c>
      <c r="MLO39" s="987">
        <f t="shared" si="294"/>
        <v>0</v>
      </c>
      <c r="MLP39" s="987"/>
      <c r="MLQ39" s="987"/>
      <c r="MLR39" s="987"/>
      <c r="MLS39" s="987"/>
      <c r="MLT39" s="987">
        <f t="shared" si="295"/>
        <v>0</v>
      </c>
      <c r="MLU39" s="1026" t="s">
        <v>45</v>
      </c>
      <c r="MLV39" s="434"/>
      <c r="MLW39" s="1027"/>
      <c r="MLX39" s="1027"/>
      <c r="MLY39" s="24"/>
      <c r="MLZ39" s="1027"/>
      <c r="MMA39" s="1027"/>
      <c r="MMB39" s="25"/>
      <c r="MMC39" s="987">
        <f>SUM(MMC36:MMC38)</f>
        <v>0</v>
      </c>
      <c r="MMD39" s="987">
        <f t="shared" si="294"/>
        <v>0</v>
      </c>
      <c r="MME39" s="987">
        <f t="shared" si="294"/>
        <v>0</v>
      </c>
      <c r="MMF39" s="987"/>
      <c r="MMG39" s="987"/>
      <c r="MMH39" s="987"/>
      <c r="MMI39" s="987"/>
      <c r="MMJ39" s="987">
        <f t="shared" si="295"/>
        <v>0</v>
      </c>
      <c r="MMK39" s="1026" t="s">
        <v>45</v>
      </c>
      <c r="MML39" s="434"/>
      <c r="MMM39" s="1027"/>
      <c r="MMN39" s="1027"/>
      <c r="MMO39" s="24"/>
      <c r="MMP39" s="1027"/>
      <c r="MMQ39" s="1027"/>
      <c r="MMR39" s="25"/>
      <c r="MMS39" s="987">
        <f>SUM(MMS36:MMS38)</f>
        <v>0</v>
      </c>
      <c r="MMT39" s="987">
        <f t="shared" si="294"/>
        <v>0</v>
      </c>
      <c r="MMU39" s="987">
        <f t="shared" si="294"/>
        <v>0</v>
      </c>
      <c r="MMV39" s="987"/>
      <c r="MMW39" s="987"/>
      <c r="MMX39" s="987"/>
      <c r="MMY39" s="987"/>
      <c r="MMZ39" s="987">
        <f t="shared" si="295"/>
        <v>0</v>
      </c>
      <c r="MNA39" s="1026" t="s">
        <v>45</v>
      </c>
      <c r="MNB39" s="434"/>
      <c r="MNC39" s="1027"/>
      <c r="MND39" s="1027"/>
      <c r="MNE39" s="24"/>
      <c r="MNF39" s="1027"/>
      <c r="MNG39" s="1027"/>
      <c r="MNH39" s="25"/>
      <c r="MNI39" s="987">
        <f>SUM(MNI36:MNI38)</f>
        <v>0</v>
      </c>
      <c r="MNJ39" s="987">
        <f t="shared" ref="MNJ39:MPG39" si="296">SUM(MNJ36:MNJ38)</f>
        <v>0</v>
      </c>
      <c r="MNK39" s="987">
        <f t="shared" si="296"/>
        <v>0</v>
      </c>
      <c r="MNL39" s="987"/>
      <c r="MNM39" s="987"/>
      <c r="MNN39" s="987"/>
      <c r="MNO39" s="987"/>
      <c r="MNP39" s="987">
        <f t="shared" ref="MNP39:MPL39" si="297">SUM(MNP36:MNP38)</f>
        <v>0</v>
      </c>
      <c r="MNQ39" s="1026" t="s">
        <v>45</v>
      </c>
      <c r="MNR39" s="434"/>
      <c r="MNS39" s="1027"/>
      <c r="MNT39" s="1027"/>
      <c r="MNU39" s="24"/>
      <c r="MNV39" s="1027"/>
      <c r="MNW39" s="1027"/>
      <c r="MNX39" s="25"/>
      <c r="MNY39" s="987">
        <f>SUM(MNY36:MNY38)</f>
        <v>0</v>
      </c>
      <c r="MNZ39" s="987">
        <f t="shared" si="296"/>
        <v>0</v>
      </c>
      <c r="MOA39" s="987">
        <f t="shared" si="296"/>
        <v>0</v>
      </c>
      <c r="MOB39" s="987"/>
      <c r="MOC39" s="987"/>
      <c r="MOD39" s="987"/>
      <c r="MOE39" s="987"/>
      <c r="MOF39" s="987">
        <f t="shared" si="297"/>
        <v>0</v>
      </c>
      <c r="MOG39" s="1026" t="s">
        <v>45</v>
      </c>
      <c r="MOH39" s="434"/>
      <c r="MOI39" s="1027"/>
      <c r="MOJ39" s="1027"/>
      <c r="MOK39" s="24"/>
      <c r="MOL39" s="1027"/>
      <c r="MOM39" s="1027"/>
      <c r="MON39" s="25"/>
      <c r="MOO39" s="987">
        <f>SUM(MOO36:MOO38)</f>
        <v>0</v>
      </c>
      <c r="MOP39" s="987">
        <f t="shared" si="296"/>
        <v>0</v>
      </c>
      <c r="MOQ39" s="987">
        <f t="shared" si="296"/>
        <v>0</v>
      </c>
      <c r="MOR39" s="987"/>
      <c r="MOS39" s="987"/>
      <c r="MOT39" s="987"/>
      <c r="MOU39" s="987"/>
      <c r="MOV39" s="987">
        <f t="shared" si="297"/>
        <v>0</v>
      </c>
      <c r="MOW39" s="1026" t="s">
        <v>45</v>
      </c>
      <c r="MOX39" s="434"/>
      <c r="MOY39" s="1027"/>
      <c r="MOZ39" s="1027"/>
      <c r="MPA39" s="24"/>
      <c r="MPB39" s="1027"/>
      <c r="MPC39" s="1027"/>
      <c r="MPD39" s="25"/>
      <c r="MPE39" s="987">
        <f>SUM(MPE36:MPE38)</f>
        <v>0</v>
      </c>
      <c r="MPF39" s="987">
        <f t="shared" si="296"/>
        <v>0</v>
      </c>
      <c r="MPG39" s="987">
        <f t="shared" si="296"/>
        <v>0</v>
      </c>
      <c r="MPH39" s="987"/>
      <c r="MPI39" s="987"/>
      <c r="MPJ39" s="987"/>
      <c r="MPK39" s="987"/>
      <c r="MPL39" s="987">
        <f t="shared" si="297"/>
        <v>0</v>
      </c>
      <c r="MPM39" s="1026" t="s">
        <v>45</v>
      </c>
      <c r="MPN39" s="434"/>
      <c r="MPO39" s="1027"/>
      <c r="MPP39" s="1027"/>
      <c r="MPQ39" s="24"/>
      <c r="MPR39" s="1027"/>
      <c r="MPS39" s="1027"/>
      <c r="MPT39" s="25"/>
      <c r="MPU39" s="987">
        <f>SUM(MPU36:MPU38)</f>
        <v>0</v>
      </c>
      <c r="MPV39" s="987">
        <f t="shared" ref="MPV39:MRS39" si="298">SUM(MPV36:MPV38)</f>
        <v>0</v>
      </c>
      <c r="MPW39" s="987">
        <f t="shared" si="298"/>
        <v>0</v>
      </c>
      <c r="MPX39" s="987"/>
      <c r="MPY39" s="987"/>
      <c r="MPZ39" s="987"/>
      <c r="MQA39" s="987"/>
      <c r="MQB39" s="987">
        <f t="shared" ref="MQB39:MRX39" si="299">SUM(MQB36:MQB38)</f>
        <v>0</v>
      </c>
      <c r="MQC39" s="1026" t="s">
        <v>45</v>
      </c>
      <c r="MQD39" s="434"/>
      <c r="MQE39" s="1027"/>
      <c r="MQF39" s="1027"/>
      <c r="MQG39" s="24"/>
      <c r="MQH39" s="1027"/>
      <c r="MQI39" s="1027"/>
      <c r="MQJ39" s="25"/>
      <c r="MQK39" s="987">
        <f>SUM(MQK36:MQK38)</f>
        <v>0</v>
      </c>
      <c r="MQL39" s="987">
        <f t="shared" si="298"/>
        <v>0</v>
      </c>
      <c r="MQM39" s="987">
        <f t="shared" si="298"/>
        <v>0</v>
      </c>
      <c r="MQN39" s="987"/>
      <c r="MQO39" s="987"/>
      <c r="MQP39" s="987"/>
      <c r="MQQ39" s="987"/>
      <c r="MQR39" s="987">
        <f t="shared" si="299"/>
        <v>0</v>
      </c>
      <c r="MQS39" s="1026" t="s">
        <v>45</v>
      </c>
      <c r="MQT39" s="434"/>
      <c r="MQU39" s="1027"/>
      <c r="MQV39" s="1027"/>
      <c r="MQW39" s="24"/>
      <c r="MQX39" s="1027"/>
      <c r="MQY39" s="1027"/>
      <c r="MQZ39" s="25"/>
      <c r="MRA39" s="987">
        <f>SUM(MRA36:MRA38)</f>
        <v>0</v>
      </c>
      <c r="MRB39" s="987">
        <f t="shared" si="298"/>
        <v>0</v>
      </c>
      <c r="MRC39" s="987">
        <f t="shared" si="298"/>
        <v>0</v>
      </c>
      <c r="MRD39" s="987"/>
      <c r="MRE39" s="987"/>
      <c r="MRF39" s="987"/>
      <c r="MRG39" s="987"/>
      <c r="MRH39" s="987">
        <f t="shared" si="299"/>
        <v>0</v>
      </c>
      <c r="MRI39" s="1026" t="s">
        <v>45</v>
      </c>
      <c r="MRJ39" s="434"/>
      <c r="MRK39" s="1027"/>
      <c r="MRL39" s="1027"/>
      <c r="MRM39" s="24"/>
      <c r="MRN39" s="1027"/>
      <c r="MRO39" s="1027"/>
      <c r="MRP39" s="25"/>
      <c r="MRQ39" s="987">
        <f>SUM(MRQ36:MRQ38)</f>
        <v>0</v>
      </c>
      <c r="MRR39" s="987">
        <f t="shared" si="298"/>
        <v>0</v>
      </c>
      <c r="MRS39" s="987">
        <f t="shared" si="298"/>
        <v>0</v>
      </c>
      <c r="MRT39" s="987"/>
      <c r="MRU39" s="987"/>
      <c r="MRV39" s="987"/>
      <c r="MRW39" s="987"/>
      <c r="MRX39" s="987">
        <f t="shared" si="299"/>
        <v>0</v>
      </c>
      <c r="MRY39" s="1026" t="s">
        <v>45</v>
      </c>
      <c r="MRZ39" s="434"/>
      <c r="MSA39" s="1027"/>
      <c r="MSB39" s="1027"/>
      <c r="MSC39" s="24"/>
      <c r="MSD39" s="1027"/>
      <c r="MSE39" s="1027"/>
      <c r="MSF39" s="25"/>
      <c r="MSG39" s="987">
        <f>SUM(MSG36:MSG38)</f>
        <v>0</v>
      </c>
      <c r="MSH39" s="987">
        <f t="shared" ref="MSH39:MUE39" si="300">SUM(MSH36:MSH38)</f>
        <v>0</v>
      </c>
      <c r="MSI39" s="987">
        <f t="shared" si="300"/>
        <v>0</v>
      </c>
      <c r="MSJ39" s="987"/>
      <c r="MSK39" s="987"/>
      <c r="MSL39" s="987"/>
      <c r="MSM39" s="987"/>
      <c r="MSN39" s="987">
        <f t="shared" ref="MSN39:MUJ39" si="301">SUM(MSN36:MSN38)</f>
        <v>0</v>
      </c>
      <c r="MSO39" s="1026" t="s">
        <v>45</v>
      </c>
      <c r="MSP39" s="434"/>
      <c r="MSQ39" s="1027"/>
      <c r="MSR39" s="1027"/>
      <c r="MSS39" s="24"/>
      <c r="MST39" s="1027"/>
      <c r="MSU39" s="1027"/>
      <c r="MSV39" s="25"/>
      <c r="MSW39" s="987">
        <f>SUM(MSW36:MSW38)</f>
        <v>0</v>
      </c>
      <c r="MSX39" s="987">
        <f t="shared" si="300"/>
        <v>0</v>
      </c>
      <c r="MSY39" s="987">
        <f t="shared" si="300"/>
        <v>0</v>
      </c>
      <c r="MSZ39" s="987"/>
      <c r="MTA39" s="987"/>
      <c r="MTB39" s="987"/>
      <c r="MTC39" s="987"/>
      <c r="MTD39" s="987">
        <f t="shared" si="301"/>
        <v>0</v>
      </c>
      <c r="MTE39" s="1026" t="s">
        <v>45</v>
      </c>
      <c r="MTF39" s="434"/>
      <c r="MTG39" s="1027"/>
      <c r="MTH39" s="1027"/>
      <c r="MTI39" s="24"/>
      <c r="MTJ39" s="1027"/>
      <c r="MTK39" s="1027"/>
      <c r="MTL39" s="25"/>
      <c r="MTM39" s="987">
        <f>SUM(MTM36:MTM38)</f>
        <v>0</v>
      </c>
      <c r="MTN39" s="987">
        <f t="shared" si="300"/>
        <v>0</v>
      </c>
      <c r="MTO39" s="987">
        <f t="shared" si="300"/>
        <v>0</v>
      </c>
      <c r="MTP39" s="987"/>
      <c r="MTQ39" s="987"/>
      <c r="MTR39" s="987"/>
      <c r="MTS39" s="987"/>
      <c r="MTT39" s="987">
        <f t="shared" si="301"/>
        <v>0</v>
      </c>
      <c r="MTU39" s="1026" t="s">
        <v>45</v>
      </c>
      <c r="MTV39" s="434"/>
      <c r="MTW39" s="1027"/>
      <c r="MTX39" s="1027"/>
      <c r="MTY39" s="24"/>
      <c r="MTZ39" s="1027"/>
      <c r="MUA39" s="1027"/>
      <c r="MUB39" s="25"/>
      <c r="MUC39" s="987">
        <f>SUM(MUC36:MUC38)</f>
        <v>0</v>
      </c>
      <c r="MUD39" s="987">
        <f t="shared" si="300"/>
        <v>0</v>
      </c>
      <c r="MUE39" s="987">
        <f t="shared" si="300"/>
        <v>0</v>
      </c>
      <c r="MUF39" s="987"/>
      <c r="MUG39" s="987"/>
      <c r="MUH39" s="987"/>
      <c r="MUI39" s="987"/>
      <c r="MUJ39" s="987">
        <f t="shared" si="301"/>
        <v>0</v>
      </c>
      <c r="MUK39" s="1026" t="s">
        <v>45</v>
      </c>
      <c r="MUL39" s="434"/>
      <c r="MUM39" s="1027"/>
      <c r="MUN39" s="1027"/>
      <c r="MUO39" s="24"/>
      <c r="MUP39" s="1027"/>
      <c r="MUQ39" s="1027"/>
      <c r="MUR39" s="25"/>
      <c r="MUS39" s="987">
        <f>SUM(MUS36:MUS38)</f>
        <v>0</v>
      </c>
      <c r="MUT39" s="987">
        <f t="shared" ref="MUT39:MWQ39" si="302">SUM(MUT36:MUT38)</f>
        <v>0</v>
      </c>
      <c r="MUU39" s="987">
        <f t="shared" si="302"/>
        <v>0</v>
      </c>
      <c r="MUV39" s="987"/>
      <c r="MUW39" s="987"/>
      <c r="MUX39" s="987"/>
      <c r="MUY39" s="987"/>
      <c r="MUZ39" s="987">
        <f t="shared" ref="MUZ39:MWV39" si="303">SUM(MUZ36:MUZ38)</f>
        <v>0</v>
      </c>
      <c r="MVA39" s="1026" t="s">
        <v>45</v>
      </c>
      <c r="MVB39" s="434"/>
      <c r="MVC39" s="1027"/>
      <c r="MVD39" s="1027"/>
      <c r="MVE39" s="24"/>
      <c r="MVF39" s="1027"/>
      <c r="MVG39" s="1027"/>
      <c r="MVH39" s="25"/>
      <c r="MVI39" s="987">
        <f>SUM(MVI36:MVI38)</f>
        <v>0</v>
      </c>
      <c r="MVJ39" s="987">
        <f t="shared" si="302"/>
        <v>0</v>
      </c>
      <c r="MVK39" s="987">
        <f t="shared" si="302"/>
        <v>0</v>
      </c>
      <c r="MVL39" s="987"/>
      <c r="MVM39" s="987"/>
      <c r="MVN39" s="987"/>
      <c r="MVO39" s="987"/>
      <c r="MVP39" s="987">
        <f t="shared" si="303"/>
        <v>0</v>
      </c>
      <c r="MVQ39" s="1026" t="s">
        <v>45</v>
      </c>
      <c r="MVR39" s="434"/>
      <c r="MVS39" s="1027"/>
      <c r="MVT39" s="1027"/>
      <c r="MVU39" s="24"/>
      <c r="MVV39" s="1027"/>
      <c r="MVW39" s="1027"/>
      <c r="MVX39" s="25"/>
      <c r="MVY39" s="987">
        <f>SUM(MVY36:MVY38)</f>
        <v>0</v>
      </c>
      <c r="MVZ39" s="987">
        <f t="shared" si="302"/>
        <v>0</v>
      </c>
      <c r="MWA39" s="987">
        <f t="shared" si="302"/>
        <v>0</v>
      </c>
      <c r="MWB39" s="987"/>
      <c r="MWC39" s="987"/>
      <c r="MWD39" s="987"/>
      <c r="MWE39" s="987"/>
      <c r="MWF39" s="987">
        <f t="shared" si="303"/>
        <v>0</v>
      </c>
      <c r="MWG39" s="1026" t="s">
        <v>45</v>
      </c>
      <c r="MWH39" s="434"/>
      <c r="MWI39" s="1027"/>
      <c r="MWJ39" s="1027"/>
      <c r="MWK39" s="24"/>
      <c r="MWL39" s="1027"/>
      <c r="MWM39" s="1027"/>
      <c r="MWN39" s="25"/>
      <c r="MWO39" s="987">
        <f>SUM(MWO36:MWO38)</f>
        <v>0</v>
      </c>
      <c r="MWP39" s="987">
        <f t="shared" si="302"/>
        <v>0</v>
      </c>
      <c r="MWQ39" s="987">
        <f t="shared" si="302"/>
        <v>0</v>
      </c>
      <c r="MWR39" s="987"/>
      <c r="MWS39" s="987"/>
      <c r="MWT39" s="987"/>
      <c r="MWU39" s="987"/>
      <c r="MWV39" s="987">
        <f t="shared" si="303"/>
        <v>0</v>
      </c>
      <c r="MWW39" s="1026" t="s">
        <v>45</v>
      </c>
      <c r="MWX39" s="434"/>
      <c r="MWY39" s="1027"/>
      <c r="MWZ39" s="1027"/>
      <c r="MXA39" s="24"/>
      <c r="MXB39" s="1027"/>
      <c r="MXC39" s="1027"/>
      <c r="MXD39" s="25"/>
      <c r="MXE39" s="987">
        <f>SUM(MXE36:MXE38)</f>
        <v>0</v>
      </c>
      <c r="MXF39" s="987">
        <f t="shared" ref="MXF39:MZC39" si="304">SUM(MXF36:MXF38)</f>
        <v>0</v>
      </c>
      <c r="MXG39" s="987">
        <f t="shared" si="304"/>
        <v>0</v>
      </c>
      <c r="MXH39" s="987"/>
      <c r="MXI39" s="987"/>
      <c r="MXJ39" s="987"/>
      <c r="MXK39" s="987"/>
      <c r="MXL39" s="987">
        <f t="shared" ref="MXL39:MZH39" si="305">SUM(MXL36:MXL38)</f>
        <v>0</v>
      </c>
      <c r="MXM39" s="1026" t="s">
        <v>45</v>
      </c>
      <c r="MXN39" s="434"/>
      <c r="MXO39" s="1027"/>
      <c r="MXP39" s="1027"/>
      <c r="MXQ39" s="24"/>
      <c r="MXR39" s="1027"/>
      <c r="MXS39" s="1027"/>
      <c r="MXT39" s="25"/>
      <c r="MXU39" s="987">
        <f>SUM(MXU36:MXU38)</f>
        <v>0</v>
      </c>
      <c r="MXV39" s="987">
        <f t="shared" si="304"/>
        <v>0</v>
      </c>
      <c r="MXW39" s="987">
        <f t="shared" si="304"/>
        <v>0</v>
      </c>
      <c r="MXX39" s="987"/>
      <c r="MXY39" s="987"/>
      <c r="MXZ39" s="987"/>
      <c r="MYA39" s="987"/>
      <c r="MYB39" s="987">
        <f t="shared" si="305"/>
        <v>0</v>
      </c>
      <c r="MYC39" s="1026" t="s">
        <v>45</v>
      </c>
      <c r="MYD39" s="434"/>
      <c r="MYE39" s="1027"/>
      <c r="MYF39" s="1027"/>
      <c r="MYG39" s="24"/>
      <c r="MYH39" s="1027"/>
      <c r="MYI39" s="1027"/>
      <c r="MYJ39" s="25"/>
      <c r="MYK39" s="987">
        <f>SUM(MYK36:MYK38)</f>
        <v>0</v>
      </c>
      <c r="MYL39" s="987">
        <f t="shared" si="304"/>
        <v>0</v>
      </c>
      <c r="MYM39" s="987">
        <f t="shared" si="304"/>
        <v>0</v>
      </c>
      <c r="MYN39" s="987"/>
      <c r="MYO39" s="987"/>
      <c r="MYP39" s="987"/>
      <c r="MYQ39" s="987"/>
      <c r="MYR39" s="987">
        <f t="shared" si="305"/>
        <v>0</v>
      </c>
      <c r="MYS39" s="1026" t="s">
        <v>45</v>
      </c>
      <c r="MYT39" s="434"/>
      <c r="MYU39" s="1027"/>
      <c r="MYV39" s="1027"/>
      <c r="MYW39" s="24"/>
      <c r="MYX39" s="1027"/>
      <c r="MYY39" s="1027"/>
      <c r="MYZ39" s="25"/>
      <c r="MZA39" s="987">
        <f>SUM(MZA36:MZA38)</f>
        <v>0</v>
      </c>
      <c r="MZB39" s="987">
        <f t="shared" si="304"/>
        <v>0</v>
      </c>
      <c r="MZC39" s="987">
        <f t="shared" si="304"/>
        <v>0</v>
      </c>
      <c r="MZD39" s="987"/>
      <c r="MZE39" s="987"/>
      <c r="MZF39" s="987"/>
      <c r="MZG39" s="987"/>
      <c r="MZH39" s="987">
        <f t="shared" si="305"/>
        <v>0</v>
      </c>
      <c r="MZI39" s="1026" t="s">
        <v>45</v>
      </c>
      <c r="MZJ39" s="434"/>
      <c r="MZK39" s="1027"/>
      <c r="MZL39" s="1027"/>
      <c r="MZM39" s="24"/>
      <c r="MZN39" s="1027"/>
      <c r="MZO39" s="1027"/>
      <c r="MZP39" s="25"/>
      <c r="MZQ39" s="987">
        <f>SUM(MZQ36:MZQ38)</f>
        <v>0</v>
      </c>
      <c r="MZR39" s="987">
        <f t="shared" ref="MZR39:NBO39" si="306">SUM(MZR36:MZR38)</f>
        <v>0</v>
      </c>
      <c r="MZS39" s="987">
        <f t="shared" si="306"/>
        <v>0</v>
      </c>
      <c r="MZT39" s="987"/>
      <c r="MZU39" s="987"/>
      <c r="MZV39" s="987"/>
      <c r="MZW39" s="987"/>
      <c r="MZX39" s="987">
        <f t="shared" ref="MZX39:NBT39" si="307">SUM(MZX36:MZX38)</f>
        <v>0</v>
      </c>
      <c r="MZY39" s="1026" t="s">
        <v>45</v>
      </c>
      <c r="MZZ39" s="434"/>
      <c r="NAA39" s="1027"/>
      <c r="NAB39" s="1027"/>
      <c r="NAC39" s="24"/>
      <c r="NAD39" s="1027"/>
      <c r="NAE39" s="1027"/>
      <c r="NAF39" s="25"/>
      <c r="NAG39" s="987">
        <f>SUM(NAG36:NAG38)</f>
        <v>0</v>
      </c>
      <c r="NAH39" s="987">
        <f t="shared" si="306"/>
        <v>0</v>
      </c>
      <c r="NAI39" s="987">
        <f t="shared" si="306"/>
        <v>0</v>
      </c>
      <c r="NAJ39" s="987"/>
      <c r="NAK39" s="987"/>
      <c r="NAL39" s="987"/>
      <c r="NAM39" s="987"/>
      <c r="NAN39" s="987">
        <f t="shared" si="307"/>
        <v>0</v>
      </c>
      <c r="NAO39" s="1026" t="s">
        <v>45</v>
      </c>
      <c r="NAP39" s="434"/>
      <c r="NAQ39" s="1027"/>
      <c r="NAR39" s="1027"/>
      <c r="NAS39" s="24"/>
      <c r="NAT39" s="1027"/>
      <c r="NAU39" s="1027"/>
      <c r="NAV39" s="25"/>
      <c r="NAW39" s="987">
        <f>SUM(NAW36:NAW38)</f>
        <v>0</v>
      </c>
      <c r="NAX39" s="987">
        <f t="shared" si="306"/>
        <v>0</v>
      </c>
      <c r="NAY39" s="987">
        <f t="shared" si="306"/>
        <v>0</v>
      </c>
      <c r="NAZ39" s="987"/>
      <c r="NBA39" s="987"/>
      <c r="NBB39" s="987"/>
      <c r="NBC39" s="987"/>
      <c r="NBD39" s="987">
        <f t="shared" si="307"/>
        <v>0</v>
      </c>
      <c r="NBE39" s="1026" t="s">
        <v>45</v>
      </c>
      <c r="NBF39" s="434"/>
      <c r="NBG39" s="1027"/>
      <c r="NBH39" s="1027"/>
      <c r="NBI39" s="24"/>
      <c r="NBJ39" s="1027"/>
      <c r="NBK39" s="1027"/>
      <c r="NBL39" s="25"/>
      <c r="NBM39" s="987">
        <f>SUM(NBM36:NBM38)</f>
        <v>0</v>
      </c>
      <c r="NBN39" s="987">
        <f t="shared" si="306"/>
        <v>0</v>
      </c>
      <c r="NBO39" s="987">
        <f t="shared" si="306"/>
        <v>0</v>
      </c>
      <c r="NBP39" s="987"/>
      <c r="NBQ39" s="987"/>
      <c r="NBR39" s="987"/>
      <c r="NBS39" s="987"/>
      <c r="NBT39" s="987">
        <f t="shared" si="307"/>
        <v>0</v>
      </c>
      <c r="NBU39" s="1026" t="s">
        <v>45</v>
      </c>
      <c r="NBV39" s="434"/>
      <c r="NBW39" s="1027"/>
      <c r="NBX39" s="1027"/>
      <c r="NBY39" s="24"/>
      <c r="NBZ39" s="1027"/>
      <c r="NCA39" s="1027"/>
      <c r="NCB39" s="25"/>
      <c r="NCC39" s="987">
        <f>SUM(NCC36:NCC38)</f>
        <v>0</v>
      </c>
      <c r="NCD39" s="987">
        <f t="shared" ref="NCD39:NEA39" si="308">SUM(NCD36:NCD38)</f>
        <v>0</v>
      </c>
      <c r="NCE39" s="987">
        <f t="shared" si="308"/>
        <v>0</v>
      </c>
      <c r="NCF39" s="987"/>
      <c r="NCG39" s="987"/>
      <c r="NCH39" s="987"/>
      <c r="NCI39" s="987"/>
      <c r="NCJ39" s="987">
        <f t="shared" ref="NCJ39:NEF39" si="309">SUM(NCJ36:NCJ38)</f>
        <v>0</v>
      </c>
      <c r="NCK39" s="1026" t="s">
        <v>45</v>
      </c>
      <c r="NCL39" s="434"/>
      <c r="NCM39" s="1027"/>
      <c r="NCN39" s="1027"/>
      <c r="NCO39" s="24"/>
      <c r="NCP39" s="1027"/>
      <c r="NCQ39" s="1027"/>
      <c r="NCR39" s="25"/>
      <c r="NCS39" s="987">
        <f>SUM(NCS36:NCS38)</f>
        <v>0</v>
      </c>
      <c r="NCT39" s="987">
        <f t="shared" si="308"/>
        <v>0</v>
      </c>
      <c r="NCU39" s="987">
        <f t="shared" si="308"/>
        <v>0</v>
      </c>
      <c r="NCV39" s="987"/>
      <c r="NCW39" s="987"/>
      <c r="NCX39" s="987"/>
      <c r="NCY39" s="987"/>
      <c r="NCZ39" s="987">
        <f t="shared" si="309"/>
        <v>0</v>
      </c>
      <c r="NDA39" s="1026" t="s">
        <v>45</v>
      </c>
      <c r="NDB39" s="434"/>
      <c r="NDC39" s="1027"/>
      <c r="NDD39" s="1027"/>
      <c r="NDE39" s="24"/>
      <c r="NDF39" s="1027"/>
      <c r="NDG39" s="1027"/>
      <c r="NDH39" s="25"/>
      <c r="NDI39" s="987">
        <f>SUM(NDI36:NDI38)</f>
        <v>0</v>
      </c>
      <c r="NDJ39" s="987">
        <f t="shared" si="308"/>
        <v>0</v>
      </c>
      <c r="NDK39" s="987">
        <f t="shared" si="308"/>
        <v>0</v>
      </c>
      <c r="NDL39" s="987"/>
      <c r="NDM39" s="987"/>
      <c r="NDN39" s="987"/>
      <c r="NDO39" s="987"/>
      <c r="NDP39" s="987">
        <f t="shared" si="309"/>
        <v>0</v>
      </c>
      <c r="NDQ39" s="1026" t="s">
        <v>45</v>
      </c>
      <c r="NDR39" s="434"/>
      <c r="NDS39" s="1027"/>
      <c r="NDT39" s="1027"/>
      <c r="NDU39" s="24"/>
      <c r="NDV39" s="1027"/>
      <c r="NDW39" s="1027"/>
      <c r="NDX39" s="25"/>
      <c r="NDY39" s="987">
        <f>SUM(NDY36:NDY38)</f>
        <v>0</v>
      </c>
      <c r="NDZ39" s="987">
        <f t="shared" si="308"/>
        <v>0</v>
      </c>
      <c r="NEA39" s="987">
        <f t="shared" si="308"/>
        <v>0</v>
      </c>
      <c r="NEB39" s="987"/>
      <c r="NEC39" s="987"/>
      <c r="NED39" s="987"/>
      <c r="NEE39" s="987"/>
      <c r="NEF39" s="987">
        <f t="shared" si="309"/>
        <v>0</v>
      </c>
      <c r="NEG39" s="1026" t="s">
        <v>45</v>
      </c>
      <c r="NEH39" s="434"/>
      <c r="NEI39" s="1027"/>
      <c r="NEJ39" s="1027"/>
      <c r="NEK39" s="24"/>
      <c r="NEL39" s="1027"/>
      <c r="NEM39" s="1027"/>
      <c r="NEN39" s="25"/>
      <c r="NEO39" s="987">
        <f>SUM(NEO36:NEO38)</f>
        <v>0</v>
      </c>
      <c r="NEP39" s="987">
        <f t="shared" ref="NEP39:NGM39" si="310">SUM(NEP36:NEP38)</f>
        <v>0</v>
      </c>
      <c r="NEQ39" s="987">
        <f t="shared" si="310"/>
        <v>0</v>
      </c>
      <c r="NER39" s="987"/>
      <c r="NES39" s="987"/>
      <c r="NET39" s="987"/>
      <c r="NEU39" s="987"/>
      <c r="NEV39" s="987">
        <f t="shared" ref="NEV39:NGR39" si="311">SUM(NEV36:NEV38)</f>
        <v>0</v>
      </c>
      <c r="NEW39" s="1026" t="s">
        <v>45</v>
      </c>
      <c r="NEX39" s="434"/>
      <c r="NEY39" s="1027"/>
      <c r="NEZ39" s="1027"/>
      <c r="NFA39" s="24"/>
      <c r="NFB39" s="1027"/>
      <c r="NFC39" s="1027"/>
      <c r="NFD39" s="25"/>
      <c r="NFE39" s="987">
        <f>SUM(NFE36:NFE38)</f>
        <v>0</v>
      </c>
      <c r="NFF39" s="987">
        <f t="shared" si="310"/>
        <v>0</v>
      </c>
      <c r="NFG39" s="987">
        <f t="shared" si="310"/>
        <v>0</v>
      </c>
      <c r="NFH39" s="987"/>
      <c r="NFI39" s="987"/>
      <c r="NFJ39" s="987"/>
      <c r="NFK39" s="987"/>
      <c r="NFL39" s="987">
        <f t="shared" si="311"/>
        <v>0</v>
      </c>
      <c r="NFM39" s="1026" t="s">
        <v>45</v>
      </c>
      <c r="NFN39" s="434"/>
      <c r="NFO39" s="1027"/>
      <c r="NFP39" s="1027"/>
      <c r="NFQ39" s="24"/>
      <c r="NFR39" s="1027"/>
      <c r="NFS39" s="1027"/>
      <c r="NFT39" s="25"/>
      <c r="NFU39" s="987">
        <f>SUM(NFU36:NFU38)</f>
        <v>0</v>
      </c>
      <c r="NFV39" s="987">
        <f t="shared" si="310"/>
        <v>0</v>
      </c>
      <c r="NFW39" s="987">
        <f t="shared" si="310"/>
        <v>0</v>
      </c>
      <c r="NFX39" s="987"/>
      <c r="NFY39" s="987"/>
      <c r="NFZ39" s="987"/>
      <c r="NGA39" s="987"/>
      <c r="NGB39" s="987">
        <f t="shared" si="311"/>
        <v>0</v>
      </c>
      <c r="NGC39" s="1026" t="s">
        <v>45</v>
      </c>
      <c r="NGD39" s="434"/>
      <c r="NGE39" s="1027"/>
      <c r="NGF39" s="1027"/>
      <c r="NGG39" s="24"/>
      <c r="NGH39" s="1027"/>
      <c r="NGI39" s="1027"/>
      <c r="NGJ39" s="25"/>
      <c r="NGK39" s="987">
        <f>SUM(NGK36:NGK38)</f>
        <v>0</v>
      </c>
      <c r="NGL39" s="987">
        <f t="shared" si="310"/>
        <v>0</v>
      </c>
      <c r="NGM39" s="987">
        <f t="shared" si="310"/>
        <v>0</v>
      </c>
      <c r="NGN39" s="987"/>
      <c r="NGO39" s="987"/>
      <c r="NGP39" s="987"/>
      <c r="NGQ39" s="987"/>
      <c r="NGR39" s="987">
        <f t="shared" si="311"/>
        <v>0</v>
      </c>
      <c r="NGS39" s="1026" t="s">
        <v>45</v>
      </c>
      <c r="NGT39" s="434"/>
      <c r="NGU39" s="1027"/>
      <c r="NGV39" s="1027"/>
      <c r="NGW39" s="24"/>
      <c r="NGX39" s="1027"/>
      <c r="NGY39" s="1027"/>
      <c r="NGZ39" s="25"/>
      <c r="NHA39" s="987">
        <f>SUM(NHA36:NHA38)</f>
        <v>0</v>
      </c>
      <c r="NHB39" s="987">
        <f t="shared" ref="NHB39:NIY39" si="312">SUM(NHB36:NHB38)</f>
        <v>0</v>
      </c>
      <c r="NHC39" s="987">
        <f t="shared" si="312"/>
        <v>0</v>
      </c>
      <c r="NHD39" s="987"/>
      <c r="NHE39" s="987"/>
      <c r="NHF39" s="987"/>
      <c r="NHG39" s="987"/>
      <c r="NHH39" s="987">
        <f t="shared" ref="NHH39:NJD39" si="313">SUM(NHH36:NHH38)</f>
        <v>0</v>
      </c>
      <c r="NHI39" s="1026" t="s">
        <v>45</v>
      </c>
      <c r="NHJ39" s="434"/>
      <c r="NHK39" s="1027"/>
      <c r="NHL39" s="1027"/>
      <c r="NHM39" s="24"/>
      <c r="NHN39" s="1027"/>
      <c r="NHO39" s="1027"/>
      <c r="NHP39" s="25"/>
      <c r="NHQ39" s="987">
        <f>SUM(NHQ36:NHQ38)</f>
        <v>0</v>
      </c>
      <c r="NHR39" s="987">
        <f t="shared" si="312"/>
        <v>0</v>
      </c>
      <c r="NHS39" s="987">
        <f t="shared" si="312"/>
        <v>0</v>
      </c>
      <c r="NHT39" s="987"/>
      <c r="NHU39" s="987"/>
      <c r="NHV39" s="987"/>
      <c r="NHW39" s="987"/>
      <c r="NHX39" s="987">
        <f t="shared" si="313"/>
        <v>0</v>
      </c>
      <c r="NHY39" s="1026" t="s">
        <v>45</v>
      </c>
      <c r="NHZ39" s="434"/>
      <c r="NIA39" s="1027"/>
      <c r="NIB39" s="1027"/>
      <c r="NIC39" s="24"/>
      <c r="NID39" s="1027"/>
      <c r="NIE39" s="1027"/>
      <c r="NIF39" s="25"/>
      <c r="NIG39" s="987">
        <f>SUM(NIG36:NIG38)</f>
        <v>0</v>
      </c>
      <c r="NIH39" s="987">
        <f t="shared" si="312"/>
        <v>0</v>
      </c>
      <c r="NII39" s="987">
        <f t="shared" si="312"/>
        <v>0</v>
      </c>
      <c r="NIJ39" s="987"/>
      <c r="NIK39" s="987"/>
      <c r="NIL39" s="987"/>
      <c r="NIM39" s="987"/>
      <c r="NIN39" s="987">
        <f t="shared" si="313"/>
        <v>0</v>
      </c>
      <c r="NIO39" s="1026" t="s">
        <v>45</v>
      </c>
      <c r="NIP39" s="434"/>
      <c r="NIQ39" s="1027"/>
      <c r="NIR39" s="1027"/>
      <c r="NIS39" s="24"/>
      <c r="NIT39" s="1027"/>
      <c r="NIU39" s="1027"/>
      <c r="NIV39" s="25"/>
      <c r="NIW39" s="987">
        <f>SUM(NIW36:NIW38)</f>
        <v>0</v>
      </c>
      <c r="NIX39" s="987">
        <f t="shared" si="312"/>
        <v>0</v>
      </c>
      <c r="NIY39" s="987">
        <f t="shared" si="312"/>
        <v>0</v>
      </c>
      <c r="NIZ39" s="987"/>
      <c r="NJA39" s="987"/>
      <c r="NJB39" s="987"/>
      <c r="NJC39" s="987"/>
      <c r="NJD39" s="987">
        <f t="shared" si="313"/>
        <v>0</v>
      </c>
      <c r="NJE39" s="1026" t="s">
        <v>45</v>
      </c>
      <c r="NJF39" s="434"/>
      <c r="NJG39" s="1027"/>
      <c r="NJH39" s="1027"/>
      <c r="NJI39" s="24"/>
      <c r="NJJ39" s="1027"/>
      <c r="NJK39" s="1027"/>
      <c r="NJL39" s="25"/>
      <c r="NJM39" s="987">
        <f>SUM(NJM36:NJM38)</f>
        <v>0</v>
      </c>
      <c r="NJN39" s="987">
        <f t="shared" ref="NJN39:NLK39" si="314">SUM(NJN36:NJN38)</f>
        <v>0</v>
      </c>
      <c r="NJO39" s="987">
        <f t="shared" si="314"/>
        <v>0</v>
      </c>
      <c r="NJP39" s="987"/>
      <c r="NJQ39" s="987"/>
      <c r="NJR39" s="987"/>
      <c r="NJS39" s="987"/>
      <c r="NJT39" s="987">
        <f t="shared" ref="NJT39:NLP39" si="315">SUM(NJT36:NJT38)</f>
        <v>0</v>
      </c>
      <c r="NJU39" s="1026" t="s">
        <v>45</v>
      </c>
      <c r="NJV39" s="434"/>
      <c r="NJW39" s="1027"/>
      <c r="NJX39" s="1027"/>
      <c r="NJY39" s="24"/>
      <c r="NJZ39" s="1027"/>
      <c r="NKA39" s="1027"/>
      <c r="NKB39" s="25"/>
      <c r="NKC39" s="987">
        <f>SUM(NKC36:NKC38)</f>
        <v>0</v>
      </c>
      <c r="NKD39" s="987">
        <f t="shared" si="314"/>
        <v>0</v>
      </c>
      <c r="NKE39" s="987">
        <f t="shared" si="314"/>
        <v>0</v>
      </c>
      <c r="NKF39" s="987"/>
      <c r="NKG39" s="987"/>
      <c r="NKH39" s="987"/>
      <c r="NKI39" s="987"/>
      <c r="NKJ39" s="987">
        <f t="shared" si="315"/>
        <v>0</v>
      </c>
      <c r="NKK39" s="1026" t="s">
        <v>45</v>
      </c>
      <c r="NKL39" s="434"/>
      <c r="NKM39" s="1027"/>
      <c r="NKN39" s="1027"/>
      <c r="NKO39" s="24"/>
      <c r="NKP39" s="1027"/>
      <c r="NKQ39" s="1027"/>
      <c r="NKR39" s="25"/>
      <c r="NKS39" s="987">
        <f>SUM(NKS36:NKS38)</f>
        <v>0</v>
      </c>
      <c r="NKT39" s="987">
        <f t="shared" si="314"/>
        <v>0</v>
      </c>
      <c r="NKU39" s="987">
        <f t="shared" si="314"/>
        <v>0</v>
      </c>
      <c r="NKV39" s="987"/>
      <c r="NKW39" s="987"/>
      <c r="NKX39" s="987"/>
      <c r="NKY39" s="987"/>
      <c r="NKZ39" s="987">
        <f t="shared" si="315"/>
        <v>0</v>
      </c>
      <c r="NLA39" s="1026" t="s">
        <v>45</v>
      </c>
      <c r="NLB39" s="434"/>
      <c r="NLC39" s="1027"/>
      <c r="NLD39" s="1027"/>
      <c r="NLE39" s="24"/>
      <c r="NLF39" s="1027"/>
      <c r="NLG39" s="1027"/>
      <c r="NLH39" s="25"/>
      <c r="NLI39" s="987">
        <f>SUM(NLI36:NLI38)</f>
        <v>0</v>
      </c>
      <c r="NLJ39" s="987">
        <f t="shared" si="314"/>
        <v>0</v>
      </c>
      <c r="NLK39" s="987">
        <f t="shared" si="314"/>
        <v>0</v>
      </c>
      <c r="NLL39" s="987"/>
      <c r="NLM39" s="987"/>
      <c r="NLN39" s="987"/>
      <c r="NLO39" s="987"/>
      <c r="NLP39" s="987">
        <f t="shared" si="315"/>
        <v>0</v>
      </c>
      <c r="NLQ39" s="1026" t="s">
        <v>45</v>
      </c>
      <c r="NLR39" s="434"/>
      <c r="NLS39" s="1027"/>
      <c r="NLT39" s="1027"/>
      <c r="NLU39" s="24"/>
      <c r="NLV39" s="1027"/>
      <c r="NLW39" s="1027"/>
      <c r="NLX39" s="25"/>
      <c r="NLY39" s="987">
        <f>SUM(NLY36:NLY38)</f>
        <v>0</v>
      </c>
      <c r="NLZ39" s="987">
        <f t="shared" ref="NLZ39:NNW39" si="316">SUM(NLZ36:NLZ38)</f>
        <v>0</v>
      </c>
      <c r="NMA39" s="987">
        <f t="shared" si="316"/>
        <v>0</v>
      </c>
      <c r="NMB39" s="987"/>
      <c r="NMC39" s="987"/>
      <c r="NMD39" s="987"/>
      <c r="NME39" s="987"/>
      <c r="NMF39" s="987">
        <f t="shared" ref="NMF39:NOB39" si="317">SUM(NMF36:NMF38)</f>
        <v>0</v>
      </c>
      <c r="NMG39" s="1026" t="s">
        <v>45</v>
      </c>
      <c r="NMH39" s="434"/>
      <c r="NMI39" s="1027"/>
      <c r="NMJ39" s="1027"/>
      <c r="NMK39" s="24"/>
      <c r="NML39" s="1027"/>
      <c r="NMM39" s="1027"/>
      <c r="NMN39" s="25"/>
      <c r="NMO39" s="987">
        <f>SUM(NMO36:NMO38)</f>
        <v>0</v>
      </c>
      <c r="NMP39" s="987">
        <f t="shared" si="316"/>
        <v>0</v>
      </c>
      <c r="NMQ39" s="987">
        <f t="shared" si="316"/>
        <v>0</v>
      </c>
      <c r="NMR39" s="987"/>
      <c r="NMS39" s="987"/>
      <c r="NMT39" s="987"/>
      <c r="NMU39" s="987"/>
      <c r="NMV39" s="987">
        <f t="shared" si="317"/>
        <v>0</v>
      </c>
      <c r="NMW39" s="1026" t="s">
        <v>45</v>
      </c>
      <c r="NMX39" s="434"/>
      <c r="NMY39" s="1027"/>
      <c r="NMZ39" s="1027"/>
      <c r="NNA39" s="24"/>
      <c r="NNB39" s="1027"/>
      <c r="NNC39" s="1027"/>
      <c r="NND39" s="25"/>
      <c r="NNE39" s="987">
        <f>SUM(NNE36:NNE38)</f>
        <v>0</v>
      </c>
      <c r="NNF39" s="987">
        <f t="shared" si="316"/>
        <v>0</v>
      </c>
      <c r="NNG39" s="987">
        <f t="shared" si="316"/>
        <v>0</v>
      </c>
      <c r="NNH39" s="987"/>
      <c r="NNI39" s="987"/>
      <c r="NNJ39" s="987"/>
      <c r="NNK39" s="987"/>
      <c r="NNL39" s="987">
        <f t="shared" si="317"/>
        <v>0</v>
      </c>
      <c r="NNM39" s="1026" t="s">
        <v>45</v>
      </c>
      <c r="NNN39" s="434"/>
      <c r="NNO39" s="1027"/>
      <c r="NNP39" s="1027"/>
      <c r="NNQ39" s="24"/>
      <c r="NNR39" s="1027"/>
      <c r="NNS39" s="1027"/>
      <c r="NNT39" s="25"/>
      <c r="NNU39" s="987">
        <f>SUM(NNU36:NNU38)</f>
        <v>0</v>
      </c>
      <c r="NNV39" s="987">
        <f t="shared" si="316"/>
        <v>0</v>
      </c>
      <c r="NNW39" s="987">
        <f t="shared" si="316"/>
        <v>0</v>
      </c>
      <c r="NNX39" s="987"/>
      <c r="NNY39" s="987"/>
      <c r="NNZ39" s="987"/>
      <c r="NOA39" s="987"/>
      <c r="NOB39" s="987">
        <f t="shared" si="317"/>
        <v>0</v>
      </c>
      <c r="NOC39" s="1026" t="s">
        <v>45</v>
      </c>
      <c r="NOD39" s="434"/>
      <c r="NOE39" s="1027"/>
      <c r="NOF39" s="1027"/>
      <c r="NOG39" s="24"/>
      <c r="NOH39" s="1027"/>
      <c r="NOI39" s="1027"/>
      <c r="NOJ39" s="25"/>
      <c r="NOK39" s="987">
        <f>SUM(NOK36:NOK38)</f>
        <v>0</v>
      </c>
      <c r="NOL39" s="987">
        <f t="shared" ref="NOL39:NQI39" si="318">SUM(NOL36:NOL38)</f>
        <v>0</v>
      </c>
      <c r="NOM39" s="987">
        <f t="shared" si="318"/>
        <v>0</v>
      </c>
      <c r="NON39" s="987"/>
      <c r="NOO39" s="987"/>
      <c r="NOP39" s="987"/>
      <c r="NOQ39" s="987"/>
      <c r="NOR39" s="987">
        <f t="shared" ref="NOR39:NQN39" si="319">SUM(NOR36:NOR38)</f>
        <v>0</v>
      </c>
      <c r="NOS39" s="1026" t="s">
        <v>45</v>
      </c>
      <c r="NOT39" s="434"/>
      <c r="NOU39" s="1027"/>
      <c r="NOV39" s="1027"/>
      <c r="NOW39" s="24"/>
      <c r="NOX39" s="1027"/>
      <c r="NOY39" s="1027"/>
      <c r="NOZ39" s="25"/>
      <c r="NPA39" s="987">
        <f>SUM(NPA36:NPA38)</f>
        <v>0</v>
      </c>
      <c r="NPB39" s="987">
        <f t="shared" si="318"/>
        <v>0</v>
      </c>
      <c r="NPC39" s="987">
        <f t="shared" si="318"/>
        <v>0</v>
      </c>
      <c r="NPD39" s="987"/>
      <c r="NPE39" s="987"/>
      <c r="NPF39" s="987"/>
      <c r="NPG39" s="987"/>
      <c r="NPH39" s="987">
        <f t="shared" si="319"/>
        <v>0</v>
      </c>
      <c r="NPI39" s="1026" t="s">
        <v>45</v>
      </c>
      <c r="NPJ39" s="434"/>
      <c r="NPK39" s="1027"/>
      <c r="NPL39" s="1027"/>
      <c r="NPM39" s="24"/>
      <c r="NPN39" s="1027"/>
      <c r="NPO39" s="1027"/>
      <c r="NPP39" s="25"/>
      <c r="NPQ39" s="987">
        <f>SUM(NPQ36:NPQ38)</f>
        <v>0</v>
      </c>
      <c r="NPR39" s="987">
        <f t="shared" si="318"/>
        <v>0</v>
      </c>
      <c r="NPS39" s="987">
        <f t="shared" si="318"/>
        <v>0</v>
      </c>
      <c r="NPT39" s="987"/>
      <c r="NPU39" s="987"/>
      <c r="NPV39" s="987"/>
      <c r="NPW39" s="987"/>
      <c r="NPX39" s="987">
        <f t="shared" si="319"/>
        <v>0</v>
      </c>
      <c r="NPY39" s="1026" t="s">
        <v>45</v>
      </c>
      <c r="NPZ39" s="434"/>
      <c r="NQA39" s="1027"/>
      <c r="NQB39" s="1027"/>
      <c r="NQC39" s="24"/>
      <c r="NQD39" s="1027"/>
      <c r="NQE39" s="1027"/>
      <c r="NQF39" s="25"/>
      <c r="NQG39" s="987">
        <f>SUM(NQG36:NQG38)</f>
        <v>0</v>
      </c>
      <c r="NQH39" s="987">
        <f t="shared" si="318"/>
        <v>0</v>
      </c>
      <c r="NQI39" s="987">
        <f t="shared" si="318"/>
        <v>0</v>
      </c>
      <c r="NQJ39" s="987"/>
      <c r="NQK39" s="987"/>
      <c r="NQL39" s="987"/>
      <c r="NQM39" s="987"/>
      <c r="NQN39" s="987">
        <f t="shared" si="319"/>
        <v>0</v>
      </c>
      <c r="NQO39" s="1026" t="s">
        <v>45</v>
      </c>
      <c r="NQP39" s="434"/>
      <c r="NQQ39" s="1027"/>
      <c r="NQR39" s="1027"/>
      <c r="NQS39" s="24"/>
      <c r="NQT39" s="1027"/>
      <c r="NQU39" s="1027"/>
      <c r="NQV39" s="25"/>
      <c r="NQW39" s="987">
        <f>SUM(NQW36:NQW38)</f>
        <v>0</v>
      </c>
      <c r="NQX39" s="987">
        <f t="shared" ref="NQX39:NSU39" si="320">SUM(NQX36:NQX38)</f>
        <v>0</v>
      </c>
      <c r="NQY39" s="987">
        <f t="shared" si="320"/>
        <v>0</v>
      </c>
      <c r="NQZ39" s="987"/>
      <c r="NRA39" s="987"/>
      <c r="NRB39" s="987"/>
      <c r="NRC39" s="987"/>
      <c r="NRD39" s="987">
        <f t="shared" ref="NRD39:NSZ39" si="321">SUM(NRD36:NRD38)</f>
        <v>0</v>
      </c>
      <c r="NRE39" s="1026" t="s">
        <v>45</v>
      </c>
      <c r="NRF39" s="434"/>
      <c r="NRG39" s="1027"/>
      <c r="NRH39" s="1027"/>
      <c r="NRI39" s="24"/>
      <c r="NRJ39" s="1027"/>
      <c r="NRK39" s="1027"/>
      <c r="NRL39" s="25"/>
      <c r="NRM39" s="987">
        <f>SUM(NRM36:NRM38)</f>
        <v>0</v>
      </c>
      <c r="NRN39" s="987">
        <f t="shared" si="320"/>
        <v>0</v>
      </c>
      <c r="NRO39" s="987">
        <f t="shared" si="320"/>
        <v>0</v>
      </c>
      <c r="NRP39" s="987"/>
      <c r="NRQ39" s="987"/>
      <c r="NRR39" s="987"/>
      <c r="NRS39" s="987"/>
      <c r="NRT39" s="987">
        <f t="shared" si="321"/>
        <v>0</v>
      </c>
      <c r="NRU39" s="1026" t="s">
        <v>45</v>
      </c>
      <c r="NRV39" s="434"/>
      <c r="NRW39" s="1027"/>
      <c r="NRX39" s="1027"/>
      <c r="NRY39" s="24"/>
      <c r="NRZ39" s="1027"/>
      <c r="NSA39" s="1027"/>
      <c r="NSB39" s="25"/>
      <c r="NSC39" s="987">
        <f>SUM(NSC36:NSC38)</f>
        <v>0</v>
      </c>
      <c r="NSD39" s="987">
        <f t="shared" si="320"/>
        <v>0</v>
      </c>
      <c r="NSE39" s="987">
        <f t="shared" si="320"/>
        <v>0</v>
      </c>
      <c r="NSF39" s="987"/>
      <c r="NSG39" s="987"/>
      <c r="NSH39" s="987"/>
      <c r="NSI39" s="987"/>
      <c r="NSJ39" s="987">
        <f t="shared" si="321"/>
        <v>0</v>
      </c>
      <c r="NSK39" s="1026" t="s">
        <v>45</v>
      </c>
      <c r="NSL39" s="434"/>
      <c r="NSM39" s="1027"/>
      <c r="NSN39" s="1027"/>
      <c r="NSO39" s="24"/>
      <c r="NSP39" s="1027"/>
      <c r="NSQ39" s="1027"/>
      <c r="NSR39" s="25"/>
      <c r="NSS39" s="987">
        <f>SUM(NSS36:NSS38)</f>
        <v>0</v>
      </c>
      <c r="NST39" s="987">
        <f t="shared" si="320"/>
        <v>0</v>
      </c>
      <c r="NSU39" s="987">
        <f t="shared" si="320"/>
        <v>0</v>
      </c>
      <c r="NSV39" s="987"/>
      <c r="NSW39" s="987"/>
      <c r="NSX39" s="987"/>
      <c r="NSY39" s="987"/>
      <c r="NSZ39" s="987">
        <f t="shared" si="321"/>
        <v>0</v>
      </c>
      <c r="NTA39" s="1026" t="s">
        <v>45</v>
      </c>
      <c r="NTB39" s="434"/>
      <c r="NTC39" s="1027"/>
      <c r="NTD39" s="1027"/>
      <c r="NTE39" s="24"/>
      <c r="NTF39" s="1027"/>
      <c r="NTG39" s="1027"/>
      <c r="NTH39" s="25"/>
      <c r="NTI39" s="987">
        <f>SUM(NTI36:NTI38)</f>
        <v>0</v>
      </c>
      <c r="NTJ39" s="987">
        <f t="shared" ref="NTJ39:NVG39" si="322">SUM(NTJ36:NTJ38)</f>
        <v>0</v>
      </c>
      <c r="NTK39" s="987">
        <f t="shared" si="322"/>
        <v>0</v>
      </c>
      <c r="NTL39" s="987"/>
      <c r="NTM39" s="987"/>
      <c r="NTN39" s="987"/>
      <c r="NTO39" s="987"/>
      <c r="NTP39" s="987">
        <f t="shared" ref="NTP39:NVL39" si="323">SUM(NTP36:NTP38)</f>
        <v>0</v>
      </c>
      <c r="NTQ39" s="1026" t="s">
        <v>45</v>
      </c>
      <c r="NTR39" s="434"/>
      <c r="NTS39" s="1027"/>
      <c r="NTT39" s="1027"/>
      <c r="NTU39" s="24"/>
      <c r="NTV39" s="1027"/>
      <c r="NTW39" s="1027"/>
      <c r="NTX39" s="25"/>
      <c r="NTY39" s="987">
        <f>SUM(NTY36:NTY38)</f>
        <v>0</v>
      </c>
      <c r="NTZ39" s="987">
        <f t="shared" si="322"/>
        <v>0</v>
      </c>
      <c r="NUA39" s="987">
        <f t="shared" si="322"/>
        <v>0</v>
      </c>
      <c r="NUB39" s="987"/>
      <c r="NUC39" s="987"/>
      <c r="NUD39" s="987"/>
      <c r="NUE39" s="987"/>
      <c r="NUF39" s="987">
        <f t="shared" si="323"/>
        <v>0</v>
      </c>
      <c r="NUG39" s="1026" t="s">
        <v>45</v>
      </c>
      <c r="NUH39" s="434"/>
      <c r="NUI39" s="1027"/>
      <c r="NUJ39" s="1027"/>
      <c r="NUK39" s="24"/>
      <c r="NUL39" s="1027"/>
      <c r="NUM39" s="1027"/>
      <c r="NUN39" s="25"/>
      <c r="NUO39" s="987">
        <f>SUM(NUO36:NUO38)</f>
        <v>0</v>
      </c>
      <c r="NUP39" s="987">
        <f t="shared" si="322"/>
        <v>0</v>
      </c>
      <c r="NUQ39" s="987">
        <f t="shared" si="322"/>
        <v>0</v>
      </c>
      <c r="NUR39" s="987"/>
      <c r="NUS39" s="987"/>
      <c r="NUT39" s="987"/>
      <c r="NUU39" s="987"/>
      <c r="NUV39" s="987">
        <f t="shared" si="323"/>
        <v>0</v>
      </c>
      <c r="NUW39" s="1026" t="s">
        <v>45</v>
      </c>
      <c r="NUX39" s="434"/>
      <c r="NUY39" s="1027"/>
      <c r="NUZ39" s="1027"/>
      <c r="NVA39" s="24"/>
      <c r="NVB39" s="1027"/>
      <c r="NVC39" s="1027"/>
      <c r="NVD39" s="25"/>
      <c r="NVE39" s="987">
        <f>SUM(NVE36:NVE38)</f>
        <v>0</v>
      </c>
      <c r="NVF39" s="987">
        <f t="shared" si="322"/>
        <v>0</v>
      </c>
      <c r="NVG39" s="987">
        <f t="shared" si="322"/>
        <v>0</v>
      </c>
      <c r="NVH39" s="987"/>
      <c r="NVI39" s="987"/>
      <c r="NVJ39" s="987"/>
      <c r="NVK39" s="987"/>
      <c r="NVL39" s="987">
        <f t="shared" si="323"/>
        <v>0</v>
      </c>
      <c r="NVM39" s="1026" t="s">
        <v>45</v>
      </c>
      <c r="NVN39" s="434"/>
      <c r="NVO39" s="1027"/>
      <c r="NVP39" s="1027"/>
      <c r="NVQ39" s="24"/>
      <c r="NVR39" s="1027"/>
      <c r="NVS39" s="1027"/>
      <c r="NVT39" s="25"/>
      <c r="NVU39" s="987">
        <f>SUM(NVU36:NVU38)</f>
        <v>0</v>
      </c>
      <c r="NVV39" s="987">
        <f t="shared" ref="NVV39:NXS39" si="324">SUM(NVV36:NVV38)</f>
        <v>0</v>
      </c>
      <c r="NVW39" s="987">
        <f t="shared" si="324"/>
        <v>0</v>
      </c>
      <c r="NVX39" s="987"/>
      <c r="NVY39" s="987"/>
      <c r="NVZ39" s="987"/>
      <c r="NWA39" s="987"/>
      <c r="NWB39" s="987">
        <f t="shared" ref="NWB39:NXX39" si="325">SUM(NWB36:NWB38)</f>
        <v>0</v>
      </c>
      <c r="NWC39" s="1026" t="s">
        <v>45</v>
      </c>
      <c r="NWD39" s="434"/>
      <c r="NWE39" s="1027"/>
      <c r="NWF39" s="1027"/>
      <c r="NWG39" s="24"/>
      <c r="NWH39" s="1027"/>
      <c r="NWI39" s="1027"/>
      <c r="NWJ39" s="25"/>
      <c r="NWK39" s="987">
        <f>SUM(NWK36:NWK38)</f>
        <v>0</v>
      </c>
      <c r="NWL39" s="987">
        <f t="shared" si="324"/>
        <v>0</v>
      </c>
      <c r="NWM39" s="987">
        <f t="shared" si="324"/>
        <v>0</v>
      </c>
      <c r="NWN39" s="987"/>
      <c r="NWO39" s="987"/>
      <c r="NWP39" s="987"/>
      <c r="NWQ39" s="987"/>
      <c r="NWR39" s="987">
        <f t="shared" si="325"/>
        <v>0</v>
      </c>
      <c r="NWS39" s="1026" t="s">
        <v>45</v>
      </c>
      <c r="NWT39" s="434"/>
      <c r="NWU39" s="1027"/>
      <c r="NWV39" s="1027"/>
      <c r="NWW39" s="24"/>
      <c r="NWX39" s="1027"/>
      <c r="NWY39" s="1027"/>
      <c r="NWZ39" s="25"/>
      <c r="NXA39" s="987">
        <f>SUM(NXA36:NXA38)</f>
        <v>0</v>
      </c>
      <c r="NXB39" s="987">
        <f t="shared" si="324"/>
        <v>0</v>
      </c>
      <c r="NXC39" s="987">
        <f t="shared" si="324"/>
        <v>0</v>
      </c>
      <c r="NXD39" s="987"/>
      <c r="NXE39" s="987"/>
      <c r="NXF39" s="987"/>
      <c r="NXG39" s="987"/>
      <c r="NXH39" s="987">
        <f t="shared" si="325"/>
        <v>0</v>
      </c>
      <c r="NXI39" s="1026" t="s">
        <v>45</v>
      </c>
      <c r="NXJ39" s="434"/>
      <c r="NXK39" s="1027"/>
      <c r="NXL39" s="1027"/>
      <c r="NXM39" s="24"/>
      <c r="NXN39" s="1027"/>
      <c r="NXO39" s="1027"/>
      <c r="NXP39" s="25"/>
      <c r="NXQ39" s="987">
        <f>SUM(NXQ36:NXQ38)</f>
        <v>0</v>
      </c>
      <c r="NXR39" s="987">
        <f t="shared" si="324"/>
        <v>0</v>
      </c>
      <c r="NXS39" s="987">
        <f t="shared" si="324"/>
        <v>0</v>
      </c>
      <c r="NXT39" s="987"/>
      <c r="NXU39" s="987"/>
      <c r="NXV39" s="987"/>
      <c r="NXW39" s="987"/>
      <c r="NXX39" s="987">
        <f t="shared" si="325"/>
        <v>0</v>
      </c>
      <c r="NXY39" s="1026" t="s">
        <v>45</v>
      </c>
      <c r="NXZ39" s="434"/>
      <c r="NYA39" s="1027"/>
      <c r="NYB39" s="1027"/>
      <c r="NYC39" s="24"/>
      <c r="NYD39" s="1027"/>
      <c r="NYE39" s="1027"/>
      <c r="NYF39" s="25"/>
      <c r="NYG39" s="987">
        <f>SUM(NYG36:NYG38)</f>
        <v>0</v>
      </c>
      <c r="NYH39" s="987">
        <f t="shared" ref="NYH39:OAE39" si="326">SUM(NYH36:NYH38)</f>
        <v>0</v>
      </c>
      <c r="NYI39" s="987">
        <f t="shared" si="326"/>
        <v>0</v>
      </c>
      <c r="NYJ39" s="987"/>
      <c r="NYK39" s="987"/>
      <c r="NYL39" s="987"/>
      <c r="NYM39" s="987"/>
      <c r="NYN39" s="987">
        <f t="shared" ref="NYN39:OAJ39" si="327">SUM(NYN36:NYN38)</f>
        <v>0</v>
      </c>
      <c r="NYO39" s="1026" t="s">
        <v>45</v>
      </c>
      <c r="NYP39" s="434"/>
      <c r="NYQ39" s="1027"/>
      <c r="NYR39" s="1027"/>
      <c r="NYS39" s="24"/>
      <c r="NYT39" s="1027"/>
      <c r="NYU39" s="1027"/>
      <c r="NYV39" s="25"/>
      <c r="NYW39" s="987">
        <f>SUM(NYW36:NYW38)</f>
        <v>0</v>
      </c>
      <c r="NYX39" s="987">
        <f t="shared" si="326"/>
        <v>0</v>
      </c>
      <c r="NYY39" s="987">
        <f t="shared" si="326"/>
        <v>0</v>
      </c>
      <c r="NYZ39" s="987"/>
      <c r="NZA39" s="987"/>
      <c r="NZB39" s="987"/>
      <c r="NZC39" s="987"/>
      <c r="NZD39" s="987">
        <f t="shared" si="327"/>
        <v>0</v>
      </c>
      <c r="NZE39" s="1026" t="s">
        <v>45</v>
      </c>
      <c r="NZF39" s="434"/>
      <c r="NZG39" s="1027"/>
      <c r="NZH39" s="1027"/>
      <c r="NZI39" s="24"/>
      <c r="NZJ39" s="1027"/>
      <c r="NZK39" s="1027"/>
      <c r="NZL39" s="25"/>
      <c r="NZM39" s="987">
        <f>SUM(NZM36:NZM38)</f>
        <v>0</v>
      </c>
      <c r="NZN39" s="987">
        <f t="shared" si="326"/>
        <v>0</v>
      </c>
      <c r="NZO39" s="987">
        <f t="shared" si="326"/>
        <v>0</v>
      </c>
      <c r="NZP39" s="987"/>
      <c r="NZQ39" s="987"/>
      <c r="NZR39" s="987"/>
      <c r="NZS39" s="987"/>
      <c r="NZT39" s="987">
        <f t="shared" si="327"/>
        <v>0</v>
      </c>
      <c r="NZU39" s="1026" t="s">
        <v>45</v>
      </c>
      <c r="NZV39" s="434"/>
      <c r="NZW39" s="1027"/>
      <c r="NZX39" s="1027"/>
      <c r="NZY39" s="24"/>
      <c r="NZZ39" s="1027"/>
      <c r="OAA39" s="1027"/>
      <c r="OAB39" s="25"/>
      <c r="OAC39" s="987">
        <f>SUM(OAC36:OAC38)</f>
        <v>0</v>
      </c>
      <c r="OAD39" s="987">
        <f t="shared" si="326"/>
        <v>0</v>
      </c>
      <c r="OAE39" s="987">
        <f t="shared" si="326"/>
        <v>0</v>
      </c>
      <c r="OAF39" s="987"/>
      <c r="OAG39" s="987"/>
      <c r="OAH39" s="987"/>
      <c r="OAI39" s="987"/>
      <c r="OAJ39" s="987">
        <f t="shared" si="327"/>
        <v>0</v>
      </c>
      <c r="OAK39" s="1026" t="s">
        <v>45</v>
      </c>
      <c r="OAL39" s="434"/>
      <c r="OAM39" s="1027"/>
      <c r="OAN39" s="1027"/>
      <c r="OAO39" s="24"/>
      <c r="OAP39" s="1027"/>
      <c r="OAQ39" s="1027"/>
      <c r="OAR39" s="25"/>
      <c r="OAS39" s="987">
        <f>SUM(OAS36:OAS38)</f>
        <v>0</v>
      </c>
      <c r="OAT39" s="987">
        <f t="shared" ref="OAT39:OCQ39" si="328">SUM(OAT36:OAT38)</f>
        <v>0</v>
      </c>
      <c r="OAU39" s="987">
        <f t="shared" si="328"/>
        <v>0</v>
      </c>
      <c r="OAV39" s="987"/>
      <c r="OAW39" s="987"/>
      <c r="OAX39" s="987"/>
      <c r="OAY39" s="987"/>
      <c r="OAZ39" s="987">
        <f t="shared" ref="OAZ39:OCV39" si="329">SUM(OAZ36:OAZ38)</f>
        <v>0</v>
      </c>
      <c r="OBA39" s="1026" t="s">
        <v>45</v>
      </c>
      <c r="OBB39" s="434"/>
      <c r="OBC39" s="1027"/>
      <c r="OBD39" s="1027"/>
      <c r="OBE39" s="24"/>
      <c r="OBF39" s="1027"/>
      <c r="OBG39" s="1027"/>
      <c r="OBH39" s="25"/>
      <c r="OBI39" s="987">
        <f>SUM(OBI36:OBI38)</f>
        <v>0</v>
      </c>
      <c r="OBJ39" s="987">
        <f t="shared" si="328"/>
        <v>0</v>
      </c>
      <c r="OBK39" s="987">
        <f t="shared" si="328"/>
        <v>0</v>
      </c>
      <c r="OBL39" s="987"/>
      <c r="OBM39" s="987"/>
      <c r="OBN39" s="987"/>
      <c r="OBO39" s="987"/>
      <c r="OBP39" s="987">
        <f t="shared" si="329"/>
        <v>0</v>
      </c>
      <c r="OBQ39" s="1026" t="s">
        <v>45</v>
      </c>
      <c r="OBR39" s="434"/>
      <c r="OBS39" s="1027"/>
      <c r="OBT39" s="1027"/>
      <c r="OBU39" s="24"/>
      <c r="OBV39" s="1027"/>
      <c r="OBW39" s="1027"/>
      <c r="OBX39" s="25"/>
      <c r="OBY39" s="987">
        <f>SUM(OBY36:OBY38)</f>
        <v>0</v>
      </c>
      <c r="OBZ39" s="987">
        <f t="shared" si="328"/>
        <v>0</v>
      </c>
      <c r="OCA39" s="987">
        <f t="shared" si="328"/>
        <v>0</v>
      </c>
      <c r="OCB39" s="987"/>
      <c r="OCC39" s="987"/>
      <c r="OCD39" s="987"/>
      <c r="OCE39" s="987"/>
      <c r="OCF39" s="987">
        <f t="shared" si="329"/>
        <v>0</v>
      </c>
      <c r="OCG39" s="1026" t="s">
        <v>45</v>
      </c>
      <c r="OCH39" s="434"/>
      <c r="OCI39" s="1027"/>
      <c r="OCJ39" s="1027"/>
      <c r="OCK39" s="24"/>
      <c r="OCL39" s="1027"/>
      <c r="OCM39" s="1027"/>
      <c r="OCN39" s="25"/>
      <c r="OCO39" s="987">
        <f>SUM(OCO36:OCO38)</f>
        <v>0</v>
      </c>
      <c r="OCP39" s="987">
        <f t="shared" si="328"/>
        <v>0</v>
      </c>
      <c r="OCQ39" s="987">
        <f t="shared" si="328"/>
        <v>0</v>
      </c>
      <c r="OCR39" s="987"/>
      <c r="OCS39" s="987"/>
      <c r="OCT39" s="987"/>
      <c r="OCU39" s="987"/>
      <c r="OCV39" s="987">
        <f t="shared" si="329"/>
        <v>0</v>
      </c>
      <c r="OCW39" s="1026" t="s">
        <v>45</v>
      </c>
      <c r="OCX39" s="434"/>
      <c r="OCY39" s="1027"/>
      <c r="OCZ39" s="1027"/>
      <c r="ODA39" s="24"/>
      <c r="ODB39" s="1027"/>
      <c r="ODC39" s="1027"/>
      <c r="ODD39" s="25"/>
      <c r="ODE39" s="987">
        <f>SUM(ODE36:ODE38)</f>
        <v>0</v>
      </c>
      <c r="ODF39" s="987">
        <f t="shared" ref="ODF39:OFC39" si="330">SUM(ODF36:ODF38)</f>
        <v>0</v>
      </c>
      <c r="ODG39" s="987">
        <f t="shared" si="330"/>
        <v>0</v>
      </c>
      <c r="ODH39" s="987"/>
      <c r="ODI39" s="987"/>
      <c r="ODJ39" s="987"/>
      <c r="ODK39" s="987"/>
      <c r="ODL39" s="987">
        <f t="shared" ref="ODL39:OFH39" si="331">SUM(ODL36:ODL38)</f>
        <v>0</v>
      </c>
      <c r="ODM39" s="1026" t="s">
        <v>45</v>
      </c>
      <c r="ODN39" s="434"/>
      <c r="ODO39" s="1027"/>
      <c r="ODP39" s="1027"/>
      <c r="ODQ39" s="24"/>
      <c r="ODR39" s="1027"/>
      <c r="ODS39" s="1027"/>
      <c r="ODT39" s="25"/>
      <c r="ODU39" s="987">
        <f>SUM(ODU36:ODU38)</f>
        <v>0</v>
      </c>
      <c r="ODV39" s="987">
        <f t="shared" si="330"/>
        <v>0</v>
      </c>
      <c r="ODW39" s="987">
        <f t="shared" si="330"/>
        <v>0</v>
      </c>
      <c r="ODX39" s="987"/>
      <c r="ODY39" s="987"/>
      <c r="ODZ39" s="987"/>
      <c r="OEA39" s="987"/>
      <c r="OEB39" s="987">
        <f t="shared" si="331"/>
        <v>0</v>
      </c>
      <c r="OEC39" s="1026" t="s">
        <v>45</v>
      </c>
      <c r="OED39" s="434"/>
      <c r="OEE39" s="1027"/>
      <c r="OEF39" s="1027"/>
      <c r="OEG39" s="24"/>
      <c r="OEH39" s="1027"/>
      <c r="OEI39" s="1027"/>
      <c r="OEJ39" s="25"/>
      <c r="OEK39" s="987">
        <f>SUM(OEK36:OEK38)</f>
        <v>0</v>
      </c>
      <c r="OEL39" s="987">
        <f t="shared" si="330"/>
        <v>0</v>
      </c>
      <c r="OEM39" s="987">
        <f t="shared" si="330"/>
        <v>0</v>
      </c>
      <c r="OEN39" s="987"/>
      <c r="OEO39" s="987"/>
      <c r="OEP39" s="987"/>
      <c r="OEQ39" s="987"/>
      <c r="OER39" s="987">
        <f t="shared" si="331"/>
        <v>0</v>
      </c>
      <c r="OES39" s="1026" t="s">
        <v>45</v>
      </c>
      <c r="OET39" s="434"/>
      <c r="OEU39" s="1027"/>
      <c r="OEV39" s="1027"/>
      <c r="OEW39" s="24"/>
      <c r="OEX39" s="1027"/>
      <c r="OEY39" s="1027"/>
      <c r="OEZ39" s="25"/>
      <c r="OFA39" s="987">
        <f>SUM(OFA36:OFA38)</f>
        <v>0</v>
      </c>
      <c r="OFB39" s="987">
        <f t="shared" si="330"/>
        <v>0</v>
      </c>
      <c r="OFC39" s="987">
        <f t="shared" si="330"/>
        <v>0</v>
      </c>
      <c r="OFD39" s="987"/>
      <c r="OFE39" s="987"/>
      <c r="OFF39" s="987"/>
      <c r="OFG39" s="987"/>
      <c r="OFH39" s="987">
        <f t="shared" si="331"/>
        <v>0</v>
      </c>
      <c r="OFI39" s="1026" t="s">
        <v>45</v>
      </c>
      <c r="OFJ39" s="434"/>
      <c r="OFK39" s="1027"/>
      <c r="OFL39" s="1027"/>
      <c r="OFM39" s="24"/>
      <c r="OFN39" s="1027"/>
      <c r="OFO39" s="1027"/>
      <c r="OFP39" s="25"/>
      <c r="OFQ39" s="987">
        <f>SUM(OFQ36:OFQ38)</f>
        <v>0</v>
      </c>
      <c r="OFR39" s="987">
        <f t="shared" ref="OFR39:OHO39" si="332">SUM(OFR36:OFR38)</f>
        <v>0</v>
      </c>
      <c r="OFS39" s="987">
        <f t="shared" si="332"/>
        <v>0</v>
      </c>
      <c r="OFT39" s="987"/>
      <c r="OFU39" s="987"/>
      <c r="OFV39" s="987"/>
      <c r="OFW39" s="987"/>
      <c r="OFX39" s="987">
        <f t="shared" ref="OFX39:OHT39" si="333">SUM(OFX36:OFX38)</f>
        <v>0</v>
      </c>
      <c r="OFY39" s="1026" t="s">
        <v>45</v>
      </c>
      <c r="OFZ39" s="434"/>
      <c r="OGA39" s="1027"/>
      <c r="OGB39" s="1027"/>
      <c r="OGC39" s="24"/>
      <c r="OGD39" s="1027"/>
      <c r="OGE39" s="1027"/>
      <c r="OGF39" s="25"/>
      <c r="OGG39" s="987">
        <f>SUM(OGG36:OGG38)</f>
        <v>0</v>
      </c>
      <c r="OGH39" s="987">
        <f t="shared" si="332"/>
        <v>0</v>
      </c>
      <c r="OGI39" s="987">
        <f t="shared" si="332"/>
        <v>0</v>
      </c>
      <c r="OGJ39" s="987"/>
      <c r="OGK39" s="987"/>
      <c r="OGL39" s="987"/>
      <c r="OGM39" s="987"/>
      <c r="OGN39" s="987">
        <f t="shared" si="333"/>
        <v>0</v>
      </c>
      <c r="OGO39" s="1026" t="s">
        <v>45</v>
      </c>
      <c r="OGP39" s="434"/>
      <c r="OGQ39" s="1027"/>
      <c r="OGR39" s="1027"/>
      <c r="OGS39" s="24"/>
      <c r="OGT39" s="1027"/>
      <c r="OGU39" s="1027"/>
      <c r="OGV39" s="25"/>
      <c r="OGW39" s="987">
        <f>SUM(OGW36:OGW38)</f>
        <v>0</v>
      </c>
      <c r="OGX39" s="987">
        <f t="shared" si="332"/>
        <v>0</v>
      </c>
      <c r="OGY39" s="987">
        <f t="shared" si="332"/>
        <v>0</v>
      </c>
      <c r="OGZ39" s="987"/>
      <c r="OHA39" s="987"/>
      <c r="OHB39" s="987"/>
      <c r="OHC39" s="987"/>
      <c r="OHD39" s="987">
        <f t="shared" si="333"/>
        <v>0</v>
      </c>
      <c r="OHE39" s="1026" t="s">
        <v>45</v>
      </c>
      <c r="OHF39" s="434"/>
      <c r="OHG39" s="1027"/>
      <c r="OHH39" s="1027"/>
      <c r="OHI39" s="24"/>
      <c r="OHJ39" s="1027"/>
      <c r="OHK39" s="1027"/>
      <c r="OHL39" s="25"/>
      <c r="OHM39" s="987">
        <f>SUM(OHM36:OHM38)</f>
        <v>0</v>
      </c>
      <c r="OHN39" s="987">
        <f t="shared" si="332"/>
        <v>0</v>
      </c>
      <c r="OHO39" s="987">
        <f t="shared" si="332"/>
        <v>0</v>
      </c>
      <c r="OHP39" s="987"/>
      <c r="OHQ39" s="987"/>
      <c r="OHR39" s="987"/>
      <c r="OHS39" s="987"/>
      <c r="OHT39" s="987">
        <f t="shared" si="333"/>
        <v>0</v>
      </c>
      <c r="OHU39" s="1026" t="s">
        <v>45</v>
      </c>
      <c r="OHV39" s="434"/>
      <c r="OHW39" s="1027"/>
      <c r="OHX39" s="1027"/>
      <c r="OHY39" s="24"/>
      <c r="OHZ39" s="1027"/>
      <c r="OIA39" s="1027"/>
      <c r="OIB39" s="25"/>
      <c r="OIC39" s="987">
        <f>SUM(OIC36:OIC38)</f>
        <v>0</v>
      </c>
      <c r="OID39" s="987">
        <f t="shared" ref="OID39:OKA39" si="334">SUM(OID36:OID38)</f>
        <v>0</v>
      </c>
      <c r="OIE39" s="987">
        <f t="shared" si="334"/>
        <v>0</v>
      </c>
      <c r="OIF39" s="987"/>
      <c r="OIG39" s="987"/>
      <c r="OIH39" s="987"/>
      <c r="OII39" s="987"/>
      <c r="OIJ39" s="987">
        <f t="shared" ref="OIJ39:OKF39" si="335">SUM(OIJ36:OIJ38)</f>
        <v>0</v>
      </c>
      <c r="OIK39" s="1026" t="s">
        <v>45</v>
      </c>
      <c r="OIL39" s="434"/>
      <c r="OIM39" s="1027"/>
      <c r="OIN39" s="1027"/>
      <c r="OIO39" s="24"/>
      <c r="OIP39" s="1027"/>
      <c r="OIQ39" s="1027"/>
      <c r="OIR39" s="25"/>
      <c r="OIS39" s="987">
        <f>SUM(OIS36:OIS38)</f>
        <v>0</v>
      </c>
      <c r="OIT39" s="987">
        <f t="shared" si="334"/>
        <v>0</v>
      </c>
      <c r="OIU39" s="987">
        <f t="shared" si="334"/>
        <v>0</v>
      </c>
      <c r="OIV39" s="987"/>
      <c r="OIW39" s="987"/>
      <c r="OIX39" s="987"/>
      <c r="OIY39" s="987"/>
      <c r="OIZ39" s="987">
        <f t="shared" si="335"/>
        <v>0</v>
      </c>
      <c r="OJA39" s="1026" t="s">
        <v>45</v>
      </c>
      <c r="OJB39" s="434"/>
      <c r="OJC39" s="1027"/>
      <c r="OJD39" s="1027"/>
      <c r="OJE39" s="24"/>
      <c r="OJF39" s="1027"/>
      <c r="OJG39" s="1027"/>
      <c r="OJH39" s="25"/>
      <c r="OJI39" s="987">
        <f>SUM(OJI36:OJI38)</f>
        <v>0</v>
      </c>
      <c r="OJJ39" s="987">
        <f t="shared" si="334"/>
        <v>0</v>
      </c>
      <c r="OJK39" s="987">
        <f t="shared" si="334"/>
        <v>0</v>
      </c>
      <c r="OJL39" s="987"/>
      <c r="OJM39" s="987"/>
      <c r="OJN39" s="987"/>
      <c r="OJO39" s="987"/>
      <c r="OJP39" s="987">
        <f t="shared" si="335"/>
        <v>0</v>
      </c>
      <c r="OJQ39" s="1026" t="s">
        <v>45</v>
      </c>
      <c r="OJR39" s="434"/>
      <c r="OJS39" s="1027"/>
      <c r="OJT39" s="1027"/>
      <c r="OJU39" s="24"/>
      <c r="OJV39" s="1027"/>
      <c r="OJW39" s="1027"/>
      <c r="OJX39" s="25"/>
      <c r="OJY39" s="987">
        <f>SUM(OJY36:OJY38)</f>
        <v>0</v>
      </c>
      <c r="OJZ39" s="987">
        <f t="shared" si="334"/>
        <v>0</v>
      </c>
      <c r="OKA39" s="987">
        <f t="shared" si="334"/>
        <v>0</v>
      </c>
      <c r="OKB39" s="987"/>
      <c r="OKC39" s="987"/>
      <c r="OKD39" s="987"/>
      <c r="OKE39" s="987"/>
      <c r="OKF39" s="987">
        <f t="shared" si="335"/>
        <v>0</v>
      </c>
      <c r="OKG39" s="1026" t="s">
        <v>45</v>
      </c>
      <c r="OKH39" s="434"/>
      <c r="OKI39" s="1027"/>
      <c r="OKJ39" s="1027"/>
      <c r="OKK39" s="24"/>
      <c r="OKL39" s="1027"/>
      <c r="OKM39" s="1027"/>
      <c r="OKN39" s="25"/>
      <c r="OKO39" s="987">
        <f>SUM(OKO36:OKO38)</f>
        <v>0</v>
      </c>
      <c r="OKP39" s="987">
        <f t="shared" ref="OKP39:OMM39" si="336">SUM(OKP36:OKP38)</f>
        <v>0</v>
      </c>
      <c r="OKQ39" s="987">
        <f t="shared" si="336"/>
        <v>0</v>
      </c>
      <c r="OKR39" s="987"/>
      <c r="OKS39" s="987"/>
      <c r="OKT39" s="987"/>
      <c r="OKU39" s="987"/>
      <c r="OKV39" s="987">
        <f t="shared" ref="OKV39:OMR39" si="337">SUM(OKV36:OKV38)</f>
        <v>0</v>
      </c>
      <c r="OKW39" s="1026" t="s">
        <v>45</v>
      </c>
      <c r="OKX39" s="434"/>
      <c r="OKY39" s="1027"/>
      <c r="OKZ39" s="1027"/>
      <c r="OLA39" s="24"/>
      <c r="OLB39" s="1027"/>
      <c r="OLC39" s="1027"/>
      <c r="OLD39" s="25"/>
      <c r="OLE39" s="987">
        <f>SUM(OLE36:OLE38)</f>
        <v>0</v>
      </c>
      <c r="OLF39" s="987">
        <f t="shared" si="336"/>
        <v>0</v>
      </c>
      <c r="OLG39" s="987">
        <f t="shared" si="336"/>
        <v>0</v>
      </c>
      <c r="OLH39" s="987"/>
      <c r="OLI39" s="987"/>
      <c r="OLJ39" s="987"/>
      <c r="OLK39" s="987"/>
      <c r="OLL39" s="987">
        <f t="shared" si="337"/>
        <v>0</v>
      </c>
      <c r="OLM39" s="1026" t="s">
        <v>45</v>
      </c>
      <c r="OLN39" s="434"/>
      <c r="OLO39" s="1027"/>
      <c r="OLP39" s="1027"/>
      <c r="OLQ39" s="24"/>
      <c r="OLR39" s="1027"/>
      <c r="OLS39" s="1027"/>
      <c r="OLT39" s="25"/>
      <c r="OLU39" s="987">
        <f>SUM(OLU36:OLU38)</f>
        <v>0</v>
      </c>
      <c r="OLV39" s="987">
        <f t="shared" si="336"/>
        <v>0</v>
      </c>
      <c r="OLW39" s="987">
        <f t="shared" si="336"/>
        <v>0</v>
      </c>
      <c r="OLX39" s="987"/>
      <c r="OLY39" s="987"/>
      <c r="OLZ39" s="987"/>
      <c r="OMA39" s="987"/>
      <c r="OMB39" s="987">
        <f t="shared" si="337"/>
        <v>0</v>
      </c>
      <c r="OMC39" s="1026" t="s">
        <v>45</v>
      </c>
      <c r="OMD39" s="434"/>
      <c r="OME39" s="1027"/>
      <c r="OMF39" s="1027"/>
      <c r="OMG39" s="24"/>
      <c r="OMH39" s="1027"/>
      <c r="OMI39" s="1027"/>
      <c r="OMJ39" s="25"/>
      <c r="OMK39" s="987">
        <f>SUM(OMK36:OMK38)</f>
        <v>0</v>
      </c>
      <c r="OML39" s="987">
        <f t="shared" si="336"/>
        <v>0</v>
      </c>
      <c r="OMM39" s="987">
        <f t="shared" si="336"/>
        <v>0</v>
      </c>
      <c r="OMN39" s="987"/>
      <c r="OMO39" s="987"/>
      <c r="OMP39" s="987"/>
      <c r="OMQ39" s="987"/>
      <c r="OMR39" s="987">
        <f t="shared" si="337"/>
        <v>0</v>
      </c>
      <c r="OMS39" s="1026" t="s">
        <v>45</v>
      </c>
      <c r="OMT39" s="434"/>
      <c r="OMU39" s="1027"/>
      <c r="OMV39" s="1027"/>
      <c r="OMW39" s="24"/>
      <c r="OMX39" s="1027"/>
      <c r="OMY39" s="1027"/>
      <c r="OMZ39" s="25"/>
      <c r="ONA39" s="987">
        <f>SUM(ONA36:ONA38)</f>
        <v>0</v>
      </c>
      <c r="ONB39" s="987">
        <f t="shared" ref="ONB39:OOY39" si="338">SUM(ONB36:ONB38)</f>
        <v>0</v>
      </c>
      <c r="ONC39" s="987">
        <f t="shared" si="338"/>
        <v>0</v>
      </c>
      <c r="OND39" s="987"/>
      <c r="ONE39" s="987"/>
      <c r="ONF39" s="987"/>
      <c r="ONG39" s="987"/>
      <c r="ONH39" s="987">
        <f t="shared" ref="ONH39:OPD39" si="339">SUM(ONH36:ONH38)</f>
        <v>0</v>
      </c>
      <c r="ONI39" s="1026" t="s">
        <v>45</v>
      </c>
      <c r="ONJ39" s="434"/>
      <c r="ONK39" s="1027"/>
      <c r="ONL39" s="1027"/>
      <c r="ONM39" s="24"/>
      <c r="ONN39" s="1027"/>
      <c r="ONO39" s="1027"/>
      <c r="ONP39" s="25"/>
      <c r="ONQ39" s="987">
        <f>SUM(ONQ36:ONQ38)</f>
        <v>0</v>
      </c>
      <c r="ONR39" s="987">
        <f t="shared" si="338"/>
        <v>0</v>
      </c>
      <c r="ONS39" s="987">
        <f t="shared" si="338"/>
        <v>0</v>
      </c>
      <c r="ONT39" s="987"/>
      <c r="ONU39" s="987"/>
      <c r="ONV39" s="987"/>
      <c r="ONW39" s="987"/>
      <c r="ONX39" s="987">
        <f t="shared" si="339"/>
        <v>0</v>
      </c>
      <c r="ONY39" s="1026" t="s">
        <v>45</v>
      </c>
      <c r="ONZ39" s="434"/>
      <c r="OOA39" s="1027"/>
      <c r="OOB39" s="1027"/>
      <c r="OOC39" s="24"/>
      <c r="OOD39" s="1027"/>
      <c r="OOE39" s="1027"/>
      <c r="OOF39" s="25"/>
      <c r="OOG39" s="987">
        <f>SUM(OOG36:OOG38)</f>
        <v>0</v>
      </c>
      <c r="OOH39" s="987">
        <f t="shared" si="338"/>
        <v>0</v>
      </c>
      <c r="OOI39" s="987">
        <f t="shared" si="338"/>
        <v>0</v>
      </c>
      <c r="OOJ39" s="987"/>
      <c r="OOK39" s="987"/>
      <c r="OOL39" s="987"/>
      <c r="OOM39" s="987"/>
      <c r="OON39" s="987">
        <f t="shared" si="339"/>
        <v>0</v>
      </c>
      <c r="OOO39" s="1026" t="s">
        <v>45</v>
      </c>
      <c r="OOP39" s="434"/>
      <c r="OOQ39" s="1027"/>
      <c r="OOR39" s="1027"/>
      <c r="OOS39" s="24"/>
      <c r="OOT39" s="1027"/>
      <c r="OOU39" s="1027"/>
      <c r="OOV39" s="25"/>
      <c r="OOW39" s="987">
        <f>SUM(OOW36:OOW38)</f>
        <v>0</v>
      </c>
      <c r="OOX39" s="987">
        <f t="shared" si="338"/>
        <v>0</v>
      </c>
      <c r="OOY39" s="987">
        <f t="shared" si="338"/>
        <v>0</v>
      </c>
      <c r="OOZ39" s="987"/>
      <c r="OPA39" s="987"/>
      <c r="OPB39" s="987"/>
      <c r="OPC39" s="987"/>
      <c r="OPD39" s="987">
        <f t="shared" si="339"/>
        <v>0</v>
      </c>
      <c r="OPE39" s="1026" t="s">
        <v>45</v>
      </c>
      <c r="OPF39" s="434"/>
      <c r="OPG39" s="1027"/>
      <c r="OPH39" s="1027"/>
      <c r="OPI39" s="24"/>
      <c r="OPJ39" s="1027"/>
      <c r="OPK39" s="1027"/>
      <c r="OPL39" s="25"/>
      <c r="OPM39" s="987">
        <f>SUM(OPM36:OPM38)</f>
        <v>0</v>
      </c>
      <c r="OPN39" s="987">
        <f t="shared" ref="OPN39:ORK39" si="340">SUM(OPN36:OPN38)</f>
        <v>0</v>
      </c>
      <c r="OPO39" s="987">
        <f t="shared" si="340"/>
        <v>0</v>
      </c>
      <c r="OPP39" s="987"/>
      <c r="OPQ39" s="987"/>
      <c r="OPR39" s="987"/>
      <c r="OPS39" s="987"/>
      <c r="OPT39" s="987">
        <f t="shared" ref="OPT39:ORP39" si="341">SUM(OPT36:OPT38)</f>
        <v>0</v>
      </c>
      <c r="OPU39" s="1026" t="s">
        <v>45</v>
      </c>
      <c r="OPV39" s="434"/>
      <c r="OPW39" s="1027"/>
      <c r="OPX39" s="1027"/>
      <c r="OPY39" s="24"/>
      <c r="OPZ39" s="1027"/>
      <c r="OQA39" s="1027"/>
      <c r="OQB39" s="25"/>
      <c r="OQC39" s="987">
        <f>SUM(OQC36:OQC38)</f>
        <v>0</v>
      </c>
      <c r="OQD39" s="987">
        <f t="shared" si="340"/>
        <v>0</v>
      </c>
      <c r="OQE39" s="987">
        <f t="shared" si="340"/>
        <v>0</v>
      </c>
      <c r="OQF39" s="987"/>
      <c r="OQG39" s="987"/>
      <c r="OQH39" s="987"/>
      <c r="OQI39" s="987"/>
      <c r="OQJ39" s="987">
        <f t="shared" si="341"/>
        <v>0</v>
      </c>
      <c r="OQK39" s="1026" t="s">
        <v>45</v>
      </c>
      <c r="OQL39" s="434"/>
      <c r="OQM39" s="1027"/>
      <c r="OQN39" s="1027"/>
      <c r="OQO39" s="24"/>
      <c r="OQP39" s="1027"/>
      <c r="OQQ39" s="1027"/>
      <c r="OQR39" s="25"/>
      <c r="OQS39" s="987">
        <f>SUM(OQS36:OQS38)</f>
        <v>0</v>
      </c>
      <c r="OQT39" s="987">
        <f t="shared" si="340"/>
        <v>0</v>
      </c>
      <c r="OQU39" s="987">
        <f t="shared" si="340"/>
        <v>0</v>
      </c>
      <c r="OQV39" s="987"/>
      <c r="OQW39" s="987"/>
      <c r="OQX39" s="987"/>
      <c r="OQY39" s="987"/>
      <c r="OQZ39" s="987">
        <f t="shared" si="341"/>
        <v>0</v>
      </c>
      <c r="ORA39" s="1026" t="s">
        <v>45</v>
      </c>
      <c r="ORB39" s="434"/>
      <c r="ORC39" s="1027"/>
      <c r="ORD39" s="1027"/>
      <c r="ORE39" s="24"/>
      <c r="ORF39" s="1027"/>
      <c r="ORG39" s="1027"/>
      <c r="ORH39" s="25"/>
      <c r="ORI39" s="987">
        <f>SUM(ORI36:ORI38)</f>
        <v>0</v>
      </c>
      <c r="ORJ39" s="987">
        <f t="shared" si="340"/>
        <v>0</v>
      </c>
      <c r="ORK39" s="987">
        <f t="shared" si="340"/>
        <v>0</v>
      </c>
      <c r="ORL39" s="987"/>
      <c r="ORM39" s="987"/>
      <c r="ORN39" s="987"/>
      <c r="ORO39" s="987"/>
      <c r="ORP39" s="987">
        <f t="shared" si="341"/>
        <v>0</v>
      </c>
      <c r="ORQ39" s="1026" t="s">
        <v>45</v>
      </c>
      <c r="ORR39" s="434"/>
      <c r="ORS39" s="1027"/>
      <c r="ORT39" s="1027"/>
      <c r="ORU39" s="24"/>
      <c r="ORV39" s="1027"/>
      <c r="ORW39" s="1027"/>
      <c r="ORX39" s="25"/>
      <c r="ORY39" s="987">
        <f>SUM(ORY36:ORY38)</f>
        <v>0</v>
      </c>
      <c r="ORZ39" s="987">
        <f t="shared" ref="ORZ39:OTW39" si="342">SUM(ORZ36:ORZ38)</f>
        <v>0</v>
      </c>
      <c r="OSA39" s="987">
        <f t="shared" si="342"/>
        <v>0</v>
      </c>
      <c r="OSB39" s="987"/>
      <c r="OSC39" s="987"/>
      <c r="OSD39" s="987"/>
      <c r="OSE39" s="987"/>
      <c r="OSF39" s="987">
        <f t="shared" ref="OSF39:OUB39" si="343">SUM(OSF36:OSF38)</f>
        <v>0</v>
      </c>
      <c r="OSG39" s="1026" t="s">
        <v>45</v>
      </c>
      <c r="OSH39" s="434"/>
      <c r="OSI39" s="1027"/>
      <c r="OSJ39" s="1027"/>
      <c r="OSK39" s="24"/>
      <c r="OSL39" s="1027"/>
      <c r="OSM39" s="1027"/>
      <c r="OSN39" s="25"/>
      <c r="OSO39" s="987">
        <f>SUM(OSO36:OSO38)</f>
        <v>0</v>
      </c>
      <c r="OSP39" s="987">
        <f t="shared" si="342"/>
        <v>0</v>
      </c>
      <c r="OSQ39" s="987">
        <f t="shared" si="342"/>
        <v>0</v>
      </c>
      <c r="OSR39" s="987"/>
      <c r="OSS39" s="987"/>
      <c r="OST39" s="987"/>
      <c r="OSU39" s="987"/>
      <c r="OSV39" s="987">
        <f t="shared" si="343"/>
        <v>0</v>
      </c>
      <c r="OSW39" s="1026" t="s">
        <v>45</v>
      </c>
      <c r="OSX39" s="434"/>
      <c r="OSY39" s="1027"/>
      <c r="OSZ39" s="1027"/>
      <c r="OTA39" s="24"/>
      <c r="OTB39" s="1027"/>
      <c r="OTC39" s="1027"/>
      <c r="OTD39" s="25"/>
      <c r="OTE39" s="987">
        <f>SUM(OTE36:OTE38)</f>
        <v>0</v>
      </c>
      <c r="OTF39" s="987">
        <f t="shared" si="342"/>
        <v>0</v>
      </c>
      <c r="OTG39" s="987">
        <f t="shared" si="342"/>
        <v>0</v>
      </c>
      <c r="OTH39" s="987"/>
      <c r="OTI39" s="987"/>
      <c r="OTJ39" s="987"/>
      <c r="OTK39" s="987"/>
      <c r="OTL39" s="987">
        <f t="shared" si="343"/>
        <v>0</v>
      </c>
      <c r="OTM39" s="1026" t="s">
        <v>45</v>
      </c>
      <c r="OTN39" s="434"/>
      <c r="OTO39" s="1027"/>
      <c r="OTP39" s="1027"/>
      <c r="OTQ39" s="24"/>
      <c r="OTR39" s="1027"/>
      <c r="OTS39" s="1027"/>
      <c r="OTT39" s="25"/>
      <c r="OTU39" s="987">
        <f>SUM(OTU36:OTU38)</f>
        <v>0</v>
      </c>
      <c r="OTV39" s="987">
        <f t="shared" si="342"/>
        <v>0</v>
      </c>
      <c r="OTW39" s="987">
        <f t="shared" si="342"/>
        <v>0</v>
      </c>
      <c r="OTX39" s="987"/>
      <c r="OTY39" s="987"/>
      <c r="OTZ39" s="987"/>
      <c r="OUA39" s="987"/>
      <c r="OUB39" s="987">
        <f t="shared" si="343"/>
        <v>0</v>
      </c>
      <c r="OUC39" s="1026" t="s">
        <v>45</v>
      </c>
      <c r="OUD39" s="434"/>
      <c r="OUE39" s="1027"/>
      <c r="OUF39" s="1027"/>
      <c r="OUG39" s="24"/>
      <c r="OUH39" s="1027"/>
      <c r="OUI39" s="1027"/>
      <c r="OUJ39" s="25"/>
      <c r="OUK39" s="987">
        <f>SUM(OUK36:OUK38)</f>
        <v>0</v>
      </c>
      <c r="OUL39" s="987">
        <f t="shared" ref="OUL39:OWI39" si="344">SUM(OUL36:OUL38)</f>
        <v>0</v>
      </c>
      <c r="OUM39" s="987">
        <f t="shared" si="344"/>
        <v>0</v>
      </c>
      <c r="OUN39" s="987"/>
      <c r="OUO39" s="987"/>
      <c r="OUP39" s="987"/>
      <c r="OUQ39" s="987"/>
      <c r="OUR39" s="987">
        <f t="shared" ref="OUR39:OWN39" si="345">SUM(OUR36:OUR38)</f>
        <v>0</v>
      </c>
      <c r="OUS39" s="1026" t="s">
        <v>45</v>
      </c>
      <c r="OUT39" s="434"/>
      <c r="OUU39" s="1027"/>
      <c r="OUV39" s="1027"/>
      <c r="OUW39" s="24"/>
      <c r="OUX39" s="1027"/>
      <c r="OUY39" s="1027"/>
      <c r="OUZ39" s="25"/>
      <c r="OVA39" s="987">
        <f>SUM(OVA36:OVA38)</f>
        <v>0</v>
      </c>
      <c r="OVB39" s="987">
        <f t="shared" si="344"/>
        <v>0</v>
      </c>
      <c r="OVC39" s="987">
        <f t="shared" si="344"/>
        <v>0</v>
      </c>
      <c r="OVD39" s="987"/>
      <c r="OVE39" s="987"/>
      <c r="OVF39" s="987"/>
      <c r="OVG39" s="987"/>
      <c r="OVH39" s="987">
        <f t="shared" si="345"/>
        <v>0</v>
      </c>
      <c r="OVI39" s="1026" t="s">
        <v>45</v>
      </c>
      <c r="OVJ39" s="434"/>
      <c r="OVK39" s="1027"/>
      <c r="OVL39" s="1027"/>
      <c r="OVM39" s="24"/>
      <c r="OVN39" s="1027"/>
      <c r="OVO39" s="1027"/>
      <c r="OVP39" s="25"/>
      <c r="OVQ39" s="987">
        <f>SUM(OVQ36:OVQ38)</f>
        <v>0</v>
      </c>
      <c r="OVR39" s="987">
        <f t="shared" si="344"/>
        <v>0</v>
      </c>
      <c r="OVS39" s="987">
        <f t="shared" si="344"/>
        <v>0</v>
      </c>
      <c r="OVT39" s="987"/>
      <c r="OVU39" s="987"/>
      <c r="OVV39" s="987"/>
      <c r="OVW39" s="987"/>
      <c r="OVX39" s="987">
        <f t="shared" si="345"/>
        <v>0</v>
      </c>
      <c r="OVY39" s="1026" t="s">
        <v>45</v>
      </c>
      <c r="OVZ39" s="434"/>
      <c r="OWA39" s="1027"/>
      <c r="OWB39" s="1027"/>
      <c r="OWC39" s="24"/>
      <c r="OWD39" s="1027"/>
      <c r="OWE39" s="1027"/>
      <c r="OWF39" s="25"/>
      <c r="OWG39" s="987">
        <f>SUM(OWG36:OWG38)</f>
        <v>0</v>
      </c>
      <c r="OWH39" s="987">
        <f t="shared" si="344"/>
        <v>0</v>
      </c>
      <c r="OWI39" s="987">
        <f t="shared" si="344"/>
        <v>0</v>
      </c>
      <c r="OWJ39" s="987"/>
      <c r="OWK39" s="987"/>
      <c r="OWL39" s="987"/>
      <c r="OWM39" s="987"/>
      <c r="OWN39" s="987">
        <f t="shared" si="345"/>
        <v>0</v>
      </c>
      <c r="OWO39" s="1026" t="s">
        <v>45</v>
      </c>
      <c r="OWP39" s="434"/>
      <c r="OWQ39" s="1027"/>
      <c r="OWR39" s="1027"/>
      <c r="OWS39" s="24"/>
      <c r="OWT39" s="1027"/>
      <c r="OWU39" s="1027"/>
      <c r="OWV39" s="25"/>
      <c r="OWW39" s="987">
        <f>SUM(OWW36:OWW38)</f>
        <v>0</v>
      </c>
      <c r="OWX39" s="987">
        <f t="shared" ref="OWX39:OYU39" si="346">SUM(OWX36:OWX38)</f>
        <v>0</v>
      </c>
      <c r="OWY39" s="987">
        <f t="shared" si="346"/>
        <v>0</v>
      </c>
      <c r="OWZ39" s="987"/>
      <c r="OXA39" s="987"/>
      <c r="OXB39" s="987"/>
      <c r="OXC39" s="987"/>
      <c r="OXD39" s="987">
        <f t="shared" ref="OXD39:OYZ39" si="347">SUM(OXD36:OXD38)</f>
        <v>0</v>
      </c>
      <c r="OXE39" s="1026" t="s">
        <v>45</v>
      </c>
      <c r="OXF39" s="434"/>
      <c r="OXG39" s="1027"/>
      <c r="OXH39" s="1027"/>
      <c r="OXI39" s="24"/>
      <c r="OXJ39" s="1027"/>
      <c r="OXK39" s="1027"/>
      <c r="OXL39" s="25"/>
      <c r="OXM39" s="987">
        <f>SUM(OXM36:OXM38)</f>
        <v>0</v>
      </c>
      <c r="OXN39" s="987">
        <f t="shared" si="346"/>
        <v>0</v>
      </c>
      <c r="OXO39" s="987">
        <f t="shared" si="346"/>
        <v>0</v>
      </c>
      <c r="OXP39" s="987"/>
      <c r="OXQ39" s="987"/>
      <c r="OXR39" s="987"/>
      <c r="OXS39" s="987"/>
      <c r="OXT39" s="987">
        <f t="shared" si="347"/>
        <v>0</v>
      </c>
      <c r="OXU39" s="1026" t="s">
        <v>45</v>
      </c>
      <c r="OXV39" s="434"/>
      <c r="OXW39" s="1027"/>
      <c r="OXX39" s="1027"/>
      <c r="OXY39" s="24"/>
      <c r="OXZ39" s="1027"/>
      <c r="OYA39" s="1027"/>
      <c r="OYB39" s="25"/>
      <c r="OYC39" s="987">
        <f>SUM(OYC36:OYC38)</f>
        <v>0</v>
      </c>
      <c r="OYD39" s="987">
        <f t="shared" si="346"/>
        <v>0</v>
      </c>
      <c r="OYE39" s="987">
        <f t="shared" si="346"/>
        <v>0</v>
      </c>
      <c r="OYF39" s="987"/>
      <c r="OYG39" s="987"/>
      <c r="OYH39" s="987"/>
      <c r="OYI39" s="987"/>
      <c r="OYJ39" s="987">
        <f t="shared" si="347"/>
        <v>0</v>
      </c>
      <c r="OYK39" s="1026" t="s">
        <v>45</v>
      </c>
      <c r="OYL39" s="434"/>
      <c r="OYM39" s="1027"/>
      <c r="OYN39" s="1027"/>
      <c r="OYO39" s="24"/>
      <c r="OYP39" s="1027"/>
      <c r="OYQ39" s="1027"/>
      <c r="OYR39" s="25"/>
      <c r="OYS39" s="987">
        <f>SUM(OYS36:OYS38)</f>
        <v>0</v>
      </c>
      <c r="OYT39" s="987">
        <f t="shared" si="346"/>
        <v>0</v>
      </c>
      <c r="OYU39" s="987">
        <f t="shared" si="346"/>
        <v>0</v>
      </c>
      <c r="OYV39" s="987"/>
      <c r="OYW39" s="987"/>
      <c r="OYX39" s="987"/>
      <c r="OYY39" s="987"/>
      <c r="OYZ39" s="987">
        <f t="shared" si="347"/>
        <v>0</v>
      </c>
      <c r="OZA39" s="1026" t="s">
        <v>45</v>
      </c>
      <c r="OZB39" s="434"/>
      <c r="OZC39" s="1027"/>
      <c r="OZD39" s="1027"/>
      <c r="OZE39" s="24"/>
      <c r="OZF39" s="1027"/>
      <c r="OZG39" s="1027"/>
      <c r="OZH39" s="25"/>
      <c r="OZI39" s="987">
        <f>SUM(OZI36:OZI38)</f>
        <v>0</v>
      </c>
      <c r="OZJ39" s="987">
        <f t="shared" ref="OZJ39:PBG39" si="348">SUM(OZJ36:OZJ38)</f>
        <v>0</v>
      </c>
      <c r="OZK39" s="987">
        <f t="shared" si="348"/>
        <v>0</v>
      </c>
      <c r="OZL39" s="987"/>
      <c r="OZM39" s="987"/>
      <c r="OZN39" s="987"/>
      <c r="OZO39" s="987"/>
      <c r="OZP39" s="987">
        <f t="shared" ref="OZP39:PBL39" si="349">SUM(OZP36:OZP38)</f>
        <v>0</v>
      </c>
      <c r="OZQ39" s="1026" t="s">
        <v>45</v>
      </c>
      <c r="OZR39" s="434"/>
      <c r="OZS39" s="1027"/>
      <c r="OZT39" s="1027"/>
      <c r="OZU39" s="24"/>
      <c r="OZV39" s="1027"/>
      <c r="OZW39" s="1027"/>
      <c r="OZX39" s="25"/>
      <c r="OZY39" s="987">
        <f>SUM(OZY36:OZY38)</f>
        <v>0</v>
      </c>
      <c r="OZZ39" s="987">
        <f t="shared" si="348"/>
        <v>0</v>
      </c>
      <c r="PAA39" s="987">
        <f t="shared" si="348"/>
        <v>0</v>
      </c>
      <c r="PAB39" s="987"/>
      <c r="PAC39" s="987"/>
      <c r="PAD39" s="987"/>
      <c r="PAE39" s="987"/>
      <c r="PAF39" s="987">
        <f t="shared" si="349"/>
        <v>0</v>
      </c>
      <c r="PAG39" s="1026" t="s">
        <v>45</v>
      </c>
      <c r="PAH39" s="434"/>
      <c r="PAI39" s="1027"/>
      <c r="PAJ39" s="1027"/>
      <c r="PAK39" s="24"/>
      <c r="PAL39" s="1027"/>
      <c r="PAM39" s="1027"/>
      <c r="PAN39" s="25"/>
      <c r="PAO39" s="987">
        <f>SUM(PAO36:PAO38)</f>
        <v>0</v>
      </c>
      <c r="PAP39" s="987">
        <f t="shared" si="348"/>
        <v>0</v>
      </c>
      <c r="PAQ39" s="987">
        <f t="shared" si="348"/>
        <v>0</v>
      </c>
      <c r="PAR39" s="987"/>
      <c r="PAS39" s="987"/>
      <c r="PAT39" s="987"/>
      <c r="PAU39" s="987"/>
      <c r="PAV39" s="987">
        <f t="shared" si="349"/>
        <v>0</v>
      </c>
      <c r="PAW39" s="1026" t="s">
        <v>45</v>
      </c>
      <c r="PAX39" s="434"/>
      <c r="PAY39" s="1027"/>
      <c r="PAZ39" s="1027"/>
      <c r="PBA39" s="24"/>
      <c r="PBB39" s="1027"/>
      <c r="PBC39" s="1027"/>
      <c r="PBD39" s="25"/>
      <c r="PBE39" s="987">
        <f>SUM(PBE36:PBE38)</f>
        <v>0</v>
      </c>
      <c r="PBF39" s="987">
        <f t="shared" si="348"/>
        <v>0</v>
      </c>
      <c r="PBG39" s="987">
        <f t="shared" si="348"/>
        <v>0</v>
      </c>
      <c r="PBH39" s="987"/>
      <c r="PBI39" s="987"/>
      <c r="PBJ39" s="987"/>
      <c r="PBK39" s="987"/>
      <c r="PBL39" s="987">
        <f t="shared" si="349"/>
        <v>0</v>
      </c>
      <c r="PBM39" s="1026" t="s">
        <v>45</v>
      </c>
      <c r="PBN39" s="434"/>
      <c r="PBO39" s="1027"/>
      <c r="PBP39" s="1027"/>
      <c r="PBQ39" s="24"/>
      <c r="PBR39" s="1027"/>
      <c r="PBS39" s="1027"/>
      <c r="PBT39" s="25"/>
      <c r="PBU39" s="987">
        <f>SUM(PBU36:PBU38)</f>
        <v>0</v>
      </c>
      <c r="PBV39" s="987">
        <f t="shared" ref="PBV39:PDS39" si="350">SUM(PBV36:PBV38)</f>
        <v>0</v>
      </c>
      <c r="PBW39" s="987">
        <f t="shared" si="350"/>
        <v>0</v>
      </c>
      <c r="PBX39" s="987"/>
      <c r="PBY39" s="987"/>
      <c r="PBZ39" s="987"/>
      <c r="PCA39" s="987"/>
      <c r="PCB39" s="987">
        <f t="shared" ref="PCB39:PDX39" si="351">SUM(PCB36:PCB38)</f>
        <v>0</v>
      </c>
      <c r="PCC39" s="1026" t="s">
        <v>45</v>
      </c>
      <c r="PCD39" s="434"/>
      <c r="PCE39" s="1027"/>
      <c r="PCF39" s="1027"/>
      <c r="PCG39" s="24"/>
      <c r="PCH39" s="1027"/>
      <c r="PCI39" s="1027"/>
      <c r="PCJ39" s="25"/>
      <c r="PCK39" s="987">
        <f>SUM(PCK36:PCK38)</f>
        <v>0</v>
      </c>
      <c r="PCL39" s="987">
        <f t="shared" si="350"/>
        <v>0</v>
      </c>
      <c r="PCM39" s="987">
        <f t="shared" si="350"/>
        <v>0</v>
      </c>
      <c r="PCN39" s="987"/>
      <c r="PCO39" s="987"/>
      <c r="PCP39" s="987"/>
      <c r="PCQ39" s="987"/>
      <c r="PCR39" s="987">
        <f t="shared" si="351"/>
        <v>0</v>
      </c>
      <c r="PCS39" s="1026" t="s">
        <v>45</v>
      </c>
      <c r="PCT39" s="434"/>
      <c r="PCU39" s="1027"/>
      <c r="PCV39" s="1027"/>
      <c r="PCW39" s="24"/>
      <c r="PCX39" s="1027"/>
      <c r="PCY39" s="1027"/>
      <c r="PCZ39" s="25"/>
      <c r="PDA39" s="987">
        <f>SUM(PDA36:PDA38)</f>
        <v>0</v>
      </c>
      <c r="PDB39" s="987">
        <f t="shared" si="350"/>
        <v>0</v>
      </c>
      <c r="PDC39" s="987">
        <f t="shared" si="350"/>
        <v>0</v>
      </c>
      <c r="PDD39" s="987"/>
      <c r="PDE39" s="987"/>
      <c r="PDF39" s="987"/>
      <c r="PDG39" s="987"/>
      <c r="PDH39" s="987">
        <f t="shared" si="351"/>
        <v>0</v>
      </c>
      <c r="PDI39" s="1026" t="s">
        <v>45</v>
      </c>
      <c r="PDJ39" s="434"/>
      <c r="PDK39" s="1027"/>
      <c r="PDL39" s="1027"/>
      <c r="PDM39" s="24"/>
      <c r="PDN39" s="1027"/>
      <c r="PDO39" s="1027"/>
      <c r="PDP39" s="25"/>
      <c r="PDQ39" s="987">
        <f>SUM(PDQ36:PDQ38)</f>
        <v>0</v>
      </c>
      <c r="PDR39" s="987">
        <f t="shared" si="350"/>
        <v>0</v>
      </c>
      <c r="PDS39" s="987">
        <f t="shared" si="350"/>
        <v>0</v>
      </c>
      <c r="PDT39" s="987"/>
      <c r="PDU39" s="987"/>
      <c r="PDV39" s="987"/>
      <c r="PDW39" s="987"/>
      <c r="PDX39" s="987">
        <f t="shared" si="351"/>
        <v>0</v>
      </c>
      <c r="PDY39" s="1026" t="s">
        <v>45</v>
      </c>
      <c r="PDZ39" s="434"/>
      <c r="PEA39" s="1027"/>
      <c r="PEB39" s="1027"/>
      <c r="PEC39" s="24"/>
      <c r="PED39" s="1027"/>
      <c r="PEE39" s="1027"/>
      <c r="PEF39" s="25"/>
      <c r="PEG39" s="987">
        <f>SUM(PEG36:PEG38)</f>
        <v>0</v>
      </c>
      <c r="PEH39" s="987">
        <f t="shared" ref="PEH39:PGE39" si="352">SUM(PEH36:PEH38)</f>
        <v>0</v>
      </c>
      <c r="PEI39" s="987">
        <f t="shared" si="352"/>
        <v>0</v>
      </c>
      <c r="PEJ39" s="987"/>
      <c r="PEK39" s="987"/>
      <c r="PEL39" s="987"/>
      <c r="PEM39" s="987"/>
      <c r="PEN39" s="987">
        <f t="shared" ref="PEN39:PGJ39" si="353">SUM(PEN36:PEN38)</f>
        <v>0</v>
      </c>
      <c r="PEO39" s="1026" t="s">
        <v>45</v>
      </c>
      <c r="PEP39" s="434"/>
      <c r="PEQ39" s="1027"/>
      <c r="PER39" s="1027"/>
      <c r="PES39" s="24"/>
      <c r="PET39" s="1027"/>
      <c r="PEU39" s="1027"/>
      <c r="PEV39" s="25"/>
      <c r="PEW39" s="987">
        <f>SUM(PEW36:PEW38)</f>
        <v>0</v>
      </c>
      <c r="PEX39" s="987">
        <f t="shared" si="352"/>
        <v>0</v>
      </c>
      <c r="PEY39" s="987">
        <f t="shared" si="352"/>
        <v>0</v>
      </c>
      <c r="PEZ39" s="987"/>
      <c r="PFA39" s="987"/>
      <c r="PFB39" s="987"/>
      <c r="PFC39" s="987"/>
      <c r="PFD39" s="987">
        <f t="shared" si="353"/>
        <v>0</v>
      </c>
      <c r="PFE39" s="1026" t="s">
        <v>45</v>
      </c>
      <c r="PFF39" s="434"/>
      <c r="PFG39" s="1027"/>
      <c r="PFH39" s="1027"/>
      <c r="PFI39" s="24"/>
      <c r="PFJ39" s="1027"/>
      <c r="PFK39" s="1027"/>
      <c r="PFL39" s="25"/>
      <c r="PFM39" s="987">
        <f>SUM(PFM36:PFM38)</f>
        <v>0</v>
      </c>
      <c r="PFN39" s="987">
        <f t="shared" si="352"/>
        <v>0</v>
      </c>
      <c r="PFO39" s="987">
        <f t="shared" si="352"/>
        <v>0</v>
      </c>
      <c r="PFP39" s="987"/>
      <c r="PFQ39" s="987"/>
      <c r="PFR39" s="987"/>
      <c r="PFS39" s="987"/>
      <c r="PFT39" s="987">
        <f t="shared" si="353"/>
        <v>0</v>
      </c>
      <c r="PFU39" s="1026" t="s">
        <v>45</v>
      </c>
      <c r="PFV39" s="434"/>
      <c r="PFW39" s="1027"/>
      <c r="PFX39" s="1027"/>
      <c r="PFY39" s="24"/>
      <c r="PFZ39" s="1027"/>
      <c r="PGA39" s="1027"/>
      <c r="PGB39" s="25"/>
      <c r="PGC39" s="987">
        <f>SUM(PGC36:PGC38)</f>
        <v>0</v>
      </c>
      <c r="PGD39" s="987">
        <f t="shared" si="352"/>
        <v>0</v>
      </c>
      <c r="PGE39" s="987">
        <f t="shared" si="352"/>
        <v>0</v>
      </c>
      <c r="PGF39" s="987"/>
      <c r="PGG39" s="987"/>
      <c r="PGH39" s="987"/>
      <c r="PGI39" s="987"/>
      <c r="PGJ39" s="987">
        <f t="shared" si="353"/>
        <v>0</v>
      </c>
      <c r="PGK39" s="1026" t="s">
        <v>45</v>
      </c>
      <c r="PGL39" s="434"/>
      <c r="PGM39" s="1027"/>
      <c r="PGN39" s="1027"/>
      <c r="PGO39" s="24"/>
      <c r="PGP39" s="1027"/>
      <c r="PGQ39" s="1027"/>
      <c r="PGR39" s="25"/>
      <c r="PGS39" s="987">
        <f>SUM(PGS36:PGS38)</f>
        <v>0</v>
      </c>
      <c r="PGT39" s="987">
        <f t="shared" ref="PGT39:PIQ39" si="354">SUM(PGT36:PGT38)</f>
        <v>0</v>
      </c>
      <c r="PGU39" s="987">
        <f t="shared" si="354"/>
        <v>0</v>
      </c>
      <c r="PGV39" s="987"/>
      <c r="PGW39" s="987"/>
      <c r="PGX39" s="987"/>
      <c r="PGY39" s="987"/>
      <c r="PGZ39" s="987">
        <f t="shared" ref="PGZ39:PIV39" si="355">SUM(PGZ36:PGZ38)</f>
        <v>0</v>
      </c>
      <c r="PHA39" s="1026" t="s">
        <v>45</v>
      </c>
      <c r="PHB39" s="434"/>
      <c r="PHC39" s="1027"/>
      <c r="PHD39" s="1027"/>
      <c r="PHE39" s="24"/>
      <c r="PHF39" s="1027"/>
      <c r="PHG39" s="1027"/>
      <c r="PHH39" s="25"/>
      <c r="PHI39" s="987">
        <f>SUM(PHI36:PHI38)</f>
        <v>0</v>
      </c>
      <c r="PHJ39" s="987">
        <f t="shared" si="354"/>
        <v>0</v>
      </c>
      <c r="PHK39" s="987">
        <f t="shared" si="354"/>
        <v>0</v>
      </c>
      <c r="PHL39" s="987"/>
      <c r="PHM39" s="987"/>
      <c r="PHN39" s="987"/>
      <c r="PHO39" s="987"/>
      <c r="PHP39" s="987">
        <f t="shared" si="355"/>
        <v>0</v>
      </c>
      <c r="PHQ39" s="1026" t="s">
        <v>45</v>
      </c>
      <c r="PHR39" s="434"/>
      <c r="PHS39" s="1027"/>
      <c r="PHT39" s="1027"/>
      <c r="PHU39" s="24"/>
      <c r="PHV39" s="1027"/>
      <c r="PHW39" s="1027"/>
      <c r="PHX39" s="25"/>
      <c r="PHY39" s="987">
        <f>SUM(PHY36:PHY38)</f>
        <v>0</v>
      </c>
      <c r="PHZ39" s="987">
        <f t="shared" si="354"/>
        <v>0</v>
      </c>
      <c r="PIA39" s="987">
        <f t="shared" si="354"/>
        <v>0</v>
      </c>
      <c r="PIB39" s="987"/>
      <c r="PIC39" s="987"/>
      <c r="PID39" s="987"/>
      <c r="PIE39" s="987"/>
      <c r="PIF39" s="987">
        <f t="shared" si="355"/>
        <v>0</v>
      </c>
      <c r="PIG39" s="1026" t="s">
        <v>45</v>
      </c>
      <c r="PIH39" s="434"/>
      <c r="PII39" s="1027"/>
      <c r="PIJ39" s="1027"/>
      <c r="PIK39" s="24"/>
      <c r="PIL39" s="1027"/>
      <c r="PIM39" s="1027"/>
      <c r="PIN39" s="25"/>
      <c r="PIO39" s="987">
        <f>SUM(PIO36:PIO38)</f>
        <v>0</v>
      </c>
      <c r="PIP39" s="987">
        <f t="shared" si="354"/>
        <v>0</v>
      </c>
      <c r="PIQ39" s="987">
        <f t="shared" si="354"/>
        <v>0</v>
      </c>
      <c r="PIR39" s="987"/>
      <c r="PIS39" s="987"/>
      <c r="PIT39" s="987"/>
      <c r="PIU39" s="987"/>
      <c r="PIV39" s="987">
        <f t="shared" si="355"/>
        <v>0</v>
      </c>
      <c r="PIW39" s="1026" t="s">
        <v>45</v>
      </c>
      <c r="PIX39" s="434"/>
      <c r="PIY39" s="1027"/>
      <c r="PIZ39" s="1027"/>
      <c r="PJA39" s="24"/>
      <c r="PJB39" s="1027"/>
      <c r="PJC39" s="1027"/>
      <c r="PJD39" s="25"/>
      <c r="PJE39" s="987">
        <f>SUM(PJE36:PJE38)</f>
        <v>0</v>
      </c>
      <c r="PJF39" s="987">
        <f t="shared" ref="PJF39:PLC39" si="356">SUM(PJF36:PJF38)</f>
        <v>0</v>
      </c>
      <c r="PJG39" s="987">
        <f t="shared" si="356"/>
        <v>0</v>
      </c>
      <c r="PJH39" s="987"/>
      <c r="PJI39" s="987"/>
      <c r="PJJ39" s="987"/>
      <c r="PJK39" s="987"/>
      <c r="PJL39" s="987">
        <f t="shared" ref="PJL39:PLH39" si="357">SUM(PJL36:PJL38)</f>
        <v>0</v>
      </c>
      <c r="PJM39" s="1026" t="s">
        <v>45</v>
      </c>
      <c r="PJN39" s="434"/>
      <c r="PJO39" s="1027"/>
      <c r="PJP39" s="1027"/>
      <c r="PJQ39" s="24"/>
      <c r="PJR39" s="1027"/>
      <c r="PJS39" s="1027"/>
      <c r="PJT39" s="25"/>
      <c r="PJU39" s="987">
        <f>SUM(PJU36:PJU38)</f>
        <v>0</v>
      </c>
      <c r="PJV39" s="987">
        <f t="shared" si="356"/>
        <v>0</v>
      </c>
      <c r="PJW39" s="987">
        <f t="shared" si="356"/>
        <v>0</v>
      </c>
      <c r="PJX39" s="987"/>
      <c r="PJY39" s="987"/>
      <c r="PJZ39" s="987"/>
      <c r="PKA39" s="987"/>
      <c r="PKB39" s="987">
        <f t="shared" si="357"/>
        <v>0</v>
      </c>
      <c r="PKC39" s="1026" t="s">
        <v>45</v>
      </c>
      <c r="PKD39" s="434"/>
      <c r="PKE39" s="1027"/>
      <c r="PKF39" s="1027"/>
      <c r="PKG39" s="24"/>
      <c r="PKH39" s="1027"/>
      <c r="PKI39" s="1027"/>
      <c r="PKJ39" s="25"/>
      <c r="PKK39" s="987">
        <f>SUM(PKK36:PKK38)</f>
        <v>0</v>
      </c>
      <c r="PKL39" s="987">
        <f t="shared" si="356"/>
        <v>0</v>
      </c>
      <c r="PKM39" s="987">
        <f t="shared" si="356"/>
        <v>0</v>
      </c>
      <c r="PKN39" s="987"/>
      <c r="PKO39" s="987"/>
      <c r="PKP39" s="987"/>
      <c r="PKQ39" s="987"/>
      <c r="PKR39" s="987">
        <f t="shared" si="357"/>
        <v>0</v>
      </c>
      <c r="PKS39" s="1026" t="s">
        <v>45</v>
      </c>
      <c r="PKT39" s="434"/>
      <c r="PKU39" s="1027"/>
      <c r="PKV39" s="1027"/>
      <c r="PKW39" s="24"/>
      <c r="PKX39" s="1027"/>
      <c r="PKY39" s="1027"/>
      <c r="PKZ39" s="25"/>
      <c r="PLA39" s="987">
        <f>SUM(PLA36:PLA38)</f>
        <v>0</v>
      </c>
      <c r="PLB39" s="987">
        <f t="shared" si="356"/>
        <v>0</v>
      </c>
      <c r="PLC39" s="987">
        <f t="shared" si="356"/>
        <v>0</v>
      </c>
      <c r="PLD39" s="987"/>
      <c r="PLE39" s="987"/>
      <c r="PLF39" s="987"/>
      <c r="PLG39" s="987"/>
      <c r="PLH39" s="987">
        <f t="shared" si="357"/>
        <v>0</v>
      </c>
      <c r="PLI39" s="1026" t="s">
        <v>45</v>
      </c>
      <c r="PLJ39" s="434"/>
      <c r="PLK39" s="1027"/>
      <c r="PLL39" s="1027"/>
      <c r="PLM39" s="24"/>
      <c r="PLN39" s="1027"/>
      <c r="PLO39" s="1027"/>
      <c r="PLP39" s="25"/>
      <c r="PLQ39" s="987">
        <f>SUM(PLQ36:PLQ38)</f>
        <v>0</v>
      </c>
      <c r="PLR39" s="987">
        <f t="shared" ref="PLR39:PNO39" si="358">SUM(PLR36:PLR38)</f>
        <v>0</v>
      </c>
      <c r="PLS39" s="987">
        <f t="shared" si="358"/>
        <v>0</v>
      </c>
      <c r="PLT39" s="987"/>
      <c r="PLU39" s="987"/>
      <c r="PLV39" s="987"/>
      <c r="PLW39" s="987"/>
      <c r="PLX39" s="987">
        <f t="shared" ref="PLX39:PNT39" si="359">SUM(PLX36:PLX38)</f>
        <v>0</v>
      </c>
      <c r="PLY39" s="1026" t="s">
        <v>45</v>
      </c>
      <c r="PLZ39" s="434"/>
      <c r="PMA39" s="1027"/>
      <c r="PMB39" s="1027"/>
      <c r="PMC39" s="24"/>
      <c r="PMD39" s="1027"/>
      <c r="PME39" s="1027"/>
      <c r="PMF39" s="25"/>
      <c r="PMG39" s="987">
        <f>SUM(PMG36:PMG38)</f>
        <v>0</v>
      </c>
      <c r="PMH39" s="987">
        <f t="shared" si="358"/>
        <v>0</v>
      </c>
      <c r="PMI39" s="987">
        <f t="shared" si="358"/>
        <v>0</v>
      </c>
      <c r="PMJ39" s="987"/>
      <c r="PMK39" s="987"/>
      <c r="PML39" s="987"/>
      <c r="PMM39" s="987"/>
      <c r="PMN39" s="987">
        <f t="shared" si="359"/>
        <v>0</v>
      </c>
      <c r="PMO39" s="1026" t="s">
        <v>45</v>
      </c>
      <c r="PMP39" s="434"/>
      <c r="PMQ39" s="1027"/>
      <c r="PMR39" s="1027"/>
      <c r="PMS39" s="24"/>
      <c r="PMT39" s="1027"/>
      <c r="PMU39" s="1027"/>
      <c r="PMV39" s="25"/>
      <c r="PMW39" s="987">
        <f>SUM(PMW36:PMW38)</f>
        <v>0</v>
      </c>
      <c r="PMX39" s="987">
        <f t="shared" si="358"/>
        <v>0</v>
      </c>
      <c r="PMY39" s="987">
        <f t="shared" si="358"/>
        <v>0</v>
      </c>
      <c r="PMZ39" s="987"/>
      <c r="PNA39" s="987"/>
      <c r="PNB39" s="987"/>
      <c r="PNC39" s="987"/>
      <c r="PND39" s="987">
        <f t="shared" si="359"/>
        <v>0</v>
      </c>
      <c r="PNE39" s="1026" t="s">
        <v>45</v>
      </c>
      <c r="PNF39" s="434"/>
      <c r="PNG39" s="1027"/>
      <c r="PNH39" s="1027"/>
      <c r="PNI39" s="24"/>
      <c r="PNJ39" s="1027"/>
      <c r="PNK39" s="1027"/>
      <c r="PNL39" s="25"/>
      <c r="PNM39" s="987">
        <f>SUM(PNM36:PNM38)</f>
        <v>0</v>
      </c>
      <c r="PNN39" s="987">
        <f t="shared" si="358"/>
        <v>0</v>
      </c>
      <c r="PNO39" s="987">
        <f t="shared" si="358"/>
        <v>0</v>
      </c>
      <c r="PNP39" s="987"/>
      <c r="PNQ39" s="987"/>
      <c r="PNR39" s="987"/>
      <c r="PNS39" s="987"/>
      <c r="PNT39" s="987">
        <f t="shared" si="359"/>
        <v>0</v>
      </c>
      <c r="PNU39" s="1026" t="s">
        <v>45</v>
      </c>
      <c r="PNV39" s="434"/>
      <c r="PNW39" s="1027"/>
      <c r="PNX39" s="1027"/>
      <c r="PNY39" s="24"/>
      <c r="PNZ39" s="1027"/>
      <c r="POA39" s="1027"/>
      <c r="POB39" s="25"/>
      <c r="POC39" s="987">
        <f>SUM(POC36:POC38)</f>
        <v>0</v>
      </c>
      <c r="POD39" s="987">
        <f t="shared" ref="POD39:PQA39" si="360">SUM(POD36:POD38)</f>
        <v>0</v>
      </c>
      <c r="POE39" s="987">
        <f t="shared" si="360"/>
        <v>0</v>
      </c>
      <c r="POF39" s="987"/>
      <c r="POG39" s="987"/>
      <c r="POH39" s="987"/>
      <c r="POI39" s="987"/>
      <c r="POJ39" s="987">
        <f t="shared" ref="POJ39:PQF39" si="361">SUM(POJ36:POJ38)</f>
        <v>0</v>
      </c>
      <c r="POK39" s="1026" t="s">
        <v>45</v>
      </c>
      <c r="POL39" s="434"/>
      <c r="POM39" s="1027"/>
      <c r="PON39" s="1027"/>
      <c r="POO39" s="24"/>
      <c r="POP39" s="1027"/>
      <c r="POQ39" s="1027"/>
      <c r="POR39" s="25"/>
      <c r="POS39" s="987">
        <f>SUM(POS36:POS38)</f>
        <v>0</v>
      </c>
      <c r="POT39" s="987">
        <f t="shared" si="360"/>
        <v>0</v>
      </c>
      <c r="POU39" s="987">
        <f t="shared" si="360"/>
        <v>0</v>
      </c>
      <c r="POV39" s="987"/>
      <c r="POW39" s="987"/>
      <c r="POX39" s="987"/>
      <c r="POY39" s="987"/>
      <c r="POZ39" s="987">
        <f t="shared" si="361"/>
        <v>0</v>
      </c>
      <c r="PPA39" s="1026" t="s">
        <v>45</v>
      </c>
      <c r="PPB39" s="434"/>
      <c r="PPC39" s="1027"/>
      <c r="PPD39" s="1027"/>
      <c r="PPE39" s="24"/>
      <c r="PPF39" s="1027"/>
      <c r="PPG39" s="1027"/>
      <c r="PPH39" s="25"/>
      <c r="PPI39" s="987">
        <f>SUM(PPI36:PPI38)</f>
        <v>0</v>
      </c>
      <c r="PPJ39" s="987">
        <f t="shared" si="360"/>
        <v>0</v>
      </c>
      <c r="PPK39" s="987">
        <f t="shared" si="360"/>
        <v>0</v>
      </c>
      <c r="PPL39" s="987"/>
      <c r="PPM39" s="987"/>
      <c r="PPN39" s="987"/>
      <c r="PPO39" s="987"/>
      <c r="PPP39" s="987">
        <f t="shared" si="361"/>
        <v>0</v>
      </c>
      <c r="PPQ39" s="1026" t="s">
        <v>45</v>
      </c>
      <c r="PPR39" s="434"/>
      <c r="PPS39" s="1027"/>
      <c r="PPT39" s="1027"/>
      <c r="PPU39" s="24"/>
      <c r="PPV39" s="1027"/>
      <c r="PPW39" s="1027"/>
      <c r="PPX39" s="25"/>
      <c r="PPY39" s="987">
        <f>SUM(PPY36:PPY38)</f>
        <v>0</v>
      </c>
      <c r="PPZ39" s="987">
        <f t="shared" si="360"/>
        <v>0</v>
      </c>
      <c r="PQA39" s="987">
        <f t="shared" si="360"/>
        <v>0</v>
      </c>
      <c r="PQB39" s="987"/>
      <c r="PQC39" s="987"/>
      <c r="PQD39" s="987"/>
      <c r="PQE39" s="987"/>
      <c r="PQF39" s="987">
        <f t="shared" si="361"/>
        <v>0</v>
      </c>
      <c r="PQG39" s="1026" t="s">
        <v>45</v>
      </c>
      <c r="PQH39" s="434"/>
      <c r="PQI39" s="1027"/>
      <c r="PQJ39" s="1027"/>
      <c r="PQK39" s="24"/>
      <c r="PQL39" s="1027"/>
      <c r="PQM39" s="1027"/>
      <c r="PQN39" s="25"/>
      <c r="PQO39" s="987">
        <f>SUM(PQO36:PQO38)</f>
        <v>0</v>
      </c>
      <c r="PQP39" s="987">
        <f t="shared" ref="PQP39:PSM39" si="362">SUM(PQP36:PQP38)</f>
        <v>0</v>
      </c>
      <c r="PQQ39" s="987">
        <f t="shared" si="362"/>
        <v>0</v>
      </c>
      <c r="PQR39" s="987"/>
      <c r="PQS39" s="987"/>
      <c r="PQT39" s="987"/>
      <c r="PQU39" s="987"/>
      <c r="PQV39" s="987">
        <f t="shared" ref="PQV39:PSR39" si="363">SUM(PQV36:PQV38)</f>
        <v>0</v>
      </c>
      <c r="PQW39" s="1026" t="s">
        <v>45</v>
      </c>
      <c r="PQX39" s="434"/>
      <c r="PQY39" s="1027"/>
      <c r="PQZ39" s="1027"/>
      <c r="PRA39" s="24"/>
      <c r="PRB39" s="1027"/>
      <c r="PRC39" s="1027"/>
      <c r="PRD39" s="25"/>
      <c r="PRE39" s="987">
        <f>SUM(PRE36:PRE38)</f>
        <v>0</v>
      </c>
      <c r="PRF39" s="987">
        <f t="shared" si="362"/>
        <v>0</v>
      </c>
      <c r="PRG39" s="987">
        <f t="shared" si="362"/>
        <v>0</v>
      </c>
      <c r="PRH39" s="987"/>
      <c r="PRI39" s="987"/>
      <c r="PRJ39" s="987"/>
      <c r="PRK39" s="987"/>
      <c r="PRL39" s="987">
        <f t="shared" si="363"/>
        <v>0</v>
      </c>
      <c r="PRM39" s="1026" t="s">
        <v>45</v>
      </c>
      <c r="PRN39" s="434"/>
      <c r="PRO39" s="1027"/>
      <c r="PRP39" s="1027"/>
      <c r="PRQ39" s="24"/>
      <c r="PRR39" s="1027"/>
      <c r="PRS39" s="1027"/>
      <c r="PRT39" s="25"/>
      <c r="PRU39" s="987">
        <f>SUM(PRU36:PRU38)</f>
        <v>0</v>
      </c>
      <c r="PRV39" s="987">
        <f t="shared" si="362"/>
        <v>0</v>
      </c>
      <c r="PRW39" s="987">
        <f t="shared" si="362"/>
        <v>0</v>
      </c>
      <c r="PRX39" s="987"/>
      <c r="PRY39" s="987"/>
      <c r="PRZ39" s="987"/>
      <c r="PSA39" s="987"/>
      <c r="PSB39" s="987">
        <f t="shared" si="363"/>
        <v>0</v>
      </c>
      <c r="PSC39" s="1026" t="s">
        <v>45</v>
      </c>
      <c r="PSD39" s="434"/>
      <c r="PSE39" s="1027"/>
      <c r="PSF39" s="1027"/>
      <c r="PSG39" s="24"/>
      <c r="PSH39" s="1027"/>
      <c r="PSI39" s="1027"/>
      <c r="PSJ39" s="25"/>
      <c r="PSK39" s="987">
        <f>SUM(PSK36:PSK38)</f>
        <v>0</v>
      </c>
      <c r="PSL39" s="987">
        <f t="shared" si="362"/>
        <v>0</v>
      </c>
      <c r="PSM39" s="987">
        <f t="shared" si="362"/>
        <v>0</v>
      </c>
      <c r="PSN39" s="987"/>
      <c r="PSO39" s="987"/>
      <c r="PSP39" s="987"/>
      <c r="PSQ39" s="987"/>
      <c r="PSR39" s="987">
        <f t="shared" si="363"/>
        <v>0</v>
      </c>
      <c r="PSS39" s="1026" t="s">
        <v>45</v>
      </c>
      <c r="PST39" s="434"/>
      <c r="PSU39" s="1027"/>
      <c r="PSV39" s="1027"/>
      <c r="PSW39" s="24"/>
      <c r="PSX39" s="1027"/>
      <c r="PSY39" s="1027"/>
      <c r="PSZ39" s="25"/>
      <c r="PTA39" s="987">
        <f>SUM(PTA36:PTA38)</f>
        <v>0</v>
      </c>
      <c r="PTB39" s="987">
        <f t="shared" ref="PTB39:PUY39" si="364">SUM(PTB36:PTB38)</f>
        <v>0</v>
      </c>
      <c r="PTC39" s="987">
        <f t="shared" si="364"/>
        <v>0</v>
      </c>
      <c r="PTD39" s="987"/>
      <c r="PTE39" s="987"/>
      <c r="PTF39" s="987"/>
      <c r="PTG39" s="987"/>
      <c r="PTH39" s="987">
        <f t="shared" ref="PTH39:PVD39" si="365">SUM(PTH36:PTH38)</f>
        <v>0</v>
      </c>
      <c r="PTI39" s="1026" t="s">
        <v>45</v>
      </c>
      <c r="PTJ39" s="434"/>
      <c r="PTK39" s="1027"/>
      <c r="PTL39" s="1027"/>
      <c r="PTM39" s="24"/>
      <c r="PTN39" s="1027"/>
      <c r="PTO39" s="1027"/>
      <c r="PTP39" s="25"/>
      <c r="PTQ39" s="987">
        <f>SUM(PTQ36:PTQ38)</f>
        <v>0</v>
      </c>
      <c r="PTR39" s="987">
        <f t="shared" si="364"/>
        <v>0</v>
      </c>
      <c r="PTS39" s="987">
        <f t="shared" si="364"/>
        <v>0</v>
      </c>
      <c r="PTT39" s="987"/>
      <c r="PTU39" s="987"/>
      <c r="PTV39" s="987"/>
      <c r="PTW39" s="987"/>
      <c r="PTX39" s="987">
        <f t="shared" si="365"/>
        <v>0</v>
      </c>
      <c r="PTY39" s="1026" t="s">
        <v>45</v>
      </c>
      <c r="PTZ39" s="434"/>
      <c r="PUA39" s="1027"/>
      <c r="PUB39" s="1027"/>
      <c r="PUC39" s="24"/>
      <c r="PUD39" s="1027"/>
      <c r="PUE39" s="1027"/>
      <c r="PUF39" s="25"/>
      <c r="PUG39" s="987">
        <f>SUM(PUG36:PUG38)</f>
        <v>0</v>
      </c>
      <c r="PUH39" s="987">
        <f t="shared" si="364"/>
        <v>0</v>
      </c>
      <c r="PUI39" s="987">
        <f t="shared" si="364"/>
        <v>0</v>
      </c>
      <c r="PUJ39" s="987"/>
      <c r="PUK39" s="987"/>
      <c r="PUL39" s="987"/>
      <c r="PUM39" s="987"/>
      <c r="PUN39" s="987">
        <f t="shared" si="365"/>
        <v>0</v>
      </c>
      <c r="PUO39" s="1026" t="s">
        <v>45</v>
      </c>
      <c r="PUP39" s="434"/>
      <c r="PUQ39" s="1027"/>
      <c r="PUR39" s="1027"/>
      <c r="PUS39" s="24"/>
      <c r="PUT39" s="1027"/>
      <c r="PUU39" s="1027"/>
      <c r="PUV39" s="25"/>
      <c r="PUW39" s="987">
        <f>SUM(PUW36:PUW38)</f>
        <v>0</v>
      </c>
      <c r="PUX39" s="987">
        <f t="shared" si="364"/>
        <v>0</v>
      </c>
      <c r="PUY39" s="987">
        <f t="shared" si="364"/>
        <v>0</v>
      </c>
      <c r="PUZ39" s="987"/>
      <c r="PVA39" s="987"/>
      <c r="PVB39" s="987"/>
      <c r="PVC39" s="987"/>
      <c r="PVD39" s="987">
        <f t="shared" si="365"/>
        <v>0</v>
      </c>
      <c r="PVE39" s="1026" t="s">
        <v>45</v>
      </c>
      <c r="PVF39" s="434"/>
      <c r="PVG39" s="1027"/>
      <c r="PVH39" s="1027"/>
      <c r="PVI39" s="24"/>
      <c r="PVJ39" s="1027"/>
      <c r="PVK39" s="1027"/>
      <c r="PVL39" s="25"/>
      <c r="PVM39" s="987">
        <f>SUM(PVM36:PVM38)</f>
        <v>0</v>
      </c>
      <c r="PVN39" s="987">
        <f t="shared" ref="PVN39:PXK39" si="366">SUM(PVN36:PVN38)</f>
        <v>0</v>
      </c>
      <c r="PVO39" s="987">
        <f t="shared" si="366"/>
        <v>0</v>
      </c>
      <c r="PVP39" s="987"/>
      <c r="PVQ39" s="987"/>
      <c r="PVR39" s="987"/>
      <c r="PVS39" s="987"/>
      <c r="PVT39" s="987">
        <f t="shared" ref="PVT39:PXP39" si="367">SUM(PVT36:PVT38)</f>
        <v>0</v>
      </c>
      <c r="PVU39" s="1026" t="s">
        <v>45</v>
      </c>
      <c r="PVV39" s="434"/>
      <c r="PVW39" s="1027"/>
      <c r="PVX39" s="1027"/>
      <c r="PVY39" s="24"/>
      <c r="PVZ39" s="1027"/>
      <c r="PWA39" s="1027"/>
      <c r="PWB39" s="25"/>
      <c r="PWC39" s="987">
        <f>SUM(PWC36:PWC38)</f>
        <v>0</v>
      </c>
      <c r="PWD39" s="987">
        <f t="shared" si="366"/>
        <v>0</v>
      </c>
      <c r="PWE39" s="987">
        <f t="shared" si="366"/>
        <v>0</v>
      </c>
      <c r="PWF39" s="987"/>
      <c r="PWG39" s="987"/>
      <c r="PWH39" s="987"/>
      <c r="PWI39" s="987"/>
      <c r="PWJ39" s="987">
        <f t="shared" si="367"/>
        <v>0</v>
      </c>
      <c r="PWK39" s="1026" t="s">
        <v>45</v>
      </c>
      <c r="PWL39" s="434"/>
      <c r="PWM39" s="1027"/>
      <c r="PWN39" s="1027"/>
      <c r="PWO39" s="24"/>
      <c r="PWP39" s="1027"/>
      <c r="PWQ39" s="1027"/>
      <c r="PWR39" s="25"/>
      <c r="PWS39" s="987">
        <f>SUM(PWS36:PWS38)</f>
        <v>0</v>
      </c>
      <c r="PWT39" s="987">
        <f t="shared" si="366"/>
        <v>0</v>
      </c>
      <c r="PWU39" s="987">
        <f t="shared" si="366"/>
        <v>0</v>
      </c>
      <c r="PWV39" s="987"/>
      <c r="PWW39" s="987"/>
      <c r="PWX39" s="987"/>
      <c r="PWY39" s="987"/>
      <c r="PWZ39" s="987">
        <f t="shared" si="367"/>
        <v>0</v>
      </c>
      <c r="PXA39" s="1026" t="s">
        <v>45</v>
      </c>
      <c r="PXB39" s="434"/>
      <c r="PXC39" s="1027"/>
      <c r="PXD39" s="1027"/>
      <c r="PXE39" s="24"/>
      <c r="PXF39" s="1027"/>
      <c r="PXG39" s="1027"/>
      <c r="PXH39" s="25"/>
      <c r="PXI39" s="987">
        <f>SUM(PXI36:PXI38)</f>
        <v>0</v>
      </c>
      <c r="PXJ39" s="987">
        <f t="shared" si="366"/>
        <v>0</v>
      </c>
      <c r="PXK39" s="987">
        <f t="shared" si="366"/>
        <v>0</v>
      </c>
      <c r="PXL39" s="987"/>
      <c r="PXM39" s="987"/>
      <c r="PXN39" s="987"/>
      <c r="PXO39" s="987"/>
      <c r="PXP39" s="987">
        <f t="shared" si="367"/>
        <v>0</v>
      </c>
      <c r="PXQ39" s="1026" t="s">
        <v>45</v>
      </c>
      <c r="PXR39" s="434"/>
      <c r="PXS39" s="1027"/>
      <c r="PXT39" s="1027"/>
      <c r="PXU39" s="24"/>
      <c r="PXV39" s="1027"/>
      <c r="PXW39" s="1027"/>
      <c r="PXX39" s="25"/>
      <c r="PXY39" s="987">
        <f>SUM(PXY36:PXY38)</f>
        <v>0</v>
      </c>
      <c r="PXZ39" s="987">
        <f t="shared" ref="PXZ39:PZW39" si="368">SUM(PXZ36:PXZ38)</f>
        <v>0</v>
      </c>
      <c r="PYA39" s="987">
        <f t="shared" si="368"/>
        <v>0</v>
      </c>
      <c r="PYB39" s="987"/>
      <c r="PYC39" s="987"/>
      <c r="PYD39" s="987"/>
      <c r="PYE39" s="987"/>
      <c r="PYF39" s="987">
        <f t="shared" ref="PYF39:QAB39" si="369">SUM(PYF36:PYF38)</f>
        <v>0</v>
      </c>
      <c r="PYG39" s="1026" t="s">
        <v>45</v>
      </c>
      <c r="PYH39" s="434"/>
      <c r="PYI39" s="1027"/>
      <c r="PYJ39" s="1027"/>
      <c r="PYK39" s="24"/>
      <c r="PYL39" s="1027"/>
      <c r="PYM39" s="1027"/>
      <c r="PYN39" s="25"/>
      <c r="PYO39" s="987">
        <f>SUM(PYO36:PYO38)</f>
        <v>0</v>
      </c>
      <c r="PYP39" s="987">
        <f t="shared" si="368"/>
        <v>0</v>
      </c>
      <c r="PYQ39" s="987">
        <f t="shared" si="368"/>
        <v>0</v>
      </c>
      <c r="PYR39" s="987"/>
      <c r="PYS39" s="987"/>
      <c r="PYT39" s="987"/>
      <c r="PYU39" s="987"/>
      <c r="PYV39" s="987">
        <f t="shared" si="369"/>
        <v>0</v>
      </c>
      <c r="PYW39" s="1026" t="s">
        <v>45</v>
      </c>
      <c r="PYX39" s="434"/>
      <c r="PYY39" s="1027"/>
      <c r="PYZ39" s="1027"/>
      <c r="PZA39" s="24"/>
      <c r="PZB39" s="1027"/>
      <c r="PZC39" s="1027"/>
      <c r="PZD39" s="25"/>
      <c r="PZE39" s="987">
        <f>SUM(PZE36:PZE38)</f>
        <v>0</v>
      </c>
      <c r="PZF39" s="987">
        <f t="shared" si="368"/>
        <v>0</v>
      </c>
      <c r="PZG39" s="987">
        <f t="shared" si="368"/>
        <v>0</v>
      </c>
      <c r="PZH39" s="987"/>
      <c r="PZI39" s="987"/>
      <c r="PZJ39" s="987"/>
      <c r="PZK39" s="987"/>
      <c r="PZL39" s="987">
        <f t="shared" si="369"/>
        <v>0</v>
      </c>
      <c r="PZM39" s="1026" t="s">
        <v>45</v>
      </c>
      <c r="PZN39" s="434"/>
      <c r="PZO39" s="1027"/>
      <c r="PZP39" s="1027"/>
      <c r="PZQ39" s="24"/>
      <c r="PZR39" s="1027"/>
      <c r="PZS39" s="1027"/>
      <c r="PZT39" s="25"/>
      <c r="PZU39" s="987">
        <f>SUM(PZU36:PZU38)</f>
        <v>0</v>
      </c>
      <c r="PZV39" s="987">
        <f t="shared" si="368"/>
        <v>0</v>
      </c>
      <c r="PZW39" s="987">
        <f t="shared" si="368"/>
        <v>0</v>
      </c>
      <c r="PZX39" s="987"/>
      <c r="PZY39" s="987"/>
      <c r="PZZ39" s="987"/>
      <c r="QAA39" s="987"/>
      <c r="QAB39" s="987">
        <f t="shared" si="369"/>
        <v>0</v>
      </c>
      <c r="QAC39" s="1026" t="s">
        <v>45</v>
      </c>
      <c r="QAD39" s="434"/>
      <c r="QAE39" s="1027"/>
      <c r="QAF39" s="1027"/>
      <c r="QAG39" s="24"/>
      <c r="QAH39" s="1027"/>
      <c r="QAI39" s="1027"/>
      <c r="QAJ39" s="25"/>
      <c r="QAK39" s="987">
        <f>SUM(QAK36:QAK38)</f>
        <v>0</v>
      </c>
      <c r="QAL39" s="987">
        <f t="shared" ref="QAL39:QCI39" si="370">SUM(QAL36:QAL38)</f>
        <v>0</v>
      </c>
      <c r="QAM39" s="987">
        <f t="shared" si="370"/>
        <v>0</v>
      </c>
      <c r="QAN39" s="987"/>
      <c r="QAO39" s="987"/>
      <c r="QAP39" s="987"/>
      <c r="QAQ39" s="987"/>
      <c r="QAR39" s="987">
        <f t="shared" ref="QAR39:QCN39" si="371">SUM(QAR36:QAR38)</f>
        <v>0</v>
      </c>
      <c r="QAS39" s="1026" t="s">
        <v>45</v>
      </c>
      <c r="QAT39" s="434"/>
      <c r="QAU39" s="1027"/>
      <c r="QAV39" s="1027"/>
      <c r="QAW39" s="24"/>
      <c r="QAX39" s="1027"/>
      <c r="QAY39" s="1027"/>
      <c r="QAZ39" s="25"/>
      <c r="QBA39" s="987">
        <f>SUM(QBA36:QBA38)</f>
        <v>0</v>
      </c>
      <c r="QBB39" s="987">
        <f t="shared" si="370"/>
        <v>0</v>
      </c>
      <c r="QBC39" s="987">
        <f t="shared" si="370"/>
        <v>0</v>
      </c>
      <c r="QBD39" s="987"/>
      <c r="QBE39" s="987"/>
      <c r="QBF39" s="987"/>
      <c r="QBG39" s="987"/>
      <c r="QBH39" s="987">
        <f t="shared" si="371"/>
        <v>0</v>
      </c>
      <c r="QBI39" s="1026" t="s">
        <v>45</v>
      </c>
      <c r="QBJ39" s="434"/>
      <c r="QBK39" s="1027"/>
      <c r="QBL39" s="1027"/>
      <c r="QBM39" s="24"/>
      <c r="QBN39" s="1027"/>
      <c r="QBO39" s="1027"/>
      <c r="QBP39" s="25"/>
      <c r="QBQ39" s="987">
        <f>SUM(QBQ36:QBQ38)</f>
        <v>0</v>
      </c>
      <c r="QBR39" s="987">
        <f t="shared" si="370"/>
        <v>0</v>
      </c>
      <c r="QBS39" s="987">
        <f t="shared" si="370"/>
        <v>0</v>
      </c>
      <c r="QBT39" s="987"/>
      <c r="QBU39" s="987"/>
      <c r="QBV39" s="987"/>
      <c r="QBW39" s="987"/>
      <c r="QBX39" s="987">
        <f t="shared" si="371"/>
        <v>0</v>
      </c>
      <c r="QBY39" s="1026" t="s">
        <v>45</v>
      </c>
      <c r="QBZ39" s="434"/>
      <c r="QCA39" s="1027"/>
      <c r="QCB39" s="1027"/>
      <c r="QCC39" s="24"/>
      <c r="QCD39" s="1027"/>
      <c r="QCE39" s="1027"/>
      <c r="QCF39" s="25"/>
      <c r="QCG39" s="987">
        <f>SUM(QCG36:QCG38)</f>
        <v>0</v>
      </c>
      <c r="QCH39" s="987">
        <f t="shared" si="370"/>
        <v>0</v>
      </c>
      <c r="QCI39" s="987">
        <f t="shared" si="370"/>
        <v>0</v>
      </c>
      <c r="QCJ39" s="987"/>
      <c r="QCK39" s="987"/>
      <c r="QCL39" s="987"/>
      <c r="QCM39" s="987"/>
      <c r="QCN39" s="987">
        <f t="shared" si="371"/>
        <v>0</v>
      </c>
      <c r="QCO39" s="1026" t="s">
        <v>45</v>
      </c>
      <c r="QCP39" s="434"/>
      <c r="QCQ39" s="1027"/>
      <c r="QCR39" s="1027"/>
      <c r="QCS39" s="24"/>
      <c r="QCT39" s="1027"/>
      <c r="QCU39" s="1027"/>
      <c r="QCV39" s="25"/>
      <c r="QCW39" s="987">
        <f>SUM(QCW36:QCW38)</f>
        <v>0</v>
      </c>
      <c r="QCX39" s="987">
        <f t="shared" ref="QCX39:QEU39" si="372">SUM(QCX36:QCX38)</f>
        <v>0</v>
      </c>
      <c r="QCY39" s="987">
        <f t="shared" si="372"/>
        <v>0</v>
      </c>
      <c r="QCZ39" s="987"/>
      <c r="QDA39" s="987"/>
      <c r="QDB39" s="987"/>
      <c r="QDC39" s="987"/>
      <c r="QDD39" s="987">
        <f t="shared" ref="QDD39:QEZ39" si="373">SUM(QDD36:QDD38)</f>
        <v>0</v>
      </c>
      <c r="QDE39" s="1026" t="s">
        <v>45</v>
      </c>
      <c r="QDF39" s="434"/>
      <c r="QDG39" s="1027"/>
      <c r="QDH39" s="1027"/>
      <c r="QDI39" s="24"/>
      <c r="QDJ39" s="1027"/>
      <c r="QDK39" s="1027"/>
      <c r="QDL39" s="25"/>
      <c r="QDM39" s="987">
        <f>SUM(QDM36:QDM38)</f>
        <v>0</v>
      </c>
      <c r="QDN39" s="987">
        <f t="shared" si="372"/>
        <v>0</v>
      </c>
      <c r="QDO39" s="987">
        <f t="shared" si="372"/>
        <v>0</v>
      </c>
      <c r="QDP39" s="987"/>
      <c r="QDQ39" s="987"/>
      <c r="QDR39" s="987"/>
      <c r="QDS39" s="987"/>
      <c r="QDT39" s="987">
        <f t="shared" si="373"/>
        <v>0</v>
      </c>
      <c r="QDU39" s="1026" t="s">
        <v>45</v>
      </c>
      <c r="QDV39" s="434"/>
      <c r="QDW39" s="1027"/>
      <c r="QDX39" s="1027"/>
      <c r="QDY39" s="24"/>
      <c r="QDZ39" s="1027"/>
      <c r="QEA39" s="1027"/>
      <c r="QEB39" s="25"/>
      <c r="QEC39" s="987">
        <f>SUM(QEC36:QEC38)</f>
        <v>0</v>
      </c>
      <c r="QED39" s="987">
        <f t="shared" si="372"/>
        <v>0</v>
      </c>
      <c r="QEE39" s="987">
        <f t="shared" si="372"/>
        <v>0</v>
      </c>
      <c r="QEF39" s="987"/>
      <c r="QEG39" s="987"/>
      <c r="QEH39" s="987"/>
      <c r="QEI39" s="987"/>
      <c r="QEJ39" s="987">
        <f t="shared" si="373"/>
        <v>0</v>
      </c>
      <c r="QEK39" s="1026" t="s">
        <v>45</v>
      </c>
      <c r="QEL39" s="434"/>
      <c r="QEM39" s="1027"/>
      <c r="QEN39" s="1027"/>
      <c r="QEO39" s="24"/>
      <c r="QEP39" s="1027"/>
      <c r="QEQ39" s="1027"/>
      <c r="QER39" s="25"/>
      <c r="QES39" s="987">
        <f>SUM(QES36:QES38)</f>
        <v>0</v>
      </c>
      <c r="QET39" s="987">
        <f t="shared" si="372"/>
        <v>0</v>
      </c>
      <c r="QEU39" s="987">
        <f t="shared" si="372"/>
        <v>0</v>
      </c>
      <c r="QEV39" s="987"/>
      <c r="QEW39" s="987"/>
      <c r="QEX39" s="987"/>
      <c r="QEY39" s="987"/>
      <c r="QEZ39" s="987">
        <f t="shared" si="373"/>
        <v>0</v>
      </c>
      <c r="QFA39" s="1026" t="s">
        <v>45</v>
      </c>
      <c r="QFB39" s="434"/>
      <c r="QFC39" s="1027"/>
      <c r="QFD39" s="1027"/>
      <c r="QFE39" s="24"/>
      <c r="QFF39" s="1027"/>
      <c r="QFG39" s="1027"/>
      <c r="QFH39" s="25"/>
      <c r="QFI39" s="987">
        <f>SUM(QFI36:QFI38)</f>
        <v>0</v>
      </c>
      <c r="QFJ39" s="987">
        <f t="shared" ref="QFJ39:QHG39" si="374">SUM(QFJ36:QFJ38)</f>
        <v>0</v>
      </c>
      <c r="QFK39" s="987">
        <f t="shared" si="374"/>
        <v>0</v>
      </c>
      <c r="QFL39" s="987"/>
      <c r="QFM39" s="987"/>
      <c r="QFN39" s="987"/>
      <c r="QFO39" s="987"/>
      <c r="QFP39" s="987">
        <f t="shared" ref="QFP39:QHL39" si="375">SUM(QFP36:QFP38)</f>
        <v>0</v>
      </c>
      <c r="QFQ39" s="1026" t="s">
        <v>45</v>
      </c>
      <c r="QFR39" s="434"/>
      <c r="QFS39" s="1027"/>
      <c r="QFT39" s="1027"/>
      <c r="QFU39" s="24"/>
      <c r="QFV39" s="1027"/>
      <c r="QFW39" s="1027"/>
      <c r="QFX39" s="25"/>
      <c r="QFY39" s="987">
        <f>SUM(QFY36:QFY38)</f>
        <v>0</v>
      </c>
      <c r="QFZ39" s="987">
        <f t="shared" si="374"/>
        <v>0</v>
      </c>
      <c r="QGA39" s="987">
        <f t="shared" si="374"/>
        <v>0</v>
      </c>
      <c r="QGB39" s="987"/>
      <c r="QGC39" s="987"/>
      <c r="QGD39" s="987"/>
      <c r="QGE39" s="987"/>
      <c r="QGF39" s="987">
        <f t="shared" si="375"/>
        <v>0</v>
      </c>
      <c r="QGG39" s="1026" t="s">
        <v>45</v>
      </c>
      <c r="QGH39" s="434"/>
      <c r="QGI39" s="1027"/>
      <c r="QGJ39" s="1027"/>
      <c r="QGK39" s="24"/>
      <c r="QGL39" s="1027"/>
      <c r="QGM39" s="1027"/>
      <c r="QGN39" s="25"/>
      <c r="QGO39" s="987">
        <f>SUM(QGO36:QGO38)</f>
        <v>0</v>
      </c>
      <c r="QGP39" s="987">
        <f t="shared" si="374"/>
        <v>0</v>
      </c>
      <c r="QGQ39" s="987">
        <f t="shared" si="374"/>
        <v>0</v>
      </c>
      <c r="QGR39" s="987"/>
      <c r="QGS39" s="987"/>
      <c r="QGT39" s="987"/>
      <c r="QGU39" s="987"/>
      <c r="QGV39" s="987">
        <f t="shared" si="375"/>
        <v>0</v>
      </c>
      <c r="QGW39" s="1026" t="s">
        <v>45</v>
      </c>
      <c r="QGX39" s="434"/>
      <c r="QGY39" s="1027"/>
      <c r="QGZ39" s="1027"/>
      <c r="QHA39" s="24"/>
      <c r="QHB39" s="1027"/>
      <c r="QHC39" s="1027"/>
      <c r="QHD39" s="25"/>
      <c r="QHE39" s="987">
        <f>SUM(QHE36:QHE38)</f>
        <v>0</v>
      </c>
      <c r="QHF39" s="987">
        <f t="shared" si="374"/>
        <v>0</v>
      </c>
      <c r="QHG39" s="987">
        <f t="shared" si="374"/>
        <v>0</v>
      </c>
      <c r="QHH39" s="987"/>
      <c r="QHI39" s="987"/>
      <c r="QHJ39" s="987"/>
      <c r="QHK39" s="987"/>
      <c r="QHL39" s="987">
        <f t="shared" si="375"/>
        <v>0</v>
      </c>
      <c r="QHM39" s="1026" t="s">
        <v>45</v>
      </c>
      <c r="QHN39" s="434"/>
      <c r="QHO39" s="1027"/>
      <c r="QHP39" s="1027"/>
      <c r="QHQ39" s="24"/>
      <c r="QHR39" s="1027"/>
      <c r="QHS39" s="1027"/>
      <c r="QHT39" s="25"/>
      <c r="QHU39" s="987">
        <f>SUM(QHU36:QHU38)</f>
        <v>0</v>
      </c>
      <c r="QHV39" s="987">
        <f t="shared" ref="QHV39:QJS39" si="376">SUM(QHV36:QHV38)</f>
        <v>0</v>
      </c>
      <c r="QHW39" s="987">
        <f t="shared" si="376"/>
        <v>0</v>
      </c>
      <c r="QHX39" s="987"/>
      <c r="QHY39" s="987"/>
      <c r="QHZ39" s="987"/>
      <c r="QIA39" s="987"/>
      <c r="QIB39" s="987">
        <f t="shared" ref="QIB39:QJX39" si="377">SUM(QIB36:QIB38)</f>
        <v>0</v>
      </c>
      <c r="QIC39" s="1026" t="s">
        <v>45</v>
      </c>
      <c r="QID39" s="434"/>
      <c r="QIE39" s="1027"/>
      <c r="QIF39" s="1027"/>
      <c r="QIG39" s="24"/>
      <c r="QIH39" s="1027"/>
      <c r="QII39" s="1027"/>
      <c r="QIJ39" s="25"/>
      <c r="QIK39" s="987">
        <f>SUM(QIK36:QIK38)</f>
        <v>0</v>
      </c>
      <c r="QIL39" s="987">
        <f t="shared" si="376"/>
        <v>0</v>
      </c>
      <c r="QIM39" s="987">
        <f t="shared" si="376"/>
        <v>0</v>
      </c>
      <c r="QIN39" s="987"/>
      <c r="QIO39" s="987"/>
      <c r="QIP39" s="987"/>
      <c r="QIQ39" s="987"/>
      <c r="QIR39" s="987">
        <f t="shared" si="377"/>
        <v>0</v>
      </c>
      <c r="QIS39" s="1026" t="s">
        <v>45</v>
      </c>
      <c r="QIT39" s="434"/>
      <c r="QIU39" s="1027"/>
      <c r="QIV39" s="1027"/>
      <c r="QIW39" s="24"/>
      <c r="QIX39" s="1027"/>
      <c r="QIY39" s="1027"/>
      <c r="QIZ39" s="25"/>
      <c r="QJA39" s="987">
        <f>SUM(QJA36:QJA38)</f>
        <v>0</v>
      </c>
      <c r="QJB39" s="987">
        <f t="shared" si="376"/>
        <v>0</v>
      </c>
      <c r="QJC39" s="987">
        <f t="shared" si="376"/>
        <v>0</v>
      </c>
      <c r="QJD39" s="987"/>
      <c r="QJE39" s="987"/>
      <c r="QJF39" s="987"/>
      <c r="QJG39" s="987"/>
      <c r="QJH39" s="987">
        <f t="shared" si="377"/>
        <v>0</v>
      </c>
      <c r="QJI39" s="1026" t="s">
        <v>45</v>
      </c>
      <c r="QJJ39" s="434"/>
      <c r="QJK39" s="1027"/>
      <c r="QJL39" s="1027"/>
      <c r="QJM39" s="24"/>
      <c r="QJN39" s="1027"/>
      <c r="QJO39" s="1027"/>
      <c r="QJP39" s="25"/>
      <c r="QJQ39" s="987">
        <f>SUM(QJQ36:QJQ38)</f>
        <v>0</v>
      </c>
      <c r="QJR39" s="987">
        <f t="shared" si="376"/>
        <v>0</v>
      </c>
      <c r="QJS39" s="987">
        <f t="shared" si="376"/>
        <v>0</v>
      </c>
      <c r="QJT39" s="987"/>
      <c r="QJU39" s="987"/>
      <c r="QJV39" s="987"/>
      <c r="QJW39" s="987"/>
      <c r="QJX39" s="987">
        <f t="shared" si="377"/>
        <v>0</v>
      </c>
      <c r="QJY39" s="1026" t="s">
        <v>45</v>
      </c>
      <c r="QJZ39" s="434"/>
      <c r="QKA39" s="1027"/>
      <c r="QKB39" s="1027"/>
      <c r="QKC39" s="24"/>
      <c r="QKD39" s="1027"/>
      <c r="QKE39" s="1027"/>
      <c r="QKF39" s="25"/>
      <c r="QKG39" s="987">
        <f>SUM(QKG36:QKG38)</f>
        <v>0</v>
      </c>
      <c r="QKH39" s="987">
        <f t="shared" ref="QKH39:QME39" si="378">SUM(QKH36:QKH38)</f>
        <v>0</v>
      </c>
      <c r="QKI39" s="987">
        <f t="shared" si="378"/>
        <v>0</v>
      </c>
      <c r="QKJ39" s="987"/>
      <c r="QKK39" s="987"/>
      <c r="QKL39" s="987"/>
      <c r="QKM39" s="987"/>
      <c r="QKN39" s="987">
        <f t="shared" ref="QKN39:QMJ39" si="379">SUM(QKN36:QKN38)</f>
        <v>0</v>
      </c>
      <c r="QKO39" s="1026" t="s">
        <v>45</v>
      </c>
      <c r="QKP39" s="434"/>
      <c r="QKQ39" s="1027"/>
      <c r="QKR39" s="1027"/>
      <c r="QKS39" s="24"/>
      <c r="QKT39" s="1027"/>
      <c r="QKU39" s="1027"/>
      <c r="QKV39" s="25"/>
      <c r="QKW39" s="987">
        <f>SUM(QKW36:QKW38)</f>
        <v>0</v>
      </c>
      <c r="QKX39" s="987">
        <f t="shared" si="378"/>
        <v>0</v>
      </c>
      <c r="QKY39" s="987">
        <f t="shared" si="378"/>
        <v>0</v>
      </c>
      <c r="QKZ39" s="987"/>
      <c r="QLA39" s="987"/>
      <c r="QLB39" s="987"/>
      <c r="QLC39" s="987"/>
      <c r="QLD39" s="987">
        <f t="shared" si="379"/>
        <v>0</v>
      </c>
      <c r="QLE39" s="1026" t="s">
        <v>45</v>
      </c>
      <c r="QLF39" s="434"/>
      <c r="QLG39" s="1027"/>
      <c r="QLH39" s="1027"/>
      <c r="QLI39" s="24"/>
      <c r="QLJ39" s="1027"/>
      <c r="QLK39" s="1027"/>
      <c r="QLL39" s="25"/>
      <c r="QLM39" s="987">
        <f>SUM(QLM36:QLM38)</f>
        <v>0</v>
      </c>
      <c r="QLN39" s="987">
        <f t="shared" si="378"/>
        <v>0</v>
      </c>
      <c r="QLO39" s="987">
        <f t="shared" si="378"/>
        <v>0</v>
      </c>
      <c r="QLP39" s="987"/>
      <c r="QLQ39" s="987"/>
      <c r="QLR39" s="987"/>
      <c r="QLS39" s="987"/>
      <c r="QLT39" s="987">
        <f t="shared" si="379"/>
        <v>0</v>
      </c>
      <c r="QLU39" s="1026" t="s">
        <v>45</v>
      </c>
      <c r="QLV39" s="434"/>
      <c r="QLW39" s="1027"/>
      <c r="QLX39" s="1027"/>
      <c r="QLY39" s="24"/>
      <c r="QLZ39" s="1027"/>
      <c r="QMA39" s="1027"/>
      <c r="QMB39" s="25"/>
      <c r="QMC39" s="987">
        <f>SUM(QMC36:QMC38)</f>
        <v>0</v>
      </c>
      <c r="QMD39" s="987">
        <f t="shared" si="378"/>
        <v>0</v>
      </c>
      <c r="QME39" s="987">
        <f t="shared" si="378"/>
        <v>0</v>
      </c>
      <c r="QMF39" s="987"/>
      <c r="QMG39" s="987"/>
      <c r="QMH39" s="987"/>
      <c r="QMI39" s="987"/>
      <c r="QMJ39" s="987">
        <f t="shared" si="379"/>
        <v>0</v>
      </c>
      <c r="QMK39" s="1026" t="s">
        <v>45</v>
      </c>
      <c r="QML39" s="434"/>
      <c r="QMM39" s="1027"/>
      <c r="QMN39" s="1027"/>
      <c r="QMO39" s="24"/>
      <c r="QMP39" s="1027"/>
      <c r="QMQ39" s="1027"/>
      <c r="QMR39" s="25"/>
      <c r="QMS39" s="987">
        <f>SUM(QMS36:QMS38)</f>
        <v>0</v>
      </c>
      <c r="QMT39" s="987">
        <f t="shared" ref="QMT39:QOQ39" si="380">SUM(QMT36:QMT38)</f>
        <v>0</v>
      </c>
      <c r="QMU39" s="987">
        <f t="shared" si="380"/>
        <v>0</v>
      </c>
      <c r="QMV39" s="987"/>
      <c r="QMW39" s="987"/>
      <c r="QMX39" s="987"/>
      <c r="QMY39" s="987"/>
      <c r="QMZ39" s="987">
        <f t="shared" ref="QMZ39:QOV39" si="381">SUM(QMZ36:QMZ38)</f>
        <v>0</v>
      </c>
      <c r="QNA39" s="1026" t="s">
        <v>45</v>
      </c>
      <c r="QNB39" s="434"/>
      <c r="QNC39" s="1027"/>
      <c r="QND39" s="1027"/>
      <c r="QNE39" s="24"/>
      <c r="QNF39" s="1027"/>
      <c r="QNG39" s="1027"/>
      <c r="QNH39" s="25"/>
      <c r="QNI39" s="987">
        <f>SUM(QNI36:QNI38)</f>
        <v>0</v>
      </c>
      <c r="QNJ39" s="987">
        <f t="shared" si="380"/>
        <v>0</v>
      </c>
      <c r="QNK39" s="987">
        <f t="shared" si="380"/>
        <v>0</v>
      </c>
      <c r="QNL39" s="987"/>
      <c r="QNM39" s="987"/>
      <c r="QNN39" s="987"/>
      <c r="QNO39" s="987"/>
      <c r="QNP39" s="987">
        <f t="shared" si="381"/>
        <v>0</v>
      </c>
      <c r="QNQ39" s="1026" t="s">
        <v>45</v>
      </c>
      <c r="QNR39" s="434"/>
      <c r="QNS39" s="1027"/>
      <c r="QNT39" s="1027"/>
      <c r="QNU39" s="24"/>
      <c r="QNV39" s="1027"/>
      <c r="QNW39" s="1027"/>
      <c r="QNX39" s="25"/>
      <c r="QNY39" s="987">
        <f>SUM(QNY36:QNY38)</f>
        <v>0</v>
      </c>
      <c r="QNZ39" s="987">
        <f t="shared" si="380"/>
        <v>0</v>
      </c>
      <c r="QOA39" s="987">
        <f t="shared" si="380"/>
        <v>0</v>
      </c>
      <c r="QOB39" s="987"/>
      <c r="QOC39" s="987"/>
      <c r="QOD39" s="987"/>
      <c r="QOE39" s="987"/>
      <c r="QOF39" s="987">
        <f t="shared" si="381"/>
        <v>0</v>
      </c>
      <c r="QOG39" s="1026" t="s">
        <v>45</v>
      </c>
      <c r="QOH39" s="434"/>
      <c r="QOI39" s="1027"/>
      <c r="QOJ39" s="1027"/>
      <c r="QOK39" s="24"/>
      <c r="QOL39" s="1027"/>
      <c r="QOM39" s="1027"/>
      <c r="QON39" s="25"/>
      <c r="QOO39" s="987">
        <f>SUM(QOO36:QOO38)</f>
        <v>0</v>
      </c>
      <c r="QOP39" s="987">
        <f t="shared" si="380"/>
        <v>0</v>
      </c>
      <c r="QOQ39" s="987">
        <f t="shared" si="380"/>
        <v>0</v>
      </c>
      <c r="QOR39" s="987"/>
      <c r="QOS39" s="987"/>
      <c r="QOT39" s="987"/>
      <c r="QOU39" s="987"/>
      <c r="QOV39" s="987">
        <f t="shared" si="381"/>
        <v>0</v>
      </c>
      <c r="QOW39" s="1026" t="s">
        <v>45</v>
      </c>
      <c r="QOX39" s="434"/>
      <c r="QOY39" s="1027"/>
      <c r="QOZ39" s="1027"/>
      <c r="QPA39" s="24"/>
      <c r="QPB39" s="1027"/>
      <c r="QPC39" s="1027"/>
      <c r="QPD39" s="25"/>
      <c r="QPE39" s="987">
        <f>SUM(QPE36:QPE38)</f>
        <v>0</v>
      </c>
      <c r="QPF39" s="987">
        <f t="shared" ref="QPF39:QRC39" si="382">SUM(QPF36:QPF38)</f>
        <v>0</v>
      </c>
      <c r="QPG39" s="987">
        <f t="shared" si="382"/>
        <v>0</v>
      </c>
      <c r="QPH39" s="987"/>
      <c r="QPI39" s="987"/>
      <c r="QPJ39" s="987"/>
      <c r="QPK39" s="987"/>
      <c r="QPL39" s="987">
        <f t="shared" ref="QPL39:QRH39" si="383">SUM(QPL36:QPL38)</f>
        <v>0</v>
      </c>
      <c r="QPM39" s="1026" t="s">
        <v>45</v>
      </c>
      <c r="QPN39" s="434"/>
      <c r="QPO39" s="1027"/>
      <c r="QPP39" s="1027"/>
      <c r="QPQ39" s="24"/>
      <c r="QPR39" s="1027"/>
      <c r="QPS39" s="1027"/>
      <c r="QPT39" s="25"/>
      <c r="QPU39" s="987">
        <f>SUM(QPU36:QPU38)</f>
        <v>0</v>
      </c>
      <c r="QPV39" s="987">
        <f t="shared" si="382"/>
        <v>0</v>
      </c>
      <c r="QPW39" s="987">
        <f t="shared" si="382"/>
        <v>0</v>
      </c>
      <c r="QPX39" s="987"/>
      <c r="QPY39" s="987"/>
      <c r="QPZ39" s="987"/>
      <c r="QQA39" s="987"/>
      <c r="QQB39" s="987">
        <f t="shared" si="383"/>
        <v>0</v>
      </c>
      <c r="QQC39" s="1026" t="s">
        <v>45</v>
      </c>
      <c r="QQD39" s="434"/>
      <c r="QQE39" s="1027"/>
      <c r="QQF39" s="1027"/>
      <c r="QQG39" s="24"/>
      <c r="QQH39" s="1027"/>
      <c r="QQI39" s="1027"/>
      <c r="QQJ39" s="25"/>
      <c r="QQK39" s="987">
        <f>SUM(QQK36:QQK38)</f>
        <v>0</v>
      </c>
      <c r="QQL39" s="987">
        <f t="shared" si="382"/>
        <v>0</v>
      </c>
      <c r="QQM39" s="987">
        <f t="shared" si="382"/>
        <v>0</v>
      </c>
      <c r="QQN39" s="987"/>
      <c r="QQO39" s="987"/>
      <c r="QQP39" s="987"/>
      <c r="QQQ39" s="987"/>
      <c r="QQR39" s="987">
        <f t="shared" si="383"/>
        <v>0</v>
      </c>
      <c r="QQS39" s="1026" t="s">
        <v>45</v>
      </c>
      <c r="QQT39" s="434"/>
      <c r="QQU39" s="1027"/>
      <c r="QQV39" s="1027"/>
      <c r="QQW39" s="24"/>
      <c r="QQX39" s="1027"/>
      <c r="QQY39" s="1027"/>
      <c r="QQZ39" s="25"/>
      <c r="QRA39" s="987">
        <f>SUM(QRA36:QRA38)</f>
        <v>0</v>
      </c>
      <c r="QRB39" s="987">
        <f t="shared" si="382"/>
        <v>0</v>
      </c>
      <c r="QRC39" s="987">
        <f t="shared" si="382"/>
        <v>0</v>
      </c>
      <c r="QRD39" s="987"/>
      <c r="QRE39" s="987"/>
      <c r="QRF39" s="987"/>
      <c r="QRG39" s="987"/>
      <c r="QRH39" s="987">
        <f t="shared" si="383"/>
        <v>0</v>
      </c>
      <c r="QRI39" s="1026" t="s">
        <v>45</v>
      </c>
      <c r="QRJ39" s="434"/>
      <c r="QRK39" s="1027"/>
      <c r="QRL39" s="1027"/>
      <c r="QRM39" s="24"/>
      <c r="QRN39" s="1027"/>
      <c r="QRO39" s="1027"/>
      <c r="QRP39" s="25"/>
      <c r="QRQ39" s="987">
        <f>SUM(QRQ36:QRQ38)</f>
        <v>0</v>
      </c>
      <c r="QRR39" s="987">
        <f t="shared" ref="QRR39:QTO39" si="384">SUM(QRR36:QRR38)</f>
        <v>0</v>
      </c>
      <c r="QRS39" s="987">
        <f t="shared" si="384"/>
        <v>0</v>
      </c>
      <c r="QRT39" s="987"/>
      <c r="QRU39" s="987"/>
      <c r="QRV39" s="987"/>
      <c r="QRW39" s="987"/>
      <c r="QRX39" s="987">
        <f t="shared" ref="QRX39:QTT39" si="385">SUM(QRX36:QRX38)</f>
        <v>0</v>
      </c>
      <c r="QRY39" s="1026" t="s">
        <v>45</v>
      </c>
      <c r="QRZ39" s="434"/>
      <c r="QSA39" s="1027"/>
      <c r="QSB39" s="1027"/>
      <c r="QSC39" s="24"/>
      <c r="QSD39" s="1027"/>
      <c r="QSE39" s="1027"/>
      <c r="QSF39" s="25"/>
      <c r="QSG39" s="987">
        <f>SUM(QSG36:QSG38)</f>
        <v>0</v>
      </c>
      <c r="QSH39" s="987">
        <f t="shared" si="384"/>
        <v>0</v>
      </c>
      <c r="QSI39" s="987">
        <f t="shared" si="384"/>
        <v>0</v>
      </c>
      <c r="QSJ39" s="987"/>
      <c r="QSK39" s="987"/>
      <c r="QSL39" s="987"/>
      <c r="QSM39" s="987"/>
      <c r="QSN39" s="987">
        <f t="shared" si="385"/>
        <v>0</v>
      </c>
      <c r="QSO39" s="1026" t="s">
        <v>45</v>
      </c>
      <c r="QSP39" s="434"/>
      <c r="QSQ39" s="1027"/>
      <c r="QSR39" s="1027"/>
      <c r="QSS39" s="24"/>
      <c r="QST39" s="1027"/>
      <c r="QSU39" s="1027"/>
      <c r="QSV39" s="25"/>
      <c r="QSW39" s="987">
        <f>SUM(QSW36:QSW38)</f>
        <v>0</v>
      </c>
      <c r="QSX39" s="987">
        <f t="shared" si="384"/>
        <v>0</v>
      </c>
      <c r="QSY39" s="987">
        <f t="shared" si="384"/>
        <v>0</v>
      </c>
      <c r="QSZ39" s="987"/>
      <c r="QTA39" s="987"/>
      <c r="QTB39" s="987"/>
      <c r="QTC39" s="987"/>
      <c r="QTD39" s="987">
        <f t="shared" si="385"/>
        <v>0</v>
      </c>
      <c r="QTE39" s="1026" t="s">
        <v>45</v>
      </c>
      <c r="QTF39" s="434"/>
      <c r="QTG39" s="1027"/>
      <c r="QTH39" s="1027"/>
      <c r="QTI39" s="24"/>
      <c r="QTJ39" s="1027"/>
      <c r="QTK39" s="1027"/>
      <c r="QTL39" s="25"/>
      <c r="QTM39" s="987">
        <f>SUM(QTM36:QTM38)</f>
        <v>0</v>
      </c>
      <c r="QTN39" s="987">
        <f t="shared" si="384"/>
        <v>0</v>
      </c>
      <c r="QTO39" s="987">
        <f t="shared" si="384"/>
        <v>0</v>
      </c>
      <c r="QTP39" s="987"/>
      <c r="QTQ39" s="987"/>
      <c r="QTR39" s="987"/>
      <c r="QTS39" s="987"/>
      <c r="QTT39" s="987">
        <f t="shared" si="385"/>
        <v>0</v>
      </c>
      <c r="QTU39" s="1026" t="s">
        <v>45</v>
      </c>
      <c r="QTV39" s="434"/>
      <c r="QTW39" s="1027"/>
      <c r="QTX39" s="1027"/>
      <c r="QTY39" s="24"/>
      <c r="QTZ39" s="1027"/>
      <c r="QUA39" s="1027"/>
      <c r="QUB39" s="25"/>
      <c r="QUC39" s="987">
        <f>SUM(QUC36:QUC38)</f>
        <v>0</v>
      </c>
      <c r="QUD39" s="987">
        <f t="shared" ref="QUD39:QWA39" si="386">SUM(QUD36:QUD38)</f>
        <v>0</v>
      </c>
      <c r="QUE39" s="987">
        <f t="shared" si="386"/>
        <v>0</v>
      </c>
      <c r="QUF39" s="987"/>
      <c r="QUG39" s="987"/>
      <c r="QUH39" s="987"/>
      <c r="QUI39" s="987"/>
      <c r="QUJ39" s="987">
        <f t="shared" ref="QUJ39:QWF39" si="387">SUM(QUJ36:QUJ38)</f>
        <v>0</v>
      </c>
      <c r="QUK39" s="1026" t="s">
        <v>45</v>
      </c>
      <c r="QUL39" s="434"/>
      <c r="QUM39" s="1027"/>
      <c r="QUN39" s="1027"/>
      <c r="QUO39" s="24"/>
      <c r="QUP39" s="1027"/>
      <c r="QUQ39" s="1027"/>
      <c r="QUR39" s="25"/>
      <c r="QUS39" s="987">
        <f>SUM(QUS36:QUS38)</f>
        <v>0</v>
      </c>
      <c r="QUT39" s="987">
        <f t="shared" si="386"/>
        <v>0</v>
      </c>
      <c r="QUU39" s="987">
        <f t="shared" si="386"/>
        <v>0</v>
      </c>
      <c r="QUV39" s="987"/>
      <c r="QUW39" s="987"/>
      <c r="QUX39" s="987"/>
      <c r="QUY39" s="987"/>
      <c r="QUZ39" s="987">
        <f t="shared" si="387"/>
        <v>0</v>
      </c>
      <c r="QVA39" s="1026" t="s">
        <v>45</v>
      </c>
      <c r="QVB39" s="434"/>
      <c r="QVC39" s="1027"/>
      <c r="QVD39" s="1027"/>
      <c r="QVE39" s="24"/>
      <c r="QVF39" s="1027"/>
      <c r="QVG39" s="1027"/>
      <c r="QVH39" s="25"/>
      <c r="QVI39" s="987">
        <f>SUM(QVI36:QVI38)</f>
        <v>0</v>
      </c>
      <c r="QVJ39" s="987">
        <f t="shared" si="386"/>
        <v>0</v>
      </c>
      <c r="QVK39" s="987">
        <f t="shared" si="386"/>
        <v>0</v>
      </c>
      <c r="QVL39" s="987"/>
      <c r="QVM39" s="987"/>
      <c r="QVN39" s="987"/>
      <c r="QVO39" s="987"/>
      <c r="QVP39" s="987">
        <f t="shared" si="387"/>
        <v>0</v>
      </c>
      <c r="QVQ39" s="1026" t="s">
        <v>45</v>
      </c>
      <c r="QVR39" s="434"/>
      <c r="QVS39" s="1027"/>
      <c r="QVT39" s="1027"/>
      <c r="QVU39" s="24"/>
      <c r="QVV39" s="1027"/>
      <c r="QVW39" s="1027"/>
      <c r="QVX39" s="25"/>
      <c r="QVY39" s="987">
        <f>SUM(QVY36:QVY38)</f>
        <v>0</v>
      </c>
      <c r="QVZ39" s="987">
        <f t="shared" si="386"/>
        <v>0</v>
      </c>
      <c r="QWA39" s="987">
        <f t="shared" si="386"/>
        <v>0</v>
      </c>
      <c r="QWB39" s="987"/>
      <c r="QWC39" s="987"/>
      <c r="QWD39" s="987"/>
      <c r="QWE39" s="987"/>
      <c r="QWF39" s="987">
        <f t="shared" si="387"/>
        <v>0</v>
      </c>
      <c r="QWG39" s="1026" t="s">
        <v>45</v>
      </c>
      <c r="QWH39" s="434"/>
      <c r="QWI39" s="1027"/>
      <c r="QWJ39" s="1027"/>
      <c r="QWK39" s="24"/>
      <c r="QWL39" s="1027"/>
      <c r="QWM39" s="1027"/>
      <c r="QWN39" s="25"/>
      <c r="QWO39" s="987">
        <f>SUM(QWO36:QWO38)</f>
        <v>0</v>
      </c>
      <c r="QWP39" s="987">
        <f t="shared" ref="QWP39:QYM39" si="388">SUM(QWP36:QWP38)</f>
        <v>0</v>
      </c>
      <c r="QWQ39" s="987">
        <f t="shared" si="388"/>
        <v>0</v>
      </c>
      <c r="QWR39" s="987"/>
      <c r="QWS39" s="987"/>
      <c r="QWT39" s="987"/>
      <c r="QWU39" s="987"/>
      <c r="QWV39" s="987">
        <f t="shared" ref="QWV39:QYR39" si="389">SUM(QWV36:QWV38)</f>
        <v>0</v>
      </c>
      <c r="QWW39" s="1026" t="s">
        <v>45</v>
      </c>
      <c r="QWX39" s="434"/>
      <c r="QWY39" s="1027"/>
      <c r="QWZ39" s="1027"/>
      <c r="QXA39" s="24"/>
      <c r="QXB39" s="1027"/>
      <c r="QXC39" s="1027"/>
      <c r="QXD39" s="25"/>
      <c r="QXE39" s="987">
        <f>SUM(QXE36:QXE38)</f>
        <v>0</v>
      </c>
      <c r="QXF39" s="987">
        <f t="shared" si="388"/>
        <v>0</v>
      </c>
      <c r="QXG39" s="987">
        <f t="shared" si="388"/>
        <v>0</v>
      </c>
      <c r="QXH39" s="987"/>
      <c r="QXI39" s="987"/>
      <c r="QXJ39" s="987"/>
      <c r="QXK39" s="987"/>
      <c r="QXL39" s="987">
        <f t="shared" si="389"/>
        <v>0</v>
      </c>
      <c r="QXM39" s="1026" t="s">
        <v>45</v>
      </c>
      <c r="QXN39" s="434"/>
      <c r="QXO39" s="1027"/>
      <c r="QXP39" s="1027"/>
      <c r="QXQ39" s="24"/>
      <c r="QXR39" s="1027"/>
      <c r="QXS39" s="1027"/>
      <c r="QXT39" s="25"/>
      <c r="QXU39" s="987">
        <f>SUM(QXU36:QXU38)</f>
        <v>0</v>
      </c>
      <c r="QXV39" s="987">
        <f t="shared" si="388"/>
        <v>0</v>
      </c>
      <c r="QXW39" s="987">
        <f t="shared" si="388"/>
        <v>0</v>
      </c>
      <c r="QXX39" s="987"/>
      <c r="QXY39" s="987"/>
      <c r="QXZ39" s="987"/>
      <c r="QYA39" s="987"/>
      <c r="QYB39" s="987">
        <f t="shared" si="389"/>
        <v>0</v>
      </c>
      <c r="QYC39" s="1026" t="s">
        <v>45</v>
      </c>
      <c r="QYD39" s="434"/>
      <c r="QYE39" s="1027"/>
      <c r="QYF39" s="1027"/>
      <c r="QYG39" s="24"/>
      <c r="QYH39" s="1027"/>
      <c r="QYI39" s="1027"/>
      <c r="QYJ39" s="25"/>
      <c r="QYK39" s="987">
        <f>SUM(QYK36:QYK38)</f>
        <v>0</v>
      </c>
      <c r="QYL39" s="987">
        <f t="shared" si="388"/>
        <v>0</v>
      </c>
      <c r="QYM39" s="987">
        <f t="shared" si="388"/>
        <v>0</v>
      </c>
      <c r="QYN39" s="987"/>
      <c r="QYO39" s="987"/>
      <c r="QYP39" s="987"/>
      <c r="QYQ39" s="987"/>
      <c r="QYR39" s="987">
        <f t="shared" si="389"/>
        <v>0</v>
      </c>
      <c r="QYS39" s="1026" t="s">
        <v>45</v>
      </c>
      <c r="QYT39" s="434"/>
      <c r="QYU39" s="1027"/>
      <c r="QYV39" s="1027"/>
      <c r="QYW39" s="24"/>
      <c r="QYX39" s="1027"/>
      <c r="QYY39" s="1027"/>
      <c r="QYZ39" s="25"/>
      <c r="QZA39" s="987">
        <f>SUM(QZA36:QZA38)</f>
        <v>0</v>
      </c>
      <c r="QZB39" s="987">
        <f t="shared" ref="QZB39:RAY39" si="390">SUM(QZB36:QZB38)</f>
        <v>0</v>
      </c>
      <c r="QZC39" s="987">
        <f t="shared" si="390"/>
        <v>0</v>
      </c>
      <c r="QZD39" s="987"/>
      <c r="QZE39" s="987"/>
      <c r="QZF39" s="987"/>
      <c r="QZG39" s="987"/>
      <c r="QZH39" s="987">
        <f t="shared" ref="QZH39:RBD39" si="391">SUM(QZH36:QZH38)</f>
        <v>0</v>
      </c>
      <c r="QZI39" s="1026" t="s">
        <v>45</v>
      </c>
      <c r="QZJ39" s="434"/>
      <c r="QZK39" s="1027"/>
      <c r="QZL39" s="1027"/>
      <c r="QZM39" s="24"/>
      <c r="QZN39" s="1027"/>
      <c r="QZO39" s="1027"/>
      <c r="QZP39" s="25"/>
      <c r="QZQ39" s="987">
        <f>SUM(QZQ36:QZQ38)</f>
        <v>0</v>
      </c>
      <c r="QZR39" s="987">
        <f t="shared" si="390"/>
        <v>0</v>
      </c>
      <c r="QZS39" s="987">
        <f t="shared" si="390"/>
        <v>0</v>
      </c>
      <c r="QZT39" s="987"/>
      <c r="QZU39" s="987"/>
      <c r="QZV39" s="987"/>
      <c r="QZW39" s="987"/>
      <c r="QZX39" s="987">
        <f t="shared" si="391"/>
        <v>0</v>
      </c>
      <c r="QZY39" s="1026" t="s">
        <v>45</v>
      </c>
      <c r="QZZ39" s="434"/>
      <c r="RAA39" s="1027"/>
      <c r="RAB39" s="1027"/>
      <c r="RAC39" s="24"/>
      <c r="RAD39" s="1027"/>
      <c r="RAE39" s="1027"/>
      <c r="RAF39" s="25"/>
      <c r="RAG39" s="987">
        <f>SUM(RAG36:RAG38)</f>
        <v>0</v>
      </c>
      <c r="RAH39" s="987">
        <f t="shared" si="390"/>
        <v>0</v>
      </c>
      <c r="RAI39" s="987">
        <f t="shared" si="390"/>
        <v>0</v>
      </c>
      <c r="RAJ39" s="987"/>
      <c r="RAK39" s="987"/>
      <c r="RAL39" s="987"/>
      <c r="RAM39" s="987"/>
      <c r="RAN39" s="987">
        <f t="shared" si="391"/>
        <v>0</v>
      </c>
      <c r="RAO39" s="1026" t="s">
        <v>45</v>
      </c>
      <c r="RAP39" s="434"/>
      <c r="RAQ39" s="1027"/>
      <c r="RAR39" s="1027"/>
      <c r="RAS39" s="24"/>
      <c r="RAT39" s="1027"/>
      <c r="RAU39" s="1027"/>
      <c r="RAV39" s="25"/>
      <c r="RAW39" s="987">
        <f>SUM(RAW36:RAW38)</f>
        <v>0</v>
      </c>
      <c r="RAX39" s="987">
        <f t="shared" si="390"/>
        <v>0</v>
      </c>
      <c r="RAY39" s="987">
        <f t="shared" si="390"/>
        <v>0</v>
      </c>
      <c r="RAZ39" s="987"/>
      <c r="RBA39" s="987"/>
      <c r="RBB39" s="987"/>
      <c r="RBC39" s="987"/>
      <c r="RBD39" s="987">
        <f t="shared" si="391"/>
        <v>0</v>
      </c>
      <c r="RBE39" s="1026" t="s">
        <v>45</v>
      </c>
      <c r="RBF39" s="434"/>
      <c r="RBG39" s="1027"/>
      <c r="RBH39" s="1027"/>
      <c r="RBI39" s="24"/>
      <c r="RBJ39" s="1027"/>
      <c r="RBK39" s="1027"/>
      <c r="RBL39" s="25"/>
      <c r="RBM39" s="987">
        <f>SUM(RBM36:RBM38)</f>
        <v>0</v>
      </c>
      <c r="RBN39" s="987">
        <f t="shared" ref="RBN39:RDK39" si="392">SUM(RBN36:RBN38)</f>
        <v>0</v>
      </c>
      <c r="RBO39" s="987">
        <f t="shared" si="392"/>
        <v>0</v>
      </c>
      <c r="RBP39" s="987"/>
      <c r="RBQ39" s="987"/>
      <c r="RBR39" s="987"/>
      <c r="RBS39" s="987"/>
      <c r="RBT39" s="987">
        <f t="shared" ref="RBT39:RDP39" si="393">SUM(RBT36:RBT38)</f>
        <v>0</v>
      </c>
      <c r="RBU39" s="1026" t="s">
        <v>45</v>
      </c>
      <c r="RBV39" s="434"/>
      <c r="RBW39" s="1027"/>
      <c r="RBX39" s="1027"/>
      <c r="RBY39" s="24"/>
      <c r="RBZ39" s="1027"/>
      <c r="RCA39" s="1027"/>
      <c r="RCB39" s="25"/>
      <c r="RCC39" s="987">
        <f>SUM(RCC36:RCC38)</f>
        <v>0</v>
      </c>
      <c r="RCD39" s="987">
        <f t="shared" si="392"/>
        <v>0</v>
      </c>
      <c r="RCE39" s="987">
        <f t="shared" si="392"/>
        <v>0</v>
      </c>
      <c r="RCF39" s="987"/>
      <c r="RCG39" s="987"/>
      <c r="RCH39" s="987"/>
      <c r="RCI39" s="987"/>
      <c r="RCJ39" s="987">
        <f t="shared" si="393"/>
        <v>0</v>
      </c>
      <c r="RCK39" s="1026" t="s">
        <v>45</v>
      </c>
      <c r="RCL39" s="434"/>
      <c r="RCM39" s="1027"/>
      <c r="RCN39" s="1027"/>
      <c r="RCO39" s="24"/>
      <c r="RCP39" s="1027"/>
      <c r="RCQ39" s="1027"/>
      <c r="RCR39" s="25"/>
      <c r="RCS39" s="987">
        <f>SUM(RCS36:RCS38)</f>
        <v>0</v>
      </c>
      <c r="RCT39" s="987">
        <f t="shared" si="392"/>
        <v>0</v>
      </c>
      <c r="RCU39" s="987">
        <f t="shared" si="392"/>
        <v>0</v>
      </c>
      <c r="RCV39" s="987"/>
      <c r="RCW39" s="987"/>
      <c r="RCX39" s="987"/>
      <c r="RCY39" s="987"/>
      <c r="RCZ39" s="987">
        <f t="shared" si="393"/>
        <v>0</v>
      </c>
      <c r="RDA39" s="1026" t="s">
        <v>45</v>
      </c>
      <c r="RDB39" s="434"/>
      <c r="RDC39" s="1027"/>
      <c r="RDD39" s="1027"/>
      <c r="RDE39" s="24"/>
      <c r="RDF39" s="1027"/>
      <c r="RDG39" s="1027"/>
      <c r="RDH39" s="25"/>
      <c r="RDI39" s="987">
        <f>SUM(RDI36:RDI38)</f>
        <v>0</v>
      </c>
      <c r="RDJ39" s="987">
        <f t="shared" si="392"/>
        <v>0</v>
      </c>
      <c r="RDK39" s="987">
        <f t="shared" si="392"/>
        <v>0</v>
      </c>
      <c r="RDL39" s="987"/>
      <c r="RDM39" s="987"/>
      <c r="RDN39" s="987"/>
      <c r="RDO39" s="987"/>
      <c r="RDP39" s="987">
        <f t="shared" si="393"/>
        <v>0</v>
      </c>
      <c r="RDQ39" s="1026" t="s">
        <v>45</v>
      </c>
      <c r="RDR39" s="434"/>
      <c r="RDS39" s="1027"/>
      <c r="RDT39" s="1027"/>
      <c r="RDU39" s="24"/>
      <c r="RDV39" s="1027"/>
      <c r="RDW39" s="1027"/>
      <c r="RDX39" s="25"/>
      <c r="RDY39" s="987">
        <f>SUM(RDY36:RDY38)</f>
        <v>0</v>
      </c>
      <c r="RDZ39" s="987">
        <f t="shared" ref="RDZ39:RFW39" si="394">SUM(RDZ36:RDZ38)</f>
        <v>0</v>
      </c>
      <c r="REA39" s="987">
        <f t="shared" si="394"/>
        <v>0</v>
      </c>
      <c r="REB39" s="987"/>
      <c r="REC39" s="987"/>
      <c r="RED39" s="987"/>
      <c r="REE39" s="987"/>
      <c r="REF39" s="987">
        <f t="shared" ref="REF39:RGB39" si="395">SUM(REF36:REF38)</f>
        <v>0</v>
      </c>
      <c r="REG39" s="1026" t="s">
        <v>45</v>
      </c>
      <c r="REH39" s="434"/>
      <c r="REI39" s="1027"/>
      <c r="REJ39" s="1027"/>
      <c r="REK39" s="24"/>
      <c r="REL39" s="1027"/>
      <c r="REM39" s="1027"/>
      <c r="REN39" s="25"/>
      <c r="REO39" s="987">
        <f>SUM(REO36:REO38)</f>
        <v>0</v>
      </c>
      <c r="REP39" s="987">
        <f t="shared" si="394"/>
        <v>0</v>
      </c>
      <c r="REQ39" s="987">
        <f t="shared" si="394"/>
        <v>0</v>
      </c>
      <c r="RER39" s="987"/>
      <c r="RES39" s="987"/>
      <c r="RET39" s="987"/>
      <c r="REU39" s="987"/>
      <c r="REV39" s="987">
        <f t="shared" si="395"/>
        <v>0</v>
      </c>
      <c r="REW39" s="1026" t="s">
        <v>45</v>
      </c>
      <c r="REX39" s="434"/>
      <c r="REY39" s="1027"/>
      <c r="REZ39" s="1027"/>
      <c r="RFA39" s="24"/>
      <c r="RFB39" s="1027"/>
      <c r="RFC39" s="1027"/>
      <c r="RFD39" s="25"/>
      <c r="RFE39" s="987">
        <f>SUM(RFE36:RFE38)</f>
        <v>0</v>
      </c>
      <c r="RFF39" s="987">
        <f t="shared" si="394"/>
        <v>0</v>
      </c>
      <c r="RFG39" s="987">
        <f t="shared" si="394"/>
        <v>0</v>
      </c>
      <c r="RFH39" s="987"/>
      <c r="RFI39" s="987"/>
      <c r="RFJ39" s="987"/>
      <c r="RFK39" s="987"/>
      <c r="RFL39" s="987">
        <f t="shared" si="395"/>
        <v>0</v>
      </c>
      <c r="RFM39" s="1026" t="s">
        <v>45</v>
      </c>
      <c r="RFN39" s="434"/>
      <c r="RFO39" s="1027"/>
      <c r="RFP39" s="1027"/>
      <c r="RFQ39" s="24"/>
      <c r="RFR39" s="1027"/>
      <c r="RFS39" s="1027"/>
      <c r="RFT39" s="25"/>
      <c r="RFU39" s="987">
        <f>SUM(RFU36:RFU38)</f>
        <v>0</v>
      </c>
      <c r="RFV39" s="987">
        <f t="shared" si="394"/>
        <v>0</v>
      </c>
      <c r="RFW39" s="987">
        <f t="shared" si="394"/>
        <v>0</v>
      </c>
      <c r="RFX39" s="987"/>
      <c r="RFY39" s="987"/>
      <c r="RFZ39" s="987"/>
      <c r="RGA39" s="987"/>
      <c r="RGB39" s="987">
        <f t="shared" si="395"/>
        <v>0</v>
      </c>
      <c r="RGC39" s="1026" t="s">
        <v>45</v>
      </c>
      <c r="RGD39" s="434"/>
      <c r="RGE39" s="1027"/>
      <c r="RGF39" s="1027"/>
      <c r="RGG39" s="24"/>
      <c r="RGH39" s="1027"/>
      <c r="RGI39" s="1027"/>
      <c r="RGJ39" s="25"/>
      <c r="RGK39" s="987">
        <f>SUM(RGK36:RGK38)</f>
        <v>0</v>
      </c>
      <c r="RGL39" s="987">
        <f t="shared" ref="RGL39:RII39" si="396">SUM(RGL36:RGL38)</f>
        <v>0</v>
      </c>
      <c r="RGM39" s="987">
        <f t="shared" si="396"/>
        <v>0</v>
      </c>
      <c r="RGN39" s="987"/>
      <c r="RGO39" s="987"/>
      <c r="RGP39" s="987"/>
      <c r="RGQ39" s="987"/>
      <c r="RGR39" s="987">
        <f t="shared" ref="RGR39:RIN39" si="397">SUM(RGR36:RGR38)</f>
        <v>0</v>
      </c>
      <c r="RGS39" s="1026" t="s">
        <v>45</v>
      </c>
      <c r="RGT39" s="434"/>
      <c r="RGU39" s="1027"/>
      <c r="RGV39" s="1027"/>
      <c r="RGW39" s="24"/>
      <c r="RGX39" s="1027"/>
      <c r="RGY39" s="1027"/>
      <c r="RGZ39" s="25"/>
      <c r="RHA39" s="987">
        <f>SUM(RHA36:RHA38)</f>
        <v>0</v>
      </c>
      <c r="RHB39" s="987">
        <f t="shared" si="396"/>
        <v>0</v>
      </c>
      <c r="RHC39" s="987">
        <f t="shared" si="396"/>
        <v>0</v>
      </c>
      <c r="RHD39" s="987"/>
      <c r="RHE39" s="987"/>
      <c r="RHF39" s="987"/>
      <c r="RHG39" s="987"/>
      <c r="RHH39" s="987">
        <f t="shared" si="397"/>
        <v>0</v>
      </c>
      <c r="RHI39" s="1026" t="s">
        <v>45</v>
      </c>
      <c r="RHJ39" s="434"/>
      <c r="RHK39" s="1027"/>
      <c r="RHL39" s="1027"/>
      <c r="RHM39" s="24"/>
      <c r="RHN39" s="1027"/>
      <c r="RHO39" s="1027"/>
      <c r="RHP39" s="25"/>
      <c r="RHQ39" s="987">
        <f>SUM(RHQ36:RHQ38)</f>
        <v>0</v>
      </c>
      <c r="RHR39" s="987">
        <f t="shared" si="396"/>
        <v>0</v>
      </c>
      <c r="RHS39" s="987">
        <f t="shared" si="396"/>
        <v>0</v>
      </c>
      <c r="RHT39" s="987"/>
      <c r="RHU39" s="987"/>
      <c r="RHV39" s="987"/>
      <c r="RHW39" s="987"/>
      <c r="RHX39" s="987">
        <f t="shared" si="397"/>
        <v>0</v>
      </c>
      <c r="RHY39" s="1026" t="s">
        <v>45</v>
      </c>
      <c r="RHZ39" s="434"/>
      <c r="RIA39" s="1027"/>
      <c r="RIB39" s="1027"/>
      <c r="RIC39" s="24"/>
      <c r="RID39" s="1027"/>
      <c r="RIE39" s="1027"/>
      <c r="RIF39" s="25"/>
      <c r="RIG39" s="987">
        <f>SUM(RIG36:RIG38)</f>
        <v>0</v>
      </c>
      <c r="RIH39" s="987">
        <f t="shared" si="396"/>
        <v>0</v>
      </c>
      <c r="RII39" s="987">
        <f t="shared" si="396"/>
        <v>0</v>
      </c>
      <c r="RIJ39" s="987"/>
      <c r="RIK39" s="987"/>
      <c r="RIL39" s="987"/>
      <c r="RIM39" s="987"/>
      <c r="RIN39" s="987">
        <f t="shared" si="397"/>
        <v>0</v>
      </c>
      <c r="RIO39" s="1026" t="s">
        <v>45</v>
      </c>
      <c r="RIP39" s="434"/>
      <c r="RIQ39" s="1027"/>
      <c r="RIR39" s="1027"/>
      <c r="RIS39" s="24"/>
      <c r="RIT39" s="1027"/>
      <c r="RIU39" s="1027"/>
      <c r="RIV39" s="25"/>
      <c r="RIW39" s="987">
        <f>SUM(RIW36:RIW38)</f>
        <v>0</v>
      </c>
      <c r="RIX39" s="987">
        <f t="shared" ref="RIX39:RKU39" si="398">SUM(RIX36:RIX38)</f>
        <v>0</v>
      </c>
      <c r="RIY39" s="987">
        <f t="shared" si="398"/>
        <v>0</v>
      </c>
      <c r="RIZ39" s="987"/>
      <c r="RJA39" s="987"/>
      <c r="RJB39" s="987"/>
      <c r="RJC39" s="987"/>
      <c r="RJD39" s="987">
        <f t="shared" ref="RJD39:RKZ39" si="399">SUM(RJD36:RJD38)</f>
        <v>0</v>
      </c>
      <c r="RJE39" s="1026" t="s">
        <v>45</v>
      </c>
      <c r="RJF39" s="434"/>
      <c r="RJG39" s="1027"/>
      <c r="RJH39" s="1027"/>
      <c r="RJI39" s="24"/>
      <c r="RJJ39" s="1027"/>
      <c r="RJK39" s="1027"/>
      <c r="RJL39" s="25"/>
      <c r="RJM39" s="987">
        <f>SUM(RJM36:RJM38)</f>
        <v>0</v>
      </c>
      <c r="RJN39" s="987">
        <f t="shared" si="398"/>
        <v>0</v>
      </c>
      <c r="RJO39" s="987">
        <f t="shared" si="398"/>
        <v>0</v>
      </c>
      <c r="RJP39" s="987"/>
      <c r="RJQ39" s="987"/>
      <c r="RJR39" s="987"/>
      <c r="RJS39" s="987"/>
      <c r="RJT39" s="987">
        <f t="shared" si="399"/>
        <v>0</v>
      </c>
      <c r="RJU39" s="1026" t="s">
        <v>45</v>
      </c>
      <c r="RJV39" s="434"/>
      <c r="RJW39" s="1027"/>
      <c r="RJX39" s="1027"/>
      <c r="RJY39" s="24"/>
      <c r="RJZ39" s="1027"/>
      <c r="RKA39" s="1027"/>
      <c r="RKB39" s="25"/>
      <c r="RKC39" s="987">
        <f>SUM(RKC36:RKC38)</f>
        <v>0</v>
      </c>
      <c r="RKD39" s="987">
        <f t="shared" si="398"/>
        <v>0</v>
      </c>
      <c r="RKE39" s="987">
        <f t="shared" si="398"/>
        <v>0</v>
      </c>
      <c r="RKF39" s="987"/>
      <c r="RKG39" s="987"/>
      <c r="RKH39" s="987"/>
      <c r="RKI39" s="987"/>
      <c r="RKJ39" s="987">
        <f t="shared" si="399"/>
        <v>0</v>
      </c>
      <c r="RKK39" s="1026" t="s">
        <v>45</v>
      </c>
      <c r="RKL39" s="434"/>
      <c r="RKM39" s="1027"/>
      <c r="RKN39" s="1027"/>
      <c r="RKO39" s="24"/>
      <c r="RKP39" s="1027"/>
      <c r="RKQ39" s="1027"/>
      <c r="RKR39" s="25"/>
      <c r="RKS39" s="987">
        <f>SUM(RKS36:RKS38)</f>
        <v>0</v>
      </c>
      <c r="RKT39" s="987">
        <f t="shared" si="398"/>
        <v>0</v>
      </c>
      <c r="RKU39" s="987">
        <f t="shared" si="398"/>
        <v>0</v>
      </c>
      <c r="RKV39" s="987"/>
      <c r="RKW39" s="987"/>
      <c r="RKX39" s="987"/>
      <c r="RKY39" s="987"/>
      <c r="RKZ39" s="987">
        <f t="shared" si="399"/>
        <v>0</v>
      </c>
      <c r="RLA39" s="1026" t="s">
        <v>45</v>
      </c>
      <c r="RLB39" s="434"/>
      <c r="RLC39" s="1027"/>
      <c r="RLD39" s="1027"/>
      <c r="RLE39" s="24"/>
      <c r="RLF39" s="1027"/>
      <c r="RLG39" s="1027"/>
      <c r="RLH39" s="25"/>
      <c r="RLI39" s="987">
        <f>SUM(RLI36:RLI38)</f>
        <v>0</v>
      </c>
      <c r="RLJ39" s="987">
        <f t="shared" ref="RLJ39:RNG39" si="400">SUM(RLJ36:RLJ38)</f>
        <v>0</v>
      </c>
      <c r="RLK39" s="987">
        <f t="shared" si="400"/>
        <v>0</v>
      </c>
      <c r="RLL39" s="987"/>
      <c r="RLM39" s="987"/>
      <c r="RLN39" s="987"/>
      <c r="RLO39" s="987"/>
      <c r="RLP39" s="987">
        <f t="shared" ref="RLP39:RNL39" si="401">SUM(RLP36:RLP38)</f>
        <v>0</v>
      </c>
      <c r="RLQ39" s="1026" t="s">
        <v>45</v>
      </c>
      <c r="RLR39" s="434"/>
      <c r="RLS39" s="1027"/>
      <c r="RLT39" s="1027"/>
      <c r="RLU39" s="24"/>
      <c r="RLV39" s="1027"/>
      <c r="RLW39" s="1027"/>
      <c r="RLX39" s="25"/>
      <c r="RLY39" s="987">
        <f>SUM(RLY36:RLY38)</f>
        <v>0</v>
      </c>
      <c r="RLZ39" s="987">
        <f t="shared" si="400"/>
        <v>0</v>
      </c>
      <c r="RMA39" s="987">
        <f t="shared" si="400"/>
        <v>0</v>
      </c>
      <c r="RMB39" s="987"/>
      <c r="RMC39" s="987"/>
      <c r="RMD39" s="987"/>
      <c r="RME39" s="987"/>
      <c r="RMF39" s="987">
        <f t="shared" si="401"/>
        <v>0</v>
      </c>
      <c r="RMG39" s="1026" t="s">
        <v>45</v>
      </c>
      <c r="RMH39" s="434"/>
      <c r="RMI39" s="1027"/>
      <c r="RMJ39" s="1027"/>
      <c r="RMK39" s="24"/>
      <c r="RML39" s="1027"/>
      <c r="RMM39" s="1027"/>
      <c r="RMN39" s="25"/>
      <c r="RMO39" s="987">
        <f>SUM(RMO36:RMO38)</f>
        <v>0</v>
      </c>
      <c r="RMP39" s="987">
        <f t="shared" si="400"/>
        <v>0</v>
      </c>
      <c r="RMQ39" s="987">
        <f t="shared" si="400"/>
        <v>0</v>
      </c>
      <c r="RMR39" s="987"/>
      <c r="RMS39" s="987"/>
      <c r="RMT39" s="987"/>
      <c r="RMU39" s="987"/>
      <c r="RMV39" s="987">
        <f t="shared" si="401"/>
        <v>0</v>
      </c>
      <c r="RMW39" s="1026" t="s">
        <v>45</v>
      </c>
      <c r="RMX39" s="434"/>
      <c r="RMY39" s="1027"/>
      <c r="RMZ39" s="1027"/>
      <c r="RNA39" s="24"/>
      <c r="RNB39" s="1027"/>
      <c r="RNC39" s="1027"/>
      <c r="RND39" s="25"/>
      <c r="RNE39" s="987">
        <f>SUM(RNE36:RNE38)</f>
        <v>0</v>
      </c>
      <c r="RNF39" s="987">
        <f t="shared" si="400"/>
        <v>0</v>
      </c>
      <c r="RNG39" s="987">
        <f t="shared" si="400"/>
        <v>0</v>
      </c>
      <c r="RNH39" s="987"/>
      <c r="RNI39" s="987"/>
      <c r="RNJ39" s="987"/>
      <c r="RNK39" s="987"/>
      <c r="RNL39" s="987">
        <f t="shared" si="401"/>
        <v>0</v>
      </c>
      <c r="RNM39" s="1026" t="s">
        <v>45</v>
      </c>
      <c r="RNN39" s="434"/>
      <c r="RNO39" s="1027"/>
      <c r="RNP39" s="1027"/>
      <c r="RNQ39" s="24"/>
      <c r="RNR39" s="1027"/>
      <c r="RNS39" s="1027"/>
      <c r="RNT39" s="25"/>
      <c r="RNU39" s="987">
        <f>SUM(RNU36:RNU38)</f>
        <v>0</v>
      </c>
      <c r="RNV39" s="987">
        <f t="shared" ref="RNV39:RPS39" si="402">SUM(RNV36:RNV38)</f>
        <v>0</v>
      </c>
      <c r="RNW39" s="987">
        <f t="shared" si="402"/>
        <v>0</v>
      </c>
      <c r="RNX39" s="987"/>
      <c r="RNY39" s="987"/>
      <c r="RNZ39" s="987"/>
      <c r="ROA39" s="987"/>
      <c r="ROB39" s="987">
        <f t="shared" ref="ROB39:RPX39" si="403">SUM(ROB36:ROB38)</f>
        <v>0</v>
      </c>
      <c r="ROC39" s="1026" t="s">
        <v>45</v>
      </c>
      <c r="ROD39" s="434"/>
      <c r="ROE39" s="1027"/>
      <c r="ROF39" s="1027"/>
      <c r="ROG39" s="24"/>
      <c r="ROH39" s="1027"/>
      <c r="ROI39" s="1027"/>
      <c r="ROJ39" s="25"/>
      <c r="ROK39" s="987">
        <f>SUM(ROK36:ROK38)</f>
        <v>0</v>
      </c>
      <c r="ROL39" s="987">
        <f t="shared" si="402"/>
        <v>0</v>
      </c>
      <c r="ROM39" s="987">
        <f t="shared" si="402"/>
        <v>0</v>
      </c>
      <c r="RON39" s="987"/>
      <c r="ROO39" s="987"/>
      <c r="ROP39" s="987"/>
      <c r="ROQ39" s="987"/>
      <c r="ROR39" s="987">
        <f t="shared" si="403"/>
        <v>0</v>
      </c>
      <c r="ROS39" s="1026" t="s">
        <v>45</v>
      </c>
      <c r="ROT39" s="434"/>
      <c r="ROU39" s="1027"/>
      <c r="ROV39" s="1027"/>
      <c r="ROW39" s="24"/>
      <c r="ROX39" s="1027"/>
      <c r="ROY39" s="1027"/>
      <c r="ROZ39" s="25"/>
      <c r="RPA39" s="987">
        <f>SUM(RPA36:RPA38)</f>
        <v>0</v>
      </c>
      <c r="RPB39" s="987">
        <f t="shared" si="402"/>
        <v>0</v>
      </c>
      <c r="RPC39" s="987">
        <f t="shared" si="402"/>
        <v>0</v>
      </c>
      <c r="RPD39" s="987"/>
      <c r="RPE39" s="987"/>
      <c r="RPF39" s="987"/>
      <c r="RPG39" s="987"/>
      <c r="RPH39" s="987">
        <f t="shared" si="403"/>
        <v>0</v>
      </c>
      <c r="RPI39" s="1026" t="s">
        <v>45</v>
      </c>
      <c r="RPJ39" s="434"/>
      <c r="RPK39" s="1027"/>
      <c r="RPL39" s="1027"/>
      <c r="RPM39" s="24"/>
      <c r="RPN39" s="1027"/>
      <c r="RPO39" s="1027"/>
      <c r="RPP39" s="25"/>
      <c r="RPQ39" s="987">
        <f>SUM(RPQ36:RPQ38)</f>
        <v>0</v>
      </c>
      <c r="RPR39" s="987">
        <f t="shared" si="402"/>
        <v>0</v>
      </c>
      <c r="RPS39" s="987">
        <f t="shared" si="402"/>
        <v>0</v>
      </c>
      <c r="RPT39" s="987"/>
      <c r="RPU39" s="987"/>
      <c r="RPV39" s="987"/>
      <c r="RPW39" s="987"/>
      <c r="RPX39" s="987">
        <f t="shared" si="403"/>
        <v>0</v>
      </c>
      <c r="RPY39" s="1026" t="s">
        <v>45</v>
      </c>
      <c r="RPZ39" s="434"/>
      <c r="RQA39" s="1027"/>
      <c r="RQB39" s="1027"/>
      <c r="RQC39" s="24"/>
      <c r="RQD39" s="1027"/>
      <c r="RQE39" s="1027"/>
      <c r="RQF39" s="25"/>
      <c r="RQG39" s="987">
        <f>SUM(RQG36:RQG38)</f>
        <v>0</v>
      </c>
      <c r="RQH39" s="987">
        <f t="shared" ref="RQH39:RSE39" si="404">SUM(RQH36:RQH38)</f>
        <v>0</v>
      </c>
      <c r="RQI39" s="987">
        <f t="shared" si="404"/>
        <v>0</v>
      </c>
      <c r="RQJ39" s="987"/>
      <c r="RQK39" s="987"/>
      <c r="RQL39" s="987"/>
      <c r="RQM39" s="987"/>
      <c r="RQN39" s="987">
        <f t="shared" ref="RQN39:RSJ39" si="405">SUM(RQN36:RQN38)</f>
        <v>0</v>
      </c>
      <c r="RQO39" s="1026" t="s">
        <v>45</v>
      </c>
      <c r="RQP39" s="434"/>
      <c r="RQQ39" s="1027"/>
      <c r="RQR39" s="1027"/>
      <c r="RQS39" s="24"/>
      <c r="RQT39" s="1027"/>
      <c r="RQU39" s="1027"/>
      <c r="RQV39" s="25"/>
      <c r="RQW39" s="987">
        <f>SUM(RQW36:RQW38)</f>
        <v>0</v>
      </c>
      <c r="RQX39" s="987">
        <f t="shared" si="404"/>
        <v>0</v>
      </c>
      <c r="RQY39" s="987">
        <f t="shared" si="404"/>
        <v>0</v>
      </c>
      <c r="RQZ39" s="987"/>
      <c r="RRA39" s="987"/>
      <c r="RRB39" s="987"/>
      <c r="RRC39" s="987"/>
      <c r="RRD39" s="987">
        <f t="shared" si="405"/>
        <v>0</v>
      </c>
      <c r="RRE39" s="1026" t="s">
        <v>45</v>
      </c>
      <c r="RRF39" s="434"/>
      <c r="RRG39" s="1027"/>
      <c r="RRH39" s="1027"/>
      <c r="RRI39" s="24"/>
      <c r="RRJ39" s="1027"/>
      <c r="RRK39" s="1027"/>
      <c r="RRL39" s="25"/>
      <c r="RRM39" s="987">
        <f>SUM(RRM36:RRM38)</f>
        <v>0</v>
      </c>
      <c r="RRN39" s="987">
        <f t="shared" si="404"/>
        <v>0</v>
      </c>
      <c r="RRO39" s="987">
        <f t="shared" si="404"/>
        <v>0</v>
      </c>
      <c r="RRP39" s="987"/>
      <c r="RRQ39" s="987"/>
      <c r="RRR39" s="987"/>
      <c r="RRS39" s="987"/>
      <c r="RRT39" s="987">
        <f t="shared" si="405"/>
        <v>0</v>
      </c>
      <c r="RRU39" s="1026" t="s">
        <v>45</v>
      </c>
      <c r="RRV39" s="434"/>
      <c r="RRW39" s="1027"/>
      <c r="RRX39" s="1027"/>
      <c r="RRY39" s="24"/>
      <c r="RRZ39" s="1027"/>
      <c r="RSA39" s="1027"/>
      <c r="RSB39" s="25"/>
      <c r="RSC39" s="987">
        <f>SUM(RSC36:RSC38)</f>
        <v>0</v>
      </c>
      <c r="RSD39" s="987">
        <f t="shared" si="404"/>
        <v>0</v>
      </c>
      <c r="RSE39" s="987">
        <f t="shared" si="404"/>
        <v>0</v>
      </c>
      <c r="RSF39" s="987"/>
      <c r="RSG39" s="987"/>
      <c r="RSH39" s="987"/>
      <c r="RSI39" s="987"/>
      <c r="RSJ39" s="987">
        <f t="shared" si="405"/>
        <v>0</v>
      </c>
      <c r="RSK39" s="1026" t="s">
        <v>45</v>
      </c>
      <c r="RSL39" s="434"/>
      <c r="RSM39" s="1027"/>
      <c r="RSN39" s="1027"/>
      <c r="RSO39" s="24"/>
      <c r="RSP39" s="1027"/>
      <c r="RSQ39" s="1027"/>
      <c r="RSR39" s="25"/>
      <c r="RSS39" s="987">
        <f>SUM(RSS36:RSS38)</f>
        <v>0</v>
      </c>
      <c r="RST39" s="987">
        <f t="shared" ref="RST39:RUQ39" si="406">SUM(RST36:RST38)</f>
        <v>0</v>
      </c>
      <c r="RSU39" s="987">
        <f t="shared" si="406"/>
        <v>0</v>
      </c>
      <c r="RSV39" s="987"/>
      <c r="RSW39" s="987"/>
      <c r="RSX39" s="987"/>
      <c r="RSY39" s="987"/>
      <c r="RSZ39" s="987">
        <f t="shared" ref="RSZ39:RUV39" si="407">SUM(RSZ36:RSZ38)</f>
        <v>0</v>
      </c>
      <c r="RTA39" s="1026" t="s">
        <v>45</v>
      </c>
      <c r="RTB39" s="434"/>
      <c r="RTC39" s="1027"/>
      <c r="RTD39" s="1027"/>
      <c r="RTE39" s="24"/>
      <c r="RTF39" s="1027"/>
      <c r="RTG39" s="1027"/>
      <c r="RTH39" s="25"/>
      <c r="RTI39" s="987">
        <f>SUM(RTI36:RTI38)</f>
        <v>0</v>
      </c>
      <c r="RTJ39" s="987">
        <f t="shared" si="406"/>
        <v>0</v>
      </c>
      <c r="RTK39" s="987">
        <f t="shared" si="406"/>
        <v>0</v>
      </c>
      <c r="RTL39" s="987"/>
      <c r="RTM39" s="987"/>
      <c r="RTN39" s="987"/>
      <c r="RTO39" s="987"/>
      <c r="RTP39" s="987">
        <f t="shared" si="407"/>
        <v>0</v>
      </c>
      <c r="RTQ39" s="1026" t="s">
        <v>45</v>
      </c>
      <c r="RTR39" s="434"/>
      <c r="RTS39" s="1027"/>
      <c r="RTT39" s="1027"/>
      <c r="RTU39" s="24"/>
      <c r="RTV39" s="1027"/>
      <c r="RTW39" s="1027"/>
      <c r="RTX39" s="25"/>
      <c r="RTY39" s="987">
        <f>SUM(RTY36:RTY38)</f>
        <v>0</v>
      </c>
      <c r="RTZ39" s="987">
        <f t="shared" si="406"/>
        <v>0</v>
      </c>
      <c r="RUA39" s="987">
        <f t="shared" si="406"/>
        <v>0</v>
      </c>
      <c r="RUB39" s="987"/>
      <c r="RUC39" s="987"/>
      <c r="RUD39" s="987"/>
      <c r="RUE39" s="987"/>
      <c r="RUF39" s="987">
        <f t="shared" si="407"/>
        <v>0</v>
      </c>
      <c r="RUG39" s="1026" t="s">
        <v>45</v>
      </c>
      <c r="RUH39" s="434"/>
      <c r="RUI39" s="1027"/>
      <c r="RUJ39" s="1027"/>
      <c r="RUK39" s="24"/>
      <c r="RUL39" s="1027"/>
      <c r="RUM39" s="1027"/>
      <c r="RUN39" s="25"/>
      <c r="RUO39" s="987">
        <f>SUM(RUO36:RUO38)</f>
        <v>0</v>
      </c>
      <c r="RUP39" s="987">
        <f t="shared" si="406"/>
        <v>0</v>
      </c>
      <c r="RUQ39" s="987">
        <f t="shared" si="406"/>
        <v>0</v>
      </c>
      <c r="RUR39" s="987"/>
      <c r="RUS39" s="987"/>
      <c r="RUT39" s="987"/>
      <c r="RUU39" s="987"/>
      <c r="RUV39" s="987">
        <f t="shared" si="407"/>
        <v>0</v>
      </c>
      <c r="RUW39" s="1026" t="s">
        <v>45</v>
      </c>
      <c r="RUX39" s="434"/>
      <c r="RUY39" s="1027"/>
      <c r="RUZ39" s="1027"/>
      <c r="RVA39" s="24"/>
      <c r="RVB39" s="1027"/>
      <c r="RVC39" s="1027"/>
      <c r="RVD39" s="25"/>
      <c r="RVE39" s="987">
        <f>SUM(RVE36:RVE38)</f>
        <v>0</v>
      </c>
      <c r="RVF39" s="987">
        <f t="shared" ref="RVF39:RXC39" si="408">SUM(RVF36:RVF38)</f>
        <v>0</v>
      </c>
      <c r="RVG39" s="987">
        <f t="shared" si="408"/>
        <v>0</v>
      </c>
      <c r="RVH39" s="987"/>
      <c r="RVI39" s="987"/>
      <c r="RVJ39" s="987"/>
      <c r="RVK39" s="987"/>
      <c r="RVL39" s="987">
        <f t="shared" ref="RVL39:RXH39" si="409">SUM(RVL36:RVL38)</f>
        <v>0</v>
      </c>
      <c r="RVM39" s="1026" t="s">
        <v>45</v>
      </c>
      <c r="RVN39" s="434"/>
      <c r="RVO39" s="1027"/>
      <c r="RVP39" s="1027"/>
      <c r="RVQ39" s="24"/>
      <c r="RVR39" s="1027"/>
      <c r="RVS39" s="1027"/>
      <c r="RVT39" s="25"/>
      <c r="RVU39" s="987">
        <f>SUM(RVU36:RVU38)</f>
        <v>0</v>
      </c>
      <c r="RVV39" s="987">
        <f t="shared" si="408"/>
        <v>0</v>
      </c>
      <c r="RVW39" s="987">
        <f t="shared" si="408"/>
        <v>0</v>
      </c>
      <c r="RVX39" s="987"/>
      <c r="RVY39" s="987"/>
      <c r="RVZ39" s="987"/>
      <c r="RWA39" s="987"/>
      <c r="RWB39" s="987">
        <f t="shared" si="409"/>
        <v>0</v>
      </c>
      <c r="RWC39" s="1026" t="s">
        <v>45</v>
      </c>
      <c r="RWD39" s="434"/>
      <c r="RWE39" s="1027"/>
      <c r="RWF39" s="1027"/>
      <c r="RWG39" s="24"/>
      <c r="RWH39" s="1027"/>
      <c r="RWI39" s="1027"/>
      <c r="RWJ39" s="25"/>
      <c r="RWK39" s="987">
        <f>SUM(RWK36:RWK38)</f>
        <v>0</v>
      </c>
      <c r="RWL39" s="987">
        <f t="shared" si="408"/>
        <v>0</v>
      </c>
      <c r="RWM39" s="987">
        <f t="shared" si="408"/>
        <v>0</v>
      </c>
      <c r="RWN39" s="987"/>
      <c r="RWO39" s="987"/>
      <c r="RWP39" s="987"/>
      <c r="RWQ39" s="987"/>
      <c r="RWR39" s="987">
        <f t="shared" si="409"/>
        <v>0</v>
      </c>
      <c r="RWS39" s="1026" t="s">
        <v>45</v>
      </c>
      <c r="RWT39" s="434"/>
      <c r="RWU39" s="1027"/>
      <c r="RWV39" s="1027"/>
      <c r="RWW39" s="24"/>
      <c r="RWX39" s="1027"/>
      <c r="RWY39" s="1027"/>
      <c r="RWZ39" s="25"/>
      <c r="RXA39" s="987">
        <f>SUM(RXA36:RXA38)</f>
        <v>0</v>
      </c>
      <c r="RXB39" s="987">
        <f t="shared" si="408"/>
        <v>0</v>
      </c>
      <c r="RXC39" s="987">
        <f t="shared" si="408"/>
        <v>0</v>
      </c>
      <c r="RXD39" s="987"/>
      <c r="RXE39" s="987"/>
      <c r="RXF39" s="987"/>
      <c r="RXG39" s="987"/>
      <c r="RXH39" s="987">
        <f t="shared" si="409"/>
        <v>0</v>
      </c>
      <c r="RXI39" s="1026" t="s">
        <v>45</v>
      </c>
      <c r="RXJ39" s="434"/>
      <c r="RXK39" s="1027"/>
      <c r="RXL39" s="1027"/>
      <c r="RXM39" s="24"/>
      <c r="RXN39" s="1027"/>
      <c r="RXO39" s="1027"/>
      <c r="RXP39" s="25"/>
      <c r="RXQ39" s="987">
        <f>SUM(RXQ36:RXQ38)</f>
        <v>0</v>
      </c>
      <c r="RXR39" s="987">
        <f t="shared" ref="RXR39:RZO39" si="410">SUM(RXR36:RXR38)</f>
        <v>0</v>
      </c>
      <c r="RXS39" s="987">
        <f t="shared" si="410"/>
        <v>0</v>
      </c>
      <c r="RXT39" s="987"/>
      <c r="RXU39" s="987"/>
      <c r="RXV39" s="987"/>
      <c r="RXW39" s="987"/>
      <c r="RXX39" s="987">
        <f t="shared" ref="RXX39:RZT39" si="411">SUM(RXX36:RXX38)</f>
        <v>0</v>
      </c>
      <c r="RXY39" s="1026" t="s">
        <v>45</v>
      </c>
      <c r="RXZ39" s="434"/>
      <c r="RYA39" s="1027"/>
      <c r="RYB39" s="1027"/>
      <c r="RYC39" s="24"/>
      <c r="RYD39" s="1027"/>
      <c r="RYE39" s="1027"/>
      <c r="RYF39" s="25"/>
      <c r="RYG39" s="987">
        <f>SUM(RYG36:RYG38)</f>
        <v>0</v>
      </c>
      <c r="RYH39" s="987">
        <f t="shared" si="410"/>
        <v>0</v>
      </c>
      <c r="RYI39" s="987">
        <f t="shared" si="410"/>
        <v>0</v>
      </c>
      <c r="RYJ39" s="987"/>
      <c r="RYK39" s="987"/>
      <c r="RYL39" s="987"/>
      <c r="RYM39" s="987"/>
      <c r="RYN39" s="987">
        <f t="shared" si="411"/>
        <v>0</v>
      </c>
      <c r="RYO39" s="1026" t="s">
        <v>45</v>
      </c>
      <c r="RYP39" s="434"/>
      <c r="RYQ39" s="1027"/>
      <c r="RYR39" s="1027"/>
      <c r="RYS39" s="24"/>
      <c r="RYT39" s="1027"/>
      <c r="RYU39" s="1027"/>
      <c r="RYV39" s="25"/>
      <c r="RYW39" s="987">
        <f>SUM(RYW36:RYW38)</f>
        <v>0</v>
      </c>
      <c r="RYX39" s="987">
        <f t="shared" si="410"/>
        <v>0</v>
      </c>
      <c r="RYY39" s="987">
        <f t="shared" si="410"/>
        <v>0</v>
      </c>
      <c r="RYZ39" s="987"/>
      <c r="RZA39" s="987"/>
      <c r="RZB39" s="987"/>
      <c r="RZC39" s="987"/>
      <c r="RZD39" s="987">
        <f t="shared" si="411"/>
        <v>0</v>
      </c>
      <c r="RZE39" s="1026" t="s">
        <v>45</v>
      </c>
      <c r="RZF39" s="434"/>
      <c r="RZG39" s="1027"/>
      <c r="RZH39" s="1027"/>
      <c r="RZI39" s="24"/>
      <c r="RZJ39" s="1027"/>
      <c r="RZK39" s="1027"/>
      <c r="RZL39" s="25"/>
      <c r="RZM39" s="987">
        <f>SUM(RZM36:RZM38)</f>
        <v>0</v>
      </c>
      <c r="RZN39" s="987">
        <f t="shared" si="410"/>
        <v>0</v>
      </c>
      <c r="RZO39" s="987">
        <f t="shared" si="410"/>
        <v>0</v>
      </c>
      <c r="RZP39" s="987"/>
      <c r="RZQ39" s="987"/>
      <c r="RZR39" s="987"/>
      <c r="RZS39" s="987"/>
      <c r="RZT39" s="987">
        <f t="shared" si="411"/>
        <v>0</v>
      </c>
      <c r="RZU39" s="1026" t="s">
        <v>45</v>
      </c>
      <c r="RZV39" s="434"/>
      <c r="RZW39" s="1027"/>
      <c r="RZX39" s="1027"/>
      <c r="RZY39" s="24"/>
      <c r="RZZ39" s="1027"/>
      <c r="SAA39" s="1027"/>
      <c r="SAB39" s="25"/>
      <c r="SAC39" s="987">
        <f>SUM(SAC36:SAC38)</f>
        <v>0</v>
      </c>
      <c r="SAD39" s="987">
        <f t="shared" ref="SAD39:SCA39" si="412">SUM(SAD36:SAD38)</f>
        <v>0</v>
      </c>
      <c r="SAE39" s="987">
        <f t="shared" si="412"/>
        <v>0</v>
      </c>
      <c r="SAF39" s="987"/>
      <c r="SAG39" s="987"/>
      <c r="SAH39" s="987"/>
      <c r="SAI39" s="987"/>
      <c r="SAJ39" s="987">
        <f t="shared" ref="SAJ39:SCF39" si="413">SUM(SAJ36:SAJ38)</f>
        <v>0</v>
      </c>
      <c r="SAK39" s="1026" t="s">
        <v>45</v>
      </c>
      <c r="SAL39" s="434"/>
      <c r="SAM39" s="1027"/>
      <c r="SAN39" s="1027"/>
      <c r="SAO39" s="24"/>
      <c r="SAP39" s="1027"/>
      <c r="SAQ39" s="1027"/>
      <c r="SAR39" s="25"/>
      <c r="SAS39" s="987">
        <f>SUM(SAS36:SAS38)</f>
        <v>0</v>
      </c>
      <c r="SAT39" s="987">
        <f t="shared" si="412"/>
        <v>0</v>
      </c>
      <c r="SAU39" s="987">
        <f t="shared" si="412"/>
        <v>0</v>
      </c>
      <c r="SAV39" s="987"/>
      <c r="SAW39" s="987"/>
      <c r="SAX39" s="987"/>
      <c r="SAY39" s="987"/>
      <c r="SAZ39" s="987">
        <f t="shared" si="413"/>
        <v>0</v>
      </c>
      <c r="SBA39" s="1026" t="s">
        <v>45</v>
      </c>
      <c r="SBB39" s="434"/>
      <c r="SBC39" s="1027"/>
      <c r="SBD39" s="1027"/>
      <c r="SBE39" s="24"/>
      <c r="SBF39" s="1027"/>
      <c r="SBG39" s="1027"/>
      <c r="SBH39" s="25"/>
      <c r="SBI39" s="987">
        <f>SUM(SBI36:SBI38)</f>
        <v>0</v>
      </c>
      <c r="SBJ39" s="987">
        <f t="shared" si="412"/>
        <v>0</v>
      </c>
      <c r="SBK39" s="987">
        <f t="shared" si="412"/>
        <v>0</v>
      </c>
      <c r="SBL39" s="987"/>
      <c r="SBM39" s="987"/>
      <c r="SBN39" s="987"/>
      <c r="SBO39" s="987"/>
      <c r="SBP39" s="987">
        <f t="shared" si="413"/>
        <v>0</v>
      </c>
      <c r="SBQ39" s="1026" t="s">
        <v>45</v>
      </c>
      <c r="SBR39" s="434"/>
      <c r="SBS39" s="1027"/>
      <c r="SBT39" s="1027"/>
      <c r="SBU39" s="24"/>
      <c r="SBV39" s="1027"/>
      <c r="SBW39" s="1027"/>
      <c r="SBX39" s="25"/>
      <c r="SBY39" s="987">
        <f>SUM(SBY36:SBY38)</f>
        <v>0</v>
      </c>
      <c r="SBZ39" s="987">
        <f t="shared" si="412"/>
        <v>0</v>
      </c>
      <c r="SCA39" s="987">
        <f t="shared" si="412"/>
        <v>0</v>
      </c>
      <c r="SCB39" s="987"/>
      <c r="SCC39" s="987"/>
      <c r="SCD39" s="987"/>
      <c r="SCE39" s="987"/>
      <c r="SCF39" s="987">
        <f t="shared" si="413"/>
        <v>0</v>
      </c>
      <c r="SCG39" s="1026" t="s">
        <v>45</v>
      </c>
      <c r="SCH39" s="434"/>
      <c r="SCI39" s="1027"/>
      <c r="SCJ39" s="1027"/>
      <c r="SCK39" s="24"/>
      <c r="SCL39" s="1027"/>
      <c r="SCM39" s="1027"/>
      <c r="SCN39" s="25"/>
      <c r="SCO39" s="987">
        <f>SUM(SCO36:SCO38)</f>
        <v>0</v>
      </c>
      <c r="SCP39" s="987">
        <f t="shared" ref="SCP39:SEM39" si="414">SUM(SCP36:SCP38)</f>
        <v>0</v>
      </c>
      <c r="SCQ39" s="987">
        <f t="shared" si="414"/>
        <v>0</v>
      </c>
      <c r="SCR39" s="987"/>
      <c r="SCS39" s="987"/>
      <c r="SCT39" s="987"/>
      <c r="SCU39" s="987"/>
      <c r="SCV39" s="987">
        <f t="shared" ref="SCV39:SER39" si="415">SUM(SCV36:SCV38)</f>
        <v>0</v>
      </c>
      <c r="SCW39" s="1026" t="s">
        <v>45</v>
      </c>
      <c r="SCX39" s="434"/>
      <c r="SCY39" s="1027"/>
      <c r="SCZ39" s="1027"/>
      <c r="SDA39" s="24"/>
      <c r="SDB39" s="1027"/>
      <c r="SDC39" s="1027"/>
      <c r="SDD39" s="25"/>
      <c r="SDE39" s="987">
        <f>SUM(SDE36:SDE38)</f>
        <v>0</v>
      </c>
      <c r="SDF39" s="987">
        <f t="shared" si="414"/>
        <v>0</v>
      </c>
      <c r="SDG39" s="987">
        <f t="shared" si="414"/>
        <v>0</v>
      </c>
      <c r="SDH39" s="987"/>
      <c r="SDI39" s="987"/>
      <c r="SDJ39" s="987"/>
      <c r="SDK39" s="987"/>
      <c r="SDL39" s="987">
        <f t="shared" si="415"/>
        <v>0</v>
      </c>
      <c r="SDM39" s="1026" t="s">
        <v>45</v>
      </c>
      <c r="SDN39" s="434"/>
      <c r="SDO39" s="1027"/>
      <c r="SDP39" s="1027"/>
      <c r="SDQ39" s="24"/>
      <c r="SDR39" s="1027"/>
      <c r="SDS39" s="1027"/>
      <c r="SDT39" s="25"/>
      <c r="SDU39" s="987">
        <f>SUM(SDU36:SDU38)</f>
        <v>0</v>
      </c>
      <c r="SDV39" s="987">
        <f t="shared" si="414"/>
        <v>0</v>
      </c>
      <c r="SDW39" s="987">
        <f t="shared" si="414"/>
        <v>0</v>
      </c>
      <c r="SDX39" s="987"/>
      <c r="SDY39" s="987"/>
      <c r="SDZ39" s="987"/>
      <c r="SEA39" s="987"/>
      <c r="SEB39" s="987">
        <f t="shared" si="415"/>
        <v>0</v>
      </c>
      <c r="SEC39" s="1026" t="s">
        <v>45</v>
      </c>
      <c r="SED39" s="434"/>
      <c r="SEE39" s="1027"/>
      <c r="SEF39" s="1027"/>
      <c r="SEG39" s="24"/>
      <c r="SEH39" s="1027"/>
      <c r="SEI39" s="1027"/>
      <c r="SEJ39" s="25"/>
      <c r="SEK39" s="987">
        <f>SUM(SEK36:SEK38)</f>
        <v>0</v>
      </c>
      <c r="SEL39" s="987">
        <f t="shared" si="414"/>
        <v>0</v>
      </c>
      <c r="SEM39" s="987">
        <f t="shared" si="414"/>
        <v>0</v>
      </c>
      <c r="SEN39" s="987"/>
      <c r="SEO39" s="987"/>
      <c r="SEP39" s="987"/>
      <c r="SEQ39" s="987"/>
      <c r="SER39" s="987">
        <f t="shared" si="415"/>
        <v>0</v>
      </c>
      <c r="SES39" s="1026" t="s">
        <v>45</v>
      </c>
      <c r="SET39" s="434"/>
      <c r="SEU39" s="1027"/>
      <c r="SEV39" s="1027"/>
      <c r="SEW39" s="24"/>
      <c r="SEX39" s="1027"/>
      <c r="SEY39" s="1027"/>
      <c r="SEZ39" s="25"/>
      <c r="SFA39" s="987">
        <f>SUM(SFA36:SFA38)</f>
        <v>0</v>
      </c>
      <c r="SFB39" s="987">
        <f t="shared" ref="SFB39:SGY39" si="416">SUM(SFB36:SFB38)</f>
        <v>0</v>
      </c>
      <c r="SFC39" s="987">
        <f t="shared" si="416"/>
        <v>0</v>
      </c>
      <c r="SFD39" s="987"/>
      <c r="SFE39" s="987"/>
      <c r="SFF39" s="987"/>
      <c r="SFG39" s="987"/>
      <c r="SFH39" s="987">
        <f t="shared" ref="SFH39:SHD39" si="417">SUM(SFH36:SFH38)</f>
        <v>0</v>
      </c>
      <c r="SFI39" s="1026" t="s">
        <v>45</v>
      </c>
      <c r="SFJ39" s="434"/>
      <c r="SFK39" s="1027"/>
      <c r="SFL39" s="1027"/>
      <c r="SFM39" s="24"/>
      <c r="SFN39" s="1027"/>
      <c r="SFO39" s="1027"/>
      <c r="SFP39" s="25"/>
      <c r="SFQ39" s="987">
        <f>SUM(SFQ36:SFQ38)</f>
        <v>0</v>
      </c>
      <c r="SFR39" s="987">
        <f t="shared" si="416"/>
        <v>0</v>
      </c>
      <c r="SFS39" s="987">
        <f t="shared" si="416"/>
        <v>0</v>
      </c>
      <c r="SFT39" s="987"/>
      <c r="SFU39" s="987"/>
      <c r="SFV39" s="987"/>
      <c r="SFW39" s="987"/>
      <c r="SFX39" s="987">
        <f t="shared" si="417"/>
        <v>0</v>
      </c>
      <c r="SFY39" s="1026" t="s">
        <v>45</v>
      </c>
      <c r="SFZ39" s="434"/>
      <c r="SGA39" s="1027"/>
      <c r="SGB39" s="1027"/>
      <c r="SGC39" s="24"/>
      <c r="SGD39" s="1027"/>
      <c r="SGE39" s="1027"/>
      <c r="SGF39" s="25"/>
      <c r="SGG39" s="987">
        <f>SUM(SGG36:SGG38)</f>
        <v>0</v>
      </c>
      <c r="SGH39" s="987">
        <f t="shared" si="416"/>
        <v>0</v>
      </c>
      <c r="SGI39" s="987">
        <f t="shared" si="416"/>
        <v>0</v>
      </c>
      <c r="SGJ39" s="987"/>
      <c r="SGK39" s="987"/>
      <c r="SGL39" s="987"/>
      <c r="SGM39" s="987"/>
      <c r="SGN39" s="987">
        <f t="shared" si="417"/>
        <v>0</v>
      </c>
      <c r="SGO39" s="1026" t="s">
        <v>45</v>
      </c>
      <c r="SGP39" s="434"/>
      <c r="SGQ39" s="1027"/>
      <c r="SGR39" s="1027"/>
      <c r="SGS39" s="24"/>
      <c r="SGT39" s="1027"/>
      <c r="SGU39" s="1027"/>
      <c r="SGV39" s="25"/>
      <c r="SGW39" s="987">
        <f>SUM(SGW36:SGW38)</f>
        <v>0</v>
      </c>
      <c r="SGX39" s="987">
        <f t="shared" si="416"/>
        <v>0</v>
      </c>
      <c r="SGY39" s="987">
        <f t="shared" si="416"/>
        <v>0</v>
      </c>
      <c r="SGZ39" s="987"/>
      <c r="SHA39" s="987"/>
      <c r="SHB39" s="987"/>
      <c r="SHC39" s="987"/>
      <c r="SHD39" s="987">
        <f t="shared" si="417"/>
        <v>0</v>
      </c>
      <c r="SHE39" s="1026" t="s">
        <v>45</v>
      </c>
      <c r="SHF39" s="434"/>
      <c r="SHG39" s="1027"/>
      <c r="SHH39" s="1027"/>
      <c r="SHI39" s="24"/>
      <c r="SHJ39" s="1027"/>
      <c r="SHK39" s="1027"/>
      <c r="SHL39" s="25"/>
      <c r="SHM39" s="987">
        <f>SUM(SHM36:SHM38)</f>
        <v>0</v>
      </c>
      <c r="SHN39" s="987">
        <f t="shared" ref="SHN39:SJK39" si="418">SUM(SHN36:SHN38)</f>
        <v>0</v>
      </c>
      <c r="SHO39" s="987">
        <f t="shared" si="418"/>
        <v>0</v>
      </c>
      <c r="SHP39" s="987"/>
      <c r="SHQ39" s="987"/>
      <c r="SHR39" s="987"/>
      <c r="SHS39" s="987"/>
      <c r="SHT39" s="987">
        <f t="shared" ref="SHT39:SJP39" si="419">SUM(SHT36:SHT38)</f>
        <v>0</v>
      </c>
      <c r="SHU39" s="1026" t="s">
        <v>45</v>
      </c>
      <c r="SHV39" s="434"/>
      <c r="SHW39" s="1027"/>
      <c r="SHX39" s="1027"/>
      <c r="SHY39" s="24"/>
      <c r="SHZ39" s="1027"/>
      <c r="SIA39" s="1027"/>
      <c r="SIB39" s="25"/>
      <c r="SIC39" s="987">
        <f>SUM(SIC36:SIC38)</f>
        <v>0</v>
      </c>
      <c r="SID39" s="987">
        <f t="shared" si="418"/>
        <v>0</v>
      </c>
      <c r="SIE39" s="987">
        <f t="shared" si="418"/>
        <v>0</v>
      </c>
      <c r="SIF39" s="987"/>
      <c r="SIG39" s="987"/>
      <c r="SIH39" s="987"/>
      <c r="SII39" s="987"/>
      <c r="SIJ39" s="987">
        <f t="shared" si="419"/>
        <v>0</v>
      </c>
      <c r="SIK39" s="1026" t="s">
        <v>45</v>
      </c>
      <c r="SIL39" s="434"/>
      <c r="SIM39" s="1027"/>
      <c r="SIN39" s="1027"/>
      <c r="SIO39" s="24"/>
      <c r="SIP39" s="1027"/>
      <c r="SIQ39" s="1027"/>
      <c r="SIR39" s="25"/>
      <c r="SIS39" s="987">
        <f>SUM(SIS36:SIS38)</f>
        <v>0</v>
      </c>
      <c r="SIT39" s="987">
        <f t="shared" si="418"/>
        <v>0</v>
      </c>
      <c r="SIU39" s="987">
        <f t="shared" si="418"/>
        <v>0</v>
      </c>
      <c r="SIV39" s="987"/>
      <c r="SIW39" s="987"/>
      <c r="SIX39" s="987"/>
      <c r="SIY39" s="987"/>
      <c r="SIZ39" s="987">
        <f t="shared" si="419"/>
        <v>0</v>
      </c>
      <c r="SJA39" s="1026" t="s">
        <v>45</v>
      </c>
      <c r="SJB39" s="434"/>
      <c r="SJC39" s="1027"/>
      <c r="SJD39" s="1027"/>
      <c r="SJE39" s="24"/>
      <c r="SJF39" s="1027"/>
      <c r="SJG39" s="1027"/>
      <c r="SJH39" s="25"/>
      <c r="SJI39" s="987">
        <f>SUM(SJI36:SJI38)</f>
        <v>0</v>
      </c>
      <c r="SJJ39" s="987">
        <f t="shared" si="418"/>
        <v>0</v>
      </c>
      <c r="SJK39" s="987">
        <f t="shared" si="418"/>
        <v>0</v>
      </c>
      <c r="SJL39" s="987"/>
      <c r="SJM39" s="987"/>
      <c r="SJN39" s="987"/>
      <c r="SJO39" s="987"/>
      <c r="SJP39" s="987">
        <f t="shared" si="419"/>
        <v>0</v>
      </c>
      <c r="SJQ39" s="1026" t="s">
        <v>45</v>
      </c>
      <c r="SJR39" s="434"/>
      <c r="SJS39" s="1027"/>
      <c r="SJT39" s="1027"/>
      <c r="SJU39" s="24"/>
      <c r="SJV39" s="1027"/>
      <c r="SJW39" s="1027"/>
      <c r="SJX39" s="25"/>
      <c r="SJY39" s="987">
        <f>SUM(SJY36:SJY38)</f>
        <v>0</v>
      </c>
      <c r="SJZ39" s="987">
        <f t="shared" ref="SJZ39:SLW39" si="420">SUM(SJZ36:SJZ38)</f>
        <v>0</v>
      </c>
      <c r="SKA39" s="987">
        <f t="shared" si="420"/>
        <v>0</v>
      </c>
      <c r="SKB39" s="987"/>
      <c r="SKC39" s="987"/>
      <c r="SKD39" s="987"/>
      <c r="SKE39" s="987"/>
      <c r="SKF39" s="987">
        <f t="shared" ref="SKF39:SMB39" si="421">SUM(SKF36:SKF38)</f>
        <v>0</v>
      </c>
      <c r="SKG39" s="1026" t="s">
        <v>45</v>
      </c>
      <c r="SKH39" s="434"/>
      <c r="SKI39" s="1027"/>
      <c r="SKJ39" s="1027"/>
      <c r="SKK39" s="24"/>
      <c r="SKL39" s="1027"/>
      <c r="SKM39" s="1027"/>
      <c r="SKN39" s="25"/>
      <c r="SKO39" s="987">
        <f>SUM(SKO36:SKO38)</f>
        <v>0</v>
      </c>
      <c r="SKP39" s="987">
        <f t="shared" si="420"/>
        <v>0</v>
      </c>
      <c r="SKQ39" s="987">
        <f t="shared" si="420"/>
        <v>0</v>
      </c>
      <c r="SKR39" s="987"/>
      <c r="SKS39" s="987"/>
      <c r="SKT39" s="987"/>
      <c r="SKU39" s="987"/>
      <c r="SKV39" s="987">
        <f t="shared" si="421"/>
        <v>0</v>
      </c>
      <c r="SKW39" s="1026" t="s">
        <v>45</v>
      </c>
      <c r="SKX39" s="434"/>
      <c r="SKY39" s="1027"/>
      <c r="SKZ39" s="1027"/>
      <c r="SLA39" s="24"/>
      <c r="SLB39" s="1027"/>
      <c r="SLC39" s="1027"/>
      <c r="SLD39" s="25"/>
      <c r="SLE39" s="987">
        <f>SUM(SLE36:SLE38)</f>
        <v>0</v>
      </c>
      <c r="SLF39" s="987">
        <f t="shared" si="420"/>
        <v>0</v>
      </c>
      <c r="SLG39" s="987">
        <f t="shared" si="420"/>
        <v>0</v>
      </c>
      <c r="SLH39" s="987"/>
      <c r="SLI39" s="987"/>
      <c r="SLJ39" s="987"/>
      <c r="SLK39" s="987"/>
      <c r="SLL39" s="987">
        <f t="shared" si="421"/>
        <v>0</v>
      </c>
      <c r="SLM39" s="1026" t="s">
        <v>45</v>
      </c>
      <c r="SLN39" s="434"/>
      <c r="SLO39" s="1027"/>
      <c r="SLP39" s="1027"/>
      <c r="SLQ39" s="24"/>
      <c r="SLR39" s="1027"/>
      <c r="SLS39" s="1027"/>
      <c r="SLT39" s="25"/>
      <c r="SLU39" s="987">
        <f>SUM(SLU36:SLU38)</f>
        <v>0</v>
      </c>
      <c r="SLV39" s="987">
        <f t="shared" si="420"/>
        <v>0</v>
      </c>
      <c r="SLW39" s="987">
        <f t="shared" si="420"/>
        <v>0</v>
      </c>
      <c r="SLX39" s="987"/>
      <c r="SLY39" s="987"/>
      <c r="SLZ39" s="987"/>
      <c r="SMA39" s="987"/>
      <c r="SMB39" s="987">
        <f t="shared" si="421"/>
        <v>0</v>
      </c>
      <c r="SMC39" s="1026" t="s">
        <v>45</v>
      </c>
      <c r="SMD39" s="434"/>
      <c r="SME39" s="1027"/>
      <c r="SMF39" s="1027"/>
      <c r="SMG39" s="24"/>
      <c r="SMH39" s="1027"/>
      <c r="SMI39" s="1027"/>
      <c r="SMJ39" s="25"/>
      <c r="SMK39" s="987">
        <f>SUM(SMK36:SMK38)</f>
        <v>0</v>
      </c>
      <c r="SML39" s="987">
        <f t="shared" ref="SML39:SOI39" si="422">SUM(SML36:SML38)</f>
        <v>0</v>
      </c>
      <c r="SMM39" s="987">
        <f t="shared" si="422"/>
        <v>0</v>
      </c>
      <c r="SMN39" s="987"/>
      <c r="SMO39" s="987"/>
      <c r="SMP39" s="987"/>
      <c r="SMQ39" s="987"/>
      <c r="SMR39" s="987">
        <f t="shared" ref="SMR39:SON39" si="423">SUM(SMR36:SMR38)</f>
        <v>0</v>
      </c>
      <c r="SMS39" s="1026" t="s">
        <v>45</v>
      </c>
      <c r="SMT39" s="434"/>
      <c r="SMU39" s="1027"/>
      <c r="SMV39" s="1027"/>
      <c r="SMW39" s="24"/>
      <c r="SMX39" s="1027"/>
      <c r="SMY39" s="1027"/>
      <c r="SMZ39" s="25"/>
      <c r="SNA39" s="987">
        <f>SUM(SNA36:SNA38)</f>
        <v>0</v>
      </c>
      <c r="SNB39" s="987">
        <f t="shared" si="422"/>
        <v>0</v>
      </c>
      <c r="SNC39" s="987">
        <f t="shared" si="422"/>
        <v>0</v>
      </c>
      <c r="SND39" s="987"/>
      <c r="SNE39" s="987"/>
      <c r="SNF39" s="987"/>
      <c r="SNG39" s="987"/>
      <c r="SNH39" s="987">
        <f t="shared" si="423"/>
        <v>0</v>
      </c>
      <c r="SNI39" s="1026" t="s">
        <v>45</v>
      </c>
      <c r="SNJ39" s="434"/>
      <c r="SNK39" s="1027"/>
      <c r="SNL39" s="1027"/>
      <c r="SNM39" s="24"/>
      <c r="SNN39" s="1027"/>
      <c r="SNO39" s="1027"/>
      <c r="SNP39" s="25"/>
      <c r="SNQ39" s="987">
        <f>SUM(SNQ36:SNQ38)</f>
        <v>0</v>
      </c>
      <c r="SNR39" s="987">
        <f t="shared" si="422"/>
        <v>0</v>
      </c>
      <c r="SNS39" s="987">
        <f t="shared" si="422"/>
        <v>0</v>
      </c>
      <c r="SNT39" s="987"/>
      <c r="SNU39" s="987"/>
      <c r="SNV39" s="987"/>
      <c r="SNW39" s="987"/>
      <c r="SNX39" s="987">
        <f t="shared" si="423"/>
        <v>0</v>
      </c>
      <c r="SNY39" s="1026" t="s">
        <v>45</v>
      </c>
      <c r="SNZ39" s="434"/>
      <c r="SOA39" s="1027"/>
      <c r="SOB39" s="1027"/>
      <c r="SOC39" s="24"/>
      <c r="SOD39" s="1027"/>
      <c r="SOE39" s="1027"/>
      <c r="SOF39" s="25"/>
      <c r="SOG39" s="987">
        <f>SUM(SOG36:SOG38)</f>
        <v>0</v>
      </c>
      <c r="SOH39" s="987">
        <f t="shared" si="422"/>
        <v>0</v>
      </c>
      <c r="SOI39" s="987">
        <f t="shared" si="422"/>
        <v>0</v>
      </c>
      <c r="SOJ39" s="987"/>
      <c r="SOK39" s="987"/>
      <c r="SOL39" s="987"/>
      <c r="SOM39" s="987"/>
      <c r="SON39" s="987">
        <f t="shared" si="423"/>
        <v>0</v>
      </c>
      <c r="SOO39" s="1026" t="s">
        <v>45</v>
      </c>
      <c r="SOP39" s="434"/>
      <c r="SOQ39" s="1027"/>
      <c r="SOR39" s="1027"/>
      <c r="SOS39" s="24"/>
      <c r="SOT39" s="1027"/>
      <c r="SOU39" s="1027"/>
      <c r="SOV39" s="25"/>
      <c r="SOW39" s="987">
        <f>SUM(SOW36:SOW38)</f>
        <v>0</v>
      </c>
      <c r="SOX39" s="987">
        <f t="shared" ref="SOX39:SQU39" si="424">SUM(SOX36:SOX38)</f>
        <v>0</v>
      </c>
      <c r="SOY39" s="987">
        <f t="shared" si="424"/>
        <v>0</v>
      </c>
      <c r="SOZ39" s="987"/>
      <c r="SPA39" s="987"/>
      <c r="SPB39" s="987"/>
      <c r="SPC39" s="987"/>
      <c r="SPD39" s="987">
        <f t="shared" ref="SPD39:SQZ39" si="425">SUM(SPD36:SPD38)</f>
        <v>0</v>
      </c>
      <c r="SPE39" s="1026" t="s">
        <v>45</v>
      </c>
      <c r="SPF39" s="434"/>
      <c r="SPG39" s="1027"/>
      <c r="SPH39" s="1027"/>
      <c r="SPI39" s="24"/>
      <c r="SPJ39" s="1027"/>
      <c r="SPK39" s="1027"/>
      <c r="SPL39" s="25"/>
      <c r="SPM39" s="987">
        <f>SUM(SPM36:SPM38)</f>
        <v>0</v>
      </c>
      <c r="SPN39" s="987">
        <f t="shared" si="424"/>
        <v>0</v>
      </c>
      <c r="SPO39" s="987">
        <f t="shared" si="424"/>
        <v>0</v>
      </c>
      <c r="SPP39" s="987"/>
      <c r="SPQ39" s="987"/>
      <c r="SPR39" s="987"/>
      <c r="SPS39" s="987"/>
      <c r="SPT39" s="987">
        <f t="shared" si="425"/>
        <v>0</v>
      </c>
      <c r="SPU39" s="1026" t="s">
        <v>45</v>
      </c>
      <c r="SPV39" s="434"/>
      <c r="SPW39" s="1027"/>
      <c r="SPX39" s="1027"/>
      <c r="SPY39" s="24"/>
      <c r="SPZ39" s="1027"/>
      <c r="SQA39" s="1027"/>
      <c r="SQB39" s="25"/>
      <c r="SQC39" s="987">
        <f>SUM(SQC36:SQC38)</f>
        <v>0</v>
      </c>
      <c r="SQD39" s="987">
        <f t="shared" si="424"/>
        <v>0</v>
      </c>
      <c r="SQE39" s="987">
        <f t="shared" si="424"/>
        <v>0</v>
      </c>
      <c r="SQF39" s="987"/>
      <c r="SQG39" s="987"/>
      <c r="SQH39" s="987"/>
      <c r="SQI39" s="987"/>
      <c r="SQJ39" s="987">
        <f t="shared" si="425"/>
        <v>0</v>
      </c>
      <c r="SQK39" s="1026" t="s">
        <v>45</v>
      </c>
      <c r="SQL39" s="434"/>
      <c r="SQM39" s="1027"/>
      <c r="SQN39" s="1027"/>
      <c r="SQO39" s="24"/>
      <c r="SQP39" s="1027"/>
      <c r="SQQ39" s="1027"/>
      <c r="SQR39" s="25"/>
      <c r="SQS39" s="987">
        <f>SUM(SQS36:SQS38)</f>
        <v>0</v>
      </c>
      <c r="SQT39" s="987">
        <f t="shared" si="424"/>
        <v>0</v>
      </c>
      <c r="SQU39" s="987">
        <f t="shared" si="424"/>
        <v>0</v>
      </c>
      <c r="SQV39" s="987"/>
      <c r="SQW39" s="987"/>
      <c r="SQX39" s="987"/>
      <c r="SQY39" s="987"/>
      <c r="SQZ39" s="987">
        <f t="shared" si="425"/>
        <v>0</v>
      </c>
      <c r="SRA39" s="1026" t="s">
        <v>45</v>
      </c>
      <c r="SRB39" s="434"/>
      <c r="SRC39" s="1027"/>
      <c r="SRD39" s="1027"/>
      <c r="SRE39" s="24"/>
      <c r="SRF39" s="1027"/>
      <c r="SRG39" s="1027"/>
      <c r="SRH39" s="25"/>
      <c r="SRI39" s="987">
        <f>SUM(SRI36:SRI38)</f>
        <v>0</v>
      </c>
      <c r="SRJ39" s="987">
        <f t="shared" ref="SRJ39:STG39" si="426">SUM(SRJ36:SRJ38)</f>
        <v>0</v>
      </c>
      <c r="SRK39" s="987">
        <f t="shared" si="426"/>
        <v>0</v>
      </c>
      <c r="SRL39" s="987"/>
      <c r="SRM39" s="987"/>
      <c r="SRN39" s="987"/>
      <c r="SRO39" s="987"/>
      <c r="SRP39" s="987">
        <f t="shared" ref="SRP39:STL39" si="427">SUM(SRP36:SRP38)</f>
        <v>0</v>
      </c>
      <c r="SRQ39" s="1026" t="s">
        <v>45</v>
      </c>
      <c r="SRR39" s="434"/>
      <c r="SRS39" s="1027"/>
      <c r="SRT39" s="1027"/>
      <c r="SRU39" s="24"/>
      <c r="SRV39" s="1027"/>
      <c r="SRW39" s="1027"/>
      <c r="SRX39" s="25"/>
      <c r="SRY39" s="987">
        <f>SUM(SRY36:SRY38)</f>
        <v>0</v>
      </c>
      <c r="SRZ39" s="987">
        <f t="shared" si="426"/>
        <v>0</v>
      </c>
      <c r="SSA39" s="987">
        <f t="shared" si="426"/>
        <v>0</v>
      </c>
      <c r="SSB39" s="987"/>
      <c r="SSC39" s="987"/>
      <c r="SSD39" s="987"/>
      <c r="SSE39" s="987"/>
      <c r="SSF39" s="987">
        <f t="shared" si="427"/>
        <v>0</v>
      </c>
      <c r="SSG39" s="1026" t="s">
        <v>45</v>
      </c>
      <c r="SSH39" s="434"/>
      <c r="SSI39" s="1027"/>
      <c r="SSJ39" s="1027"/>
      <c r="SSK39" s="24"/>
      <c r="SSL39" s="1027"/>
      <c r="SSM39" s="1027"/>
      <c r="SSN39" s="25"/>
      <c r="SSO39" s="987">
        <f>SUM(SSO36:SSO38)</f>
        <v>0</v>
      </c>
      <c r="SSP39" s="987">
        <f t="shared" si="426"/>
        <v>0</v>
      </c>
      <c r="SSQ39" s="987">
        <f t="shared" si="426"/>
        <v>0</v>
      </c>
      <c r="SSR39" s="987"/>
      <c r="SSS39" s="987"/>
      <c r="SST39" s="987"/>
      <c r="SSU39" s="987"/>
      <c r="SSV39" s="987">
        <f t="shared" si="427"/>
        <v>0</v>
      </c>
      <c r="SSW39" s="1026" t="s">
        <v>45</v>
      </c>
      <c r="SSX39" s="434"/>
      <c r="SSY39" s="1027"/>
      <c r="SSZ39" s="1027"/>
      <c r="STA39" s="24"/>
      <c r="STB39" s="1027"/>
      <c r="STC39" s="1027"/>
      <c r="STD39" s="25"/>
      <c r="STE39" s="987">
        <f>SUM(STE36:STE38)</f>
        <v>0</v>
      </c>
      <c r="STF39" s="987">
        <f t="shared" si="426"/>
        <v>0</v>
      </c>
      <c r="STG39" s="987">
        <f t="shared" si="426"/>
        <v>0</v>
      </c>
      <c r="STH39" s="987"/>
      <c r="STI39" s="987"/>
      <c r="STJ39" s="987"/>
      <c r="STK39" s="987"/>
      <c r="STL39" s="987">
        <f t="shared" si="427"/>
        <v>0</v>
      </c>
      <c r="STM39" s="1026" t="s">
        <v>45</v>
      </c>
      <c r="STN39" s="434"/>
      <c r="STO39" s="1027"/>
      <c r="STP39" s="1027"/>
      <c r="STQ39" s="24"/>
      <c r="STR39" s="1027"/>
      <c r="STS39" s="1027"/>
      <c r="STT39" s="25"/>
      <c r="STU39" s="987">
        <f>SUM(STU36:STU38)</f>
        <v>0</v>
      </c>
      <c r="STV39" s="987">
        <f t="shared" ref="STV39:SVS39" si="428">SUM(STV36:STV38)</f>
        <v>0</v>
      </c>
      <c r="STW39" s="987">
        <f t="shared" si="428"/>
        <v>0</v>
      </c>
      <c r="STX39" s="987"/>
      <c r="STY39" s="987"/>
      <c r="STZ39" s="987"/>
      <c r="SUA39" s="987"/>
      <c r="SUB39" s="987">
        <f t="shared" ref="SUB39:SVX39" si="429">SUM(SUB36:SUB38)</f>
        <v>0</v>
      </c>
      <c r="SUC39" s="1026" t="s">
        <v>45</v>
      </c>
      <c r="SUD39" s="434"/>
      <c r="SUE39" s="1027"/>
      <c r="SUF39" s="1027"/>
      <c r="SUG39" s="24"/>
      <c r="SUH39" s="1027"/>
      <c r="SUI39" s="1027"/>
      <c r="SUJ39" s="25"/>
      <c r="SUK39" s="987">
        <f>SUM(SUK36:SUK38)</f>
        <v>0</v>
      </c>
      <c r="SUL39" s="987">
        <f t="shared" si="428"/>
        <v>0</v>
      </c>
      <c r="SUM39" s="987">
        <f t="shared" si="428"/>
        <v>0</v>
      </c>
      <c r="SUN39" s="987"/>
      <c r="SUO39" s="987"/>
      <c r="SUP39" s="987"/>
      <c r="SUQ39" s="987"/>
      <c r="SUR39" s="987">
        <f t="shared" si="429"/>
        <v>0</v>
      </c>
      <c r="SUS39" s="1026" t="s">
        <v>45</v>
      </c>
      <c r="SUT39" s="434"/>
      <c r="SUU39" s="1027"/>
      <c r="SUV39" s="1027"/>
      <c r="SUW39" s="24"/>
      <c r="SUX39" s="1027"/>
      <c r="SUY39" s="1027"/>
      <c r="SUZ39" s="25"/>
      <c r="SVA39" s="987">
        <f>SUM(SVA36:SVA38)</f>
        <v>0</v>
      </c>
      <c r="SVB39" s="987">
        <f t="shared" si="428"/>
        <v>0</v>
      </c>
      <c r="SVC39" s="987">
        <f t="shared" si="428"/>
        <v>0</v>
      </c>
      <c r="SVD39" s="987"/>
      <c r="SVE39" s="987"/>
      <c r="SVF39" s="987"/>
      <c r="SVG39" s="987"/>
      <c r="SVH39" s="987">
        <f t="shared" si="429"/>
        <v>0</v>
      </c>
      <c r="SVI39" s="1026" t="s">
        <v>45</v>
      </c>
      <c r="SVJ39" s="434"/>
      <c r="SVK39" s="1027"/>
      <c r="SVL39" s="1027"/>
      <c r="SVM39" s="24"/>
      <c r="SVN39" s="1027"/>
      <c r="SVO39" s="1027"/>
      <c r="SVP39" s="25"/>
      <c r="SVQ39" s="987">
        <f>SUM(SVQ36:SVQ38)</f>
        <v>0</v>
      </c>
      <c r="SVR39" s="987">
        <f t="shared" si="428"/>
        <v>0</v>
      </c>
      <c r="SVS39" s="987">
        <f t="shared" si="428"/>
        <v>0</v>
      </c>
      <c r="SVT39" s="987"/>
      <c r="SVU39" s="987"/>
      <c r="SVV39" s="987"/>
      <c r="SVW39" s="987"/>
      <c r="SVX39" s="987">
        <f t="shared" si="429"/>
        <v>0</v>
      </c>
      <c r="SVY39" s="1026" t="s">
        <v>45</v>
      </c>
      <c r="SVZ39" s="434"/>
      <c r="SWA39" s="1027"/>
      <c r="SWB39" s="1027"/>
      <c r="SWC39" s="24"/>
      <c r="SWD39" s="1027"/>
      <c r="SWE39" s="1027"/>
      <c r="SWF39" s="25"/>
      <c r="SWG39" s="987">
        <f>SUM(SWG36:SWG38)</f>
        <v>0</v>
      </c>
      <c r="SWH39" s="987">
        <f t="shared" ref="SWH39:SYE39" si="430">SUM(SWH36:SWH38)</f>
        <v>0</v>
      </c>
      <c r="SWI39" s="987">
        <f t="shared" si="430"/>
        <v>0</v>
      </c>
      <c r="SWJ39" s="987"/>
      <c r="SWK39" s="987"/>
      <c r="SWL39" s="987"/>
      <c r="SWM39" s="987"/>
      <c r="SWN39" s="987">
        <f t="shared" ref="SWN39:SYJ39" si="431">SUM(SWN36:SWN38)</f>
        <v>0</v>
      </c>
      <c r="SWO39" s="1026" t="s">
        <v>45</v>
      </c>
      <c r="SWP39" s="434"/>
      <c r="SWQ39" s="1027"/>
      <c r="SWR39" s="1027"/>
      <c r="SWS39" s="24"/>
      <c r="SWT39" s="1027"/>
      <c r="SWU39" s="1027"/>
      <c r="SWV39" s="25"/>
      <c r="SWW39" s="987">
        <f>SUM(SWW36:SWW38)</f>
        <v>0</v>
      </c>
      <c r="SWX39" s="987">
        <f t="shared" si="430"/>
        <v>0</v>
      </c>
      <c r="SWY39" s="987">
        <f t="shared" si="430"/>
        <v>0</v>
      </c>
      <c r="SWZ39" s="987"/>
      <c r="SXA39" s="987"/>
      <c r="SXB39" s="987"/>
      <c r="SXC39" s="987"/>
      <c r="SXD39" s="987">
        <f t="shared" si="431"/>
        <v>0</v>
      </c>
      <c r="SXE39" s="1026" t="s">
        <v>45</v>
      </c>
      <c r="SXF39" s="434"/>
      <c r="SXG39" s="1027"/>
      <c r="SXH39" s="1027"/>
      <c r="SXI39" s="24"/>
      <c r="SXJ39" s="1027"/>
      <c r="SXK39" s="1027"/>
      <c r="SXL39" s="25"/>
      <c r="SXM39" s="987">
        <f>SUM(SXM36:SXM38)</f>
        <v>0</v>
      </c>
      <c r="SXN39" s="987">
        <f t="shared" si="430"/>
        <v>0</v>
      </c>
      <c r="SXO39" s="987">
        <f t="shared" si="430"/>
        <v>0</v>
      </c>
      <c r="SXP39" s="987"/>
      <c r="SXQ39" s="987"/>
      <c r="SXR39" s="987"/>
      <c r="SXS39" s="987"/>
      <c r="SXT39" s="987">
        <f t="shared" si="431"/>
        <v>0</v>
      </c>
      <c r="SXU39" s="1026" t="s">
        <v>45</v>
      </c>
      <c r="SXV39" s="434"/>
      <c r="SXW39" s="1027"/>
      <c r="SXX39" s="1027"/>
      <c r="SXY39" s="24"/>
      <c r="SXZ39" s="1027"/>
      <c r="SYA39" s="1027"/>
      <c r="SYB39" s="25"/>
      <c r="SYC39" s="987">
        <f>SUM(SYC36:SYC38)</f>
        <v>0</v>
      </c>
      <c r="SYD39" s="987">
        <f t="shared" si="430"/>
        <v>0</v>
      </c>
      <c r="SYE39" s="987">
        <f t="shared" si="430"/>
        <v>0</v>
      </c>
      <c r="SYF39" s="987"/>
      <c r="SYG39" s="987"/>
      <c r="SYH39" s="987"/>
      <c r="SYI39" s="987"/>
      <c r="SYJ39" s="987">
        <f t="shared" si="431"/>
        <v>0</v>
      </c>
      <c r="SYK39" s="1026" t="s">
        <v>45</v>
      </c>
      <c r="SYL39" s="434"/>
      <c r="SYM39" s="1027"/>
      <c r="SYN39" s="1027"/>
      <c r="SYO39" s="24"/>
      <c r="SYP39" s="1027"/>
      <c r="SYQ39" s="1027"/>
      <c r="SYR39" s="25"/>
      <c r="SYS39" s="987">
        <f>SUM(SYS36:SYS38)</f>
        <v>0</v>
      </c>
      <c r="SYT39" s="987">
        <f t="shared" ref="SYT39:TAQ39" si="432">SUM(SYT36:SYT38)</f>
        <v>0</v>
      </c>
      <c r="SYU39" s="987">
        <f t="shared" si="432"/>
        <v>0</v>
      </c>
      <c r="SYV39" s="987"/>
      <c r="SYW39" s="987"/>
      <c r="SYX39" s="987"/>
      <c r="SYY39" s="987"/>
      <c r="SYZ39" s="987">
        <f t="shared" ref="SYZ39:TAV39" si="433">SUM(SYZ36:SYZ38)</f>
        <v>0</v>
      </c>
      <c r="SZA39" s="1026" t="s">
        <v>45</v>
      </c>
      <c r="SZB39" s="434"/>
      <c r="SZC39" s="1027"/>
      <c r="SZD39" s="1027"/>
      <c r="SZE39" s="24"/>
      <c r="SZF39" s="1027"/>
      <c r="SZG39" s="1027"/>
      <c r="SZH39" s="25"/>
      <c r="SZI39" s="987">
        <f>SUM(SZI36:SZI38)</f>
        <v>0</v>
      </c>
      <c r="SZJ39" s="987">
        <f t="shared" si="432"/>
        <v>0</v>
      </c>
      <c r="SZK39" s="987">
        <f t="shared" si="432"/>
        <v>0</v>
      </c>
      <c r="SZL39" s="987"/>
      <c r="SZM39" s="987"/>
      <c r="SZN39" s="987"/>
      <c r="SZO39" s="987"/>
      <c r="SZP39" s="987">
        <f t="shared" si="433"/>
        <v>0</v>
      </c>
      <c r="SZQ39" s="1026" t="s">
        <v>45</v>
      </c>
      <c r="SZR39" s="434"/>
      <c r="SZS39" s="1027"/>
      <c r="SZT39" s="1027"/>
      <c r="SZU39" s="24"/>
      <c r="SZV39" s="1027"/>
      <c r="SZW39" s="1027"/>
      <c r="SZX39" s="25"/>
      <c r="SZY39" s="987">
        <f>SUM(SZY36:SZY38)</f>
        <v>0</v>
      </c>
      <c r="SZZ39" s="987">
        <f t="shared" si="432"/>
        <v>0</v>
      </c>
      <c r="TAA39" s="987">
        <f t="shared" si="432"/>
        <v>0</v>
      </c>
      <c r="TAB39" s="987"/>
      <c r="TAC39" s="987"/>
      <c r="TAD39" s="987"/>
      <c r="TAE39" s="987"/>
      <c r="TAF39" s="987">
        <f t="shared" si="433"/>
        <v>0</v>
      </c>
      <c r="TAG39" s="1026" t="s">
        <v>45</v>
      </c>
      <c r="TAH39" s="434"/>
      <c r="TAI39" s="1027"/>
      <c r="TAJ39" s="1027"/>
      <c r="TAK39" s="24"/>
      <c r="TAL39" s="1027"/>
      <c r="TAM39" s="1027"/>
      <c r="TAN39" s="25"/>
      <c r="TAO39" s="987">
        <f>SUM(TAO36:TAO38)</f>
        <v>0</v>
      </c>
      <c r="TAP39" s="987">
        <f t="shared" si="432"/>
        <v>0</v>
      </c>
      <c r="TAQ39" s="987">
        <f t="shared" si="432"/>
        <v>0</v>
      </c>
      <c r="TAR39" s="987"/>
      <c r="TAS39" s="987"/>
      <c r="TAT39" s="987"/>
      <c r="TAU39" s="987"/>
      <c r="TAV39" s="987">
        <f t="shared" si="433"/>
        <v>0</v>
      </c>
      <c r="TAW39" s="1026" t="s">
        <v>45</v>
      </c>
      <c r="TAX39" s="434"/>
      <c r="TAY39" s="1027"/>
      <c r="TAZ39" s="1027"/>
      <c r="TBA39" s="24"/>
      <c r="TBB39" s="1027"/>
      <c r="TBC39" s="1027"/>
      <c r="TBD39" s="25"/>
      <c r="TBE39" s="987">
        <f>SUM(TBE36:TBE38)</f>
        <v>0</v>
      </c>
      <c r="TBF39" s="987">
        <f t="shared" ref="TBF39:TDC39" si="434">SUM(TBF36:TBF38)</f>
        <v>0</v>
      </c>
      <c r="TBG39" s="987">
        <f t="shared" si="434"/>
        <v>0</v>
      </c>
      <c r="TBH39" s="987"/>
      <c r="TBI39" s="987"/>
      <c r="TBJ39" s="987"/>
      <c r="TBK39" s="987"/>
      <c r="TBL39" s="987">
        <f t="shared" ref="TBL39:TDH39" si="435">SUM(TBL36:TBL38)</f>
        <v>0</v>
      </c>
      <c r="TBM39" s="1026" t="s">
        <v>45</v>
      </c>
      <c r="TBN39" s="434"/>
      <c r="TBO39" s="1027"/>
      <c r="TBP39" s="1027"/>
      <c r="TBQ39" s="24"/>
      <c r="TBR39" s="1027"/>
      <c r="TBS39" s="1027"/>
      <c r="TBT39" s="25"/>
      <c r="TBU39" s="987">
        <f>SUM(TBU36:TBU38)</f>
        <v>0</v>
      </c>
      <c r="TBV39" s="987">
        <f t="shared" si="434"/>
        <v>0</v>
      </c>
      <c r="TBW39" s="987">
        <f t="shared" si="434"/>
        <v>0</v>
      </c>
      <c r="TBX39" s="987"/>
      <c r="TBY39" s="987"/>
      <c r="TBZ39" s="987"/>
      <c r="TCA39" s="987"/>
      <c r="TCB39" s="987">
        <f t="shared" si="435"/>
        <v>0</v>
      </c>
      <c r="TCC39" s="1026" t="s">
        <v>45</v>
      </c>
      <c r="TCD39" s="434"/>
      <c r="TCE39" s="1027"/>
      <c r="TCF39" s="1027"/>
      <c r="TCG39" s="24"/>
      <c r="TCH39" s="1027"/>
      <c r="TCI39" s="1027"/>
      <c r="TCJ39" s="25"/>
      <c r="TCK39" s="987">
        <f>SUM(TCK36:TCK38)</f>
        <v>0</v>
      </c>
      <c r="TCL39" s="987">
        <f t="shared" si="434"/>
        <v>0</v>
      </c>
      <c r="TCM39" s="987">
        <f t="shared" si="434"/>
        <v>0</v>
      </c>
      <c r="TCN39" s="987"/>
      <c r="TCO39" s="987"/>
      <c r="TCP39" s="987"/>
      <c r="TCQ39" s="987"/>
      <c r="TCR39" s="987">
        <f t="shared" si="435"/>
        <v>0</v>
      </c>
      <c r="TCS39" s="1026" t="s">
        <v>45</v>
      </c>
      <c r="TCT39" s="434"/>
      <c r="TCU39" s="1027"/>
      <c r="TCV39" s="1027"/>
      <c r="TCW39" s="24"/>
      <c r="TCX39" s="1027"/>
      <c r="TCY39" s="1027"/>
      <c r="TCZ39" s="25"/>
      <c r="TDA39" s="987">
        <f>SUM(TDA36:TDA38)</f>
        <v>0</v>
      </c>
      <c r="TDB39" s="987">
        <f t="shared" si="434"/>
        <v>0</v>
      </c>
      <c r="TDC39" s="987">
        <f t="shared" si="434"/>
        <v>0</v>
      </c>
      <c r="TDD39" s="987"/>
      <c r="TDE39" s="987"/>
      <c r="TDF39" s="987"/>
      <c r="TDG39" s="987"/>
      <c r="TDH39" s="987">
        <f t="shared" si="435"/>
        <v>0</v>
      </c>
      <c r="TDI39" s="1026" t="s">
        <v>45</v>
      </c>
      <c r="TDJ39" s="434"/>
      <c r="TDK39" s="1027"/>
      <c r="TDL39" s="1027"/>
      <c r="TDM39" s="24"/>
      <c r="TDN39" s="1027"/>
      <c r="TDO39" s="1027"/>
      <c r="TDP39" s="25"/>
      <c r="TDQ39" s="987">
        <f>SUM(TDQ36:TDQ38)</f>
        <v>0</v>
      </c>
      <c r="TDR39" s="987">
        <f t="shared" ref="TDR39:TFO39" si="436">SUM(TDR36:TDR38)</f>
        <v>0</v>
      </c>
      <c r="TDS39" s="987">
        <f t="shared" si="436"/>
        <v>0</v>
      </c>
      <c r="TDT39" s="987"/>
      <c r="TDU39" s="987"/>
      <c r="TDV39" s="987"/>
      <c r="TDW39" s="987"/>
      <c r="TDX39" s="987">
        <f t="shared" ref="TDX39:TFT39" si="437">SUM(TDX36:TDX38)</f>
        <v>0</v>
      </c>
      <c r="TDY39" s="1026" t="s">
        <v>45</v>
      </c>
      <c r="TDZ39" s="434"/>
      <c r="TEA39" s="1027"/>
      <c r="TEB39" s="1027"/>
      <c r="TEC39" s="24"/>
      <c r="TED39" s="1027"/>
      <c r="TEE39" s="1027"/>
      <c r="TEF39" s="25"/>
      <c r="TEG39" s="987">
        <f>SUM(TEG36:TEG38)</f>
        <v>0</v>
      </c>
      <c r="TEH39" s="987">
        <f t="shared" si="436"/>
        <v>0</v>
      </c>
      <c r="TEI39" s="987">
        <f t="shared" si="436"/>
        <v>0</v>
      </c>
      <c r="TEJ39" s="987"/>
      <c r="TEK39" s="987"/>
      <c r="TEL39" s="987"/>
      <c r="TEM39" s="987"/>
      <c r="TEN39" s="987">
        <f t="shared" si="437"/>
        <v>0</v>
      </c>
      <c r="TEO39" s="1026" t="s">
        <v>45</v>
      </c>
      <c r="TEP39" s="434"/>
      <c r="TEQ39" s="1027"/>
      <c r="TER39" s="1027"/>
      <c r="TES39" s="24"/>
      <c r="TET39" s="1027"/>
      <c r="TEU39" s="1027"/>
      <c r="TEV39" s="25"/>
      <c r="TEW39" s="987">
        <f>SUM(TEW36:TEW38)</f>
        <v>0</v>
      </c>
      <c r="TEX39" s="987">
        <f t="shared" si="436"/>
        <v>0</v>
      </c>
      <c r="TEY39" s="987">
        <f t="shared" si="436"/>
        <v>0</v>
      </c>
      <c r="TEZ39" s="987"/>
      <c r="TFA39" s="987"/>
      <c r="TFB39" s="987"/>
      <c r="TFC39" s="987"/>
      <c r="TFD39" s="987">
        <f t="shared" si="437"/>
        <v>0</v>
      </c>
      <c r="TFE39" s="1026" t="s">
        <v>45</v>
      </c>
      <c r="TFF39" s="434"/>
      <c r="TFG39" s="1027"/>
      <c r="TFH39" s="1027"/>
      <c r="TFI39" s="24"/>
      <c r="TFJ39" s="1027"/>
      <c r="TFK39" s="1027"/>
      <c r="TFL39" s="25"/>
      <c r="TFM39" s="987">
        <f>SUM(TFM36:TFM38)</f>
        <v>0</v>
      </c>
      <c r="TFN39" s="987">
        <f t="shared" si="436"/>
        <v>0</v>
      </c>
      <c r="TFO39" s="987">
        <f t="shared" si="436"/>
        <v>0</v>
      </c>
      <c r="TFP39" s="987"/>
      <c r="TFQ39" s="987"/>
      <c r="TFR39" s="987"/>
      <c r="TFS39" s="987"/>
      <c r="TFT39" s="987">
        <f t="shared" si="437"/>
        <v>0</v>
      </c>
      <c r="TFU39" s="1026" t="s">
        <v>45</v>
      </c>
      <c r="TFV39" s="434"/>
      <c r="TFW39" s="1027"/>
      <c r="TFX39" s="1027"/>
      <c r="TFY39" s="24"/>
      <c r="TFZ39" s="1027"/>
      <c r="TGA39" s="1027"/>
      <c r="TGB39" s="25"/>
      <c r="TGC39" s="987">
        <f>SUM(TGC36:TGC38)</f>
        <v>0</v>
      </c>
      <c r="TGD39" s="987">
        <f t="shared" ref="TGD39:TIA39" si="438">SUM(TGD36:TGD38)</f>
        <v>0</v>
      </c>
      <c r="TGE39" s="987">
        <f t="shared" si="438"/>
        <v>0</v>
      </c>
      <c r="TGF39" s="987"/>
      <c r="TGG39" s="987"/>
      <c r="TGH39" s="987"/>
      <c r="TGI39" s="987"/>
      <c r="TGJ39" s="987">
        <f t="shared" ref="TGJ39:TIF39" si="439">SUM(TGJ36:TGJ38)</f>
        <v>0</v>
      </c>
      <c r="TGK39" s="1026" t="s">
        <v>45</v>
      </c>
      <c r="TGL39" s="434"/>
      <c r="TGM39" s="1027"/>
      <c r="TGN39" s="1027"/>
      <c r="TGO39" s="24"/>
      <c r="TGP39" s="1027"/>
      <c r="TGQ39" s="1027"/>
      <c r="TGR39" s="25"/>
      <c r="TGS39" s="987">
        <f>SUM(TGS36:TGS38)</f>
        <v>0</v>
      </c>
      <c r="TGT39" s="987">
        <f t="shared" si="438"/>
        <v>0</v>
      </c>
      <c r="TGU39" s="987">
        <f t="shared" si="438"/>
        <v>0</v>
      </c>
      <c r="TGV39" s="987"/>
      <c r="TGW39" s="987"/>
      <c r="TGX39" s="987"/>
      <c r="TGY39" s="987"/>
      <c r="TGZ39" s="987">
        <f t="shared" si="439"/>
        <v>0</v>
      </c>
      <c r="THA39" s="1026" t="s">
        <v>45</v>
      </c>
      <c r="THB39" s="434"/>
      <c r="THC39" s="1027"/>
      <c r="THD39" s="1027"/>
      <c r="THE39" s="24"/>
      <c r="THF39" s="1027"/>
      <c r="THG39" s="1027"/>
      <c r="THH39" s="25"/>
      <c r="THI39" s="987">
        <f>SUM(THI36:THI38)</f>
        <v>0</v>
      </c>
      <c r="THJ39" s="987">
        <f t="shared" si="438"/>
        <v>0</v>
      </c>
      <c r="THK39" s="987">
        <f t="shared" si="438"/>
        <v>0</v>
      </c>
      <c r="THL39" s="987"/>
      <c r="THM39" s="987"/>
      <c r="THN39" s="987"/>
      <c r="THO39" s="987"/>
      <c r="THP39" s="987">
        <f t="shared" si="439"/>
        <v>0</v>
      </c>
      <c r="THQ39" s="1026" t="s">
        <v>45</v>
      </c>
      <c r="THR39" s="434"/>
      <c r="THS39" s="1027"/>
      <c r="THT39" s="1027"/>
      <c r="THU39" s="24"/>
      <c r="THV39" s="1027"/>
      <c r="THW39" s="1027"/>
      <c r="THX39" s="25"/>
      <c r="THY39" s="987">
        <f>SUM(THY36:THY38)</f>
        <v>0</v>
      </c>
      <c r="THZ39" s="987">
        <f t="shared" si="438"/>
        <v>0</v>
      </c>
      <c r="TIA39" s="987">
        <f t="shared" si="438"/>
        <v>0</v>
      </c>
      <c r="TIB39" s="987"/>
      <c r="TIC39" s="987"/>
      <c r="TID39" s="987"/>
      <c r="TIE39" s="987"/>
      <c r="TIF39" s="987">
        <f t="shared" si="439"/>
        <v>0</v>
      </c>
      <c r="TIG39" s="1026" t="s">
        <v>45</v>
      </c>
      <c r="TIH39" s="434"/>
      <c r="TII39" s="1027"/>
      <c r="TIJ39" s="1027"/>
      <c r="TIK39" s="24"/>
      <c r="TIL39" s="1027"/>
      <c r="TIM39" s="1027"/>
      <c r="TIN39" s="25"/>
      <c r="TIO39" s="987">
        <f>SUM(TIO36:TIO38)</f>
        <v>0</v>
      </c>
      <c r="TIP39" s="987">
        <f t="shared" ref="TIP39:TKM39" si="440">SUM(TIP36:TIP38)</f>
        <v>0</v>
      </c>
      <c r="TIQ39" s="987">
        <f t="shared" si="440"/>
        <v>0</v>
      </c>
      <c r="TIR39" s="987"/>
      <c r="TIS39" s="987"/>
      <c r="TIT39" s="987"/>
      <c r="TIU39" s="987"/>
      <c r="TIV39" s="987">
        <f t="shared" ref="TIV39:TKR39" si="441">SUM(TIV36:TIV38)</f>
        <v>0</v>
      </c>
      <c r="TIW39" s="1026" t="s">
        <v>45</v>
      </c>
      <c r="TIX39" s="434"/>
      <c r="TIY39" s="1027"/>
      <c r="TIZ39" s="1027"/>
      <c r="TJA39" s="24"/>
      <c r="TJB39" s="1027"/>
      <c r="TJC39" s="1027"/>
      <c r="TJD39" s="25"/>
      <c r="TJE39" s="987">
        <f>SUM(TJE36:TJE38)</f>
        <v>0</v>
      </c>
      <c r="TJF39" s="987">
        <f t="shared" si="440"/>
        <v>0</v>
      </c>
      <c r="TJG39" s="987">
        <f t="shared" si="440"/>
        <v>0</v>
      </c>
      <c r="TJH39" s="987"/>
      <c r="TJI39" s="987"/>
      <c r="TJJ39" s="987"/>
      <c r="TJK39" s="987"/>
      <c r="TJL39" s="987">
        <f t="shared" si="441"/>
        <v>0</v>
      </c>
      <c r="TJM39" s="1026" t="s">
        <v>45</v>
      </c>
      <c r="TJN39" s="434"/>
      <c r="TJO39" s="1027"/>
      <c r="TJP39" s="1027"/>
      <c r="TJQ39" s="24"/>
      <c r="TJR39" s="1027"/>
      <c r="TJS39" s="1027"/>
      <c r="TJT39" s="25"/>
      <c r="TJU39" s="987">
        <f>SUM(TJU36:TJU38)</f>
        <v>0</v>
      </c>
      <c r="TJV39" s="987">
        <f t="shared" si="440"/>
        <v>0</v>
      </c>
      <c r="TJW39" s="987">
        <f t="shared" si="440"/>
        <v>0</v>
      </c>
      <c r="TJX39" s="987"/>
      <c r="TJY39" s="987"/>
      <c r="TJZ39" s="987"/>
      <c r="TKA39" s="987"/>
      <c r="TKB39" s="987">
        <f t="shared" si="441"/>
        <v>0</v>
      </c>
      <c r="TKC39" s="1026" t="s">
        <v>45</v>
      </c>
      <c r="TKD39" s="434"/>
      <c r="TKE39" s="1027"/>
      <c r="TKF39" s="1027"/>
      <c r="TKG39" s="24"/>
      <c r="TKH39" s="1027"/>
      <c r="TKI39" s="1027"/>
      <c r="TKJ39" s="25"/>
      <c r="TKK39" s="987">
        <f>SUM(TKK36:TKK38)</f>
        <v>0</v>
      </c>
      <c r="TKL39" s="987">
        <f t="shared" si="440"/>
        <v>0</v>
      </c>
      <c r="TKM39" s="987">
        <f t="shared" si="440"/>
        <v>0</v>
      </c>
      <c r="TKN39" s="987"/>
      <c r="TKO39" s="987"/>
      <c r="TKP39" s="987"/>
      <c r="TKQ39" s="987"/>
      <c r="TKR39" s="987">
        <f t="shared" si="441"/>
        <v>0</v>
      </c>
      <c r="TKS39" s="1026" t="s">
        <v>45</v>
      </c>
      <c r="TKT39" s="434"/>
      <c r="TKU39" s="1027"/>
      <c r="TKV39" s="1027"/>
      <c r="TKW39" s="24"/>
      <c r="TKX39" s="1027"/>
      <c r="TKY39" s="1027"/>
      <c r="TKZ39" s="25"/>
      <c r="TLA39" s="987">
        <f>SUM(TLA36:TLA38)</f>
        <v>0</v>
      </c>
      <c r="TLB39" s="987">
        <f t="shared" ref="TLB39:TMY39" si="442">SUM(TLB36:TLB38)</f>
        <v>0</v>
      </c>
      <c r="TLC39" s="987">
        <f t="shared" si="442"/>
        <v>0</v>
      </c>
      <c r="TLD39" s="987"/>
      <c r="TLE39" s="987"/>
      <c r="TLF39" s="987"/>
      <c r="TLG39" s="987"/>
      <c r="TLH39" s="987">
        <f t="shared" ref="TLH39:TND39" si="443">SUM(TLH36:TLH38)</f>
        <v>0</v>
      </c>
      <c r="TLI39" s="1026" t="s">
        <v>45</v>
      </c>
      <c r="TLJ39" s="434"/>
      <c r="TLK39" s="1027"/>
      <c r="TLL39" s="1027"/>
      <c r="TLM39" s="24"/>
      <c r="TLN39" s="1027"/>
      <c r="TLO39" s="1027"/>
      <c r="TLP39" s="25"/>
      <c r="TLQ39" s="987">
        <f>SUM(TLQ36:TLQ38)</f>
        <v>0</v>
      </c>
      <c r="TLR39" s="987">
        <f t="shared" si="442"/>
        <v>0</v>
      </c>
      <c r="TLS39" s="987">
        <f t="shared" si="442"/>
        <v>0</v>
      </c>
      <c r="TLT39" s="987"/>
      <c r="TLU39" s="987"/>
      <c r="TLV39" s="987"/>
      <c r="TLW39" s="987"/>
      <c r="TLX39" s="987">
        <f t="shared" si="443"/>
        <v>0</v>
      </c>
      <c r="TLY39" s="1026" t="s">
        <v>45</v>
      </c>
      <c r="TLZ39" s="434"/>
      <c r="TMA39" s="1027"/>
      <c r="TMB39" s="1027"/>
      <c r="TMC39" s="24"/>
      <c r="TMD39" s="1027"/>
      <c r="TME39" s="1027"/>
      <c r="TMF39" s="25"/>
      <c r="TMG39" s="987">
        <f>SUM(TMG36:TMG38)</f>
        <v>0</v>
      </c>
      <c r="TMH39" s="987">
        <f t="shared" si="442"/>
        <v>0</v>
      </c>
      <c r="TMI39" s="987">
        <f t="shared" si="442"/>
        <v>0</v>
      </c>
      <c r="TMJ39" s="987"/>
      <c r="TMK39" s="987"/>
      <c r="TML39" s="987"/>
      <c r="TMM39" s="987"/>
      <c r="TMN39" s="987">
        <f t="shared" si="443"/>
        <v>0</v>
      </c>
      <c r="TMO39" s="1026" t="s">
        <v>45</v>
      </c>
      <c r="TMP39" s="434"/>
      <c r="TMQ39" s="1027"/>
      <c r="TMR39" s="1027"/>
      <c r="TMS39" s="24"/>
      <c r="TMT39" s="1027"/>
      <c r="TMU39" s="1027"/>
      <c r="TMV39" s="25"/>
      <c r="TMW39" s="987">
        <f>SUM(TMW36:TMW38)</f>
        <v>0</v>
      </c>
      <c r="TMX39" s="987">
        <f t="shared" si="442"/>
        <v>0</v>
      </c>
      <c r="TMY39" s="987">
        <f t="shared" si="442"/>
        <v>0</v>
      </c>
      <c r="TMZ39" s="987"/>
      <c r="TNA39" s="987"/>
      <c r="TNB39" s="987"/>
      <c r="TNC39" s="987"/>
      <c r="TND39" s="987">
        <f t="shared" si="443"/>
        <v>0</v>
      </c>
      <c r="TNE39" s="1026" t="s">
        <v>45</v>
      </c>
      <c r="TNF39" s="434"/>
      <c r="TNG39" s="1027"/>
      <c r="TNH39" s="1027"/>
      <c r="TNI39" s="24"/>
      <c r="TNJ39" s="1027"/>
      <c r="TNK39" s="1027"/>
      <c r="TNL39" s="25"/>
      <c r="TNM39" s="987">
        <f>SUM(TNM36:TNM38)</f>
        <v>0</v>
      </c>
      <c r="TNN39" s="987">
        <f t="shared" ref="TNN39:TPK39" si="444">SUM(TNN36:TNN38)</f>
        <v>0</v>
      </c>
      <c r="TNO39" s="987">
        <f t="shared" si="444"/>
        <v>0</v>
      </c>
      <c r="TNP39" s="987"/>
      <c r="TNQ39" s="987"/>
      <c r="TNR39" s="987"/>
      <c r="TNS39" s="987"/>
      <c r="TNT39" s="987">
        <f t="shared" ref="TNT39:TPP39" si="445">SUM(TNT36:TNT38)</f>
        <v>0</v>
      </c>
      <c r="TNU39" s="1026" t="s">
        <v>45</v>
      </c>
      <c r="TNV39" s="434"/>
      <c r="TNW39" s="1027"/>
      <c r="TNX39" s="1027"/>
      <c r="TNY39" s="24"/>
      <c r="TNZ39" s="1027"/>
      <c r="TOA39" s="1027"/>
      <c r="TOB39" s="25"/>
      <c r="TOC39" s="987">
        <f>SUM(TOC36:TOC38)</f>
        <v>0</v>
      </c>
      <c r="TOD39" s="987">
        <f t="shared" si="444"/>
        <v>0</v>
      </c>
      <c r="TOE39" s="987">
        <f t="shared" si="444"/>
        <v>0</v>
      </c>
      <c r="TOF39" s="987"/>
      <c r="TOG39" s="987"/>
      <c r="TOH39" s="987"/>
      <c r="TOI39" s="987"/>
      <c r="TOJ39" s="987">
        <f t="shared" si="445"/>
        <v>0</v>
      </c>
      <c r="TOK39" s="1026" t="s">
        <v>45</v>
      </c>
      <c r="TOL39" s="434"/>
      <c r="TOM39" s="1027"/>
      <c r="TON39" s="1027"/>
      <c r="TOO39" s="24"/>
      <c r="TOP39" s="1027"/>
      <c r="TOQ39" s="1027"/>
      <c r="TOR39" s="25"/>
      <c r="TOS39" s="987">
        <f>SUM(TOS36:TOS38)</f>
        <v>0</v>
      </c>
      <c r="TOT39" s="987">
        <f t="shared" si="444"/>
        <v>0</v>
      </c>
      <c r="TOU39" s="987">
        <f t="shared" si="444"/>
        <v>0</v>
      </c>
      <c r="TOV39" s="987"/>
      <c r="TOW39" s="987"/>
      <c r="TOX39" s="987"/>
      <c r="TOY39" s="987"/>
      <c r="TOZ39" s="987">
        <f t="shared" si="445"/>
        <v>0</v>
      </c>
      <c r="TPA39" s="1026" t="s">
        <v>45</v>
      </c>
      <c r="TPB39" s="434"/>
      <c r="TPC39" s="1027"/>
      <c r="TPD39" s="1027"/>
      <c r="TPE39" s="24"/>
      <c r="TPF39" s="1027"/>
      <c r="TPG39" s="1027"/>
      <c r="TPH39" s="25"/>
      <c r="TPI39" s="987">
        <f>SUM(TPI36:TPI38)</f>
        <v>0</v>
      </c>
      <c r="TPJ39" s="987">
        <f t="shared" si="444"/>
        <v>0</v>
      </c>
      <c r="TPK39" s="987">
        <f t="shared" si="444"/>
        <v>0</v>
      </c>
      <c r="TPL39" s="987"/>
      <c r="TPM39" s="987"/>
      <c r="TPN39" s="987"/>
      <c r="TPO39" s="987"/>
      <c r="TPP39" s="987">
        <f t="shared" si="445"/>
        <v>0</v>
      </c>
      <c r="TPQ39" s="1026" t="s">
        <v>45</v>
      </c>
      <c r="TPR39" s="434"/>
      <c r="TPS39" s="1027"/>
      <c r="TPT39" s="1027"/>
      <c r="TPU39" s="24"/>
      <c r="TPV39" s="1027"/>
      <c r="TPW39" s="1027"/>
      <c r="TPX39" s="25"/>
      <c r="TPY39" s="987">
        <f>SUM(TPY36:TPY38)</f>
        <v>0</v>
      </c>
      <c r="TPZ39" s="987">
        <f t="shared" ref="TPZ39:TRW39" si="446">SUM(TPZ36:TPZ38)</f>
        <v>0</v>
      </c>
      <c r="TQA39" s="987">
        <f t="shared" si="446"/>
        <v>0</v>
      </c>
      <c r="TQB39" s="987"/>
      <c r="TQC39" s="987"/>
      <c r="TQD39" s="987"/>
      <c r="TQE39" s="987"/>
      <c r="TQF39" s="987">
        <f t="shared" ref="TQF39:TSB39" si="447">SUM(TQF36:TQF38)</f>
        <v>0</v>
      </c>
      <c r="TQG39" s="1026" t="s">
        <v>45</v>
      </c>
      <c r="TQH39" s="434"/>
      <c r="TQI39" s="1027"/>
      <c r="TQJ39" s="1027"/>
      <c r="TQK39" s="24"/>
      <c r="TQL39" s="1027"/>
      <c r="TQM39" s="1027"/>
      <c r="TQN39" s="25"/>
      <c r="TQO39" s="987">
        <f>SUM(TQO36:TQO38)</f>
        <v>0</v>
      </c>
      <c r="TQP39" s="987">
        <f t="shared" si="446"/>
        <v>0</v>
      </c>
      <c r="TQQ39" s="987">
        <f t="shared" si="446"/>
        <v>0</v>
      </c>
      <c r="TQR39" s="987"/>
      <c r="TQS39" s="987"/>
      <c r="TQT39" s="987"/>
      <c r="TQU39" s="987"/>
      <c r="TQV39" s="987">
        <f t="shared" si="447"/>
        <v>0</v>
      </c>
      <c r="TQW39" s="1026" t="s">
        <v>45</v>
      </c>
      <c r="TQX39" s="434"/>
      <c r="TQY39" s="1027"/>
      <c r="TQZ39" s="1027"/>
      <c r="TRA39" s="24"/>
      <c r="TRB39" s="1027"/>
      <c r="TRC39" s="1027"/>
      <c r="TRD39" s="25"/>
      <c r="TRE39" s="987">
        <f>SUM(TRE36:TRE38)</f>
        <v>0</v>
      </c>
      <c r="TRF39" s="987">
        <f t="shared" si="446"/>
        <v>0</v>
      </c>
      <c r="TRG39" s="987">
        <f t="shared" si="446"/>
        <v>0</v>
      </c>
      <c r="TRH39" s="987"/>
      <c r="TRI39" s="987"/>
      <c r="TRJ39" s="987"/>
      <c r="TRK39" s="987"/>
      <c r="TRL39" s="987">
        <f t="shared" si="447"/>
        <v>0</v>
      </c>
      <c r="TRM39" s="1026" t="s">
        <v>45</v>
      </c>
      <c r="TRN39" s="434"/>
      <c r="TRO39" s="1027"/>
      <c r="TRP39" s="1027"/>
      <c r="TRQ39" s="24"/>
      <c r="TRR39" s="1027"/>
      <c r="TRS39" s="1027"/>
      <c r="TRT39" s="25"/>
      <c r="TRU39" s="987">
        <f>SUM(TRU36:TRU38)</f>
        <v>0</v>
      </c>
      <c r="TRV39" s="987">
        <f t="shared" si="446"/>
        <v>0</v>
      </c>
      <c r="TRW39" s="987">
        <f t="shared" si="446"/>
        <v>0</v>
      </c>
      <c r="TRX39" s="987"/>
      <c r="TRY39" s="987"/>
      <c r="TRZ39" s="987"/>
      <c r="TSA39" s="987"/>
      <c r="TSB39" s="987">
        <f t="shared" si="447"/>
        <v>0</v>
      </c>
      <c r="TSC39" s="1026" t="s">
        <v>45</v>
      </c>
      <c r="TSD39" s="434"/>
      <c r="TSE39" s="1027"/>
      <c r="TSF39" s="1027"/>
      <c r="TSG39" s="24"/>
      <c r="TSH39" s="1027"/>
      <c r="TSI39" s="1027"/>
      <c r="TSJ39" s="25"/>
      <c r="TSK39" s="987">
        <f>SUM(TSK36:TSK38)</f>
        <v>0</v>
      </c>
      <c r="TSL39" s="987">
        <f t="shared" ref="TSL39:TUI39" si="448">SUM(TSL36:TSL38)</f>
        <v>0</v>
      </c>
      <c r="TSM39" s="987">
        <f t="shared" si="448"/>
        <v>0</v>
      </c>
      <c r="TSN39" s="987"/>
      <c r="TSO39" s="987"/>
      <c r="TSP39" s="987"/>
      <c r="TSQ39" s="987"/>
      <c r="TSR39" s="987">
        <f t="shared" ref="TSR39:TUN39" si="449">SUM(TSR36:TSR38)</f>
        <v>0</v>
      </c>
      <c r="TSS39" s="1026" t="s">
        <v>45</v>
      </c>
      <c r="TST39" s="434"/>
      <c r="TSU39" s="1027"/>
      <c r="TSV39" s="1027"/>
      <c r="TSW39" s="24"/>
      <c r="TSX39" s="1027"/>
      <c r="TSY39" s="1027"/>
      <c r="TSZ39" s="25"/>
      <c r="TTA39" s="987">
        <f>SUM(TTA36:TTA38)</f>
        <v>0</v>
      </c>
      <c r="TTB39" s="987">
        <f t="shared" si="448"/>
        <v>0</v>
      </c>
      <c r="TTC39" s="987">
        <f t="shared" si="448"/>
        <v>0</v>
      </c>
      <c r="TTD39" s="987"/>
      <c r="TTE39" s="987"/>
      <c r="TTF39" s="987"/>
      <c r="TTG39" s="987"/>
      <c r="TTH39" s="987">
        <f t="shared" si="449"/>
        <v>0</v>
      </c>
      <c r="TTI39" s="1026" t="s">
        <v>45</v>
      </c>
      <c r="TTJ39" s="434"/>
      <c r="TTK39" s="1027"/>
      <c r="TTL39" s="1027"/>
      <c r="TTM39" s="24"/>
      <c r="TTN39" s="1027"/>
      <c r="TTO39" s="1027"/>
      <c r="TTP39" s="25"/>
      <c r="TTQ39" s="987">
        <f>SUM(TTQ36:TTQ38)</f>
        <v>0</v>
      </c>
      <c r="TTR39" s="987">
        <f t="shared" si="448"/>
        <v>0</v>
      </c>
      <c r="TTS39" s="987">
        <f t="shared" si="448"/>
        <v>0</v>
      </c>
      <c r="TTT39" s="987"/>
      <c r="TTU39" s="987"/>
      <c r="TTV39" s="987"/>
      <c r="TTW39" s="987"/>
      <c r="TTX39" s="987">
        <f t="shared" si="449"/>
        <v>0</v>
      </c>
      <c r="TTY39" s="1026" t="s">
        <v>45</v>
      </c>
      <c r="TTZ39" s="434"/>
      <c r="TUA39" s="1027"/>
      <c r="TUB39" s="1027"/>
      <c r="TUC39" s="24"/>
      <c r="TUD39" s="1027"/>
      <c r="TUE39" s="1027"/>
      <c r="TUF39" s="25"/>
      <c r="TUG39" s="987">
        <f>SUM(TUG36:TUG38)</f>
        <v>0</v>
      </c>
      <c r="TUH39" s="987">
        <f t="shared" si="448"/>
        <v>0</v>
      </c>
      <c r="TUI39" s="987">
        <f t="shared" si="448"/>
        <v>0</v>
      </c>
      <c r="TUJ39" s="987"/>
      <c r="TUK39" s="987"/>
      <c r="TUL39" s="987"/>
      <c r="TUM39" s="987"/>
      <c r="TUN39" s="987">
        <f t="shared" si="449"/>
        <v>0</v>
      </c>
      <c r="TUO39" s="1026" t="s">
        <v>45</v>
      </c>
      <c r="TUP39" s="434"/>
      <c r="TUQ39" s="1027"/>
      <c r="TUR39" s="1027"/>
      <c r="TUS39" s="24"/>
      <c r="TUT39" s="1027"/>
      <c r="TUU39" s="1027"/>
      <c r="TUV39" s="25"/>
      <c r="TUW39" s="987">
        <f>SUM(TUW36:TUW38)</f>
        <v>0</v>
      </c>
      <c r="TUX39" s="987">
        <f t="shared" ref="TUX39:TWU39" si="450">SUM(TUX36:TUX38)</f>
        <v>0</v>
      </c>
      <c r="TUY39" s="987">
        <f t="shared" si="450"/>
        <v>0</v>
      </c>
      <c r="TUZ39" s="987"/>
      <c r="TVA39" s="987"/>
      <c r="TVB39" s="987"/>
      <c r="TVC39" s="987"/>
      <c r="TVD39" s="987">
        <f t="shared" ref="TVD39:TWZ39" si="451">SUM(TVD36:TVD38)</f>
        <v>0</v>
      </c>
      <c r="TVE39" s="1026" t="s">
        <v>45</v>
      </c>
      <c r="TVF39" s="434"/>
      <c r="TVG39" s="1027"/>
      <c r="TVH39" s="1027"/>
      <c r="TVI39" s="24"/>
      <c r="TVJ39" s="1027"/>
      <c r="TVK39" s="1027"/>
      <c r="TVL39" s="25"/>
      <c r="TVM39" s="987">
        <f>SUM(TVM36:TVM38)</f>
        <v>0</v>
      </c>
      <c r="TVN39" s="987">
        <f t="shared" si="450"/>
        <v>0</v>
      </c>
      <c r="TVO39" s="987">
        <f t="shared" si="450"/>
        <v>0</v>
      </c>
      <c r="TVP39" s="987"/>
      <c r="TVQ39" s="987"/>
      <c r="TVR39" s="987"/>
      <c r="TVS39" s="987"/>
      <c r="TVT39" s="987">
        <f t="shared" si="451"/>
        <v>0</v>
      </c>
      <c r="TVU39" s="1026" t="s">
        <v>45</v>
      </c>
      <c r="TVV39" s="434"/>
      <c r="TVW39" s="1027"/>
      <c r="TVX39" s="1027"/>
      <c r="TVY39" s="24"/>
      <c r="TVZ39" s="1027"/>
      <c r="TWA39" s="1027"/>
      <c r="TWB39" s="25"/>
      <c r="TWC39" s="987">
        <f>SUM(TWC36:TWC38)</f>
        <v>0</v>
      </c>
      <c r="TWD39" s="987">
        <f t="shared" si="450"/>
        <v>0</v>
      </c>
      <c r="TWE39" s="987">
        <f t="shared" si="450"/>
        <v>0</v>
      </c>
      <c r="TWF39" s="987"/>
      <c r="TWG39" s="987"/>
      <c r="TWH39" s="987"/>
      <c r="TWI39" s="987"/>
      <c r="TWJ39" s="987">
        <f t="shared" si="451"/>
        <v>0</v>
      </c>
      <c r="TWK39" s="1026" t="s">
        <v>45</v>
      </c>
      <c r="TWL39" s="434"/>
      <c r="TWM39" s="1027"/>
      <c r="TWN39" s="1027"/>
      <c r="TWO39" s="24"/>
      <c r="TWP39" s="1027"/>
      <c r="TWQ39" s="1027"/>
      <c r="TWR39" s="25"/>
      <c r="TWS39" s="987">
        <f>SUM(TWS36:TWS38)</f>
        <v>0</v>
      </c>
      <c r="TWT39" s="987">
        <f t="shared" si="450"/>
        <v>0</v>
      </c>
      <c r="TWU39" s="987">
        <f t="shared" si="450"/>
        <v>0</v>
      </c>
      <c r="TWV39" s="987"/>
      <c r="TWW39" s="987"/>
      <c r="TWX39" s="987"/>
      <c r="TWY39" s="987"/>
      <c r="TWZ39" s="987">
        <f t="shared" si="451"/>
        <v>0</v>
      </c>
      <c r="TXA39" s="1026" t="s">
        <v>45</v>
      </c>
      <c r="TXB39" s="434"/>
      <c r="TXC39" s="1027"/>
      <c r="TXD39" s="1027"/>
      <c r="TXE39" s="24"/>
      <c r="TXF39" s="1027"/>
      <c r="TXG39" s="1027"/>
      <c r="TXH39" s="25"/>
      <c r="TXI39" s="987">
        <f>SUM(TXI36:TXI38)</f>
        <v>0</v>
      </c>
      <c r="TXJ39" s="987">
        <f t="shared" ref="TXJ39:TZG39" si="452">SUM(TXJ36:TXJ38)</f>
        <v>0</v>
      </c>
      <c r="TXK39" s="987">
        <f t="shared" si="452"/>
        <v>0</v>
      </c>
      <c r="TXL39" s="987"/>
      <c r="TXM39" s="987"/>
      <c r="TXN39" s="987"/>
      <c r="TXO39" s="987"/>
      <c r="TXP39" s="987">
        <f t="shared" ref="TXP39:TZL39" si="453">SUM(TXP36:TXP38)</f>
        <v>0</v>
      </c>
      <c r="TXQ39" s="1026" t="s">
        <v>45</v>
      </c>
      <c r="TXR39" s="434"/>
      <c r="TXS39" s="1027"/>
      <c r="TXT39" s="1027"/>
      <c r="TXU39" s="24"/>
      <c r="TXV39" s="1027"/>
      <c r="TXW39" s="1027"/>
      <c r="TXX39" s="25"/>
      <c r="TXY39" s="987">
        <f>SUM(TXY36:TXY38)</f>
        <v>0</v>
      </c>
      <c r="TXZ39" s="987">
        <f t="shared" si="452"/>
        <v>0</v>
      </c>
      <c r="TYA39" s="987">
        <f t="shared" si="452"/>
        <v>0</v>
      </c>
      <c r="TYB39" s="987"/>
      <c r="TYC39" s="987"/>
      <c r="TYD39" s="987"/>
      <c r="TYE39" s="987"/>
      <c r="TYF39" s="987">
        <f t="shared" si="453"/>
        <v>0</v>
      </c>
      <c r="TYG39" s="1026" t="s">
        <v>45</v>
      </c>
      <c r="TYH39" s="434"/>
      <c r="TYI39" s="1027"/>
      <c r="TYJ39" s="1027"/>
      <c r="TYK39" s="24"/>
      <c r="TYL39" s="1027"/>
      <c r="TYM39" s="1027"/>
      <c r="TYN39" s="25"/>
      <c r="TYO39" s="987">
        <f>SUM(TYO36:TYO38)</f>
        <v>0</v>
      </c>
      <c r="TYP39" s="987">
        <f t="shared" si="452"/>
        <v>0</v>
      </c>
      <c r="TYQ39" s="987">
        <f t="shared" si="452"/>
        <v>0</v>
      </c>
      <c r="TYR39" s="987"/>
      <c r="TYS39" s="987"/>
      <c r="TYT39" s="987"/>
      <c r="TYU39" s="987"/>
      <c r="TYV39" s="987">
        <f t="shared" si="453"/>
        <v>0</v>
      </c>
      <c r="TYW39" s="1026" t="s">
        <v>45</v>
      </c>
      <c r="TYX39" s="434"/>
      <c r="TYY39" s="1027"/>
      <c r="TYZ39" s="1027"/>
      <c r="TZA39" s="24"/>
      <c r="TZB39" s="1027"/>
      <c r="TZC39" s="1027"/>
      <c r="TZD39" s="25"/>
      <c r="TZE39" s="987">
        <f>SUM(TZE36:TZE38)</f>
        <v>0</v>
      </c>
      <c r="TZF39" s="987">
        <f t="shared" si="452"/>
        <v>0</v>
      </c>
      <c r="TZG39" s="987">
        <f t="shared" si="452"/>
        <v>0</v>
      </c>
      <c r="TZH39" s="987"/>
      <c r="TZI39" s="987"/>
      <c r="TZJ39" s="987"/>
      <c r="TZK39" s="987"/>
      <c r="TZL39" s="987">
        <f t="shared" si="453"/>
        <v>0</v>
      </c>
      <c r="TZM39" s="1026" t="s">
        <v>45</v>
      </c>
      <c r="TZN39" s="434"/>
      <c r="TZO39" s="1027"/>
      <c r="TZP39" s="1027"/>
      <c r="TZQ39" s="24"/>
      <c r="TZR39" s="1027"/>
      <c r="TZS39" s="1027"/>
      <c r="TZT39" s="25"/>
      <c r="TZU39" s="987">
        <f>SUM(TZU36:TZU38)</f>
        <v>0</v>
      </c>
      <c r="TZV39" s="987">
        <f t="shared" ref="TZV39:UBS39" si="454">SUM(TZV36:TZV38)</f>
        <v>0</v>
      </c>
      <c r="TZW39" s="987">
        <f t="shared" si="454"/>
        <v>0</v>
      </c>
      <c r="TZX39" s="987"/>
      <c r="TZY39" s="987"/>
      <c r="TZZ39" s="987"/>
      <c r="UAA39" s="987"/>
      <c r="UAB39" s="987">
        <f t="shared" ref="UAB39:UBX39" si="455">SUM(UAB36:UAB38)</f>
        <v>0</v>
      </c>
      <c r="UAC39" s="1026" t="s">
        <v>45</v>
      </c>
      <c r="UAD39" s="434"/>
      <c r="UAE39" s="1027"/>
      <c r="UAF39" s="1027"/>
      <c r="UAG39" s="24"/>
      <c r="UAH39" s="1027"/>
      <c r="UAI39" s="1027"/>
      <c r="UAJ39" s="25"/>
      <c r="UAK39" s="987">
        <f>SUM(UAK36:UAK38)</f>
        <v>0</v>
      </c>
      <c r="UAL39" s="987">
        <f t="shared" si="454"/>
        <v>0</v>
      </c>
      <c r="UAM39" s="987">
        <f t="shared" si="454"/>
        <v>0</v>
      </c>
      <c r="UAN39" s="987"/>
      <c r="UAO39" s="987"/>
      <c r="UAP39" s="987"/>
      <c r="UAQ39" s="987"/>
      <c r="UAR39" s="987">
        <f t="shared" si="455"/>
        <v>0</v>
      </c>
      <c r="UAS39" s="1026" t="s">
        <v>45</v>
      </c>
      <c r="UAT39" s="434"/>
      <c r="UAU39" s="1027"/>
      <c r="UAV39" s="1027"/>
      <c r="UAW39" s="24"/>
      <c r="UAX39" s="1027"/>
      <c r="UAY39" s="1027"/>
      <c r="UAZ39" s="25"/>
      <c r="UBA39" s="987">
        <f>SUM(UBA36:UBA38)</f>
        <v>0</v>
      </c>
      <c r="UBB39" s="987">
        <f t="shared" si="454"/>
        <v>0</v>
      </c>
      <c r="UBC39" s="987">
        <f t="shared" si="454"/>
        <v>0</v>
      </c>
      <c r="UBD39" s="987"/>
      <c r="UBE39" s="987"/>
      <c r="UBF39" s="987"/>
      <c r="UBG39" s="987"/>
      <c r="UBH39" s="987">
        <f t="shared" si="455"/>
        <v>0</v>
      </c>
      <c r="UBI39" s="1026" t="s">
        <v>45</v>
      </c>
      <c r="UBJ39" s="434"/>
      <c r="UBK39" s="1027"/>
      <c r="UBL39" s="1027"/>
      <c r="UBM39" s="24"/>
      <c r="UBN39" s="1027"/>
      <c r="UBO39" s="1027"/>
      <c r="UBP39" s="25"/>
      <c r="UBQ39" s="987">
        <f>SUM(UBQ36:UBQ38)</f>
        <v>0</v>
      </c>
      <c r="UBR39" s="987">
        <f t="shared" si="454"/>
        <v>0</v>
      </c>
      <c r="UBS39" s="987">
        <f t="shared" si="454"/>
        <v>0</v>
      </c>
      <c r="UBT39" s="987"/>
      <c r="UBU39" s="987"/>
      <c r="UBV39" s="987"/>
      <c r="UBW39" s="987"/>
      <c r="UBX39" s="987">
        <f t="shared" si="455"/>
        <v>0</v>
      </c>
      <c r="UBY39" s="1026" t="s">
        <v>45</v>
      </c>
      <c r="UBZ39" s="434"/>
      <c r="UCA39" s="1027"/>
      <c r="UCB39" s="1027"/>
      <c r="UCC39" s="24"/>
      <c r="UCD39" s="1027"/>
      <c r="UCE39" s="1027"/>
      <c r="UCF39" s="25"/>
      <c r="UCG39" s="987">
        <f>SUM(UCG36:UCG38)</f>
        <v>0</v>
      </c>
      <c r="UCH39" s="987">
        <f t="shared" ref="UCH39:UEE39" si="456">SUM(UCH36:UCH38)</f>
        <v>0</v>
      </c>
      <c r="UCI39" s="987">
        <f t="shared" si="456"/>
        <v>0</v>
      </c>
      <c r="UCJ39" s="987"/>
      <c r="UCK39" s="987"/>
      <c r="UCL39" s="987"/>
      <c r="UCM39" s="987"/>
      <c r="UCN39" s="987">
        <f t="shared" ref="UCN39:UEJ39" si="457">SUM(UCN36:UCN38)</f>
        <v>0</v>
      </c>
      <c r="UCO39" s="1026" t="s">
        <v>45</v>
      </c>
      <c r="UCP39" s="434"/>
      <c r="UCQ39" s="1027"/>
      <c r="UCR39" s="1027"/>
      <c r="UCS39" s="24"/>
      <c r="UCT39" s="1027"/>
      <c r="UCU39" s="1027"/>
      <c r="UCV39" s="25"/>
      <c r="UCW39" s="987">
        <f>SUM(UCW36:UCW38)</f>
        <v>0</v>
      </c>
      <c r="UCX39" s="987">
        <f t="shared" si="456"/>
        <v>0</v>
      </c>
      <c r="UCY39" s="987">
        <f t="shared" si="456"/>
        <v>0</v>
      </c>
      <c r="UCZ39" s="987"/>
      <c r="UDA39" s="987"/>
      <c r="UDB39" s="987"/>
      <c r="UDC39" s="987"/>
      <c r="UDD39" s="987">
        <f t="shared" si="457"/>
        <v>0</v>
      </c>
      <c r="UDE39" s="1026" t="s">
        <v>45</v>
      </c>
      <c r="UDF39" s="434"/>
      <c r="UDG39" s="1027"/>
      <c r="UDH39" s="1027"/>
      <c r="UDI39" s="24"/>
      <c r="UDJ39" s="1027"/>
      <c r="UDK39" s="1027"/>
      <c r="UDL39" s="25"/>
      <c r="UDM39" s="987">
        <f>SUM(UDM36:UDM38)</f>
        <v>0</v>
      </c>
      <c r="UDN39" s="987">
        <f t="shared" si="456"/>
        <v>0</v>
      </c>
      <c r="UDO39" s="987">
        <f t="shared" si="456"/>
        <v>0</v>
      </c>
      <c r="UDP39" s="987"/>
      <c r="UDQ39" s="987"/>
      <c r="UDR39" s="987"/>
      <c r="UDS39" s="987"/>
      <c r="UDT39" s="987">
        <f t="shared" si="457"/>
        <v>0</v>
      </c>
      <c r="UDU39" s="1026" t="s">
        <v>45</v>
      </c>
      <c r="UDV39" s="434"/>
      <c r="UDW39" s="1027"/>
      <c r="UDX39" s="1027"/>
      <c r="UDY39" s="24"/>
      <c r="UDZ39" s="1027"/>
      <c r="UEA39" s="1027"/>
      <c r="UEB39" s="25"/>
      <c r="UEC39" s="987">
        <f>SUM(UEC36:UEC38)</f>
        <v>0</v>
      </c>
      <c r="UED39" s="987">
        <f t="shared" si="456"/>
        <v>0</v>
      </c>
      <c r="UEE39" s="987">
        <f t="shared" si="456"/>
        <v>0</v>
      </c>
      <c r="UEF39" s="987"/>
      <c r="UEG39" s="987"/>
      <c r="UEH39" s="987"/>
      <c r="UEI39" s="987"/>
      <c r="UEJ39" s="987">
        <f t="shared" si="457"/>
        <v>0</v>
      </c>
      <c r="UEK39" s="1026" t="s">
        <v>45</v>
      </c>
      <c r="UEL39" s="434"/>
      <c r="UEM39" s="1027"/>
      <c r="UEN39" s="1027"/>
      <c r="UEO39" s="24"/>
      <c r="UEP39" s="1027"/>
      <c r="UEQ39" s="1027"/>
      <c r="UER39" s="25"/>
      <c r="UES39" s="987">
        <f>SUM(UES36:UES38)</f>
        <v>0</v>
      </c>
      <c r="UET39" s="987">
        <f t="shared" ref="UET39:UGQ39" si="458">SUM(UET36:UET38)</f>
        <v>0</v>
      </c>
      <c r="UEU39" s="987">
        <f t="shared" si="458"/>
        <v>0</v>
      </c>
      <c r="UEV39" s="987"/>
      <c r="UEW39" s="987"/>
      <c r="UEX39" s="987"/>
      <c r="UEY39" s="987"/>
      <c r="UEZ39" s="987">
        <f t="shared" ref="UEZ39:UGV39" si="459">SUM(UEZ36:UEZ38)</f>
        <v>0</v>
      </c>
      <c r="UFA39" s="1026" t="s">
        <v>45</v>
      </c>
      <c r="UFB39" s="434"/>
      <c r="UFC39" s="1027"/>
      <c r="UFD39" s="1027"/>
      <c r="UFE39" s="24"/>
      <c r="UFF39" s="1027"/>
      <c r="UFG39" s="1027"/>
      <c r="UFH39" s="25"/>
      <c r="UFI39" s="987">
        <f>SUM(UFI36:UFI38)</f>
        <v>0</v>
      </c>
      <c r="UFJ39" s="987">
        <f t="shared" si="458"/>
        <v>0</v>
      </c>
      <c r="UFK39" s="987">
        <f t="shared" si="458"/>
        <v>0</v>
      </c>
      <c r="UFL39" s="987"/>
      <c r="UFM39" s="987"/>
      <c r="UFN39" s="987"/>
      <c r="UFO39" s="987"/>
      <c r="UFP39" s="987">
        <f t="shared" si="459"/>
        <v>0</v>
      </c>
      <c r="UFQ39" s="1026" t="s">
        <v>45</v>
      </c>
      <c r="UFR39" s="434"/>
      <c r="UFS39" s="1027"/>
      <c r="UFT39" s="1027"/>
      <c r="UFU39" s="24"/>
      <c r="UFV39" s="1027"/>
      <c r="UFW39" s="1027"/>
      <c r="UFX39" s="25"/>
      <c r="UFY39" s="987">
        <f>SUM(UFY36:UFY38)</f>
        <v>0</v>
      </c>
      <c r="UFZ39" s="987">
        <f t="shared" si="458"/>
        <v>0</v>
      </c>
      <c r="UGA39" s="987">
        <f t="shared" si="458"/>
        <v>0</v>
      </c>
      <c r="UGB39" s="987"/>
      <c r="UGC39" s="987"/>
      <c r="UGD39" s="987"/>
      <c r="UGE39" s="987"/>
      <c r="UGF39" s="987">
        <f t="shared" si="459"/>
        <v>0</v>
      </c>
      <c r="UGG39" s="1026" t="s">
        <v>45</v>
      </c>
      <c r="UGH39" s="434"/>
      <c r="UGI39" s="1027"/>
      <c r="UGJ39" s="1027"/>
      <c r="UGK39" s="24"/>
      <c r="UGL39" s="1027"/>
      <c r="UGM39" s="1027"/>
      <c r="UGN39" s="25"/>
      <c r="UGO39" s="987">
        <f>SUM(UGO36:UGO38)</f>
        <v>0</v>
      </c>
      <c r="UGP39" s="987">
        <f t="shared" si="458"/>
        <v>0</v>
      </c>
      <c r="UGQ39" s="987">
        <f t="shared" si="458"/>
        <v>0</v>
      </c>
      <c r="UGR39" s="987"/>
      <c r="UGS39" s="987"/>
      <c r="UGT39" s="987"/>
      <c r="UGU39" s="987"/>
      <c r="UGV39" s="987">
        <f t="shared" si="459"/>
        <v>0</v>
      </c>
      <c r="UGW39" s="1026" t="s">
        <v>45</v>
      </c>
      <c r="UGX39" s="434"/>
      <c r="UGY39" s="1027"/>
      <c r="UGZ39" s="1027"/>
      <c r="UHA39" s="24"/>
      <c r="UHB39" s="1027"/>
      <c r="UHC39" s="1027"/>
      <c r="UHD39" s="25"/>
      <c r="UHE39" s="987">
        <f>SUM(UHE36:UHE38)</f>
        <v>0</v>
      </c>
      <c r="UHF39" s="987">
        <f t="shared" ref="UHF39:UJC39" si="460">SUM(UHF36:UHF38)</f>
        <v>0</v>
      </c>
      <c r="UHG39" s="987">
        <f t="shared" si="460"/>
        <v>0</v>
      </c>
      <c r="UHH39" s="987"/>
      <c r="UHI39" s="987"/>
      <c r="UHJ39" s="987"/>
      <c r="UHK39" s="987"/>
      <c r="UHL39" s="987">
        <f t="shared" ref="UHL39:UJH39" si="461">SUM(UHL36:UHL38)</f>
        <v>0</v>
      </c>
      <c r="UHM39" s="1026" t="s">
        <v>45</v>
      </c>
      <c r="UHN39" s="434"/>
      <c r="UHO39" s="1027"/>
      <c r="UHP39" s="1027"/>
      <c r="UHQ39" s="24"/>
      <c r="UHR39" s="1027"/>
      <c r="UHS39" s="1027"/>
      <c r="UHT39" s="25"/>
      <c r="UHU39" s="987">
        <f>SUM(UHU36:UHU38)</f>
        <v>0</v>
      </c>
      <c r="UHV39" s="987">
        <f t="shared" si="460"/>
        <v>0</v>
      </c>
      <c r="UHW39" s="987">
        <f t="shared" si="460"/>
        <v>0</v>
      </c>
      <c r="UHX39" s="987"/>
      <c r="UHY39" s="987"/>
      <c r="UHZ39" s="987"/>
      <c r="UIA39" s="987"/>
      <c r="UIB39" s="987">
        <f t="shared" si="461"/>
        <v>0</v>
      </c>
      <c r="UIC39" s="1026" t="s">
        <v>45</v>
      </c>
      <c r="UID39" s="434"/>
      <c r="UIE39" s="1027"/>
      <c r="UIF39" s="1027"/>
      <c r="UIG39" s="24"/>
      <c r="UIH39" s="1027"/>
      <c r="UII39" s="1027"/>
      <c r="UIJ39" s="25"/>
      <c r="UIK39" s="987">
        <f>SUM(UIK36:UIK38)</f>
        <v>0</v>
      </c>
      <c r="UIL39" s="987">
        <f t="shared" si="460"/>
        <v>0</v>
      </c>
      <c r="UIM39" s="987">
        <f t="shared" si="460"/>
        <v>0</v>
      </c>
      <c r="UIN39" s="987"/>
      <c r="UIO39" s="987"/>
      <c r="UIP39" s="987"/>
      <c r="UIQ39" s="987"/>
      <c r="UIR39" s="987">
        <f t="shared" si="461"/>
        <v>0</v>
      </c>
      <c r="UIS39" s="1026" t="s">
        <v>45</v>
      </c>
      <c r="UIT39" s="434"/>
      <c r="UIU39" s="1027"/>
      <c r="UIV39" s="1027"/>
      <c r="UIW39" s="24"/>
      <c r="UIX39" s="1027"/>
      <c r="UIY39" s="1027"/>
      <c r="UIZ39" s="25"/>
      <c r="UJA39" s="987">
        <f>SUM(UJA36:UJA38)</f>
        <v>0</v>
      </c>
      <c r="UJB39" s="987">
        <f t="shared" si="460"/>
        <v>0</v>
      </c>
      <c r="UJC39" s="987">
        <f t="shared" si="460"/>
        <v>0</v>
      </c>
      <c r="UJD39" s="987"/>
      <c r="UJE39" s="987"/>
      <c r="UJF39" s="987"/>
      <c r="UJG39" s="987"/>
      <c r="UJH39" s="987">
        <f t="shared" si="461"/>
        <v>0</v>
      </c>
      <c r="UJI39" s="1026" t="s">
        <v>45</v>
      </c>
      <c r="UJJ39" s="434"/>
      <c r="UJK39" s="1027"/>
      <c r="UJL39" s="1027"/>
      <c r="UJM39" s="24"/>
      <c r="UJN39" s="1027"/>
      <c r="UJO39" s="1027"/>
      <c r="UJP39" s="25"/>
      <c r="UJQ39" s="987">
        <f>SUM(UJQ36:UJQ38)</f>
        <v>0</v>
      </c>
      <c r="UJR39" s="987">
        <f t="shared" ref="UJR39:ULO39" si="462">SUM(UJR36:UJR38)</f>
        <v>0</v>
      </c>
      <c r="UJS39" s="987">
        <f t="shared" si="462"/>
        <v>0</v>
      </c>
      <c r="UJT39" s="987"/>
      <c r="UJU39" s="987"/>
      <c r="UJV39" s="987"/>
      <c r="UJW39" s="987"/>
      <c r="UJX39" s="987">
        <f t="shared" ref="UJX39:ULT39" si="463">SUM(UJX36:UJX38)</f>
        <v>0</v>
      </c>
      <c r="UJY39" s="1026" t="s">
        <v>45</v>
      </c>
      <c r="UJZ39" s="434"/>
      <c r="UKA39" s="1027"/>
      <c r="UKB39" s="1027"/>
      <c r="UKC39" s="24"/>
      <c r="UKD39" s="1027"/>
      <c r="UKE39" s="1027"/>
      <c r="UKF39" s="25"/>
      <c r="UKG39" s="987">
        <f>SUM(UKG36:UKG38)</f>
        <v>0</v>
      </c>
      <c r="UKH39" s="987">
        <f t="shared" si="462"/>
        <v>0</v>
      </c>
      <c r="UKI39" s="987">
        <f t="shared" si="462"/>
        <v>0</v>
      </c>
      <c r="UKJ39" s="987"/>
      <c r="UKK39" s="987"/>
      <c r="UKL39" s="987"/>
      <c r="UKM39" s="987"/>
      <c r="UKN39" s="987">
        <f t="shared" si="463"/>
        <v>0</v>
      </c>
      <c r="UKO39" s="1026" t="s">
        <v>45</v>
      </c>
      <c r="UKP39" s="434"/>
      <c r="UKQ39" s="1027"/>
      <c r="UKR39" s="1027"/>
      <c r="UKS39" s="24"/>
      <c r="UKT39" s="1027"/>
      <c r="UKU39" s="1027"/>
      <c r="UKV39" s="25"/>
      <c r="UKW39" s="987">
        <f>SUM(UKW36:UKW38)</f>
        <v>0</v>
      </c>
      <c r="UKX39" s="987">
        <f t="shared" si="462"/>
        <v>0</v>
      </c>
      <c r="UKY39" s="987">
        <f t="shared" si="462"/>
        <v>0</v>
      </c>
      <c r="UKZ39" s="987"/>
      <c r="ULA39" s="987"/>
      <c r="ULB39" s="987"/>
      <c r="ULC39" s="987"/>
      <c r="ULD39" s="987">
        <f t="shared" si="463"/>
        <v>0</v>
      </c>
      <c r="ULE39" s="1026" t="s">
        <v>45</v>
      </c>
      <c r="ULF39" s="434"/>
      <c r="ULG39" s="1027"/>
      <c r="ULH39" s="1027"/>
      <c r="ULI39" s="24"/>
      <c r="ULJ39" s="1027"/>
      <c r="ULK39" s="1027"/>
      <c r="ULL39" s="25"/>
      <c r="ULM39" s="987">
        <f>SUM(ULM36:ULM38)</f>
        <v>0</v>
      </c>
      <c r="ULN39" s="987">
        <f t="shared" si="462"/>
        <v>0</v>
      </c>
      <c r="ULO39" s="987">
        <f t="shared" si="462"/>
        <v>0</v>
      </c>
      <c r="ULP39" s="987"/>
      <c r="ULQ39" s="987"/>
      <c r="ULR39" s="987"/>
      <c r="ULS39" s="987"/>
      <c r="ULT39" s="987">
        <f t="shared" si="463"/>
        <v>0</v>
      </c>
      <c r="ULU39" s="1026" t="s">
        <v>45</v>
      </c>
      <c r="ULV39" s="434"/>
      <c r="ULW39" s="1027"/>
      <c r="ULX39" s="1027"/>
      <c r="ULY39" s="24"/>
      <c r="ULZ39" s="1027"/>
      <c r="UMA39" s="1027"/>
      <c r="UMB39" s="25"/>
      <c r="UMC39" s="987">
        <f>SUM(UMC36:UMC38)</f>
        <v>0</v>
      </c>
      <c r="UMD39" s="987">
        <f t="shared" ref="UMD39:UOA39" si="464">SUM(UMD36:UMD38)</f>
        <v>0</v>
      </c>
      <c r="UME39" s="987">
        <f t="shared" si="464"/>
        <v>0</v>
      </c>
      <c r="UMF39" s="987"/>
      <c r="UMG39" s="987"/>
      <c r="UMH39" s="987"/>
      <c r="UMI39" s="987"/>
      <c r="UMJ39" s="987">
        <f t="shared" ref="UMJ39:UOF39" si="465">SUM(UMJ36:UMJ38)</f>
        <v>0</v>
      </c>
      <c r="UMK39" s="1026" t="s">
        <v>45</v>
      </c>
      <c r="UML39" s="434"/>
      <c r="UMM39" s="1027"/>
      <c r="UMN39" s="1027"/>
      <c r="UMO39" s="24"/>
      <c r="UMP39" s="1027"/>
      <c r="UMQ39" s="1027"/>
      <c r="UMR39" s="25"/>
      <c r="UMS39" s="987">
        <f>SUM(UMS36:UMS38)</f>
        <v>0</v>
      </c>
      <c r="UMT39" s="987">
        <f t="shared" si="464"/>
        <v>0</v>
      </c>
      <c r="UMU39" s="987">
        <f t="shared" si="464"/>
        <v>0</v>
      </c>
      <c r="UMV39" s="987"/>
      <c r="UMW39" s="987"/>
      <c r="UMX39" s="987"/>
      <c r="UMY39" s="987"/>
      <c r="UMZ39" s="987">
        <f t="shared" si="465"/>
        <v>0</v>
      </c>
      <c r="UNA39" s="1026" t="s">
        <v>45</v>
      </c>
      <c r="UNB39" s="434"/>
      <c r="UNC39" s="1027"/>
      <c r="UND39" s="1027"/>
      <c r="UNE39" s="24"/>
      <c r="UNF39" s="1027"/>
      <c r="UNG39" s="1027"/>
      <c r="UNH39" s="25"/>
      <c r="UNI39" s="987">
        <f>SUM(UNI36:UNI38)</f>
        <v>0</v>
      </c>
      <c r="UNJ39" s="987">
        <f t="shared" si="464"/>
        <v>0</v>
      </c>
      <c r="UNK39" s="987">
        <f t="shared" si="464"/>
        <v>0</v>
      </c>
      <c r="UNL39" s="987"/>
      <c r="UNM39" s="987"/>
      <c r="UNN39" s="987"/>
      <c r="UNO39" s="987"/>
      <c r="UNP39" s="987">
        <f t="shared" si="465"/>
        <v>0</v>
      </c>
      <c r="UNQ39" s="1026" t="s">
        <v>45</v>
      </c>
      <c r="UNR39" s="434"/>
      <c r="UNS39" s="1027"/>
      <c r="UNT39" s="1027"/>
      <c r="UNU39" s="24"/>
      <c r="UNV39" s="1027"/>
      <c r="UNW39" s="1027"/>
      <c r="UNX39" s="25"/>
      <c r="UNY39" s="987">
        <f>SUM(UNY36:UNY38)</f>
        <v>0</v>
      </c>
      <c r="UNZ39" s="987">
        <f t="shared" si="464"/>
        <v>0</v>
      </c>
      <c r="UOA39" s="987">
        <f t="shared" si="464"/>
        <v>0</v>
      </c>
      <c r="UOB39" s="987"/>
      <c r="UOC39" s="987"/>
      <c r="UOD39" s="987"/>
      <c r="UOE39" s="987"/>
      <c r="UOF39" s="987">
        <f t="shared" si="465"/>
        <v>0</v>
      </c>
      <c r="UOG39" s="1026" t="s">
        <v>45</v>
      </c>
      <c r="UOH39" s="434"/>
      <c r="UOI39" s="1027"/>
      <c r="UOJ39" s="1027"/>
      <c r="UOK39" s="24"/>
      <c r="UOL39" s="1027"/>
      <c r="UOM39" s="1027"/>
      <c r="UON39" s="25"/>
      <c r="UOO39" s="987">
        <f>SUM(UOO36:UOO38)</f>
        <v>0</v>
      </c>
      <c r="UOP39" s="987">
        <f t="shared" ref="UOP39:UQM39" si="466">SUM(UOP36:UOP38)</f>
        <v>0</v>
      </c>
      <c r="UOQ39" s="987">
        <f t="shared" si="466"/>
        <v>0</v>
      </c>
      <c r="UOR39" s="987"/>
      <c r="UOS39" s="987"/>
      <c r="UOT39" s="987"/>
      <c r="UOU39" s="987"/>
      <c r="UOV39" s="987">
        <f t="shared" ref="UOV39:UQR39" si="467">SUM(UOV36:UOV38)</f>
        <v>0</v>
      </c>
      <c r="UOW39" s="1026" t="s">
        <v>45</v>
      </c>
      <c r="UOX39" s="434"/>
      <c r="UOY39" s="1027"/>
      <c r="UOZ39" s="1027"/>
      <c r="UPA39" s="24"/>
      <c r="UPB39" s="1027"/>
      <c r="UPC39" s="1027"/>
      <c r="UPD39" s="25"/>
      <c r="UPE39" s="987">
        <f>SUM(UPE36:UPE38)</f>
        <v>0</v>
      </c>
      <c r="UPF39" s="987">
        <f t="shared" si="466"/>
        <v>0</v>
      </c>
      <c r="UPG39" s="987">
        <f t="shared" si="466"/>
        <v>0</v>
      </c>
      <c r="UPH39" s="987"/>
      <c r="UPI39" s="987"/>
      <c r="UPJ39" s="987"/>
      <c r="UPK39" s="987"/>
      <c r="UPL39" s="987">
        <f t="shared" si="467"/>
        <v>0</v>
      </c>
      <c r="UPM39" s="1026" t="s">
        <v>45</v>
      </c>
      <c r="UPN39" s="434"/>
      <c r="UPO39" s="1027"/>
      <c r="UPP39" s="1027"/>
      <c r="UPQ39" s="24"/>
      <c r="UPR39" s="1027"/>
      <c r="UPS39" s="1027"/>
      <c r="UPT39" s="25"/>
      <c r="UPU39" s="987">
        <f>SUM(UPU36:UPU38)</f>
        <v>0</v>
      </c>
      <c r="UPV39" s="987">
        <f t="shared" si="466"/>
        <v>0</v>
      </c>
      <c r="UPW39" s="987">
        <f t="shared" si="466"/>
        <v>0</v>
      </c>
      <c r="UPX39" s="987"/>
      <c r="UPY39" s="987"/>
      <c r="UPZ39" s="987"/>
      <c r="UQA39" s="987"/>
      <c r="UQB39" s="987">
        <f t="shared" si="467"/>
        <v>0</v>
      </c>
      <c r="UQC39" s="1026" t="s">
        <v>45</v>
      </c>
      <c r="UQD39" s="434"/>
      <c r="UQE39" s="1027"/>
      <c r="UQF39" s="1027"/>
      <c r="UQG39" s="24"/>
      <c r="UQH39" s="1027"/>
      <c r="UQI39" s="1027"/>
      <c r="UQJ39" s="25"/>
      <c r="UQK39" s="987">
        <f>SUM(UQK36:UQK38)</f>
        <v>0</v>
      </c>
      <c r="UQL39" s="987">
        <f t="shared" si="466"/>
        <v>0</v>
      </c>
      <c r="UQM39" s="987">
        <f t="shared" si="466"/>
        <v>0</v>
      </c>
      <c r="UQN39" s="987"/>
      <c r="UQO39" s="987"/>
      <c r="UQP39" s="987"/>
      <c r="UQQ39" s="987"/>
      <c r="UQR39" s="987">
        <f t="shared" si="467"/>
        <v>0</v>
      </c>
      <c r="UQS39" s="1026" t="s">
        <v>45</v>
      </c>
      <c r="UQT39" s="434"/>
      <c r="UQU39" s="1027"/>
      <c r="UQV39" s="1027"/>
      <c r="UQW39" s="24"/>
      <c r="UQX39" s="1027"/>
      <c r="UQY39" s="1027"/>
      <c r="UQZ39" s="25"/>
      <c r="URA39" s="987">
        <f>SUM(URA36:URA38)</f>
        <v>0</v>
      </c>
      <c r="URB39" s="987">
        <f t="shared" ref="URB39:USY39" si="468">SUM(URB36:URB38)</f>
        <v>0</v>
      </c>
      <c r="URC39" s="987">
        <f t="shared" si="468"/>
        <v>0</v>
      </c>
      <c r="URD39" s="987"/>
      <c r="URE39" s="987"/>
      <c r="URF39" s="987"/>
      <c r="URG39" s="987"/>
      <c r="URH39" s="987">
        <f t="shared" ref="URH39:UTD39" si="469">SUM(URH36:URH38)</f>
        <v>0</v>
      </c>
      <c r="URI39" s="1026" t="s">
        <v>45</v>
      </c>
      <c r="URJ39" s="434"/>
      <c r="URK39" s="1027"/>
      <c r="URL39" s="1027"/>
      <c r="URM39" s="24"/>
      <c r="URN39" s="1027"/>
      <c r="URO39" s="1027"/>
      <c r="URP39" s="25"/>
      <c r="URQ39" s="987">
        <f>SUM(URQ36:URQ38)</f>
        <v>0</v>
      </c>
      <c r="URR39" s="987">
        <f t="shared" si="468"/>
        <v>0</v>
      </c>
      <c r="URS39" s="987">
        <f t="shared" si="468"/>
        <v>0</v>
      </c>
      <c r="URT39" s="987"/>
      <c r="URU39" s="987"/>
      <c r="URV39" s="987"/>
      <c r="URW39" s="987"/>
      <c r="URX39" s="987">
        <f t="shared" si="469"/>
        <v>0</v>
      </c>
      <c r="URY39" s="1026" t="s">
        <v>45</v>
      </c>
      <c r="URZ39" s="434"/>
      <c r="USA39" s="1027"/>
      <c r="USB39" s="1027"/>
      <c r="USC39" s="24"/>
      <c r="USD39" s="1027"/>
      <c r="USE39" s="1027"/>
      <c r="USF39" s="25"/>
      <c r="USG39" s="987">
        <f>SUM(USG36:USG38)</f>
        <v>0</v>
      </c>
      <c r="USH39" s="987">
        <f t="shared" si="468"/>
        <v>0</v>
      </c>
      <c r="USI39" s="987">
        <f t="shared" si="468"/>
        <v>0</v>
      </c>
      <c r="USJ39" s="987"/>
      <c r="USK39" s="987"/>
      <c r="USL39" s="987"/>
      <c r="USM39" s="987"/>
      <c r="USN39" s="987">
        <f t="shared" si="469"/>
        <v>0</v>
      </c>
      <c r="USO39" s="1026" t="s">
        <v>45</v>
      </c>
      <c r="USP39" s="434"/>
      <c r="USQ39" s="1027"/>
      <c r="USR39" s="1027"/>
      <c r="USS39" s="24"/>
      <c r="UST39" s="1027"/>
      <c r="USU39" s="1027"/>
      <c r="USV39" s="25"/>
      <c r="USW39" s="987">
        <f>SUM(USW36:USW38)</f>
        <v>0</v>
      </c>
      <c r="USX39" s="987">
        <f t="shared" si="468"/>
        <v>0</v>
      </c>
      <c r="USY39" s="987">
        <f t="shared" si="468"/>
        <v>0</v>
      </c>
      <c r="USZ39" s="987"/>
      <c r="UTA39" s="987"/>
      <c r="UTB39" s="987"/>
      <c r="UTC39" s="987"/>
      <c r="UTD39" s="987">
        <f t="shared" si="469"/>
        <v>0</v>
      </c>
      <c r="UTE39" s="1026" t="s">
        <v>45</v>
      </c>
      <c r="UTF39" s="434"/>
      <c r="UTG39" s="1027"/>
      <c r="UTH39" s="1027"/>
      <c r="UTI39" s="24"/>
      <c r="UTJ39" s="1027"/>
      <c r="UTK39" s="1027"/>
      <c r="UTL39" s="25"/>
      <c r="UTM39" s="987">
        <f>SUM(UTM36:UTM38)</f>
        <v>0</v>
      </c>
      <c r="UTN39" s="987">
        <f t="shared" ref="UTN39:UVK39" si="470">SUM(UTN36:UTN38)</f>
        <v>0</v>
      </c>
      <c r="UTO39" s="987">
        <f t="shared" si="470"/>
        <v>0</v>
      </c>
      <c r="UTP39" s="987"/>
      <c r="UTQ39" s="987"/>
      <c r="UTR39" s="987"/>
      <c r="UTS39" s="987"/>
      <c r="UTT39" s="987">
        <f t="shared" ref="UTT39:UVP39" si="471">SUM(UTT36:UTT38)</f>
        <v>0</v>
      </c>
      <c r="UTU39" s="1026" t="s">
        <v>45</v>
      </c>
      <c r="UTV39" s="434"/>
      <c r="UTW39" s="1027"/>
      <c r="UTX39" s="1027"/>
      <c r="UTY39" s="24"/>
      <c r="UTZ39" s="1027"/>
      <c r="UUA39" s="1027"/>
      <c r="UUB39" s="25"/>
      <c r="UUC39" s="987">
        <f>SUM(UUC36:UUC38)</f>
        <v>0</v>
      </c>
      <c r="UUD39" s="987">
        <f t="shared" si="470"/>
        <v>0</v>
      </c>
      <c r="UUE39" s="987">
        <f t="shared" si="470"/>
        <v>0</v>
      </c>
      <c r="UUF39" s="987"/>
      <c r="UUG39" s="987"/>
      <c r="UUH39" s="987"/>
      <c r="UUI39" s="987"/>
      <c r="UUJ39" s="987">
        <f t="shared" si="471"/>
        <v>0</v>
      </c>
      <c r="UUK39" s="1026" t="s">
        <v>45</v>
      </c>
      <c r="UUL39" s="434"/>
      <c r="UUM39" s="1027"/>
      <c r="UUN39" s="1027"/>
      <c r="UUO39" s="24"/>
      <c r="UUP39" s="1027"/>
      <c r="UUQ39" s="1027"/>
      <c r="UUR39" s="25"/>
      <c r="UUS39" s="987">
        <f>SUM(UUS36:UUS38)</f>
        <v>0</v>
      </c>
      <c r="UUT39" s="987">
        <f t="shared" si="470"/>
        <v>0</v>
      </c>
      <c r="UUU39" s="987">
        <f t="shared" si="470"/>
        <v>0</v>
      </c>
      <c r="UUV39" s="987"/>
      <c r="UUW39" s="987"/>
      <c r="UUX39" s="987"/>
      <c r="UUY39" s="987"/>
      <c r="UUZ39" s="987">
        <f t="shared" si="471"/>
        <v>0</v>
      </c>
      <c r="UVA39" s="1026" t="s">
        <v>45</v>
      </c>
      <c r="UVB39" s="434"/>
      <c r="UVC39" s="1027"/>
      <c r="UVD39" s="1027"/>
      <c r="UVE39" s="24"/>
      <c r="UVF39" s="1027"/>
      <c r="UVG39" s="1027"/>
      <c r="UVH39" s="25"/>
      <c r="UVI39" s="987">
        <f>SUM(UVI36:UVI38)</f>
        <v>0</v>
      </c>
      <c r="UVJ39" s="987">
        <f t="shared" si="470"/>
        <v>0</v>
      </c>
      <c r="UVK39" s="987">
        <f t="shared" si="470"/>
        <v>0</v>
      </c>
      <c r="UVL39" s="987"/>
      <c r="UVM39" s="987"/>
      <c r="UVN39" s="987"/>
      <c r="UVO39" s="987"/>
      <c r="UVP39" s="987">
        <f t="shared" si="471"/>
        <v>0</v>
      </c>
      <c r="UVQ39" s="1026" t="s">
        <v>45</v>
      </c>
      <c r="UVR39" s="434"/>
      <c r="UVS39" s="1027"/>
      <c r="UVT39" s="1027"/>
      <c r="UVU39" s="24"/>
      <c r="UVV39" s="1027"/>
      <c r="UVW39" s="1027"/>
      <c r="UVX39" s="25"/>
      <c r="UVY39" s="987">
        <f>SUM(UVY36:UVY38)</f>
        <v>0</v>
      </c>
      <c r="UVZ39" s="987">
        <f t="shared" ref="UVZ39:UXW39" si="472">SUM(UVZ36:UVZ38)</f>
        <v>0</v>
      </c>
      <c r="UWA39" s="987">
        <f t="shared" si="472"/>
        <v>0</v>
      </c>
      <c r="UWB39" s="987"/>
      <c r="UWC39" s="987"/>
      <c r="UWD39" s="987"/>
      <c r="UWE39" s="987"/>
      <c r="UWF39" s="987">
        <f t="shared" ref="UWF39:UYB39" si="473">SUM(UWF36:UWF38)</f>
        <v>0</v>
      </c>
      <c r="UWG39" s="1026" t="s">
        <v>45</v>
      </c>
      <c r="UWH39" s="434"/>
      <c r="UWI39" s="1027"/>
      <c r="UWJ39" s="1027"/>
      <c r="UWK39" s="24"/>
      <c r="UWL39" s="1027"/>
      <c r="UWM39" s="1027"/>
      <c r="UWN39" s="25"/>
      <c r="UWO39" s="987">
        <f>SUM(UWO36:UWO38)</f>
        <v>0</v>
      </c>
      <c r="UWP39" s="987">
        <f t="shared" si="472"/>
        <v>0</v>
      </c>
      <c r="UWQ39" s="987">
        <f t="shared" si="472"/>
        <v>0</v>
      </c>
      <c r="UWR39" s="987"/>
      <c r="UWS39" s="987"/>
      <c r="UWT39" s="987"/>
      <c r="UWU39" s="987"/>
      <c r="UWV39" s="987">
        <f t="shared" si="473"/>
        <v>0</v>
      </c>
      <c r="UWW39" s="1026" t="s">
        <v>45</v>
      </c>
      <c r="UWX39" s="434"/>
      <c r="UWY39" s="1027"/>
      <c r="UWZ39" s="1027"/>
      <c r="UXA39" s="24"/>
      <c r="UXB39" s="1027"/>
      <c r="UXC39" s="1027"/>
      <c r="UXD39" s="25"/>
      <c r="UXE39" s="987">
        <f>SUM(UXE36:UXE38)</f>
        <v>0</v>
      </c>
      <c r="UXF39" s="987">
        <f t="shared" si="472"/>
        <v>0</v>
      </c>
      <c r="UXG39" s="987">
        <f t="shared" si="472"/>
        <v>0</v>
      </c>
      <c r="UXH39" s="987"/>
      <c r="UXI39" s="987"/>
      <c r="UXJ39" s="987"/>
      <c r="UXK39" s="987"/>
      <c r="UXL39" s="987">
        <f t="shared" si="473"/>
        <v>0</v>
      </c>
      <c r="UXM39" s="1026" t="s">
        <v>45</v>
      </c>
      <c r="UXN39" s="434"/>
      <c r="UXO39" s="1027"/>
      <c r="UXP39" s="1027"/>
      <c r="UXQ39" s="24"/>
      <c r="UXR39" s="1027"/>
      <c r="UXS39" s="1027"/>
      <c r="UXT39" s="25"/>
      <c r="UXU39" s="987">
        <f>SUM(UXU36:UXU38)</f>
        <v>0</v>
      </c>
      <c r="UXV39" s="987">
        <f t="shared" si="472"/>
        <v>0</v>
      </c>
      <c r="UXW39" s="987">
        <f t="shared" si="472"/>
        <v>0</v>
      </c>
      <c r="UXX39" s="987"/>
      <c r="UXY39" s="987"/>
      <c r="UXZ39" s="987"/>
      <c r="UYA39" s="987"/>
      <c r="UYB39" s="987">
        <f t="shared" si="473"/>
        <v>0</v>
      </c>
      <c r="UYC39" s="1026" t="s">
        <v>45</v>
      </c>
      <c r="UYD39" s="434"/>
      <c r="UYE39" s="1027"/>
      <c r="UYF39" s="1027"/>
      <c r="UYG39" s="24"/>
      <c r="UYH39" s="1027"/>
      <c r="UYI39" s="1027"/>
      <c r="UYJ39" s="25"/>
      <c r="UYK39" s="987">
        <f>SUM(UYK36:UYK38)</f>
        <v>0</v>
      </c>
      <c r="UYL39" s="987">
        <f t="shared" ref="UYL39:VAI39" si="474">SUM(UYL36:UYL38)</f>
        <v>0</v>
      </c>
      <c r="UYM39" s="987">
        <f t="shared" si="474"/>
        <v>0</v>
      </c>
      <c r="UYN39" s="987"/>
      <c r="UYO39" s="987"/>
      <c r="UYP39" s="987"/>
      <c r="UYQ39" s="987"/>
      <c r="UYR39" s="987">
        <f t="shared" ref="UYR39:VAN39" si="475">SUM(UYR36:UYR38)</f>
        <v>0</v>
      </c>
      <c r="UYS39" s="1026" t="s">
        <v>45</v>
      </c>
      <c r="UYT39" s="434"/>
      <c r="UYU39" s="1027"/>
      <c r="UYV39" s="1027"/>
      <c r="UYW39" s="24"/>
      <c r="UYX39" s="1027"/>
      <c r="UYY39" s="1027"/>
      <c r="UYZ39" s="25"/>
      <c r="UZA39" s="987">
        <f>SUM(UZA36:UZA38)</f>
        <v>0</v>
      </c>
      <c r="UZB39" s="987">
        <f t="shared" si="474"/>
        <v>0</v>
      </c>
      <c r="UZC39" s="987">
        <f t="shared" si="474"/>
        <v>0</v>
      </c>
      <c r="UZD39" s="987"/>
      <c r="UZE39" s="987"/>
      <c r="UZF39" s="987"/>
      <c r="UZG39" s="987"/>
      <c r="UZH39" s="987">
        <f t="shared" si="475"/>
        <v>0</v>
      </c>
      <c r="UZI39" s="1026" t="s">
        <v>45</v>
      </c>
      <c r="UZJ39" s="434"/>
      <c r="UZK39" s="1027"/>
      <c r="UZL39" s="1027"/>
      <c r="UZM39" s="24"/>
      <c r="UZN39" s="1027"/>
      <c r="UZO39" s="1027"/>
      <c r="UZP39" s="25"/>
      <c r="UZQ39" s="987">
        <f>SUM(UZQ36:UZQ38)</f>
        <v>0</v>
      </c>
      <c r="UZR39" s="987">
        <f t="shared" si="474"/>
        <v>0</v>
      </c>
      <c r="UZS39" s="987">
        <f t="shared" si="474"/>
        <v>0</v>
      </c>
      <c r="UZT39" s="987"/>
      <c r="UZU39" s="987"/>
      <c r="UZV39" s="987"/>
      <c r="UZW39" s="987"/>
      <c r="UZX39" s="987">
        <f t="shared" si="475"/>
        <v>0</v>
      </c>
      <c r="UZY39" s="1026" t="s">
        <v>45</v>
      </c>
      <c r="UZZ39" s="434"/>
      <c r="VAA39" s="1027"/>
      <c r="VAB39" s="1027"/>
      <c r="VAC39" s="24"/>
      <c r="VAD39" s="1027"/>
      <c r="VAE39" s="1027"/>
      <c r="VAF39" s="25"/>
      <c r="VAG39" s="987">
        <f>SUM(VAG36:VAG38)</f>
        <v>0</v>
      </c>
      <c r="VAH39" s="987">
        <f t="shared" si="474"/>
        <v>0</v>
      </c>
      <c r="VAI39" s="987">
        <f t="shared" si="474"/>
        <v>0</v>
      </c>
      <c r="VAJ39" s="987"/>
      <c r="VAK39" s="987"/>
      <c r="VAL39" s="987"/>
      <c r="VAM39" s="987"/>
      <c r="VAN39" s="987">
        <f t="shared" si="475"/>
        <v>0</v>
      </c>
      <c r="VAO39" s="1026" t="s">
        <v>45</v>
      </c>
      <c r="VAP39" s="434"/>
      <c r="VAQ39" s="1027"/>
      <c r="VAR39" s="1027"/>
      <c r="VAS39" s="24"/>
      <c r="VAT39" s="1027"/>
      <c r="VAU39" s="1027"/>
      <c r="VAV39" s="25"/>
      <c r="VAW39" s="987">
        <f>SUM(VAW36:VAW38)</f>
        <v>0</v>
      </c>
      <c r="VAX39" s="987">
        <f t="shared" ref="VAX39:VCU39" si="476">SUM(VAX36:VAX38)</f>
        <v>0</v>
      </c>
      <c r="VAY39" s="987">
        <f t="shared" si="476"/>
        <v>0</v>
      </c>
      <c r="VAZ39" s="987"/>
      <c r="VBA39" s="987"/>
      <c r="VBB39" s="987"/>
      <c r="VBC39" s="987"/>
      <c r="VBD39" s="987">
        <f t="shared" ref="VBD39:VCZ39" si="477">SUM(VBD36:VBD38)</f>
        <v>0</v>
      </c>
      <c r="VBE39" s="1026" t="s">
        <v>45</v>
      </c>
      <c r="VBF39" s="434"/>
      <c r="VBG39" s="1027"/>
      <c r="VBH39" s="1027"/>
      <c r="VBI39" s="24"/>
      <c r="VBJ39" s="1027"/>
      <c r="VBK39" s="1027"/>
      <c r="VBL39" s="25"/>
      <c r="VBM39" s="987">
        <f>SUM(VBM36:VBM38)</f>
        <v>0</v>
      </c>
      <c r="VBN39" s="987">
        <f t="shared" si="476"/>
        <v>0</v>
      </c>
      <c r="VBO39" s="987">
        <f t="shared" si="476"/>
        <v>0</v>
      </c>
      <c r="VBP39" s="987"/>
      <c r="VBQ39" s="987"/>
      <c r="VBR39" s="987"/>
      <c r="VBS39" s="987"/>
      <c r="VBT39" s="987">
        <f t="shared" si="477"/>
        <v>0</v>
      </c>
      <c r="VBU39" s="1026" t="s">
        <v>45</v>
      </c>
      <c r="VBV39" s="434"/>
      <c r="VBW39" s="1027"/>
      <c r="VBX39" s="1027"/>
      <c r="VBY39" s="24"/>
      <c r="VBZ39" s="1027"/>
      <c r="VCA39" s="1027"/>
      <c r="VCB39" s="25"/>
      <c r="VCC39" s="987">
        <f>SUM(VCC36:VCC38)</f>
        <v>0</v>
      </c>
      <c r="VCD39" s="987">
        <f t="shared" si="476"/>
        <v>0</v>
      </c>
      <c r="VCE39" s="987">
        <f t="shared" si="476"/>
        <v>0</v>
      </c>
      <c r="VCF39" s="987"/>
      <c r="VCG39" s="987"/>
      <c r="VCH39" s="987"/>
      <c r="VCI39" s="987"/>
      <c r="VCJ39" s="987">
        <f t="shared" si="477"/>
        <v>0</v>
      </c>
      <c r="VCK39" s="1026" t="s">
        <v>45</v>
      </c>
      <c r="VCL39" s="434"/>
      <c r="VCM39" s="1027"/>
      <c r="VCN39" s="1027"/>
      <c r="VCO39" s="24"/>
      <c r="VCP39" s="1027"/>
      <c r="VCQ39" s="1027"/>
      <c r="VCR39" s="25"/>
      <c r="VCS39" s="987">
        <f>SUM(VCS36:VCS38)</f>
        <v>0</v>
      </c>
      <c r="VCT39" s="987">
        <f t="shared" si="476"/>
        <v>0</v>
      </c>
      <c r="VCU39" s="987">
        <f t="shared" si="476"/>
        <v>0</v>
      </c>
      <c r="VCV39" s="987"/>
      <c r="VCW39" s="987"/>
      <c r="VCX39" s="987"/>
      <c r="VCY39" s="987"/>
      <c r="VCZ39" s="987">
        <f t="shared" si="477"/>
        <v>0</v>
      </c>
      <c r="VDA39" s="1026" t="s">
        <v>45</v>
      </c>
      <c r="VDB39" s="434"/>
      <c r="VDC39" s="1027"/>
      <c r="VDD39" s="1027"/>
      <c r="VDE39" s="24"/>
      <c r="VDF39" s="1027"/>
      <c r="VDG39" s="1027"/>
      <c r="VDH39" s="25"/>
      <c r="VDI39" s="987">
        <f>SUM(VDI36:VDI38)</f>
        <v>0</v>
      </c>
      <c r="VDJ39" s="987">
        <f t="shared" ref="VDJ39:VFG39" si="478">SUM(VDJ36:VDJ38)</f>
        <v>0</v>
      </c>
      <c r="VDK39" s="987">
        <f t="shared" si="478"/>
        <v>0</v>
      </c>
      <c r="VDL39" s="987"/>
      <c r="VDM39" s="987"/>
      <c r="VDN39" s="987"/>
      <c r="VDO39" s="987"/>
      <c r="VDP39" s="987">
        <f t="shared" ref="VDP39:VFL39" si="479">SUM(VDP36:VDP38)</f>
        <v>0</v>
      </c>
      <c r="VDQ39" s="1026" t="s">
        <v>45</v>
      </c>
      <c r="VDR39" s="434"/>
      <c r="VDS39" s="1027"/>
      <c r="VDT39" s="1027"/>
      <c r="VDU39" s="24"/>
      <c r="VDV39" s="1027"/>
      <c r="VDW39" s="1027"/>
      <c r="VDX39" s="25"/>
      <c r="VDY39" s="987">
        <f>SUM(VDY36:VDY38)</f>
        <v>0</v>
      </c>
      <c r="VDZ39" s="987">
        <f t="shared" si="478"/>
        <v>0</v>
      </c>
      <c r="VEA39" s="987">
        <f t="shared" si="478"/>
        <v>0</v>
      </c>
      <c r="VEB39" s="987"/>
      <c r="VEC39" s="987"/>
      <c r="VED39" s="987"/>
      <c r="VEE39" s="987"/>
      <c r="VEF39" s="987">
        <f t="shared" si="479"/>
        <v>0</v>
      </c>
      <c r="VEG39" s="1026" t="s">
        <v>45</v>
      </c>
      <c r="VEH39" s="434"/>
      <c r="VEI39" s="1027"/>
      <c r="VEJ39" s="1027"/>
      <c r="VEK39" s="24"/>
      <c r="VEL39" s="1027"/>
      <c r="VEM39" s="1027"/>
      <c r="VEN39" s="25"/>
      <c r="VEO39" s="987">
        <f>SUM(VEO36:VEO38)</f>
        <v>0</v>
      </c>
      <c r="VEP39" s="987">
        <f t="shared" si="478"/>
        <v>0</v>
      </c>
      <c r="VEQ39" s="987">
        <f t="shared" si="478"/>
        <v>0</v>
      </c>
      <c r="VER39" s="987"/>
      <c r="VES39" s="987"/>
      <c r="VET39" s="987"/>
      <c r="VEU39" s="987"/>
      <c r="VEV39" s="987">
        <f t="shared" si="479"/>
        <v>0</v>
      </c>
      <c r="VEW39" s="1026" t="s">
        <v>45</v>
      </c>
      <c r="VEX39" s="434"/>
      <c r="VEY39" s="1027"/>
      <c r="VEZ39" s="1027"/>
      <c r="VFA39" s="24"/>
      <c r="VFB39" s="1027"/>
      <c r="VFC39" s="1027"/>
      <c r="VFD39" s="25"/>
      <c r="VFE39" s="987">
        <f>SUM(VFE36:VFE38)</f>
        <v>0</v>
      </c>
      <c r="VFF39" s="987">
        <f t="shared" si="478"/>
        <v>0</v>
      </c>
      <c r="VFG39" s="987">
        <f t="shared" si="478"/>
        <v>0</v>
      </c>
      <c r="VFH39" s="987"/>
      <c r="VFI39" s="987"/>
      <c r="VFJ39" s="987"/>
      <c r="VFK39" s="987"/>
      <c r="VFL39" s="987">
        <f t="shared" si="479"/>
        <v>0</v>
      </c>
      <c r="VFM39" s="1026" t="s">
        <v>45</v>
      </c>
      <c r="VFN39" s="434"/>
      <c r="VFO39" s="1027"/>
      <c r="VFP39" s="1027"/>
      <c r="VFQ39" s="24"/>
      <c r="VFR39" s="1027"/>
      <c r="VFS39" s="1027"/>
      <c r="VFT39" s="25"/>
      <c r="VFU39" s="987">
        <f>SUM(VFU36:VFU38)</f>
        <v>0</v>
      </c>
      <c r="VFV39" s="987">
        <f t="shared" ref="VFV39:VHS39" si="480">SUM(VFV36:VFV38)</f>
        <v>0</v>
      </c>
      <c r="VFW39" s="987">
        <f t="shared" si="480"/>
        <v>0</v>
      </c>
      <c r="VFX39" s="987"/>
      <c r="VFY39" s="987"/>
      <c r="VFZ39" s="987"/>
      <c r="VGA39" s="987"/>
      <c r="VGB39" s="987">
        <f t="shared" ref="VGB39:VHX39" si="481">SUM(VGB36:VGB38)</f>
        <v>0</v>
      </c>
      <c r="VGC39" s="1026" t="s">
        <v>45</v>
      </c>
      <c r="VGD39" s="434"/>
      <c r="VGE39" s="1027"/>
      <c r="VGF39" s="1027"/>
      <c r="VGG39" s="24"/>
      <c r="VGH39" s="1027"/>
      <c r="VGI39" s="1027"/>
      <c r="VGJ39" s="25"/>
      <c r="VGK39" s="987">
        <f>SUM(VGK36:VGK38)</f>
        <v>0</v>
      </c>
      <c r="VGL39" s="987">
        <f t="shared" si="480"/>
        <v>0</v>
      </c>
      <c r="VGM39" s="987">
        <f t="shared" si="480"/>
        <v>0</v>
      </c>
      <c r="VGN39" s="987"/>
      <c r="VGO39" s="987"/>
      <c r="VGP39" s="987"/>
      <c r="VGQ39" s="987"/>
      <c r="VGR39" s="987">
        <f t="shared" si="481"/>
        <v>0</v>
      </c>
      <c r="VGS39" s="1026" t="s">
        <v>45</v>
      </c>
      <c r="VGT39" s="434"/>
      <c r="VGU39" s="1027"/>
      <c r="VGV39" s="1027"/>
      <c r="VGW39" s="24"/>
      <c r="VGX39" s="1027"/>
      <c r="VGY39" s="1027"/>
      <c r="VGZ39" s="25"/>
      <c r="VHA39" s="987">
        <f>SUM(VHA36:VHA38)</f>
        <v>0</v>
      </c>
      <c r="VHB39" s="987">
        <f t="shared" si="480"/>
        <v>0</v>
      </c>
      <c r="VHC39" s="987">
        <f t="shared" si="480"/>
        <v>0</v>
      </c>
      <c r="VHD39" s="987"/>
      <c r="VHE39" s="987"/>
      <c r="VHF39" s="987"/>
      <c r="VHG39" s="987"/>
      <c r="VHH39" s="987">
        <f t="shared" si="481"/>
        <v>0</v>
      </c>
      <c r="VHI39" s="1026" t="s">
        <v>45</v>
      </c>
      <c r="VHJ39" s="434"/>
      <c r="VHK39" s="1027"/>
      <c r="VHL39" s="1027"/>
      <c r="VHM39" s="24"/>
      <c r="VHN39" s="1027"/>
      <c r="VHO39" s="1027"/>
      <c r="VHP39" s="25"/>
      <c r="VHQ39" s="987">
        <f>SUM(VHQ36:VHQ38)</f>
        <v>0</v>
      </c>
      <c r="VHR39" s="987">
        <f t="shared" si="480"/>
        <v>0</v>
      </c>
      <c r="VHS39" s="987">
        <f t="shared" si="480"/>
        <v>0</v>
      </c>
      <c r="VHT39" s="987"/>
      <c r="VHU39" s="987"/>
      <c r="VHV39" s="987"/>
      <c r="VHW39" s="987"/>
      <c r="VHX39" s="987">
        <f t="shared" si="481"/>
        <v>0</v>
      </c>
      <c r="VHY39" s="1026" t="s">
        <v>45</v>
      </c>
      <c r="VHZ39" s="434"/>
      <c r="VIA39" s="1027"/>
      <c r="VIB39" s="1027"/>
      <c r="VIC39" s="24"/>
      <c r="VID39" s="1027"/>
      <c r="VIE39" s="1027"/>
      <c r="VIF39" s="25"/>
      <c r="VIG39" s="987">
        <f>SUM(VIG36:VIG38)</f>
        <v>0</v>
      </c>
      <c r="VIH39" s="987">
        <f t="shared" ref="VIH39:VKE39" si="482">SUM(VIH36:VIH38)</f>
        <v>0</v>
      </c>
      <c r="VII39" s="987">
        <f t="shared" si="482"/>
        <v>0</v>
      </c>
      <c r="VIJ39" s="987"/>
      <c r="VIK39" s="987"/>
      <c r="VIL39" s="987"/>
      <c r="VIM39" s="987"/>
      <c r="VIN39" s="987">
        <f t="shared" ref="VIN39:VKJ39" si="483">SUM(VIN36:VIN38)</f>
        <v>0</v>
      </c>
      <c r="VIO39" s="1026" t="s">
        <v>45</v>
      </c>
      <c r="VIP39" s="434"/>
      <c r="VIQ39" s="1027"/>
      <c r="VIR39" s="1027"/>
      <c r="VIS39" s="24"/>
      <c r="VIT39" s="1027"/>
      <c r="VIU39" s="1027"/>
      <c r="VIV39" s="25"/>
      <c r="VIW39" s="987">
        <f>SUM(VIW36:VIW38)</f>
        <v>0</v>
      </c>
      <c r="VIX39" s="987">
        <f t="shared" si="482"/>
        <v>0</v>
      </c>
      <c r="VIY39" s="987">
        <f t="shared" si="482"/>
        <v>0</v>
      </c>
      <c r="VIZ39" s="987"/>
      <c r="VJA39" s="987"/>
      <c r="VJB39" s="987"/>
      <c r="VJC39" s="987"/>
      <c r="VJD39" s="987">
        <f t="shared" si="483"/>
        <v>0</v>
      </c>
      <c r="VJE39" s="1026" t="s">
        <v>45</v>
      </c>
      <c r="VJF39" s="434"/>
      <c r="VJG39" s="1027"/>
      <c r="VJH39" s="1027"/>
      <c r="VJI39" s="24"/>
      <c r="VJJ39" s="1027"/>
      <c r="VJK39" s="1027"/>
      <c r="VJL39" s="25"/>
      <c r="VJM39" s="987">
        <f>SUM(VJM36:VJM38)</f>
        <v>0</v>
      </c>
      <c r="VJN39" s="987">
        <f t="shared" si="482"/>
        <v>0</v>
      </c>
      <c r="VJO39" s="987">
        <f t="shared" si="482"/>
        <v>0</v>
      </c>
      <c r="VJP39" s="987"/>
      <c r="VJQ39" s="987"/>
      <c r="VJR39" s="987"/>
      <c r="VJS39" s="987"/>
      <c r="VJT39" s="987">
        <f t="shared" si="483"/>
        <v>0</v>
      </c>
      <c r="VJU39" s="1026" t="s">
        <v>45</v>
      </c>
      <c r="VJV39" s="434"/>
      <c r="VJW39" s="1027"/>
      <c r="VJX39" s="1027"/>
      <c r="VJY39" s="24"/>
      <c r="VJZ39" s="1027"/>
      <c r="VKA39" s="1027"/>
      <c r="VKB39" s="25"/>
      <c r="VKC39" s="987">
        <f>SUM(VKC36:VKC38)</f>
        <v>0</v>
      </c>
      <c r="VKD39" s="987">
        <f t="shared" si="482"/>
        <v>0</v>
      </c>
      <c r="VKE39" s="987">
        <f t="shared" si="482"/>
        <v>0</v>
      </c>
      <c r="VKF39" s="987"/>
      <c r="VKG39" s="987"/>
      <c r="VKH39" s="987"/>
      <c r="VKI39" s="987"/>
      <c r="VKJ39" s="987">
        <f t="shared" si="483"/>
        <v>0</v>
      </c>
      <c r="VKK39" s="1026" t="s">
        <v>45</v>
      </c>
      <c r="VKL39" s="434"/>
      <c r="VKM39" s="1027"/>
      <c r="VKN39" s="1027"/>
      <c r="VKO39" s="24"/>
      <c r="VKP39" s="1027"/>
      <c r="VKQ39" s="1027"/>
      <c r="VKR39" s="25"/>
      <c r="VKS39" s="987">
        <f>SUM(VKS36:VKS38)</f>
        <v>0</v>
      </c>
      <c r="VKT39" s="987">
        <f t="shared" ref="VKT39:VMQ39" si="484">SUM(VKT36:VKT38)</f>
        <v>0</v>
      </c>
      <c r="VKU39" s="987">
        <f t="shared" si="484"/>
        <v>0</v>
      </c>
      <c r="VKV39" s="987"/>
      <c r="VKW39" s="987"/>
      <c r="VKX39" s="987"/>
      <c r="VKY39" s="987"/>
      <c r="VKZ39" s="987">
        <f t="shared" ref="VKZ39:VMV39" si="485">SUM(VKZ36:VKZ38)</f>
        <v>0</v>
      </c>
      <c r="VLA39" s="1026" t="s">
        <v>45</v>
      </c>
      <c r="VLB39" s="434"/>
      <c r="VLC39" s="1027"/>
      <c r="VLD39" s="1027"/>
      <c r="VLE39" s="24"/>
      <c r="VLF39" s="1027"/>
      <c r="VLG39" s="1027"/>
      <c r="VLH39" s="25"/>
      <c r="VLI39" s="987">
        <f>SUM(VLI36:VLI38)</f>
        <v>0</v>
      </c>
      <c r="VLJ39" s="987">
        <f t="shared" si="484"/>
        <v>0</v>
      </c>
      <c r="VLK39" s="987">
        <f t="shared" si="484"/>
        <v>0</v>
      </c>
      <c r="VLL39" s="987"/>
      <c r="VLM39" s="987"/>
      <c r="VLN39" s="987"/>
      <c r="VLO39" s="987"/>
      <c r="VLP39" s="987">
        <f t="shared" si="485"/>
        <v>0</v>
      </c>
      <c r="VLQ39" s="1026" t="s">
        <v>45</v>
      </c>
      <c r="VLR39" s="434"/>
      <c r="VLS39" s="1027"/>
      <c r="VLT39" s="1027"/>
      <c r="VLU39" s="24"/>
      <c r="VLV39" s="1027"/>
      <c r="VLW39" s="1027"/>
      <c r="VLX39" s="25"/>
      <c r="VLY39" s="987">
        <f>SUM(VLY36:VLY38)</f>
        <v>0</v>
      </c>
      <c r="VLZ39" s="987">
        <f t="shared" si="484"/>
        <v>0</v>
      </c>
      <c r="VMA39" s="987">
        <f t="shared" si="484"/>
        <v>0</v>
      </c>
      <c r="VMB39" s="987"/>
      <c r="VMC39" s="987"/>
      <c r="VMD39" s="987"/>
      <c r="VME39" s="987"/>
      <c r="VMF39" s="987">
        <f t="shared" si="485"/>
        <v>0</v>
      </c>
      <c r="VMG39" s="1026" t="s">
        <v>45</v>
      </c>
      <c r="VMH39" s="434"/>
      <c r="VMI39" s="1027"/>
      <c r="VMJ39" s="1027"/>
      <c r="VMK39" s="24"/>
      <c r="VML39" s="1027"/>
      <c r="VMM39" s="1027"/>
      <c r="VMN39" s="25"/>
      <c r="VMO39" s="987">
        <f>SUM(VMO36:VMO38)</f>
        <v>0</v>
      </c>
      <c r="VMP39" s="987">
        <f t="shared" si="484"/>
        <v>0</v>
      </c>
      <c r="VMQ39" s="987">
        <f t="shared" si="484"/>
        <v>0</v>
      </c>
      <c r="VMR39" s="987"/>
      <c r="VMS39" s="987"/>
      <c r="VMT39" s="987"/>
      <c r="VMU39" s="987"/>
      <c r="VMV39" s="987">
        <f t="shared" si="485"/>
        <v>0</v>
      </c>
      <c r="VMW39" s="1026" t="s">
        <v>45</v>
      </c>
      <c r="VMX39" s="434"/>
      <c r="VMY39" s="1027"/>
      <c r="VMZ39" s="1027"/>
      <c r="VNA39" s="24"/>
      <c r="VNB39" s="1027"/>
      <c r="VNC39" s="1027"/>
      <c r="VND39" s="25"/>
      <c r="VNE39" s="987">
        <f>SUM(VNE36:VNE38)</f>
        <v>0</v>
      </c>
      <c r="VNF39" s="987">
        <f t="shared" ref="VNF39:VPC39" si="486">SUM(VNF36:VNF38)</f>
        <v>0</v>
      </c>
      <c r="VNG39" s="987">
        <f t="shared" si="486"/>
        <v>0</v>
      </c>
      <c r="VNH39" s="987"/>
      <c r="VNI39" s="987"/>
      <c r="VNJ39" s="987"/>
      <c r="VNK39" s="987"/>
      <c r="VNL39" s="987">
        <f t="shared" ref="VNL39:VPH39" si="487">SUM(VNL36:VNL38)</f>
        <v>0</v>
      </c>
      <c r="VNM39" s="1026" t="s">
        <v>45</v>
      </c>
      <c r="VNN39" s="434"/>
      <c r="VNO39" s="1027"/>
      <c r="VNP39" s="1027"/>
      <c r="VNQ39" s="24"/>
      <c r="VNR39" s="1027"/>
      <c r="VNS39" s="1027"/>
      <c r="VNT39" s="25"/>
      <c r="VNU39" s="987">
        <f>SUM(VNU36:VNU38)</f>
        <v>0</v>
      </c>
      <c r="VNV39" s="987">
        <f t="shared" si="486"/>
        <v>0</v>
      </c>
      <c r="VNW39" s="987">
        <f t="shared" si="486"/>
        <v>0</v>
      </c>
      <c r="VNX39" s="987"/>
      <c r="VNY39" s="987"/>
      <c r="VNZ39" s="987"/>
      <c r="VOA39" s="987"/>
      <c r="VOB39" s="987">
        <f t="shared" si="487"/>
        <v>0</v>
      </c>
      <c r="VOC39" s="1026" t="s">
        <v>45</v>
      </c>
      <c r="VOD39" s="434"/>
      <c r="VOE39" s="1027"/>
      <c r="VOF39" s="1027"/>
      <c r="VOG39" s="24"/>
      <c r="VOH39" s="1027"/>
      <c r="VOI39" s="1027"/>
      <c r="VOJ39" s="25"/>
      <c r="VOK39" s="987">
        <f>SUM(VOK36:VOK38)</f>
        <v>0</v>
      </c>
      <c r="VOL39" s="987">
        <f t="shared" si="486"/>
        <v>0</v>
      </c>
      <c r="VOM39" s="987">
        <f t="shared" si="486"/>
        <v>0</v>
      </c>
      <c r="VON39" s="987"/>
      <c r="VOO39" s="987"/>
      <c r="VOP39" s="987"/>
      <c r="VOQ39" s="987"/>
      <c r="VOR39" s="987">
        <f t="shared" si="487"/>
        <v>0</v>
      </c>
      <c r="VOS39" s="1026" t="s">
        <v>45</v>
      </c>
      <c r="VOT39" s="434"/>
      <c r="VOU39" s="1027"/>
      <c r="VOV39" s="1027"/>
      <c r="VOW39" s="24"/>
      <c r="VOX39" s="1027"/>
      <c r="VOY39" s="1027"/>
      <c r="VOZ39" s="25"/>
      <c r="VPA39" s="987">
        <f>SUM(VPA36:VPA38)</f>
        <v>0</v>
      </c>
      <c r="VPB39" s="987">
        <f t="shared" si="486"/>
        <v>0</v>
      </c>
      <c r="VPC39" s="987">
        <f t="shared" si="486"/>
        <v>0</v>
      </c>
      <c r="VPD39" s="987"/>
      <c r="VPE39" s="987"/>
      <c r="VPF39" s="987"/>
      <c r="VPG39" s="987"/>
      <c r="VPH39" s="987">
        <f t="shared" si="487"/>
        <v>0</v>
      </c>
      <c r="VPI39" s="1026" t="s">
        <v>45</v>
      </c>
      <c r="VPJ39" s="434"/>
      <c r="VPK39" s="1027"/>
      <c r="VPL39" s="1027"/>
      <c r="VPM39" s="24"/>
      <c r="VPN39" s="1027"/>
      <c r="VPO39" s="1027"/>
      <c r="VPP39" s="25"/>
      <c r="VPQ39" s="987">
        <f>SUM(VPQ36:VPQ38)</f>
        <v>0</v>
      </c>
      <c r="VPR39" s="987">
        <f t="shared" ref="VPR39:VRO39" si="488">SUM(VPR36:VPR38)</f>
        <v>0</v>
      </c>
      <c r="VPS39" s="987">
        <f t="shared" si="488"/>
        <v>0</v>
      </c>
      <c r="VPT39" s="987"/>
      <c r="VPU39" s="987"/>
      <c r="VPV39" s="987"/>
      <c r="VPW39" s="987"/>
      <c r="VPX39" s="987">
        <f t="shared" ref="VPX39:VRT39" si="489">SUM(VPX36:VPX38)</f>
        <v>0</v>
      </c>
      <c r="VPY39" s="1026" t="s">
        <v>45</v>
      </c>
      <c r="VPZ39" s="434"/>
      <c r="VQA39" s="1027"/>
      <c r="VQB39" s="1027"/>
      <c r="VQC39" s="24"/>
      <c r="VQD39" s="1027"/>
      <c r="VQE39" s="1027"/>
      <c r="VQF39" s="25"/>
      <c r="VQG39" s="987">
        <f>SUM(VQG36:VQG38)</f>
        <v>0</v>
      </c>
      <c r="VQH39" s="987">
        <f t="shared" si="488"/>
        <v>0</v>
      </c>
      <c r="VQI39" s="987">
        <f t="shared" si="488"/>
        <v>0</v>
      </c>
      <c r="VQJ39" s="987"/>
      <c r="VQK39" s="987"/>
      <c r="VQL39" s="987"/>
      <c r="VQM39" s="987"/>
      <c r="VQN39" s="987">
        <f t="shared" si="489"/>
        <v>0</v>
      </c>
      <c r="VQO39" s="1026" t="s">
        <v>45</v>
      </c>
      <c r="VQP39" s="434"/>
      <c r="VQQ39" s="1027"/>
      <c r="VQR39" s="1027"/>
      <c r="VQS39" s="24"/>
      <c r="VQT39" s="1027"/>
      <c r="VQU39" s="1027"/>
      <c r="VQV39" s="25"/>
      <c r="VQW39" s="987">
        <f>SUM(VQW36:VQW38)</f>
        <v>0</v>
      </c>
      <c r="VQX39" s="987">
        <f t="shared" si="488"/>
        <v>0</v>
      </c>
      <c r="VQY39" s="987">
        <f t="shared" si="488"/>
        <v>0</v>
      </c>
      <c r="VQZ39" s="987"/>
      <c r="VRA39" s="987"/>
      <c r="VRB39" s="987"/>
      <c r="VRC39" s="987"/>
      <c r="VRD39" s="987">
        <f t="shared" si="489"/>
        <v>0</v>
      </c>
      <c r="VRE39" s="1026" t="s">
        <v>45</v>
      </c>
      <c r="VRF39" s="434"/>
      <c r="VRG39" s="1027"/>
      <c r="VRH39" s="1027"/>
      <c r="VRI39" s="24"/>
      <c r="VRJ39" s="1027"/>
      <c r="VRK39" s="1027"/>
      <c r="VRL39" s="25"/>
      <c r="VRM39" s="987">
        <f>SUM(VRM36:VRM38)</f>
        <v>0</v>
      </c>
      <c r="VRN39" s="987">
        <f t="shared" si="488"/>
        <v>0</v>
      </c>
      <c r="VRO39" s="987">
        <f t="shared" si="488"/>
        <v>0</v>
      </c>
      <c r="VRP39" s="987"/>
      <c r="VRQ39" s="987"/>
      <c r="VRR39" s="987"/>
      <c r="VRS39" s="987"/>
      <c r="VRT39" s="987">
        <f t="shared" si="489"/>
        <v>0</v>
      </c>
      <c r="VRU39" s="1026" t="s">
        <v>45</v>
      </c>
      <c r="VRV39" s="434"/>
      <c r="VRW39" s="1027"/>
      <c r="VRX39" s="1027"/>
      <c r="VRY39" s="24"/>
      <c r="VRZ39" s="1027"/>
      <c r="VSA39" s="1027"/>
      <c r="VSB39" s="25"/>
      <c r="VSC39" s="987">
        <f>SUM(VSC36:VSC38)</f>
        <v>0</v>
      </c>
      <c r="VSD39" s="987">
        <f t="shared" ref="VSD39:VUA39" si="490">SUM(VSD36:VSD38)</f>
        <v>0</v>
      </c>
      <c r="VSE39" s="987">
        <f t="shared" si="490"/>
        <v>0</v>
      </c>
      <c r="VSF39" s="987"/>
      <c r="VSG39" s="987"/>
      <c r="VSH39" s="987"/>
      <c r="VSI39" s="987"/>
      <c r="VSJ39" s="987">
        <f t="shared" ref="VSJ39:VUF39" si="491">SUM(VSJ36:VSJ38)</f>
        <v>0</v>
      </c>
      <c r="VSK39" s="1026" t="s">
        <v>45</v>
      </c>
      <c r="VSL39" s="434"/>
      <c r="VSM39" s="1027"/>
      <c r="VSN39" s="1027"/>
      <c r="VSO39" s="24"/>
      <c r="VSP39" s="1027"/>
      <c r="VSQ39" s="1027"/>
      <c r="VSR39" s="25"/>
      <c r="VSS39" s="987">
        <f>SUM(VSS36:VSS38)</f>
        <v>0</v>
      </c>
      <c r="VST39" s="987">
        <f t="shared" si="490"/>
        <v>0</v>
      </c>
      <c r="VSU39" s="987">
        <f t="shared" si="490"/>
        <v>0</v>
      </c>
      <c r="VSV39" s="987"/>
      <c r="VSW39" s="987"/>
      <c r="VSX39" s="987"/>
      <c r="VSY39" s="987"/>
      <c r="VSZ39" s="987">
        <f t="shared" si="491"/>
        <v>0</v>
      </c>
      <c r="VTA39" s="1026" t="s">
        <v>45</v>
      </c>
      <c r="VTB39" s="434"/>
      <c r="VTC39" s="1027"/>
      <c r="VTD39" s="1027"/>
      <c r="VTE39" s="24"/>
      <c r="VTF39" s="1027"/>
      <c r="VTG39" s="1027"/>
      <c r="VTH39" s="25"/>
      <c r="VTI39" s="987">
        <f>SUM(VTI36:VTI38)</f>
        <v>0</v>
      </c>
      <c r="VTJ39" s="987">
        <f t="shared" si="490"/>
        <v>0</v>
      </c>
      <c r="VTK39" s="987">
        <f t="shared" si="490"/>
        <v>0</v>
      </c>
      <c r="VTL39" s="987"/>
      <c r="VTM39" s="987"/>
      <c r="VTN39" s="987"/>
      <c r="VTO39" s="987"/>
      <c r="VTP39" s="987">
        <f t="shared" si="491"/>
        <v>0</v>
      </c>
      <c r="VTQ39" s="1026" t="s">
        <v>45</v>
      </c>
      <c r="VTR39" s="434"/>
      <c r="VTS39" s="1027"/>
      <c r="VTT39" s="1027"/>
      <c r="VTU39" s="24"/>
      <c r="VTV39" s="1027"/>
      <c r="VTW39" s="1027"/>
      <c r="VTX39" s="25"/>
      <c r="VTY39" s="987">
        <f>SUM(VTY36:VTY38)</f>
        <v>0</v>
      </c>
      <c r="VTZ39" s="987">
        <f t="shared" si="490"/>
        <v>0</v>
      </c>
      <c r="VUA39" s="987">
        <f t="shared" si="490"/>
        <v>0</v>
      </c>
      <c r="VUB39" s="987"/>
      <c r="VUC39" s="987"/>
      <c r="VUD39" s="987"/>
      <c r="VUE39" s="987"/>
      <c r="VUF39" s="987">
        <f t="shared" si="491"/>
        <v>0</v>
      </c>
      <c r="VUG39" s="1026" t="s">
        <v>45</v>
      </c>
      <c r="VUH39" s="434"/>
      <c r="VUI39" s="1027"/>
      <c r="VUJ39" s="1027"/>
      <c r="VUK39" s="24"/>
      <c r="VUL39" s="1027"/>
      <c r="VUM39" s="1027"/>
      <c r="VUN39" s="25"/>
      <c r="VUO39" s="987">
        <f>SUM(VUO36:VUO38)</f>
        <v>0</v>
      </c>
      <c r="VUP39" s="987">
        <f t="shared" ref="VUP39:VWM39" si="492">SUM(VUP36:VUP38)</f>
        <v>0</v>
      </c>
      <c r="VUQ39" s="987">
        <f t="shared" si="492"/>
        <v>0</v>
      </c>
      <c r="VUR39" s="987"/>
      <c r="VUS39" s="987"/>
      <c r="VUT39" s="987"/>
      <c r="VUU39" s="987"/>
      <c r="VUV39" s="987">
        <f t="shared" ref="VUV39:VWR39" si="493">SUM(VUV36:VUV38)</f>
        <v>0</v>
      </c>
      <c r="VUW39" s="1026" t="s">
        <v>45</v>
      </c>
      <c r="VUX39" s="434"/>
      <c r="VUY39" s="1027"/>
      <c r="VUZ39" s="1027"/>
      <c r="VVA39" s="24"/>
      <c r="VVB39" s="1027"/>
      <c r="VVC39" s="1027"/>
      <c r="VVD39" s="25"/>
      <c r="VVE39" s="987">
        <f>SUM(VVE36:VVE38)</f>
        <v>0</v>
      </c>
      <c r="VVF39" s="987">
        <f t="shared" si="492"/>
        <v>0</v>
      </c>
      <c r="VVG39" s="987">
        <f t="shared" si="492"/>
        <v>0</v>
      </c>
      <c r="VVH39" s="987"/>
      <c r="VVI39" s="987"/>
      <c r="VVJ39" s="987"/>
      <c r="VVK39" s="987"/>
      <c r="VVL39" s="987">
        <f t="shared" si="493"/>
        <v>0</v>
      </c>
      <c r="VVM39" s="1026" t="s">
        <v>45</v>
      </c>
      <c r="VVN39" s="434"/>
      <c r="VVO39" s="1027"/>
      <c r="VVP39" s="1027"/>
      <c r="VVQ39" s="24"/>
      <c r="VVR39" s="1027"/>
      <c r="VVS39" s="1027"/>
      <c r="VVT39" s="25"/>
      <c r="VVU39" s="987">
        <f>SUM(VVU36:VVU38)</f>
        <v>0</v>
      </c>
      <c r="VVV39" s="987">
        <f t="shared" si="492"/>
        <v>0</v>
      </c>
      <c r="VVW39" s="987">
        <f t="shared" si="492"/>
        <v>0</v>
      </c>
      <c r="VVX39" s="987"/>
      <c r="VVY39" s="987"/>
      <c r="VVZ39" s="987"/>
      <c r="VWA39" s="987"/>
      <c r="VWB39" s="987">
        <f t="shared" si="493"/>
        <v>0</v>
      </c>
      <c r="VWC39" s="1026" t="s">
        <v>45</v>
      </c>
      <c r="VWD39" s="434"/>
      <c r="VWE39" s="1027"/>
      <c r="VWF39" s="1027"/>
      <c r="VWG39" s="24"/>
      <c r="VWH39" s="1027"/>
      <c r="VWI39" s="1027"/>
      <c r="VWJ39" s="25"/>
      <c r="VWK39" s="987">
        <f>SUM(VWK36:VWK38)</f>
        <v>0</v>
      </c>
      <c r="VWL39" s="987">
        <f t="shared" si="492"/>
        <v>0</v>
      </c>
      <c r="VWM39" s="987">
        <f t="shared" si="492"/>
        <v>0</v>
      </c>
      <c r="VWN39" s="987"/>
      <c r="VWO39" s="987"/>
      <c r="VWP39" s="987"/>
      <c r="VWQ39" s="987"/>
      <c r="VWR39" s="987">
        <f t="shared" si="493"/>
        <v>0</v>
      </c>
      <c r="VWS39" s="1026" t="s">
        <v>45</v>
      </c>
      <c r="VWT39" s="434"/>
      <c r="VWU39" s="1027"/>
      <c r="VWV39" s="1027"/>
      <c r="VWW39" s="24"/>
      <c r="VWX39" s="1027"/>
      <c r="VWY39" s="1027"/>
      <c r="VWZ39" s="25"/>
      <c r="VXA39" s="987">
        <f>SUM(VXA36:VXA38)</f>
        <v>0</v>
      </c>
      <c r="VXB39" s="987">
        <f t="shared" ref="VXB39:VYY39" si="494">SUM(VXB36:VXB38)</f>
        <v>0</v>
      </c>
      <c r="VXC39" s="987">
        <f t="shared" si="494"/>
        <v>0</v>
      </c>
      <c r="VXD39" s="987"/>
      <c r="VXE39" s="987"/>
      <c r="VXF39" s="987"/>
      <c r="VXG39" s="987"/>
      <c r="VXH39" s="987">
        <f t="shared" ref="VXH39:VZD39" si="495">SUM(VXH36:VXH38)</f>
        <v>0</v>
      </c>
      <c r="VXI39" s="1026" t="s">
        <v>45</v>
      </c>
      <c r="VXJ39" s="434"/>
      <c r="VXK39" s="1027"/>
      <c r="VXL39" s="1027"/>
      <c r="VXM39" s="24"/>
      <c r="VXN39" s="1027"/>
      <c r="VXO39" s="1027"/>
      <c r="VXP39" s="25"/>
      <c r="VXQ39" s="987">
        <f>SUM(VXQ36:VXQ38)</f>
        <v>0</v>
      </c>
      <c r="VXR39" s="987">
        <f t="shared" si="494"/>
        <v>0</v>
      </c>
      <c r="VXS39" s="987">
        <f t="shared" si="494"/>
        <v>0</v>
      </c>
      <c r="VXT39" s="987"/>
      <c r="VXU39" s="987"/>
      <c r="VXV39" s="987"/>
      <c r="VXW39" s="987"/>
      <c r="VXX39" s="987">
        <f t="shared" si="495"/>
        <v>0</v>
      </c>
      <c r="VXY39" s="1026" t="s">
        <v>45</v>
      </c>
      <c r="VXZ39" s="434"/>
      <c r="VYA39" s="1027"/>
      <c r="VYB39" s="1027"/>
      <c r="VYC39" s="24"/>
      <c r="VYD39" s="1027"/>
      <c r="VYE39" s="1027"/>
      <c r="VYF39" s="25"/>
      <c r="VYG39" s="987">
        <f>SUM(VYG36:VYG38)</f>
        <v>0</v>
      </c>
      <c r="VYH39" s="987">
        <f t="shared" si="494"/>
        <v>0</v>
      </c>
      <c r="VYI39" s="987">
        <f t="shared" si="494"/>
        <v>0</v>
      </c>
      <c r="VYJ39" s="987"/>
      <c r="VYK39" s="987"/>
      <c r="VYL39" s="987"/>
      <c r="VYM39" s="987"/>
      <c r="VYN39" s="987">
        <f t="shared" si="495"/>
        <v>0</v>
      </c>
      <c r="VYO39" s="1026" t="s">
        <v>45</v>
      </c>
      <c r="VYP39" s="434"/>
      <c r="VYQ39" s="1027"/>
      <c r="VYR39" s="1027"/>
      <c r="VYS39" s="24"/>
      <c r="VYT39" s="1027"/>
      <c r="VYU39" s="1027"/>
      <c r="VYV39" s="25"/>
      <c r="VYW39" s="987">
        <f>SUM(VYW36:VYW38)</f>
        <v>0</v>
      </c>
      <c r="VYX39" s="987">
        <f t="shared" si="494"/>
        <v>0</v>
      </c>
      <c r="VYY39" s="987">
        <f t="shared" si="494"/>
        <v>0</v>
      </c>
      <c r="VYZ39" s="987"/>
      <c r="VZA39" s="987"/>
      <c r="VZB39" s="987"/>
      <c r="VZC39" s="987"/>
      <c r="VZD39" s="987">
        <f t="shared" si="495"/>
        <v>0</v>
      </c>
      <c r="VZE39" s="1026" t="s">
        <v>45</v>
      </c>
      <c r="VZF39" s="434"/>
      <c r="VZG39" s="1027"/>
      <c r="VZH39" s="1027"/>
      <c r="VZI39" s="24"/>
      <c r="VZJ39" s="1027"/>
      <c r="VZK39" s="1027"/>
      <c r="VZL39" s="25"/>
      <c r="VZM39" s="987">
        <f>SUM(VZM36:VZM38)</f>
        <v>0</v>
      </c>
      <c r="VZN39" s="987">
        <f t="shared" ref="VZN39:WBK39" si="496">SUM(VZN36:VZN38)</f>
        <v>0</v>
      </c>
      <c r="VZO39" s="987">
        <f t="shared" si="496"/>
        <v>0</v>
      </c>
      <c r="VZP39" s="987"/>
      <c r="VZQ39" s="987"/>
      <c r="VZR39" s="987"/>
      <c r="VZS39" s="987"/>
      <c r="VZT39" s="987">
        <f t="shared" ref="VZT39:WBP39" si="497">SUM(VZT36:VZT38)</f>
        <v>0</v>
      </c>
      <c r="VZU39" s="1026" t="s">
        <v>45</v>
      </c>
      <c r="VZV39" s="434"/>
      <c r="VZW39" s="1027"/>
      <c r="VZX39" s="1027"/>
      <c r="VZY39" s="24"/>
      <c r="VZZ39" s="1027"/>
      <c r="WAA39" s="1027"/>
      <c r="WAB39" s="25"/>
      <c r="WAC39" s="987">
        <f>SUM(WAC36:WAC38)</f>
        <v>0</v>
      </c>
      <c r="WAD39" s="987">
        <f t="shared" si="496"/>
        <v>0</v>
      </c>
      <c r="WAE39" s="987">
        <f t="shared" si="496"/>
        <v>0</v>
      </c>
      <c r="WAF39" s="987"/>
      <c r="WAG39" s="987"/>
      <c r="WAH39" s="987"/>
      <c r="WAI39" s="987"/>
      <c r="WAJ39" s="987">
        <f t="shared" si="497"/>
        <v>0</v>
      </c>
      <c r="WAK39" s="1026" t="s">
        <v>45</v>
      </c>
      <c r="WAL39" s="434"/>
      <c r="WAM39" s="1027"/>
      <c r="WAN39" s="1027"/>
      <c r="WAO39" s="24"/>
      <c r="WAP39" s="1027"/>
      <c r="WAQ39" s="1027"/>
      <c r="WAR39" s="25"/>
      <c r="WAS39" s="987">
        <f>SUM(WAS36:WAS38)</f>
        <v>0</v>
      </c>
      <c r="WAT39" s="987">
        <f t="shared" si="496"/>
        <v>0</v>
      </c>
      <c r="WAU39" s="987">
        <f t="shared" si="496"/>
        <v>0</v>
      </c>
      <c r="WAV39" s="987"/>
      <c r="WAW39" s="987"/>
      <c r="WAX39" s="987"/>
      <c r="WAY39" s="987"/>
      <c r="WAZ39" s="987">
        <f t="shared" si="497"/>
        <v>0</v>
      </c>
      <c r="WBA39" s="1026" t="s">
        <v>45</v>
      </c>
      <c r="WBB39" s="434"/>
      <c r="WBC39" s="1027"/>
      <c r="WBD39" s="1027"/>
      <c r="WBE39" s="24"/>
      <c r="WBF39" s="1027"/>
      <c r="WBG39" s="1027"/>
      <c r="WBH39" s="25"/>
      <c r="WBI39" s="987">
        <f>SUM(WBI36:WBI38)</f>
        <v>0</v>
      </c>
      <c r="WBJ39" s="987">
        <f t="shared" si="496"/>
        <v>0</v>
      </c>
      <c r="WBK39" s="987">
        <f t="shared" si="496"/>
        <v>0</v>
      </c>
      <c r="WBL39" s="987"/>
      <c r="WBM39" s="987"/>
      <c r="WBN39" s="987"/>
      <c r="WBO39" s="987"/>
      <c r="WBP39" s="987">
        <f t="shared" si="497"/>
        <v>0</v>
      </c>
      <c r="WBQ39" s="1026" t="s">
        <v>45</v>
      </c>
      <c r="WBR39" s="434"/>
      <c r="WBS39" s="1027"/>
      <c r="WBT39" s="1027"/>
      <c r="WBU39" s="24"/>
      <c r="WBV39" s="1027"/>
      <c r="WBW39" s="1027"/>
      <c r="WBX39" s="25"/>
      <c r="WBY39" s="987">
        <f>SUM(WBY36:WBY38)</f>
        <v>0</v>
      </c>
      <c r="WBZ39" s="987">
        <f t="shared" ref="WBZ39:WDW39" si="498">SUM(WBZ36:WBZ38)</f>
        <v>0</v>
      </c>
      <c r="WCA39" s="987">
        <f t="shared" si="498"/>
        <v>0</v>
      </c>
      <c r="WCB39" s="987"/>
      <c r="WCC39" s="987"/>
      <c r="WCD39" s="987"/>
      <c r="WCE39" s="987"/>
      <c r="WCF39" s="987">
        <f t="shared" ref="WCF39:WEB39" si="499">SUM(WCF36:WCF38)</f>
        <v>0</v>
      </c>
      <c r="WCG39" s="1026" t="s">
        <v>45</v>
      </c>
      <c r="WCH39" s="434"/>
      <c r="WCI39" s="1027"/>
      <c r="WCJ39" s="1027"/>
      <c r="WCK39" s="24"/>
      <c r="WCL39" s="1027"/>
      <c r="WCM39" s="1027"/>
      <c r="WCN39" s="25"/>
      <c r="WCO39" s="987">
        <f>SUM(WCO36:WCO38)</f>
        <v>0</v>
      </c>
      <c r="WCP39" s="987">
        <f t="shared" si="498"/>
        <v>0</v>
      </c>
      <c r="WCQ39" s="987">
        <f t="shared" si="498"/>
        <v>0</v>
      </c>
      <c r="WCR39" s="987"/>
      <c r="WCS39" s="987"/>
      <c r="WCT39" s="987"/>
      <c r="WCU39" s="987"/>
      <c r="WCV39" s="987">
        <f t="shared" si="499"/>
        <v>0</v>
      </c>
      <c r="WCW39" s="1026" t="s">
        <v>45</v>
      </c>
      <c r="WCX39" s="434"/>
      <c r="WCY39" s="1027"/>
      <c r="WCZ39" s="1027"/>
      <c r="WDA39" s="24"/>
      <c r="WDB39" s="1027"/>
      <c r="WDC39" s="1027"/>
      <c r="WDD39" s="25"/>
      <c r="WDE39" s="987">
        <f>SUM(WDE36:WDE38)</f>
        <v>0</v>
      </c>
      <c r="WDF39" s="987">
        <f t="shared" si="498"/>
        <v>0</v>
      </c>
      <c r="WDG39" s="987">
        <f t="shared" si="498"/>
        <v>0</v>
      </c>
      <c r="WDH39" s="987"/>
      <c r="WDI39" s="987"/>
      <c r="WDJ39" s="987"/>
      <c r="WDK39" s="987"/>
      <c r="WDL39" s="987">
        <f t="shared" si="499"/>
        <v>0</v>
      </c>
      <c r="WDM39" s="1026" t="s">
        <v>45</v>
      </c>
      <c r="WDN39" s="434"/>
      <c r="WDO39" s="1027"/>
      <c r="WDP39" s="1027"/>
      <c r="WDQ39" s="24"/>
      <c r="WDR39" s="1027"/>
      <c r="WDS39" s="1027"/>
      <c r="WDT39" s="25"/>
      <c r="WDU39" s="987">
        <f>SUM(WDU36:WDU38)</f>
        <v>0</v>
      </c>
      <c r="WDV39" s="987">
        <f t="shared" si="498"/>
        <v>0</v>
      </c>
      <c r="WDW39" s="987">
        <f t="shared" si="498"/>
        <v>0</v>
      </c>
      <c r="WDX39" s="987"/>
      <c r="WDY39" s="987"/>
      <c r="WDZ39" s="987"/>
      <c r="WEA39" s="987"/>
      <c r="WEB39" s="987">
        <f t="shared" si="499"/>
        <v>0</v>
      </c>
      <c r="WEC39" s="1026" t="s">
        <v>45</v>
      </c>
      <c r="WED39" s="434"/>
      <c r="WEE39" s="1027"/>
      <c r="WEF39" s="1027"/>
      <c r="WEG39" s="24"/>
      <c r="WEH39" s="1027"/>
      <c r="WEI39" s="1027"/>
      <c r="WEJ39" s="25"/>
      <c r="WEK39" s="987">
        <f>SUM(WEK36:WEK38)</f>
        <v>0</v>
      </c>
      <c r="WEL39" s="987">
        <f t="shared" ref="WEL39:WGI39" si="500">SUM(WEL36:WEL38)</f>
        <v>0</v>
      </c>
      <c r="WEM39" s="987">
        <f t="shared" si="500"/>
        <v>0</v>
      </c>
      <c r="WEN39" s="987"/>
      <c r="WEO39" s="987"/>
      <c r="WEP39" s="987"/>
      <c r="WEQ39" s="987"/>
      <c r="WER39" s="987">
        <f t="shared" ref="WER39:WGN39" si="501">SUM(WER36:WER38)</f>
        <v>0</v>
      </c>
      <c r="WES39" s="1026" t="s">
        <v>45</v>
      </c>
      <c r="WET39" s="434"/>
      <c r="WEU39" s="1027"/>
      <c r="WEV39" s="1027"/>
      <c r="WEW39" s="24"/>
      <c r="WEX39" s="1027"/>
      <c r="WEY39" s="1027"/>
      <c r="WEZ39" s="25"/>
      <c r="WFA39" s="987">
        <f>SUM(WFA36:WFA38)</f>
        <v>0</v>
      </c>
      <c r="WFB39" s="987">
        <f t="shared" si="500"/>
        <v>0</v>
      </c>
      <c r="WFC39" s="987">
        <f t="shared" si="500"/>
        <v>0</v>
      </c>
      <c r="WFD39" s="987"/>
      <c r="WFE39" s="987"/>
      <c r="WFF39" s="987"/>
      <c r="WFG39" s="987"/>
      <c r="WFH39" s="987">
        <f t="shared" si="501"/>
        <v>0</v>
      </c>
      <c r="WFI39" s="1026" t="s">
        <v>45</v>
      </c>
      <c r="WFJ39" s="434"/>
      <c r="WFK39" s="1027"/>
      <c r="WFL39" s="1027"/>
      <c r="WFM39" s="24"/>
      <c r="WFN39" s="1027"/>
      <c r="WFO39" s="1027"/>
      <c r="WFP39" s="25"/>
      <c r="WFQ39" s="987">
        <f>SUM(WFQ36:WFQ38)</f>
        <v>0</v>
      </c>
      <c r="WFR39" s="987">
        <f t="shared" si="500"/>
        <v>0</v>
      </c>
      <c r="WFS39" s="987">
        <f t="shared" si="500"/>
        <v>0</v>
      </c>
      <c r="WFT39" s="987"/>
      <c r="WFU39" s="987"/>
      <c r="WFV39" s="987"/>
      <c r="WFW39" s="987"/>
      <c r="WFX39" s="987">
        <f t="shared" si="501"/>
        <v>0</v>
      </c>
      <c r="WFY39" s="1026" t="s">
        <v>45</v>
      </c>
      <c r="WFZ39" s="434"/>
      <c r="WGA39" s="1027"/>
      <c r="WGB39" s="1027"/>
      <c r="WGC39" s="24"/>
      <c r="WGD39" s="1027"/>
      <c r="WGE39" s="1027"/>
      <c r="WGF39" s="25"/>
      <c r="WGG39" s="987">
        <f>SUM(WGG36:WGG38)</f>
        <v>0</v>
      </c>
      <c r="WGH39" s="987">
        <f t="shared" si="500"/>
        <v>0</v>
      </c>
      <c r="WGI39" s="987">
        <f t="shared" si="500"/>
        <v>0</v>
      </c>
      <c r="WGJ39" s="987"/>
      <c r="WGK39" s="987"/>
      <c r="WGL39" s="987"/>
      <c r="WGM39" s="987"/>
      <c r="WGN39" s="987">
        <f t="shared" si="501"/>
        <v>0</v>
      </c>
      <c r="WGO39" s="1026" t="s">
        <v>45</v>
      </c>
      <c r="WGP39" s="434"/>
      <c r="WGQ39" s="1027"/>
      <c r="WGR39" s="1027"/>
      <c r="WGS39" s="24"/>
      <c r="WGT39" s="1027"/>
      <c r="WGU39" s="1027"/>
      <c r="WGV39" s="25"/>
      <c r="WGW39" s="987">
        <f>SUM(WGW36:WGW38)</f>
        <v>0</v>
      </c>
      <c r="WGX39" s="987">
        <f t="shared" ref="WGX39:WIU39" si="502">SUM(WGX36:WGX38)</f>
        <v>0</v>
      </c>
      <c r="WGY39" s="987">
        <f t="shared" si="502"/>
        <v>0</v>
      </c>
      <c r="WGZ39" s="987"/>
      <c r="WHA39" s="987"/>
      <c r="WHB39" s="987"/>
      <c r="WHC39" s="987"/>
      <c r="WHD39" s="987">
        <f t="shared" ref="WHD39:WIZ39" si="503">SUM(WHD36:WHD38)</f>
        <v>0</v>
      </c>
      <c r="WHE39" s="1026" t="s">
        <v>45</v>
      </c>
      <c r="WHF39" s="434"/>
      <c r="WHG39" s="1027"/>
      <c r="WHH39" s="1027"/>
      <c r="WHI39" s="24"/>
      <c r="WHJ39" s="1027"/>
      <c r="WHK39" s="1027"/>
      <c r="WHL39" s="25"/>
      <c r="WHM39" s="987">
        <f>SUM(WHM36:WHM38)</f>
        <v>0</v>
      </c>
      <c r="WHN39" s="987">
        <f t="shared" si="502"/>
        <v>0</v>
      </c>
      <c r="WHO39" s="987">
        <f t="shared" si="502"/>
        <v>0</v>
      </c>
      <c r="WHP39" s="987"/>
      <c r="WHQ39" s="987"/>
      <c r="WHR39" s="987"/>
      <c r="WHS39" s="987"/>
      <c r="WHT39" s="987">
        <f t="shared" si="503"/>
        <v>0</v>
      </c>
      <c r="WHU39" s="1026" t="s">
        <v>45</v>
      </c>
      <c r="WHV39" s="434"/>
      <c r="WHW39" s="1027"/>
      <c r="WHX39" s="1027"/>
      <c r="WHY39" s="24"/>
      <c r="WHZ39" s="1027"/>
      <c r="WIA39" s="1027"/>
      <c r="WIB39" s="25"/>
      <c r="WIC39" s="987">
        <f>SUM(WIC36:WIC38)</f>
        <v>0</v>
      </c>
      <c r="WID39" s="987">
        <f t="shared" si="502"/>
        <v>0</v>
      </c>
      <c r="WIE39" s="987">
        <f t="shared" si="502"/>
        <v>0</v>
      </c>
      <c r="WIF39" s="987"/>
      <c r="WIG39" s="987"/>
      <c r="WIH39" s="987"/>
      <c r="WII39" s="987"/>
      <c r="WIJ39" s="987">
        <f t="shared" si="503"/>
        <v>0</v>
      </c>
      <c r="WIK39" s="1026" t="s">
        <v>45</v>
      </c>
      <c r="WIL39" s="434"/>
      <c r="WIM39" s="1027"/>
      <c r="WIN39" s="1027"/>
      <c r="WIO39" s="24"/>
      <c r="WIP39" s="1027"/>
      <c r="WIQ39" s="1027"/>
      <c r="WIR39" s="25"/>
      <c r="WIS39" s="987">
        <f>SUM(WIS36:WIS38)</f>
        <v>0</v>
      </c>
      <c r="WIT39" s="987">
        <f t="shared" si="502"/>
        <v>0</v>
      </c>
      <c r="WIU39" s="987">
        <f t="shared" si="502"/>
        <v>0</v>
      </c>
      <c r="WIV39" s="987"/>
      <c r="WIW39" s="987"/>
      <c r="WIX39" s="987"/>
      <c r="WIY39" s="987"/>
      <c r="WIZ39" s="987">
        <f t="shared" si="503"/>
        <v>0</v>
      </c>
      <c r="WJA39" s="1026" t="s">
        <v>45</v>
      </c>
      <c r="WJB39" s="434"/>
      <c r="WJC39" s="1027"/>
      <c r="WJD39" s="1027"/>
      <c r="WJE39" s="24"/>
      <c r="WJF39" s="1027"/>
      <c r="WJG39" s="1027"/>
      <c r="WJH39" s="25"/>
      <c r="WJI39" s="987">
        <f>SUM(WJI36:WJI38)</f>
        <v>0</v>
      </c>
      <c r="WJJ39" s="987">
        <f t="shared" ref="WJJ39:WLG39" si="504">SUM(WJJ36:WJJ38)</f>
        <v>0</v>
      </c>
      <c r="WJK39" s="987">
        <f t="shared" si="504"/>
        <v>0</v>
      </c>
      <c r="WJL39" s="987"/>
      <c r="WJM39" s="987"/>
      <c r="WJN39" s="987"/>
      <c r="WJO39" s="987"/>
      <c r="WJP39" s="987">
        <f t="shared" ref="WJP39:WLL39" si="505">SUM(WJP36:WJP38)</f>
        <v>0</v>
      </c>
      <c r="WJQ39" s="1026" t="s">
        <v>45</v>
      </c>
      <c r="WJR39" s="434"/>
      <c r="WJS39" s="1027"/>
      <c r="WJT39" s="1027"/>
      <c r="WJU39" s="24"/>
      <c r="WJV39" s="1027"/>
      <c r="WJW39" s="1027"/>
      <c r="WJX39" s="25"/>
      <c r="WJY39" s="987">
        <f>SUM(WJY36:WJY38)</f>
        <v>0</v>
      </c>
      <c r="WJZ39" s="987">
        <f t="shared" si="504"/>
        <v>0</v>
      </c>
      <c r="WKA39" s="987">
        <f t="shared" si="504"/>
        <v>0</v>
      </c>
      <c r="WKB39" s="987"/>
      <c r="WKC39" s="987"/>
      <c r="WKD39" s="987"/>
      <c r="WKE39" s="987"/>
      <c r="WKF39" s="987">
        <f t="shared" si="505"/>
        <v>0</v>
      </c>
      <c r="WKG39" s="1026" t="s">
        <v>45</v>
      </c>
      <c r="WKH39" s="434"/>
      <c r="WKI39" s="1027"/>
      <c r="WKJ39" s="1027"/>
      <c r="WKK39" s="24"/>
      <c r="WKL39" s="1027"/>
      <c r="WKM39" s="1027"/>
      <c r="WKN39" s="25"/>
      <c r="WKO39" s="987">
        <f>SUM(WKO36:WKO38)</f>
        <v>0</v>
      </c>
      <c r="WKP39" s="987">
        <f t="shared" si="504"/>
        <v>0</v>
      </c>
      <c r="WKQ39" s="987">
        <f t="shared" si="504"/>
        <v>0</v>
      </c>
      <c r="WKR39" s="987"/>
      <c r="WKS39" s="987"/>
      <c r="WKT39" s="987"/>
      <c r="WKU39" s="987"/>
      <c r="WKV39" s="987">
        <f t="shared" si="505"/>
        <v>0</v>
      </c>
      <c r="WKW39" s="1026" t="s">
        <v>45</v>
      </c>
      <c r="WKX39" s="434"/>
      <c r="WKY39" s="1027"/>
      <c r="WKZ39" s="1027"/>
      <c r="WLA39" s="24"/>
      <c r="WLB39" s="1027"/>
      <c r="WLC39" s="1027"/>
      <c r="WLD39" s="25"/>
      <c r="WLE39" s="987">
        <f>SUM(WLE36:WLE38)</f>
        <v>0</v>
      </c>
      <c r="WLF39" s="987">
        <f t="shared" si="504"/>
        <v>0</v>
      </c>
      <c r="WLG39" s="987">
        <f t="shared" si="504"/>
        <v>0</v>
      </c>
      <c r="WLH39" s="987"/>
      <c r="WLI39" s="987"/>
      <c r="WLJ39" s="987"/>
      <c r="WLK39" s="987"/>
      <c r="WLL39" s="987">
        <f t="shared" si="505"/>
        <v>0</v>
      </c>
      <c r="WLM39" s="1026" t="s">
        <v>45</v>
      </c>
      <c r="WLN39" s="434"/>
      <c r="WLO39" s="1027"/>
      <c r="WLP39" s="1027"/>
      <c r="WLQ39" s="24"/>
      <c r="WLR39" s="1027"/>
      <c r="WLS39" s="1027"/>
      <c r="WLT39" s="25"/>
      <c r="WLU39" s="987">
        <f>SUM(WLU36:WLU38)</f>
        <v>0</v>
      </c>
      <c r="WLV39" s="987">
        <f t="shared" ref="WLV39:WNS39" si="506">SUM(WLV36:WLV38)</f>
        <v>0</v>
      </c>
      <c r="WLW39" s="987">
        <f t="shared" si="506"/>
        <v>0</v>
      </c>
      <c r="WLX39" s="987"/>
      <c r="WLY39" s="987"/>
      <c r="WLZ39" s="987"/>
      <c r="WMA39" s="987"/>
      <c r="WMB39" s="987">
        <f t="shared" ref="WMB39:WNX39" si="507">SUM(WMB36:WMB38)</f>
        <v>0</v>
      </c>
      <c r="WMC39" s="1026" t="s">
        <v>45</v>
      </c>
      <c r="WMD39" s="434"/>
      <c r="WME39" s="1027"/>
      <c r="WMF39" s="1027"/>
      <c r="WMG39" s="24"/>
      <c r="WMH39" s="1027"/>
      <c r="WMI39" s="1027"/>
      <c r="WMJ39" s="25"/>
      <c r="WMK39" s="987">
        <f>SUM(WMK36:WMK38)</f>
        <v>0</v>
      </c>
      <c r="WML39" s="987">
        <f t="shared" si="506"/>
        <v>0</v>
      </c>
      <c r="WMM39" s="987">
        <f t="shared" si="506"/>
        <v>0</v>
      </c>
      <c r="WMN39" s="987"/>
      <c r="WMO39" s="987"/>
      <c r="WMP39" s="987"/>
      <c r="WMQ39" s="987"/>
      <c r="WMR39" s="987">
        <f t="shared" si="507"/>
        <v>0</v>
      </c>
      <c r="WMS39" s="1026" t="s">
        <v>45</v>
      </c>
      <c r="WMT39" s="434"/>
      <c r="WMU39" s="1027"/>
      <c r="WMV39" s="1027"/>
      <c r="WMW39" s="24"/>
      <c r="WMX39" s="1027"/>
      <c r="WMY39" s="1027"/>
      <c r="WMZ39" s="25"/>
      <c r="WNA39" s="987">
        <f>SUM(WNA36:WNA38)</f>
        <v>0</v>
      </c>
      <c r="WNB39" s="987">
        <f t="shared" si="506"/>
        <v>0</v>
      </c>
      <c r="WNC39" s="987">
        <f t="shared" si="506"/>
        <v>0</v>
      </c>
      <c r="WND39" s="987"/>
      <c r="WNE39" s="987"/>
      <c r="WNF39" s="987"/>
      <c r="WNG39" s="987"/>
      <c r="WNH39" s="987">
        <f t="shared" si="507"/>
        <v>0</v>
      </c>
      <c r="WNI39" s="1026" t="s">
        <v>45</v>
      </c>
      <c r="WNJ39" s="434"/>
      <c r="WNK39" s="1027"/>
      <c r="WNL39" s="1027"/>
      <c r="WNM39" s="24"/>
      <c r="WNN39" s="1027"/>
      <c r="WNO39" s="1027"/>
      <c r="WNP39" s="25"/>
      <c r="WNQ39" s="987">
        <f>SUM(WNQ36:WNQ38)</f>
        <v>0</v>
      </c>
      <c r="WNR39" s="987">
        <f t="shared" si="506"/>
        <v>0</v>
      </c>
      <c r="WNS39" s="987">
        <f t="shared" si="506"/>
        <v>0</v>
      </c>
      <c r="WNT39" s="987"/>
      <c r="WNU39" s="987"/>
      <c r="WNV39" s="987"/>
      <c r="WNW39" s="987"/>
      <c r="WNX39" s="987">
        <f t="shared" si="507"/>
        <v>0</v>
      </c>
      <c r="WNY39" s="1026" t="s">
        <v>45</v>
      </c>
      <c r="WNZ39" s="434"/>
      <c r="WOA39" s="1027"/>
      <c r="WOB39" s="1027"/>
      <c r="WOC39" s="24"/>
      <c r="WOD39" s="1027"/>
      <c r="WOE39" s="1027"/>
      <c r="WOF39" s="25"/>
      <c r="WOG39" s="987">
        <f>SUM(WOG36:WOG38)</f>
        <v>0</v>
      </c>
      <c r="WOH39" s="987">
        <f t="shared" ref="WOH39:WQE39" si="508">SUM(WOH36:WOH38)</f>
        <v>0</v>
      </c>
      <c r="WOI39" s="987">
        <f t="shared" si="508"/>
        <v>0</v>
      </c>
      <c r="WOJ39" s="987"/>
      <c r="WOK39" s="987"/>
      <c r="WOL39" s="987"/>
      <c r="WOM39" s="987"/>
      <c r="WON39" s="987">
        <f t="shared" ref="WON39:WQJ39" si="509">SUM(WON36:WON38)</f>
        <v>0</v>
      </c>
      <c r="WOO39" s="1026" t="s">
        <v>45</v>
      </c>
      <c r="WOP39" s="434"/>
      <c r="WOQ39" s="1027"/>
      <c r="WOR39" s="1027"/>
      <c r="WOS39" s="24"/>
      <c r="WOT39" s="1027"/>
      <c r="WOU39" s="1027"/>
      <c r="WOV39" s="25"/>
      <c r="WOW39" s="987">
        <f>SUM(WOW36:WOW38)</f>
        <v>0</v>
      </c>
      <c r="WOX39" s="987">
        <f t="shared" si="508"/>
        <v>0</v>
      </c>
      <c r="WOY39" s="987">
        <f t="shared" si="508"/>
        <v>0</v>
      </c>
      <c r="WOZ39" s="987"/>
      <c r="WPA39" s="987"/>
      <c r="WPB39" s="987"/>
      <c r="WPC39" s="987"/>
      <c r="WPD39" s="987">
        <f t="shared" si="509"/>
        <v>0</v>
      </c>
      <c r="WPE39" s="1026" t="s">
        <v>45</v>
      </c>
      <c r="WPF39" s="434"/>
      <c r="WPG39" s="1027"/>
      <c r="WPH39" s="1027"/>
      <c r="WPI39" s="24"/>
      <c r="WPJ39" s="1027"/>
      <c r="WPK39" s="1027"/>
      <c r="WPL39" s="25"/>
      <c r="WPM39" s="987">
        <f>SUM(WPM36:WPM38)</f>
        <v>0</v>
      </c>
      <c r="WPN39" s="987">
        <f t="shared" si="508"/>
        <v>0</v>
      </c>
      <c r="WPO39" s="987">
        <f t="shared" si="508"/>
        <v>0</v>
      </c>
      <c r="WPP39" s="987"/>
      <c r="WPQ39" s="987"/>
      <c r="WPR39" s="987"/>
      <c r="WPS39" s="987"/>
      <c r="WPT39" s="987">
        <f t="shared" si="509"/>
        <v>0</v>
      </c>
      <c r="WPU39" s="1026" t="s">
        <v>45</v>
      </c>
      <c r="WPV39" s="434"/>
      <c r="WPW39" s="1027"/>
      <c r="WPX39" s="1027"/>
      <c r="WPY39" s="24"/>
      <c r="WPZ39" s="1027"/>
      <c r="WQA39" s="1027"/>
      <c r="WQB39" s="25"/>
      <c r="WQC39" s="987">
        <f>SUM(WQC36:WQC38)</f>
        <v>0</v>
      </c>
      <c r="WQD39" s="987">
        <f t="shared" si="508"/>
        <v>0</v>
      </c>
      <c r="WQE39" s="987">
        <f t="shared" si="508"/>
        <v>0</v>
      </c>
      <c r="WQF39" s="987"/>
      <c r="WQG39" s="987"/>
      <c r="WQH39" s="987"/>
      <c r="WQI39" s="987"/>
      <c r="WQJ39" s="987">
        <f t="shared" si="509"/>
        <v>0</v>
      </c>
      <c r="WQK39" s="1026" t="s">
        <v>45</v>
      </c>
      <c r="WQL39" s="434"/>
      <c r="WQM39" s="1027"/>
      <c r="WQN39" s="1027"/>
      <c r="WQO39" s="24"/>
      <c r="WQP39" s="1027"/>
      <c r="WQQ39" s="1027"/>
      <c r="WQR39" s="25"/>
      <c r="WQS39" s="987">
        <f>SUM(WQS36:WQS38)</f>
        <v>0</v>
      </c>
      <c r="WQT39" s="987">
        <f t="shared" ref="WQT39:WSQ39" si="510">SUM(WQT36:WQT38)</f>
        <v>0</v>
      </c>
      <c r="WQU39" s="987">
        <f t="shared" si="510"/>
        <v>0</v>
      </c>
      <c r="WQV39" s="987"/>
      <c r="WQW39" s="987"/>
      <c r="WQX39" s="987"/>
      <c r="WQY39" s="987"/>
      <c r="WQZ39" s="987">
        <f t="shared" ref="WQZ39:WSV39" si="511">SUM(WQZ36:WQZ38)</f>
        <v>0</v>
      </c>
      <c r="WRA39" s="1026" t="s">
        <v>45</v>
      </c>
      <c r="WRB39" s="434"/>
      <c r="WRC39" s="1027"/>
      <c r="WRD39" s="1027"/>
      <c r="WRE39" s="24"/>
      <c r="WRF39" s="1027"/>
      <c r="WRG39" s="1027"/>
      <c r="WRH39" s="25"/>
      <c r="WRI39" s="987">
        <f>SUM(WRI36:WRI38)</f>
        <v>0</v>
      </c>
      <c r="WRJ39" s="987">
        <f t="shared" si="510"/>
        <v>0</v>
      </c>
      <c r="WRK39" s="987">
        <f t="shared" si="510"/>
        <v>0</v>
      </c>
      <c r="WRL39" s="987"/>
      <c r="WRM39" s="987"/>
      <c r="WRN39" s="987"/>
      <c r="WRO39" s="987"/>
      <c r="WRP39" s="987">
        <f t="shared" si="511"/>
        <v>0</v>
      </c>
      <c r="WRQ39" s="1026" t="s">
        <v>45</v>
      </c>
      <c r="WRR39" s="434"/>
      <c r="WRS39" s="1027"/>
      <c r="WRT39" s="1027"/>
      <c r="WRU39" s="24"/>
      <c r="WRV39" s="1027"/>
      <c r="WRW39" s="1027"/>
      <c r="WRX39" s="25"/>
      <c r="WRY39" s="987">
        <f>SUM(WRY36:WRY38)</f>
        <v>0</v>
      </c>
      <c r="WRZ39" s="987">
        <f t="shared" si="510"/>
        <v>0</v>
      </c>
      <c r="WSA39" s="987">
        <f t="shared" si="510"/>
        <v>0</v>
      </c>
      <c r="WSB39" s="987"/>
      <c r="WSC39" s="987"/>
      <c r="WSD39" s="987"/>
      <c r="WSE39" s="987"/>
      <c r="WSF39" s="987">
        <f t="shared" si="511"/>
        <v>0</v>
      </c>
      <c r="WSG39" s="1026" t="s">
        <v>45</v>
      </c>
      <c r="WSH39" s="434"/>
      <c r="WSI39" s="1027"/>
      <c r="WSJ39" s="1027"/>
      <c r="WSK39" s="24"/>
      <c r="WSL39" s="1027"/>
      <c r="WSM39" s="1027"/>
      <c r="WSN39" s="25"/>
      <c r="WSO39" s="987">
        <f>SUM(WSO36:WSO38)</f>
        <v>0</v>
      </c>
      <c r="WSP39" s="987">
        <f t="shared" si="510"/>
        <v>0</v>
      </c>
      <c r="WSQ39" s="987">
        <f t="shared" si="510"/>
        <v>0</v>
      </c>
      <c r="WSR39" s="987"/>
      <c r="WSS39" s="987"/>
      <c r="WST39" s="987"/>
      <c r="WSU39" s="987"/>
      <c r="WSV39" s="987">
        <f t="shared" si="511"/>
        <v>0</v>
      </c>
      <c r="WSW39" s="1026" t="s">
        <v>45</v>
      </c>
      <c r="WSX39" s="434"/>
      <c r="WSY39" s="1027"/>
      <c r="WSZ39" s="1027"/>
      <c r="WTA39" s="24"/>
      <c r="WTB39" s="1027"/>
      <c r="WTC39" s="1027"/>
      <c r="WTD39" s="25"/>
      <c r="WTE39" s="987">
        <f>SUM(WTE36:WTE38)</f>
        <v>0</v>
      </c>
      <c r="WTF39" s="987">
        <f t="shared" ref="WTF39:WVC39" si="512">SUM(WTF36:WTF38)</f>
        <v>0</v>
      </c>
      <c r="WTG39" s="987">
        <f t="shared" si="512"/>
        <v>0</v>
      </c>
      <c r="WTH39" s="987"/>
      <c r="WTI39" s="987"/>
      <c r="WTJ39" s="987"/>
      <c r="WTK39" s="987"/>
      <c r="WTL39" s="987">
        <f t="shared" ref="WTL39:WVH39" si="513">SUM(WTL36:WTL38)</f>
        <v>0</v>
      </c>
      <c r="WTM39" s="1026" t="s">
        <v>45</v>
      </c>
      <c r="WTN39" s="434"/>
      <c r="WTO39" s="1027"/>
      <c r="WTP39" s="1027"/>
      <c r="WTQ39" s="24"/>
      <c r="WTR39" s="1027"/>
      <c r="WTS39" s="1027"/>
      <c r="WTT39" s="25"/>
      <c r="WTU39" s="987">
        <f>SUM(WTU36:WTU38)</f>
        <v>0</v>
      </c>
      <c r="WTV39" s="987">
        <f t="shared" si="512"/>
        <v>0</v>
      </c>
      <c r="WTW39" s="987">
        <f t="shared" si="512"/>
        <v>0</v>
      </c>
      <c r="WTX39" s="987"/>
      <c r="WTY39" s="987"/>
      <c r="WTZ39" s="987"/>
      <c r="WUA39" s="987"/>
      <c r="WUB39" s="987">
        <f t="shared" si="513"/>
        <v>0</v>
      </c>
      <c r="WUC39" s="1026" t="s">
        <v>45</v>
      </c>
      <c r="WUD39" s="434"/>
      <c r="WUE39" s="1027"/>
      <c r="WUF39" s="1027"/>
      <c r="WUG39" s="24"/>
      <c r="WUH39" s="1027"/>
      <c r="WUI39" s="1027"/>
      <c r="WUJ39" s="25"/>
      <c r="WUK39" s="987">
        <f>SUM(WUK36:WUK38)</f>
        <v>0</v>
      </c>
      <c r="WUL39" s="987">
        <f t="shared" si="512"/>
        <v>0</v>
      </c>
      <c r="WUM39" s="987">
        <f t="shared" si="512"/>
        <v>0</v>
      </c>
      <c r="WUN39" s="987"/>
      <c r="WUO39" s="987"/>
      <c r="WUP39" s="987"/>
      <c r="WUQ39" s="987"/>
      <c r="WUR39" s="987">
        <f t="shared" si="513"/>
        <v>0</v>
      </c>
      <c r="WUS39" s="1026" t="s">
        <v>45</v>
      </c>
      <c r="WUT39" s="434"/>
      <c r="WUU39" s="1027"/>
      <c r="WUV39" s="1027"/>
      <c r="WUW39" s="24"/>
      <c r="WUX39" s="1027"/>
      <c r="WUY39" s="1027"/>
      <c r="WUZ39" s="25"/>
      <c r="WVA39" s="987">
        <f>SUM(WVA36:WVA38)</f>
        <v>0</v>
      </c>
      <c r="WVB39" s="987">
        <f t="shared" si="512"/>
        <v>0</v>
      </c>
      <c r="WVC39" s="987">
        <f t="shared" si="512"/>
        <v>0</v>
      </c>
      <c r="WVD39" s="987"/>
      <c r="WVE39" s="987"/>
      <c r="WVF39" s="987"/>
      <c r="WVG39" s="987"/>
      <c r="WVH39" s="987">
        <f t="shared" si="513"/>
        <v>0</v>
      </c>
      <c r="WVI39" s="1026" t="s">
        <v>45</v>
      </c>
      <c r="WVJ39" s="434"/>
      <c r="WVK39" s="1027"/>
      <c r="WVL39" s="1027"/>
      <c r="WVM39" s="24"/>
      <c r="WVN39" s="1027"/>
      <c r="WVO39" s="1027"/>
      <c r="WVP39" s="25"/>
      <c r="WVQ39" s="987">
        <f>SUM(WVQ36:WVQ38)</f>
        <v>0</v>
      </c>
      <c r="WVR39" s="987">
        <f t="shared" ref="WVR39:WXO39" si="514">SUM(WVR36:WVR38)</f>
        <v>0</v>
      </c>
      <c r="WVS39" s="987">
        <f t="shared" si="514"/>
        <v>0</v>
      </c>
      <c r="WVT39" s="987"/>
      <c r="WVU39" s="987"/>
      <c r="WVV39" s="987"/>
      <c r="WVW39" s="987"/>
      <c r="WVX39" s="987">
        <f t="shared" ref="WVX39:WXT39" si="515">SUM(WVX36:WVX38)</f>
        <v>0</v>
      </c>
      <c r="WVY39" s="1026" t="s">
        <v>45</v>
      </c>
      <c r="WVZ39" s="434"/>
      <c r="WWA39" s="1027"/>
      <c r="WWB39" s="1027"/>
      <c r="WWC39" s="24"/>
      <c r="WWD39" s="1027"/>
      <c r="WWE39" s="1027"/>
      <c r="WWF39" s="25"/>
      <c r="WWG39" s="987">
        <f>SUM(WWG36:WWG38)</f>
        <v>0</v>
      </c>
      <c r="WWH39" s="987">
        <f t="shared" si="514"/>
        <v>0</v>
      </c>
      <c r="WWI39" s="987">
        <f t="shared" si="514"/>
        <v>0</v>
      </c>
      <c r="WWJ39" s="987"/>
      <c r="WWK39" s="987"/>
      <c r="WWL39" s="987"/>
      <c r="WWM39" s="987"/>
      <c r="WWN39" s="987">
        <f t="shared" si="515"/>
        <v>0</v>
      </c>
      <c r="WWO39" s="1026" t="s">
        <v>45</v>
      </c>
      <c r="WWP39" s="434"/>
      <c r="WWQ39" s="1027"/>
      <c r="WWR39" s="1027"/>
      <c r="WWS39" s="24"/>
      <c r="WWT39" s="1027"/>
      <c r="WWU39" s="1027"/>
      <c r="WWV39" s="25"/>
      <c r="WWW39" s="987">
        <f>SUM(WWW36:WWW38)</f>
        <v>0</v>
      </c>
      <c r="WWX39" s="987">
        <f t="shared" si="514"/>
        <v>0</v>
      </c>
      <c r="WWY39" s="987">
        <f t="shared" si="514"/>
        <v>0</v>
      </c>
      <c r="WWZ39" s="987"/>
      <c r="WXA39" s="987"/>
      <c r="WXB39" s="987"/>
      <c r="WXC39" s="987"/>
      <c r="WXD39" s="987">
        <f t="shared" si="515"/>
        <v>0</v>
      </c>
      <c r="WXE39" s="1026" t="s">
        <v>45</v>
      </c>
      <c r="WXF39" s="434"/>
      <c r="WXG39" s="1027"/>
      <c r="WXH39" s="1027"/>
      <c r="WXI39" s="24"/>
      <c r="WXJ39" s="1027"/>
      <c r="WXK39" s="1027"/>
      <c r="WXL39" s="25"/>
      <c r="WXM39" s="987">
        <f>SUM(WXM36:WXM38)</f>
        <v>0</v>
      </c>
      <c r="WXN39" s="987">
        <f t="shared" si="514"/>
        <v>0</v>
      </c>
      <c r="WXO39" s="987">
        <f t="shared" si="514"/>
        <v>0</v>
      </c>
      <c r="WXP39" s="987"/>
      <c r="WXQ39" s="987"/>
      <c r="WXR39" s="987"/>
      <c r="WXS39" s="987"/>
      <c r="WXT39" s="987">
        <f t="shared" si="515"/>
        <v>0</v>
      </c>
      <c r="WXU39" s="1026" t="s">
        <v>45</v>
      </c>
      <c r="WXV39" s="434"/>
      <c r="WXW39" s="1027"/>
      <c r="WXX39" s="1027"/>
      <c r="WXY39" s="24"/>
      <c r="WXZ39" s="1027"/>
      <c r="WYA39" s="1027"/>
      <c r="WYB39" s="25"/>
      <c r="WYC39" s="987">
        <f>SUM(WYC36:WYC38)</f>
        <v>0</v>
      </c>
      <c r="WYD39" s="987">
        <f t="shared" ref="WYD39:XAA39" si="516">SUM(WYD36:WYD38)</f>
        <v>0</v>
      </c>
      <c r="WYE39" s="987">
        <f t="shared" si="516"/>
        <v>0</v>
      </c>
      <c r="WYF39" s="987"/>
      <c r="WYG39" s="987"/>
      <c r="WYH39" s="987"/>
      <c r="WYI39" s="987"/>
      <c r="WYJ39" s="987">
        <f t="shared" ref="WYJ39:XAF39" si="517">SUM(WYJ36:WYJ38)</f>
        <v>0</v>
      </c>
      <c r="WYK39" s="1026" t="s">
        <v>45</v>
      </c>
      <c r="WYL39" s="434"/>
      <c r="WYM39" s="1027"/>
      <c r="WYN39" s="1027"/>
      <c r="WYO39" s="24"/>
      <c r="WYP39" s="1027"/>
      <c r="WYQ39" s="1027"/>
      <c r="WYR39" s="25"/>
      <c r="WYS39" s="987">
        <f>SUM(WYS36:WYS38)</f>
        <v>0</v>
      </c>
      <c r="WYT39" s="987">
        <f t="shared" si="516"/>
        <v>0</v>
      </c>
      <c r="WYU39" s="987">
        <f t="shared" si="516"/>
        <v>0</v>
      </c>
      <c r="WYV39" s="987"/>
      <c r="WYW39" s="987"/>
      <c r="WYX39" s="987"/>
      <c r="WYY39" s="987"/>
      <c r="WYZ39" s="987">
        <f t="shared" si="517"/>
        <v>0</v>
      </c>
      <c r="WZA39" s="1026" t="s">
        <v>45</v>
      </c>
      <c r="WZB39" s="434"/>
      <c r="WZC39" s="1027"/>
      <c r="WZD39" s="1027"/>
      <c r="WZE39" s="24"/>
      <c r="WZF39" s="1027"/>
      <c r="WZG39" s="1027"/>
      <c r="WZH39" s="25"/>
      <c r="WZI39" s="987">
        <f>SUM(WZI36:WZI38)</f>
        <v>0</v>
      </c>
      <c r="WZJ39" s="987">
        <f t="shared" si="516"/>
        <v>0</v>
      </c>
      <c r="WZK39" s="987">
        <f t="shared" si="516"/>
        <v>0</v>
      </c>
      <c r="WZL39" s="987"/>
      <c r="WZM39" s="987"/>
      <c r="WZN39" s="987"/>
      <c r="WZO39" s="987"/>
      <c r="WZP39" s="987">
        <f t="shared" si="517"/>
        <v>0</v>
      </c>
      <c r="WZQ39" s="1026" t="s">
        <v>45</v>
      </c>
      <c r="WZR39" s="434"/>
      <c r="WZS39" s="1027"/>
      <c r="WZT39" s="1027"/>
      <c r="WZU39" s="24"/>
      <c r="WZV39" s="1027"/>
      <c r="WZW39" s="1027"/>
      <c r="WZX39" s="25"/>
      <c r="WZY39" s="987">
        <f>SUM(WZY36:WZY38)</f>
        <v>0</v>
      </c>
      <c r="WZZ39" s="987">
        <f t="shared" si="516"/>
        <v>0</v>
      </c>
      <c r="XAA39" s="987">
        <f t="shared" si="516"/>
        <v>0</v>
      </c>
      <c r="XAB39" s="987"/>
      <c r="XAC39" s="987"/>
      <c r="XAD39" s="987"/>
      <c r="XAE39" s="987"/>
      <c r="XAF39" s="987">
        <f t="shared" si="517"/>
        <v>0</v>
      </c>
      <c r="XAG39" s="1026" t="s">
        <v>45</v>
      </c>
      <c r="XAH39" s="434"/>
      <c r="XAI39" s="1027"/>
      <c r="XAJ39" s="1027"/>
      <c r="XAK39" s="24"/>
      <c r="XAL39" s="1027"/>
      <c r="XAM39" s="1027"/>
      <c r="XAN39" s="25"/>
      <c r="XAO39" s="987">
        <f>SUM(XAO36:XAO38)</f>
        <v>0</v>
      </c>
      <c r="XAP39" s="987">
        <f t="shared" ref="XAP39:XCM39" si="518">SUM(XAP36:XAP38)</f>
        <v>0</v>
      </c>
      <c r="XAQ39" s="987">
        <f t="shared" si="518"/>
        <v>0</v>
      </c>
      <c r="XAR39" s="987"/>
      <c r="XAS39" s="987"/>
      <c r="XAT39" s="987"/>
      <c r="XAU39" s="987"/>
      <c r="XAV39" s="987">
        <f t="shared" ref="XAV39:XCR39" si="519">SUM(XAV36:XAV38)</f>
        <v>0</v>
      </c>
      <c r="XAW39" s="1026" t="s">
        <v>45</v>
      </c>
      <c r="XAX39" s="434"/>
      <c r="XAY39" s="1027"/>
      <c r="XAZ39" s="1027"/>
      <c r="XBA39" s="24"/>
      <c r="XBB39" s="1027"/>
      <c r="XBC39" s="1027"/>
      <c r="XBD39" s="25"/>
      <c r="XBE39" s="987">
        <f>SUM(XBE36:XBE38)</f>
        <v>0</v>
      </c>
      <c r="XBF39" s="987">
        <f t="shared" si="518"/>
        <v>0</v>
      </c>
      <c r="XBG39" s="987">
        <f t="shared" si="518"/>
        <v>0</v>
      </c>
      <c r="XBH39" s="987"/>
      <c r="XBI39" s="987"/>
      <c r="XBJ39" s="987"/>
      <c r="XBK39" s="987"/>
      <c r="XBL39" s="987">
        <f t="shared" si="519"/>
        <v>0</v>
      </c>
      <c r="XBM39" s="1026" t="s">
        <v>45</v>
      </c>
      <c r="XBN39" s="434"/>
      <c r="XBO39" s="1027"/>
      <c r="XBP39" s="1027"/>
      <c r="XBQ39" s="24"/>
      <c r="XBR39" s="1027"/>
      <c r="XBS39" s="1027"/>
      <c r="XBT39" s="25"/>
      <c r="XBU39" s="987">
        <f>SUM(XBU36:XBU38)</f>
        <v>0</v>
      </c>
      <c r="XBV39" s="987">
        <f t="shared" si="518"/>
        <v>0</v>
      </c>
      <c r="XBW39" s="987">
        <f t="shared" si="518"/>
        <v>0</v>
      </c>
      <c r="XBX39" s="987"/>
      <c r="XBY39" s="987"/>
      <c r="XBZ39" s="987"/>
      <c r="XCA39" s="987"/>
      <c r="XCB39" s="987">
        <f t="shared" si="519"/>
        <v>0</v>
      </c>
      <c r="XCC39" s="1026" t="s">
        <v>45</v>
      </c>
      <c r="XCD39" s="434"/>
      <c r="XCE39" s="1027"/>
      <c r="XCF39" s="1027"/>
      <c r="XCG39" s="24"/>
      <c r="XCH39" s="1027"/>
      <c r="XCI39" s="1027"/>
      <c r="XCJ39" s="25"/>
      <c r="XCK39" s="987">
        <f>SUM(XCK36:XCK38)</f>
        <v>0</v>
      </c>
      <c r="XCL39" s="987">
        <f t="shared" si="518"/>
        <v>0</v>
      </c>
      <c r="XCM39" s="987">
        <f t="shared" si="518"/>
        <v>0</v>
      </c>
      <c r="XCN39" s="987"/>
      <c r="XCO39" s="987"/>
      <c r="XCP39" s="987"/>
      <c r="XCQ39" s="987"/>
      <c r="XCR39" s="987">
        <f t="shared" si="519"/>
        <v>0</v>
      </c>
      <c r="XCS39" s="1026" t="s">
        <v>45</v>
      </c>
      <c r="XCT39" s="434"/>
      <c r="XCU39" s="1027"/>
      <c r="XCV39" s="1027"/>
      <c r="XCW39" s="24"/>
      <c r="XCX39" s="1027"/>
      <c r="XCY39" s="1027"/>
      <c r="XCZ39" s="25"/>
      <c r="XDA39" s="987">
        <f>SUM(XDA36:XDA38)</f>
        <v>0</v>
      </c>
      <c r="XDB39" s="987">
        <f t="shared" ref="XDB39:XEY39" si="520">SUM(XDB36:XDB38)</f>
        <v>0</v>
      </c>
      <c r="XDC39" s="987">
        <f t="shared" si="520"/>
        <v>0</v>
      </c>
      <c r="XDD39" s="987"/>
      <c r="XDE39" s="987"/>
      <c r="XDF39" s="987"/>
      <c r="XDG39" s="987"/>
      <c r="XDH39" s="987">
        <f t="shared" ref="XDH39:XFD39" si="521">SUM(XDH36:XDH38)</f>
        <v>0</v>
      </c>
      <c r="XDI39" s="1026" t="s">
        <v>45</v>
      </c>
      <c r="XDJ39" s="434"/>
      <c r="XDK39" s="1027"/>
      <c r="XDL39" s="1027"/>
      <c r="XDM39" s="24"/>
      <c r="XDN39" s="1027"/>
      <c r="XDO39" s="1027"/>
      <c r="XDP39" s="25"/>
      <c r="XDQ39" s="987">
        <f>SUM(XDQ36:XDQ38)</f>
        <v>0</v>
      </c>
      <c r="XDR39" s="987">
        <f t="shared" si="520"/>
        <v>0</v>
      </c>
      <c r="XDS39" s="987">
        <f t="shared" si="520"/>
        <v>0</v>
      </c>
      <c r="XDT39" s="987"/>
      <c r="XDU39" s="987"/>
      <c r="XDV39" s="987"/>
      <c r="XDW39" s="987"/>
      <c r="XDX39" s="987">
        <f t="shared" si="521"/>
        <v>0</v>
      </c>
      <c r="XDY39" s="1026" t="s">
        <v>45</v>
      </c>
      <c r="XDZ39" s="434"/>
      <c r="XEA39" s="1027"/>
      <c r="XEB39" s="1027"/>
      <c r="XEC39" s="24"/>
      <c r="XED39" s="1027"/>
      <c r="XEE39" s="1027"/>
      <c r="XEF39" s="25"/>
      <c r="XEG39" s="987">
        <f>SUM(XEG36:XEG38)</f>
        <v>0</v>
      </c>
      <c r="XEH39" s="987">
        <f t="shared" si="520"/>
        <v>0</v>
      </c>
      <c r="XEI39" s="987">
        <f t="shared" si="520"/>
        <v>0</v>
      </c>
      <c r="XEJ39" s="987"/>
      <c r="XEK39" s="987"/>
      <c r="XEL39" s="987"/>
      <c r="XEM39" s="987"/>
      <c r="XEN39" s="987">
        <f t="shared" si="521"/>
        <v>0</v>
      </c>
      <c r="XEO39" s="1026" t="s">
        <v>45</v>
      </c>
      <c r="XEP39" s="434"/>
      <c r="XEQ39" s="1027"/>
      <c r="XER39" s="1027"/>
      <c r="XES39" s="24"/>
      <c r="XET39" s="1027"/>
      <c r="XEU39" s="1027"/>
      <c r="XEV39" s="25"/>
      <c r="XEW39" s="987">
        <f>SUM(XEW36:XEW38)</f>
        <v>0</v>
      </c>
      <c r="XEX39" s="987">
        <f t="shared" si="520"/>
        <v>0</v>
      </c>
      <c r="XEY39" s="987">
        <f t="shared" si="520"/>
        <v>0</v>
      </c>
      <c r="XEZ39" s="987"/>
      <c r="XFA39" s="987"/>
      <c r="XFB39" s="987"/>
      <c r="XFC39" s="987"/>
      <c r="XFD39" s="987">
        <f t="shared" si="521"/>
        <v>0</v>
      </c>
    </row>
    <row r="40" spans="1:16384" s="146" customFormat="1" ht="17.45" customHeight="1" thickBot="1">
      <c r="A40" s="133" t="s">
        <v>45</v>
      </c>
      <c r="B40" s="143"/>
      <c r="C40" s="144"/>
      <c r="D40" s="144"/>
      <c r="E40" s="144">
        <f>E20+E21+E22+E23+E24+E25+E26+E27+E28+E29+E30+E31</f>
        <v>220</v>
      </c>
      <c r="F40" s="144"/>
      <c r="G40" s="144"/>
      <c r="H40" s="144"/>
      <c r="I40" s="145">
        <f ca="1">I20+I21+I22+I23+I24+I25+I26+I27+I28+I29+I30+I31+I36+I37+I38</f>
        <v>4713.0752360645747</v>
      </c>
      <c r="J40" s="437">
        <f ca="1">SUM(J19:J38)</f>
        <v>3032.4629911666161</v>
      </c>
      <c r="K40" s="437">
        <f ca="1">SUM(K19:K38)</f>
        <v>2001.4255741699667</v>
      </c>
      <c r="L40" s="1023"/>
      <c r="M40" s="1023"/>
      <c r="N40" s="1023"/>
      <c r="O40" s="1023"/>
      <c r="P40" s="438">
        <f ca="1">SUM(P19:P38)</f>
        <v>11098.814547669816</v>
      </c>
    </row>
    <row r="41" spans="1:16384" s="146" customFormat="1" ht="17.45" customHeight="1">
      <c r="A41" s="455" t="s">
        <v>101</v>
      </c>
      <c r="B41" s="80"/>
      <c r="C41" s="456"/>
      <c r="D41" s="456"/>
      <c r="E41" s="456">
        <f>mZzap</f>
        <v>26.4</v>
      </c>
      <c r="F41" s="456"/>
      <c r="G41" s="456"/>
      <c r="H41" s="456"/>
      <c r="I41" s="127"/>
      <c r="J41" s="125"/>
      <c r="K41" s="125"/>
      <c r="L41" s="125"/>
      <c r="M41" s="125"/>
      <c r="N41" s="125"/>
      <c r="O41" s="125"/>
      <c r="P41" s="125"/>
    </row>
    <row r="42" spans="1:16384" ht="18" customHeight="1">
      <c r="B42" s="457"/>
      <c r="C42" s="457"/>
      <c r="D42" s="1047" t="s">
        <v>97</v>
      </c>
      <c r="E42" s="1047"/>
      <c r="F42" s="1047"/>
      <c r="G42" s="1047"/>
      <c r="H42" s="1047"/>
      <c r="I42" s="1047"/>
      <c r="J42" s="1047"/>
      <c r="K42" s="674" t="s">
        <v>3895</v>
      </c>
      <c r="L42" s="1012"/>
      <c r="M42" s="1012"/>
      <c r="N42" s="1012"/>
      <c r="O42" s="1012"/>
      <c r="P42" s="693" t="str">
        <f>VLOOKUP(mLisVo,Лісництва!B2:O7,8,FALSE)</f>
        <v>Геращенко Б.І.</v>
      </c>
    </row>
    <row r="43" spans="1:16384" ht="18" customHeight="1">
      <c r="C43" s="453"/>
      <c r="D43" s="1050" t="s">
        <v>98</v>
      </c>
      <c r="E43" s="1050"/>
      <c r="F43" s="1049" t="s">
        <v>51</v>
      </c>
      <c r="G43" s="1049"/>
      <c r="H43" s="1050" t="s">
        <v>86</v>
      </c>
      <c r="I43" s="1050"/>
      <c r="J43" s="1050"/>
      <c r="Q43" s="2">
        <f ca="1">F44*mZzap</f>
        <v>5726.3869999999997</v>
      </c>
    </row>
    <row r="44" spans="1:16384" ht="18" customHeight="1">
      <c r="C44" s="454"/>
      <c r="D44" s="1051">
        <f ca="1">P40/mZzap</f>
        <v>420.40964195718999</v>
      </c>
      <c r="E44" s="1051"/>
      <c r="F44" s="1048">
        <f ca="1">Молодняки_кошторис!J8</f>
        <v>216.90859848484848</v>
      </c>
      <c r="G44" s="1048"/>
      <c r="H44" s="1048">
        <f ca="1">D44-F44</f>
        <v>203.50104347234151</v>
      </c>
      <c r="I44" s="1048"/>
      <c r="J44" s="1048"/>
      <c r="K44" s="674" t="s">
        <v>3841</v>
      </c>
      <c r="L44" s="1012"/>
      <c r="M44" s="1012"/>
      <c r="N44" s="1012"/>
      <c r="O44" s="1012"/>
      <c r="P44" s="694" t="s">
        <v>3840</v>
      </c>
    </row>
  </sheetData>
  <mergeCells count="49">
    <mergeCell ref="A35:P35"/>
    <mergeCell ref="F14:H14"/>
    <mergeCell ref="G15:G17"/>
    <mergeCell ref="F15:F17"/>
    <mergeCell ref="H15:H17"/>
    <mergeCell ref="A19:P19"/>
    <mergeCell ref="G3:H3"/>
    <mergeCell ref="G4:H4"/>
    <mergeCell ref="G5:H5"/>
    <mergeCell ref="G6:H6"/>
    <mergeCell ref="G2:H2"/>
    <mergeCell ref="G9:H9"/>
    <mergeCell ref="G10:H10"/>
    <mergeCell ref="G11:H11"/>
    <mergeCell ref="G13:H13"/>
    <mergeCell ref="I13:J13"/>
    <mergeCell ref="G12:H12"/>
    <mergeCell ref="I12:J12"/>
    <mergeCell ref="I11:J11"/>
    <mergeCell ref="I10:J10"/>
    <mergeCell ref="I8:J8"/>
    <mergeCell ref="I6:J6"/>
    <mergeCell ref="I5:J5"/>
    <mergeCell ref="I4:J4"/>
    <mergeCell ref="G7:H7"/>
    <mergeCell ref="G8:H8"/>
    <mergeCell ref="B13:F13"/>
    <mergeCell ref="I7:J7"/>
    <mergeCell ref="I3:J3"/>
    <mergeCell ref="I2:J2"/>
    <mergeCell ref="B2:F2"/>
    <mergeCell ref="B3:F3"/>
    <mergeCell ref="B4:F4"/>
    <mergeCell ref="B5:F5"/>
    <mergeCell ref="B6:F6"/>
    <mergeCell ref="B7:F7"/>
    <mergeCell ref="B8:F8"/>
    <mergeCell ref="B9:F9"/>
    <mergeCell ref="B10:F10"/>
    <mergeCell ref="B11:F11"/>
    <mergeCell ref="B12:F12"/>
    <mergeCell ref="I9:J9"/>
    <mergeCell ref="D42:J42"/>
    <mergeCell ref="F44:G44"/>
    <mergeCell ref="F43:G43"/>
    <mergeCell ref="D43:E43"/>
    <mergeCell ref="D44:E44"/>
    <mergeCell ref="H43:J43"/>
    <mergeCell ref="H44:J44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B8 B10:B12">
      <formula1>табУмовиРоботи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K5: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G1 J1">
      <formula1>INDIRECT("Месяца[Месяц]")</formula1>
    </dataValidation>
    <dataValidation allowBlank="1" showInputMessage="1" showErrorMessage="1" errorTitle="ОШИБКА!" error="В ячейке формула!_x000d__x000a_Ввод данных запрещён!" sqref="W2:W3 P12 B9:F9"/>
    <dataValidation type="list" allowBlank="1" showInputMessage="1" showErrorMessage="1" sqref="Q13">
      <formula1>$W$15:$W$24</formula1>
    </dataValidation>
    <dataValidation type="list" allowBlank="1" showInputMessage="1" showErrorMessage="1" sqref="P10">
      <formula1>$V$15:$V$16</formula1>
    </dataValidation>
  </dataValidations>
  <pageMargins left="0.7" right="0.7" top="0.75" bottom="0.75" header="0.3" footer="0.3"/>
  <pageSetup paperSize="9" scale="65" orientation="landscape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8"/>
  <dimension ref="A1:AD32"/>
  <sheetViews>
    <sheetView topLeftCell="A25" workbookViewId="0">
      <selection activeCell="A14" sqref="A14:I14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3" max="13" width="17" customWidth="1"/>
    <col min="14" max="14" width="10.42578125" bestFit="1" customWidth="1"/>
  </cols>
  <sheetData>
    <row r="1" spans="1:30" ht="18.75">
      <c r="B1" s="942" t="s">
        <v>3486</v>
      </c>
      <c r="C1" s="942"/>
      <c r="D1" s="942"/>
      <c r="E1" s="942"/>
      <c r="F1" s="942"/>
      <c r="G1" s="1018" t="s">
        <v>5366</v>
      </c>
      <c r="H1" s="942" t="s">
        <v>3896</v>
      </c>
      <c r="I1" s="942" t="str">
        <f>LeterSheetShablon(H1)</f>
        <v>m</v>
      </c>
      <c r="J1" s="1016" t="str">
        <f ca="1">RIGHT(CELL("имяфайла"),LEN(CELL("имяфайла"))-SEARCH("]",CELL("имяфайла")))</f>
        <v>РГК_кошторис</v>
      </c>
      <c r="K1" s="942"/>
      <c r="L1" s="942"/>
      <c r="M1" s="1016" t="str">
        <f ca="1">REGPLACE(J1,"_.*$","")</f>
        <v>РГК</v>
      </c>
      <c r="N1" s="1013">
        <f>mККЗ</f>
        <v>1.2150000000000001</v>
      </c>
      <c r="O1" s="942"/>
      <c r="P1" s="942"/>
      <c r="Q1" s="942"/>
      <c r="R1" s="942"/>
      <c r="S1" s="942"/>
      <c r="T1" s="942"/>
      <c r="U1" s="942"/>
      <c r="V1" s="942"/>
      <c r="W1" s="942"/>
      <c r="X1" s="942"/>
      <c r="Y1" s="942"/>
      <c r="Z1" s="942"/>
      <c r="AA1" s="942"/>
      <c r="AB1" s="942"/>
      <c r="AC1" s="942"/>
      <c r="AD1" s="942"/>
    </row>
    <row r="2" spans="1:30">
      <c r="A2" s="942" t="s">
        <v>5017</v>
      </c>
      <c r="B2" s="942"/>
      <c r="C2" s="942"/>
      <c r="D2" s="942"/>
      <c r="E2" s="942"/>
      <c r="F2" s="942"/>
      <c r="G2" s="942"/>
      <c r="H2" s="942"/>
      <c r="I2" s="942"/>
      <c r="J2" s="942"/>
      <c r="K2" s="942"/>
      <c r="L2" s="942"/>
      <c r="M2" s="942"/>
      <c r="N2" s="942"/>
      <c r="O2" s="942"/>
      <c r="P2" s="942"/>
      <c r="Q2" s="942"/>
      <c r="R2" s="942"/>
      <c r="S2" s="942"/>
      <c r="T2" s="942"/>
      <c r="U2" s="942"/>
      <c r="V2" s="942"/>
      <c r="W2" s="942"/>
      <c r="X2" s="942"/>
      <c r="Y2" s="942"/>
      <c r="Z2" s="942"/>
      <c r="AA2" s="942"/>
      <c r="AB2" s="942"/>
      <c r="AC2" s="942"/>
      <c r="AD2" s="942"/>
    </row>
    <row r="3" spans="1:30">
      <c r="A3" s="1013" t="str">
        <f>$I$1&amp;$H$1&amp;REGPLACE(G1," ","_")</f>
        <v>mМолоднякиКОШТОРИС</v>
      </c>
      <c r="H3" t="s">
        <v>5372</v>
      </c>
    </row>
    <row r="4" spans="1:30" ht="25.15" customHeight="1">
      <c r="A4" s="997" t="s">
        <v>5018</v>
      </c>
      <c r="B4" s="997"/>
      <c r="C4" s="1122" t="s">
        <v>5349</v>
      </c>
      <c r="D4" s="1122"/>
      <c r="E4" s="1122"/>
      <c r="F4" s="1122"/>
      <c r="G4" s="1122"/>
      <c r="H4" s="997" t="s">
        <v>5019</v>
      </c>
      <c r="I4" s="997" t="s">
        <v>5020</v>
      </c>
      <c r="J4" s="997" t="s">
        <v>5021</v>
      </c>
      <c r="K4" s="997" t="s">
        <v>5022</v>
      </c>
      <c r="M4" s="998" t="s">
        <v>5023</v>
      </c>
      <c r="N4" s="998" t="s">
        <v>5024</v>
      </c>
    </row>
    <row r="5" spans="1:30">
      <c r="A5" s="999" t="s">
        <v>5025</v>
      </c>
      <c r="B5" s="999"/>
      <c r="C5" s="1123" t="s">
        <v>5037</v>
      </c>
      <c r="D5" s="1123"/>
      <c r="E5" s="1123"/>
      <c r="F5" s="1123"/>
      <c r="G5" s="1123"/>
      <c r="H5" s="1124"/>
      <c r="I5" s="1124"/>
      <c r="J5" s="1124"/>
      <c r="K5" s="999"/>
      <c r="M5" s="474"/>
      <c r="N5" s="474"/>
    </row>
    <row r="6" spans="1:30" ht="40.15" customHeight="1">
      <c r="A6" s="1000" t="s">
        <v>5350</v>
      </c>
      <c r="B6" s="1001"/>
      <c r="C6" s="1124" t="s">
        <v>5363</v>
      </c>
      <c r="D6" s="1124"/>
      <c r="E6" s="1124"/>
      <c r="F6" s="1124"/>
      <c r="G6" s="1124"/>
      <c r="H6" s="1001" t="s">
        <v>39</v>
      </c>
      <c r="I6" s="999">
        <f>Молодняки!E41</f>
        <v>26.4</v>
      </c>
      <c r="J6" s="1002">
        <f ca="1">K6/I6</f>
        <v>62.215871212121215</v>
      </c>
      <c r="K6" s="999">
        <f ca="1">BankersRound((Молодняки!I32)*mККЗ,3)</f>
        <v>1642.499</v>
      </c>
      <c r="L6" t="s">
        <v>5089</v>
      </c>
      <c r="M6" s="474">
        <f ca="1">N6/I6</f>
        <v>62.215871212121215</v>
      </c>
      <c r="N6" s="474">
        <f ca="1">BankersRound((Молодняки!I32)*mККЗ,3)</f>
        <v>1642.499</v>
      </c>
    </row>
    <row r="7" spans="1:30" ht="30" customHeight="1">
      <c r="A7" s="1000" t="s">
        <v>5351</v>
      </c>
      <c r="B7" s="1001"/>
      <c r="C7" s="1124" t="s">
        <v>3371</v>
      </c>
      <c r="D7" s="1124"/>
      <c r="E7" s="1124"/>
      <c r="F7" s="1124"/>
      <c r="G7" s="1124"/>
      <c r="H7" s="1001" t="s">
        <v>39</v>
      </c>
      <c r="I7" s="999">
        <f>(Молодняки!E36+Молодняки!E37+Молодняки!E38)*mKP</f>
        <v>18</v>
      </c>
      <c r="J7" s="1002">
        <f ca="1">K7/I7</f>
        <v>226.88266666666667</v>
      </c>
      <c r="K7" s="999">
        <f ca="1">BankersRound(Молодняки!I39*mККЗ,3)</f>
        <v>4083.8879999999999</v>
      </c>
      <c r="L7" t="s">
        <v>5364</v>
      </c>
      <c r="M7" s="474">
        <f t="shared" ref="M7" ca="1" si="0">N7/I7</f>
        <v>226.88266666666667</v>
      </c>
      <c r="N7" s="474">
        <f ca="1">BankersRound(Молодняки!I39*mККЗ,3)</f>
        <v>4083.8879999999999</v>
      </c>
    </row>
    <row r="8" spans="1:30">
      <c r="A8" s="1119" t="s">
        <v>5357</v>
      </c>
      <c r="B8" s="1119"/>
      <c r="C8" s="1120"/>
      <c r="D8" s="1120"/>
      <c r="E8" s="1120"/>
      <c r="F8" s="1120"/>
      <c r="G8" s="1120"/>
      <c r="H8" s="1120"/>
      <c r="I8" s="1120"/>
      <c r="J8" s="1003">
        <f ca="1">K8/I6</f>
        <v>216.90859848484848</v>
      </c>
      <c r="K8" s="1003">
        <f ca="1">K6+K7</f>
        <v>5726.3869999999997</v>
      </c>
      <c r="N8" s="474">
        <f ca="1">N6+N7</f>
        <v>5726.3869999999997</v>
      </c>
    </row>
    <row r="9" spans="1:30">
      <c r="A9" s="1119" t="s">
        <v>5051</v>
      </c>
      <c r="B9" s="1119"/>
      <c r="C9" s="1120"/>
      <c r="D9" s="1120"/>
      <c r="E9" s="1120"/>
      <c r="F9" s="1120"/>
      <c r="G9" s="1120"/>
      <c r="H9" s="1120"/>
      <c r="I9" s="1120"/>
      <c r="J9" s="1003"/>
      <c r="K9" s="1003">
        <v>0</v>
      </c>
      <c r="N9">
        <f>Молодняки!I43*1.214</f>
        <v>0</v>
      </c>
    </row>
    <row r="10" spans="1:30">
      <c r="A10" s="1119" t="s">
        <v>5360</v>
      </c>
      <c r="B10" s="1119"/>
      <c r="C10" s="1120"/>
      <c r="D10" s="1120"/>
      <c r="E10" s="1120"/>
      <c r="F10" s="1120"/>
      <c r="G10" s="1120"/>
      <c r="H10" s="1120"/>
      <c r="I10" s="1120"/>
      <c r="J10" s="1003"/>
      <c r="K10" s="1003">
        <f ca="1">K8+K9</f>
        <v>5726.3869999999997</v>
      </c>
    </row>
    <row r="13" spans="1:30" ht="15.75">
      <c r="A13" s="1109" t="s">
        <v>5058</v>
      </c>
      <c r="B13" s="1109"/>
      <c r="C13" s="1109"/>
      <c r="D13" s="1109"/>
      <c r="E13" s="1109"/>
      <c r="F13" s="1109"/>
      <c r="G13" s="1109"/>
      <c r="H13" s="1109"/>
      <c r="I13" s="1109"/>
    </row>
    <row r="14" spans="1:30">
      <c r="A14" s="1121" t="s">
        <v>5059</v>
      </c>
      <c r="B14" s="1121"/>
      <c r="C14" s="1121"/>
      <c r="D14" s="1121"/>
      <c r="E14" s="1121"/>
      <c r="F14" s="1121"/>
      <c r="G14" s="1121"/>
      <c r="H14" s="1121"/>
      <c r="I14" s="1121"/>
    </row>
    <row r="15" spans="1:30">
      <c r="A15" s="1110"/>
      <c r="B15" s="1110"/>
      <c r="C15" s="1110"/>
      <c r="D15" s="1110"/>
      <c r="E15" s="1110"/>
      <c r="F15" s="1110"/>
      <c r="G15" s="1110"/>
      <c r="H15" s="1110"/>
      <c r="I15" s="1110"/>
    </row>
    <row r="16" spans="1:30">
      <c r="A16" s="1110" t="s">
        <v>54</v>
      </c>
      <c r="B16" s="1104"/>
      <c r="C16" s="1104"/>
      <c r="D16" s="1104"/>
      <c r="E16" s="1104"/>
      <c r="F16" s="1111"/>
      <c r="G16" s="1111"/>
      <c r="H16" s="1111"/>
      <c r="I16" s="1111"/>
    </row>
    <row r="17" spans="1:11">
      <c r="A17" s="1110" t="s">
        <v>5060</v>
      </c>
      <c r="B17" s="1110"/>
      <c r="C17" s="1110"/>
      <c r="D17" s="1111">
        <f>+[1]кошторис!D26</f>
        <v>0</v>
      </c>
      <c r="E17" s="1111"/>
      <c r="F17" s="1112"/>
      <c r="G17" s="1112"/>
      <c r="H17" s="867"/>
      <c r="I17" s="930"/>
    </row>
    <row r="18" spans="1:11">
      <c r="A18" s="1110" t="s">
        <v>5061</v>
      </c>
      <c r="B18" s="1110"/>
      <c r="C18" s="1110"/>
      <c r="D18" s="1110"/>
      <c r="E18" s="1110"/>
      <c r="F18" s="867"/>
      <c r="G18" s="930"/>
      <c r="H18" s="930"/>
      <c r="I18" s="868"/>
    </row>
    <row r="19" spans="1:11">
      <c r="A19" s="1013" t="str">
        <f>$I$1&amp;$H$1&amp;REGPLACE(A13," ","_")</f>
        <v>mМолоднякиПРОТОКОЛ</v>
      </c>
      <c r="B19" s="928"/>
      <c r="C19" s="928"/>
      <c r="D19" s="928"/>
      <c r="E19" s="928"/>
      <c r="F19" s="928"/>
      <c r="G19" s="928"/>
      <c r="H19" s="928"/>
      <c r="I19" s="928"/>
    </row>
    <row r="20" spans="1:11" ht="38.25">
      <c r="A20" s="1113" t="s">
        <v>5018</v>
      </c>
      <c r="B20" s="1113"/>
      <c r="C20" s="1113" t="s">
        <v>5062</v>
      </c>
      <c r="D20" s="1113"/>
      <c r="E20" s="1113"/>
      <c r="F20" s="925" t="s">
        <v>5019</v>
      </c>
      <c r="G20" s="925" t="s">
        <v>5020</v>
      </c>
      <c r="H20" s="925" t="s">
        <v>5021</v>
      </c>
      <c r="I20" s="925" t="s">
        <v>5022</v>
      </c>
    </row>
    <row r="21" spans="1:11">
      <c r="A21" s="1114" t="s">
        <v>5025</v>
      </c>
      <c r="B21" s="1115"/>
      <c r="C21" s="1116" t="s">
        <v>5037</v>
      </c>
      <c r="D21" s="1116"/>
      <c r="E21" s="1116"/>
      <c r="F21" s="871" t="s">
        <v>39</v>
      </c>
      <c r="G21" s="1010">
        <f>I6</f>
        <v>26.4</v>
      </c>
      <c r="H21" s="937">
        <f ca="1">I21/G21</f>
        <v>216.90859848484848</v>
      </c>
      <c r="I21" s="869">
        <f ca="1">K10</f>
        <v>5726.3869999999997</v>
      </c>
    </row>
    <row r="22" spans="1:11">
      <c r="A22" s="1117" t="s">
        <v>5359</v>
      </c>
      <c r="B22" s="1118"/>
      <c r="C22" s="1118"/>
      <c r="D22" s="1118"/>
      <c r="E22" s="1118"/>
      <c r="F22" s="1118"/>
      <c r="G22" s="1118"/>
      <c r="H22" s="870"/>
      <c r="I22" s="870"/>
    </row>
    <row r="23" spans="1:11">
      <c r="A23" s="1117" t="s">
        <v>5051</v>
      </c>
      <c r="B23" s="1118"/>
      <c r="C23" s="1118"/>
      <c r="D23" s="1118"/>
      <c r="E23" s="1118"/>
      <c r="F23" s="1118"/>
      <c r="G23" s="1118"/>
      <c r="H23" s="870"/>
      <c r="I23" s="870"/>
    </row>
    <row r="24" spans="1:11">
      <c r="A24" s="1117" t="s">
        <v>5360</v>
      </c>
      <c r="B24" s="1118"/>
      <c r="C24" s="1118"/>
      <c r="D24" s="1118"/>
      <c r="E24" s="1118"/>
      <c r="F24" s="1118"/>
      <c r="G24" s="1118"/>
      <c r="H24" s="870">
        <f>+H23+H22</f>
        <v>0</v>
      </c>
      <c r="I24" s="870">
        <f>+I23+I22</f>
        <v>0</v>
      </c>
    </row>
    <row r="27" spans="1:11" ht="15.75">
      <c r="A27" s="1109" t="s">
        <v>5064</v>
      </c>
      <c r="B27" s="1109"/>
      <c r="C27" s="1109"/>
      <c r="D27" s="1109"/>
      <c r="E27" s="1109"/>
      <c r="F27" s="1109"/>
      <c r="G27" s="1109"/>
      <c r="H27" s="1109"/>
      <c r="I27" s="1109"/>
      <c r="K27" t="str">
        <f>LOWER(REGPLACE(A27," ","_"))</f>
        <v>технічне_завдання</v>
      </c>
    </row>
    <row r="28" spans="1:11">
      <c r="A28" s="1103" t="s">
        <v>5065</v>
      </c>
      <c r="B28" s="1104"/>
      <c r="C28" s="1104"/>
      <c r="D28" s="1104"/>
      <c r="E28" s="1104"/>
      <c r="F28" s="1104"/>
      <c r="G28" s="1104"/>
      <c r="H28" s="1104"/>
      <c r="I28" s="1104"/>
    </row>
    <row r="29" spans="1:11">
      <c r="A29" s="1013" t="str">
        <f>$I$1&amp;$H$1&amp;REGPLACE(A27," ","_")</f>
        <v>mМолоднякиТЕХНІЧНЕ_ЗАВДАННЯ</v>
      </c>
      <c r="K29" t="s">
        <v>5365</v>
      </c>
    </row>
    <row r="30" spans="1:11">
      <c r="A30" s="1105" t="s">
        <v>5025</v>
      </c>
      <c r="B30" s="1106"/>
      <c r="C30" s="1107" t="s">
        <v>5037</v>
      </c>
      <c r="D30" s="1107"/>
      <c r="E30" s="1107"/>
      <c r="F30" s="1107"/>
      <c r="G30" s="1107"/>
      <c r="H30" s="1108"/>
      <c r="I30" s="1108"/>
    </row>
    <row r="31" spans="1:11" ht="42" customHeight="1">
      <c r="A31" s="1099" t="s">
        <v>5350</v>
      </c>
      <c r="B31" s="1100"/>
      <c r="C31" s="1101" t="str">
        <f>C6</f>
        <v>Спилювання дерев товщиною в окопенку 4 см з переходом для заправки кущоріза, технічне обслуговуваня механізму</v>
      </c>
      <c r="D31" s="1102"/>
      <c r="E31" s="1102"/>
      <c r="F31" s="1102"/>
      <c r="G31" s="1102"/>
      <c r="H31" s="905" t="s">
        <v>39</v>
      </c>
      <c r="I31" s="875">
        <f>I6</f>
        <v>26.4</v>
      </c>
    </row>
    <row r="32" spans="1:11" ht="37.15" customHeight="1">
      <c r="A32" s="1099" t="s">
        <v>5351</v>
      </c>
      <c r="B32" s="1100"/>
      <c r="C32" s="1101" t="str">
        <f>C7</f>
        <v>Очищення місць рубок після освітлення та прочистки механізованим способом</v>
      </c>
      <c r="D32" s="1102"/>
      <c r="E32" s="1102"/>
      <c r="F32" s="1102"/>
      <c r="G32" s="1102"/>
      <c r="H32" s="905" t="s">
        <v>39</v>
      </c>
      <c r="I32" s="1011">
        <f>I7</f>
        <v>18</v>
      </c>
    </row>
  </sheetData>
  <mergeCells count="31">
    <mergeCell ref="A9:I9"/>
    <mergeCell ref="C4:G4"/>
    <mergeCell ref="C5:J5"/>
    <mergeCell ref="C6:G6"/>
    <mergeCell ref="C7:G7"/>
    <mergeCell ref="A8:I8"/>
    <mergeCell ref="A10:I10"/>
    <mergeCell ref="A13:I13"/>
    <mergeCell ref="A14:I14"/>
    <mergeCell ref="A15:I15"/>
    <mergeCell ref="A16:E16"/>
    <mergeCell ref="F16:I16"/>
    <mergeCell ref="A27:I27"/>
    <mergeCell ref="A17:C17"/>
    <mergeCell ref="D17:E17"/>
    <mergeCell ref="F17:G17"/>
    <mergeCell ref="A18:E18"/>
    <mergeCell ref="A20:B20"/>
    <mergeCell ref="C20:E20"/>
    <mergeCell ref="A21:B21"/>
    <mergeCell ref="C21:E21"/>
    <mergeCell ref="A22:G22"/>
    <mergeCell ref="A23:G23"/>
    <mergeCell ref="A24:G24"/>
    <mergeCell ref="A32:B32"/>
    <mergeCell ref="C32:G32"/>
    <mergeCell ref="A28:I28"/>
    <mergeCell ref="A30:B30"/>
    <mergeCell ref="C30:I30"/>
    <mergeCell ref="A31:B31"/>
    <mergeCell ref="C31:G31"/>
  </mergeCells>
  <conditionalFormatting sqref="A13:I18 A30:I32 A27:I28 A20:I24 B19:I19">
    <cfRule type="cellIs" dxfId="207" priority="10" operator="equal">
      <formula>0</formula>
    </cfRule>
  </conditionalFormatting>
  <conditionalFormatting sqref="H23:I23 B1:G1">
    <cfRule type="cellIs" dxfId="206" priority="8" operator="equal">
      <formula>#DIV/0!</formula>
    </cfRule>
    <cfRule type="cellIs" dxfId="205" priority="9" operator="equal">
      <formula>0</formula>
    </cfRule>
  </conditionalFormatting>
  <conditionalFormatting sqref="A2:AD2 K1:L1 N1:AD1">
    <cfRule type="cellIs" dxfId="204" priority="6" operator="equal">
      <formula>#DIV/0!</formula>
    </cfRule>
    <cfRule type="cellIs" dxfId="203" priority="7" operator="equal">
      <formula>0</formula>
    </cfRule>
  </conditionalFormatting>
  <conditionalFormatting sqref="H1:I1">
    <cfRule type="cellIs" dxfId="202" priority="4" operator="equal">
      <formula>#DIV/0!</formula>
    </cfRule>
    <cfRule type="cellIs" dxfId="201" priority="5" operator="equal">
      <formula>0</formula>
    </cfRule>
  </conditionalFormatting>
  <conditionalFormatting sqref="A3">
    <cfRule type="cellIs" dxfId="200" priority="3" operator="equal">
      <formula>0</formula>
    </cfRule>
  </conditionalFormatting>
  <conditionalFormatting sqref="A19">
    <cfRule type="cellIs" dxfId="199" priority="2" operator="equal">
      <formula>0</formula>
    </cfRule>
  </conditionalFormatting>
  <conditionalFormatting sqref="A29">
    <cfRule type="cellIs" dxfId="198" priority="1" operator="equal">
      <formula>0</formula>
    </cfRule>
  </conditionalFormatting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K68"/>
  <sheetViews>
    <sheetView workbookViewId="0">
      <pane xSplit="1" ySplit="1" topLeftCell="B46" activePane="bottomRight" state="frozen"/>
      <selection pane="topRight" activeCell="B1" sqref="B1"/>
      <selection pane="bottomLeft" activeCell="A2" sqref="A2"/>
      <selection pane="bottomRight" activeCell="H62" sqref="H62:H63"/>
    </sheetView>
  </sheetViews>
  <sheetFormatPr defaultRowHeight="15"/>
  <cols>
    <col min="1" max="1" width="36.7109375" customWidth="1"/>
    <col min="2" max="2" width="26.5703125" customWidth="1"/>
    <col min="3" max="4" width="14.85546875" customWidth="1"/>
    <col min="5" max="5" width="14.42578125" customWidth="1"/>
    <col min="6" max="6" width="21.5703125" bestFit="1" customWidth="1"/>
    <col min="7" max="7" width="21.85546875" customWidth="1"/>
    <col min="8" max="8" width="26" customWidth="1"/>
    <col min="9" max="9" width="13.7109375" customWidth="1"/>
    <col min="10" max="10" width="18.5703125" bestFit="1" customWidth="1"/>
    <col min="11" max="11" width="24.140625" bestFit="1" customWidth="1"/>
    <col min="14" max="14" width="10.28515625" customWidth="1"/>
    <col min="15" max="15" width="12.85546875" customWidth="1"/>
    <col min="16" max="16" width="14.7109375" customWidth="1"/>
    <col min="17" max="24" width="29.140625" customWidth="1"/>
    <col min="25" max="25" width="16.85546875" customWidth="1"/>
    <col min="26" max="31" width="9.42578125" customWidth="1"/>
    <col min="32" max="32" width="11.85546875" customWidth="1"/>
  </cols>
  <sheetData>
    <row r="1" spans="1:35">
      <c r="A1" t="s">
        <v>864</v>
      </c>
      <c r="B1" t="s">
        <v>5327</v>
      </c>
      <c r="C1" t="s">
        <v>5333</v>
      </c>
      <c r="D1" t="s">
        <v>5334</v>
      </c>
      <c r="E1" t="s">
        <v>865</v>
      </c>
      <c r="F1" t="s">
        <v>2144</v>
      </c>
      <c r="G1" t="s">
        <v>2145</v>
      </c>
      <c r="H1" t="s">
        <v>2176</v>
      </c>
      <c r="I1" t="s">
        <v>2173</v>
      </c>
      <c r="J1" t="s">
        <v>863</v>
      </c>
      <c r="K1" t="s">
        <v>104</v>
      </c>
      <c r="L1" t="s">
        <v>105</v>
      </c>
      <c r="M1" t="s">
        <v>106</v>
      </c>
      <c r="N1" t="s">
        <v>3293</v>
      </c>
      <c r="O1" t="s">
        <v>3297</v>
      </c>
      <c r="P1" s="452" t="s">
        <v>3292</v>
      </c>
      <c r="Q1" t="s">
        <v>3299</v>
      </c>
      <c r="R1" s="418" t="s">
        <v>3309</v>
      </c>
      <c r="S1" t="s">
        <v>3337</v>
      </c>
      <c r="T1" s="418" t="s">
        <v>3336</v>
      </c>
      <c r="U1" s="605" t="s">
        <v>3486</v>
      </c>
      <c r="V1" s="605" t="s">
        <v>3626</v>
      </c>
      <c r="W1" t="s">
        <v>3743</v>
      </c>
      <c r="X1" s="282"/>
    </row>
    <row r="2" spans="1:35">
      <c r="A2" s="156" t="s">
        <v>2171</v>
      </c>
      <c r="B2" s="157" t="s">
        <v>2170</v>
      </c>
      <c r="C2" s="157" t="s">
        <v>2161</v>
      </c>
      <c r="D2" s="157" t="s">
        <v>5335</v>
      </c>
      <c r="E2" s="157"/>
      <c r="F2" s="157" t="s">
        <v>105</v>
      </c>
      <c r="G2" s="157" t="str">
        <f ca="1">IFERROR(RIGHT(getReferToNamedRangeByName(Форма[[#This Row],[Имя]]),LEN(getReferToNamedRangeByName(Форма[[#This Row],[Имя]]))-1),"")</f>
        <v>РГК!$Z$1</v>
      </c>
      <c r="H2" s="157" t="str">
        <f ca="1">VLOOKUP($J$2,INDIRECT("Шаблон"),MATCH("Имя",INDIRECT("Шаблон[#Заголовки]"),0),FALSE)&amp;Форма[[#This Row],[Столбец1]]</f>
        <v>gShablon</v>
      </c>
      <c r="I2" s="170" t="s">
        <v>3589</v>
      </c>
      <c r="J2" s="157" t="s">
        <v>104</v>
      </c>
      <c r="K2" s="170"/>
      <c r="L2" s="170"/>
      <c r="M2" s="170"/>
      <c r="N2" s="170"/>
      <c r="O2" s="170"/>
      <c r="P2" s="170"/>
      <c r="Q2" s="170"/>
      <c r="R2" s="419" t="s">
        <v>3310</v>
      </c>
      <c r="S2" s="425" t="b">
        <v>0</v>
      </c>
      <c r="T2" s="425" t="b">
        <v>1</v>
      </c>
      <c r="U2" t="s">
        <v>2170</v>
      </c>
      <c r="V2" s="623" t="s">
        <v>3597</v>
      </c>
      <c r="W2" t="s">
        <v>3767</v>
      </c>
      <c r="X2" t="str">
        <f ca="1">INDIRECT(G2)</f>
        <v>РГК</v>
      </c>
      <c r="AA2" t="s">
        <v>2170</v>
      </c>
      <c r="AD2" s="623" t="s">
        <v>3597</v>
      </c>
      <c r="AH2" t="s">
        <v>3743</v>
      </c>
    </row>
    <row r="3" spans="1:35">
      <c r="A3" s="449" t="s">
        <v>87</v>
      </c>
      <c r="B3" s="157" t="s">
        <v>862</v>
      </c>
      <c r="C3" s="157" t="s">
        <v>118</v>
      </c>
      <c r="D3" s="157" t="e">
        <f>regex(D2,"(.)(.*[-|\d])","$3")</f>
        <v>#VALUE!</v>
      </c>
      <c r="E3" s="156"/>
      <c r="F3" s="157"/>
      <c r="G3" s="157" t="str">
        <f ca="1">IFERROR(RIGHT(getReferToNamedRangeByName(Форма[[#This Row],[Имя]]),LEN(getReferToNamedRangeByName(Форма[[#This Row],[Имя]]))-1),"")</f>
        <v>РГК!$I$12</v>
      </c>
      <c r="H3" s="157" t="str">
        <f ca="1">VLOOKUP($J$2,INDIRECT("Шаблон"),MATCH("Имя",INDIRECT("Шаблон[#Заголовки]"),0),FALSE)&amp;Форма[[#This Row],[Столбец1]]</f>
        <v>gNLK</v>
      </c>
      <c r="I3" s="284" t="s">
        <v>3172</v>
      </c>
      <c r="J3">
        <f ca="1">IFERROR(INDIRECT(Форма[[#This Row],[Адрес]]),"")</f>
        <v>556620</v>
      </c>
      <c r="K3" s="157">
        <v>1</v>
      </c>
      <c r="L3" s="157">
        <v>1</v>
      </c>
      <c r="M3" s="157">
        <v>1</v>
      </c>
      <c r="N3" s="157"/>
      <c r="O3" s="170"/>
      <c r="P3" s="157" t="s">
        <v>3149</v>
      </c>
      <c r="Q3" s="447" t="s">
        <v>3149</v>
      </c>
      <c r="R3" s="419" t="s">
        <v>3310</v>
      </c>
      <c r="S3" s="425" t="b">
        <v>0</v>
      </c>
      <c r="T3" s="425" t="b">
        <v>1</v>
      </c>
      <c r="U3" t="s">
        <v>3568</v>
      </c>
      <c r="V3" s="623" t="s">
        <v>3619</v>
      </c>
      <c r="W3" s="632" t="s">
        <v>3568</v>
      </c>
      <c r="X3">
        <f ca="1">INDIRECT(G3)</f>
        <v>556620</v>
      </c>
      <c r="AA3" t="s">
        <v>3568</v>
      </c>
      <c r="AD3" s="623" t="s">
        <v>3619</v>
      </c>
      <c r="AH3" t="s">
        <v>3581</v>
      </c>
      <c r="AI3" t="s">
        <v>3744</v>
      </c>
    </row>
    <row r="4" spans="1:35">
      <c r="A4" s="156" t="s">
        <v>117</v>
      </c>
      <c r="B4" s="157" t="s">
        <v>862</v>
      </c>
      <c r="C4" s="157" t="s">
        <v>117</v>
      </c>
      <c r="D4" s="157" t="str">
        <f>regex(D2,"(,)(.*\d)","$2")</f>
        <v>-1</v>
      </c>
      <c r="E4" s="71" t="s">
        <v>87</v>
      </c>
      <c r="F4" s="157"/>
      <c r="G4" s="157" t="str">
        <f ca="1">IFERROR(RIGHT(getReferToNamedRangeByName(Форма[[#This Row],[Имя]]),LEN(getReferToNamedRangeByName(Форма[[#This Row],[Имя]]))-1),"")</f>
        <v>РГК!$P$12</v>
      </c>
      <c r="H4" s="157" t="str">
        <f ca="1">VLOOKUP($J$2,INDIRECT("Шаблон"),MATCH("Имя",INDIRECT("Шаблон[#Заголовки]"),0),FALSE)&amp;Форма[[#This Row],[Столбец1]]</f>
        <v>gDil</v>
      </c>
      <c r="I4" s="157" t="s">
        <v>3184</v>
      </c>
      <c r="J4" t="str">
        <f ca="1">IFERROR(INDIRECT(Форма[[#This Row],[Адрес]]),"")</f>
        <v>52 кв (7 вид) 0 діл.</v>
      </c>
      <c r="K4" s="157">
        <v>1</v>
      </c>
      <c r="L4" s="157">
        <v>1</v>
      </c>
      <c r="M4" s="157">
        <v>1</v>
      </c>
      <c r="N4" s="157"/>
      <c r="O4" s="170" t="s">
        <v>3294</v>
      </c>
      <c r="P4" s="157"/>
      <c r="Q4" s="161" t="s">
        <v>3151</v>
      </c>
      <c r="R4" s="419" t="s">
        <v>3310</v>
      </c>
      <c r="S4" s="425" t="b">
        <v>0</v>
      </c>
      <c r="T4" s="425" t="b">
        <v>1</v>
      </c>
      <c r="U4" s="448"/>
      <c r="V4" s="475" t="s">
        <v>3600</v>
      </c>
      <c r="W4" s="632"/>
      <c r="X4" t="str">
        <f t="shared" ref="X4:X41" ca="1" si="0">INDIRECT(G4)</f>
        <v>52 кв (7 вид) 0 діл.</v>
      </c>
      <c r="AH4" t="s">
        <v>2207</v>
      </c>
    </row>
    <row r="5" spans="1:35">
      <c r="A5" s="64" t="s">
        <v>109</v>
      </c>
      <c r="B5" s="157" t="s">
        <v>862</v>
      </c>
      <c r="C5" s="157" t="s">
        <v>119</v>
      </c>
      <c r="D5" s="157" t="e">
        <f ca="1">OFFSET(B2,D3,D4)</f>
        <v>#VALUE!</v>
      </c>
      <c r="E5" s="71" t="s">
        <v>87</v>
      </c>
      <c r="F5" s="158"/>
      <c r="G5" s="157" t="str">
        <f ca="1">IFERROR(RIGHT(getReferToNamedRangeByName(Форма[[#This Row],[Имя]]),LEN(getReferToNamedRangeByName(Форма[[#This Row],[Имя]]))-1),"")</f>
        <v>РГК!$I$13</v>
      </c>
      <c r="H5" s="157" t="str">
        <f ca="1">VLOOKUP($J$2,INDIRECT("Шаблон"),MATCH("Имя",INDIRECT("Шаблон[#Заголовки]"),0),FALSE)&amp;Форма[[#This Row],[Столбец1]]</f>
        <v>gDataDog</v>
      </c>
      <c r="I5" s="283" t="s">
        <v>3173</v>
      </c>
      <c r="J5" t="str">
        <f ca="1">IFERROR(INDIRECT(Форма[[#This Row],[Адрес]]),"")</f>
        <v>08.12.2017</v>
      </c>
      <c r="K5" s="157">
        <v>1</v>
      </c>
      <c r="L5" s="157">
        <v>1</v>
      </c>
      <c r="M5" s="157">
        <v>1</v>
      </c>
      <c r="N5" s="157"/>
      <c r="O5" s="170" t="s">
        <v>3295</v>
      </c>
      <c r="P5" s="157"/>
      <c r="Q5" s="161" t="s">
        <v>3152</v>
      </c>
      <c r="R5" s="419" t="s">
        <v>3310</v>
      </c>
      <c r="S5" s="425" t="b">
        <v>0</v>
      </c>
      <c r="T5" s="425" t="b">
        <v>1</v>
      </c>
      <c r="U5" t="s">
        <v>3569</v>
      </c>
      <c r="V5" s="623" t="s">
        <v>3620</v>
      </c>
      <c r="W5" s="632" t="s">
        <v>3751</v>
      </c>
      <c r="X5" s="281" t="str">
        <f t="shared" ca="1" si="0"/>
        <v>08.12.2017</v>
      </c>
      <c r="AA5" t="s">
        <v>3569</v>
      </c>
      <c r="AD5" s="623" t="s">
        <v>3620</v>
      </c>
      <c r="AH5" t="s">
        <v>3745</v>
      </c>
    </row>
    <row r="6" spans="1:35">
      <c r="A6" s="159" t="s">
        <v>54</v>
      </c>
      <c r="B6" s="157" t="s">
        <v>862</v>
      </c>
      <c r="C6" s="157" t="s">
        <v>54</v>
      </c>
      <c r="D6" s="157"/>
      <c r="E6" s="71" t="s">
        <v>87</v>
      </c>
      <c r="F6" s="158"/>
      <c r="G6" s="157" t="str">
        <f ca="1">IFERROR(RIGHT(getReferToNamedRangeByName(Форма[[#This Row],[Имя]]),LEN(getReferToNamedRangeByName(Форма[[#This Row],[Имя]]))-1),"")</f>
        <v>РГК!$B$2</v>
      </c>
      <c r="H6" s="157" t="str">
        <f ca="1">VLOOKUP($J$2,INDIRECT("Шаблон"),MATCH("Имя",INDIRECT("Шаблон[#Заголовки]"),0),FALSE)&amp;Форма[[#This Row],[Столбец1]]</f>
        <v>gLisVo</v>
      </c>
      <c r="I6" s="157" t="s">
        <v>3174</v>
      </c>
      <c r="J6" t="str">
        <f ca="1">IFERROR(INDIRECT(Форма[[#This Row],[Адрес]]),"")</f>
        <v>Вільхівецьке</v>
      </c>
      <c r="K6" s="157">
        <v>1</v>
      </c>
      <c r="L6" s="157">
        <v>1</v>
      </c>
      <c r="M6" s="157">
        <v>1</v>
      </c>
      <c r="N6" s="157"/>
      <c r="O6" s="170" t="s">
        <v>3294</v>
      </c>
      <c r="P6" s="157"/>
      <c r="Q6" s="161" t="s">
        <v>3150</v>
      </c>
      <c r="R6" s="419" t="s">
        <v>3310</v>
      </c>
      <c r="S6" s="425" t="b">
        <v>0</v>
      </c>
      <c r="T6" s="425" t="b">
        <v>1</v>
      </c>
      <c r="U6" t="s">
        <v>54</v>
      </c>
      <c r="V6" s="623" t="s">
        <v>3599</v>
      </c>
      <c r="W6" s="632"/>
      <c r="X6" t="str">
        <f t="shared" ca="1" si="0"/>
        <v>Вільхівецьке</v>
      </c>
      <c r="AA6" t="s">
        <v>54</v>
      </c>
      <c r="AD6" s="623" t="s">
        <v>3599</v>
      </c>
      <c r="AH6" t="s">
        <v>3746</v>
      </c>
    </row>
    <row r="7" spans="1:35">
      <c r="A7" s="426" t="s">
        <v>58</v>
      </c>
      <c r="B7" s="157" t="s">
        <v>2170</v>
      </c>
      <c r="C7" s="157" t="s">
        <v>2161</v>
      </c>
      <c r="D7" s="157"/>
      <c r="E7" s="71" t="s">
        <v>87</v>
      </c>
      <c r="F7" s="158"/>
      <c r="G7" s="157" t="str">
        <f ca="1">IFERROR(RIGHT(getReferToNamedRangeByName(Форма[[#This Row],[Имя]]),LEN(getReferToNamedRangeByName(Форма[[#This Row],[Имя]]))-1),"")</f>
        <v>РГК!$B$6</v>
      </c>
      <c r="H7" s="157" t="str">
        <f ca="1">VLOOKUP($J$2,INDIRECT("Шаблон"),MATCH("Имя",INDIRECT("Шаблон[#Заголовки]"),0),FALSE)&amp;Форма[[#This Row],[Столбец1]]</f>
        <v>gNr</v>
      </c>
      <c r="I7" s="157" t="s">
        <v>3164</v>
      </c>
      <c r="J7" t="str">
        <f ca="1">IFERROR(INDIRECT(Форма[[#This Row],[Адрес]]),"")</f>
        <v>РГК</v>
      </c>
      <c r="K7" s="157">
        <v>1</v>
      </c>
      <c r="L7" s="157">
        <v>1</v>
      </c>
      <c r="M7" s="157">
        <v>1</v>
      </c>
      <c r="N7" s="157"/>
      <c r="O7" s="170" t="s">
        <v>3294</v>
      </c>
      <c r="P7" t="s">
        <v>3290</v>
      </c>
      <c r="Q7" s="448" t="s">
        <v>3290</v>
      </c>
      <c r="R7" s="419" t="s">
        <v>3310</v>
      </c>
      <c r="S7" s="425" t="b">
        <v>0</v>
      </c>
      <c r="T7" s="425" t="b">
        <v>1</v>
      </c>
      <c r="U7" t="s">
        <v>3800</v>
      </c>
      <c r="V7" s="623" t="s">
        <v>3598</v>
      </c>
      <c r="W7" s="632"/>
      <c r="X7" t="str">
        <f t="shared" ca="1" si="0"/>
        <v>РГК</v>
      </c>
      <c r="AD7" s="623" t="s">
        <v>3598</v>
      </c>
      <c r="AH7" t="s">
        <v>3747</v>
      </c>
    </row>
    <row r="8" spans="1:35">
      <c r="A8" s="160" t="s">
        <v>55</v>
      </c>
      <c r="B8" s="157"/>
      <c r="C8" s="157"/>
      <c r="D8" s="157"/>
      <c r="E8" s="157"/>
      <c r="F8" s="161"/>
      <c r="G8" s="157" t="str">
        <f ca="1">IFERROR(RIGHT(getReferToNamedRangeByName(Форма[[#This Row],[Имя]]),LEN(getReferToNamedRangeByName(Форма[[#This Row],[Имя]]))-1),"")</f>
        <v>РГК!$B$3</v>
      </c>
      <c r="H8" s="157" t="str">
        <f ca="1">VLOOKUP($J$2,INDIRECT("Шаблон"),MATCH("Имя",INDIRECT("Шаблон[#Заголовки]"),0),FALSE)&amp;Форма[[#This Row],[Столбец1]]</f>
        <v>gKV</v>
      </c>
      <c r="I8" s="157" t="s">
        <v>3158</v>
      </c>
      <c r="J8">
        <f ca="1">IFERROR(INDIRECT(Форма[[#This Row],[Адрес]]),"")</f>
        <v>52</v>
      </c>
      <c r="K8" s="157">
        <v>1</v>
      </c>
      <c r="L8" s="157">
        <v>1</v>
      </c>
      <c r="M8" s="157">
        <v>1</v>
      </c>
      <c r="N8" s="157"/>
      <c r="O8" s="170" t="s">
        <v>3294</v>
      </c>
      <c r="P8" s="157"/>
      <c r="Q8" s="161" t="s">
        <v>3366</v>
      </c>
      <c r="R8" s="419" t="s">
        <v>3310</v>
      </c>
      <c r="S8" s="425" t="b">
        <v>0</v>
      </c>
      <c r="T8" s="425" t="b">
        <v>1</v>
      </c>
      <c r="U8" t="s">
        <v>3540</v>
      </c>
      <c r="V8" s="623"/>
      <c r="W8" t="s">
        <v>55</v>
      </c>
      <c r="X8">
        <f t="shared" ca="1" si="0"/>
        <v>52</v>
      </c>
      <c r="AA8" t="s">
        <v>3540</v>
      </c>
      <c r="AD8" s="623" t="s">
        <v>3601</v>
      </c>
      <c r="AH8" t="s">
        <v>3748</v>
      </c>
    </row>
    <row r="9" spans="1:35">
      <c r="A9" s="160" t="s">
        <v>56</v>
      </c>
      <c r="B9" s="157"/>
      <c r="C9" s="157"/>
      <c r="D9" s="157"/>
      <c r="E9" s="157"/>
      <c r="F9" s="161"/>
      <c r="G9" s="157" t="str">
        <f ca="1">IFERROR(RIGHT(getReferToNamedRangeByName(Форма[[#This Row],[Имя]]),LEN(getReferToNamedRangeByName(Форма[[#This Row],[Имя]]))-1),"")</f>
        <v>РГК!$B$4</v>
      </c>
      <c r="H9" s="157" t="str">
        <f ca="1">VLOOKUP($J$2,INDIRECT("Шаблон"),MATCH("Имя",INDIRECT("Шаблон[#Заголовки]"),0),FALSE)&amp;Форма[[#This Row],[Столбец1]]</f>
        <v>gV</v>
      </c>
      <c r="I9" s="157" t="s">
        <v>3159</v>
      </c>
      <c r="J9" t="str">
        <f ca="1">IFERROR(INDIRECT(Форма[[#This Row],[Адрес]]),"")</f>
        <v>7_0</v>
      </c>
      <c r="K9" s="157">
        <v>1</v>
      </c>
      <c r="L9" s="157">
        <v>1</v>
      </c>
      <c r="M9" s="157">
        <v>1</v>
      </c>
      <c r="N9" s="157"/>
      <c r="O9" s="170" t="s">
        <v>3294</v>
      </c>
      <c r="P9" s="157"/>
      <c r="Q9" s="161" t="s">
        <v>3367</v>
      </c>
      <c r="R9" s="419" t="s">
        <v>3310</v>
      </c>
      <c r="S9" s="425" t="b">
        <v>0</v>
      </c>
      <c r="T9" s="425" t="b">
        <v>1</v>
      </c>
      <c r="U9" t="s">
        <v>3490</v>
      </c>
      <c r="V9" s="623"/>
      <c r="W9" t="s">
        <v>3755</v>
      </c>
      <c r="X9" t="str">
        <f t="shared" ca="1" si="0"/>
        <v>7_0</v>
      </c>
      <c r="AA9" t="s">
        <v>3490</v>
      </c>
      <c r="AD9" s="623" t="s">
        <v>3602</v>
      </c>
      <c r="AE9" t="e">
        <f ca="1">INDIRECT("Шаблон[Наименование]")</f>
        <v>#VALUE!</v>
      </c>
      <c r="AH9" t="s">
        <v>3749</v>
      </c>
    </row>
    <row r="10" spans="1:35">
      <c r="A10" s="160" t="s">
        <v>57</v>
      </c>
      <c r="B10" s="157"/>
      <c r="C10" s="157"/>
      <c r="D10" s="157"/>
      <c r="E10" s="157"/>
      <c r="F10" s="158"/>
      <c r="G10" s="157" t="str">
        <f ca="1">IFERROR(RIGHT(getReferToNamedRangeByName(Форма[[#This Row],[Имя]]),LEN(getReferToNamedRangeByName(Форма[[#This Row],[Имя]]))-1),"")</f>
        <v>РГК!$B$5</v>
      </c>
      <c r="H10" s="157" t="str">
        <f ca="1">VLOOKUP($J$2,INDIRECT("Шаблон"),MATCH("Имя",INDIRECT("Шаблон[#Заголовки]"),0),FALSE)&amp;Форма[[#This Row],[Столбец1]]</f>
        <v>gPl</v>
      </c>
      <c r="I10" s="157" t="s">
        <v>3160</v>
      </c>
      <c r="J10">
        <f ca="1">IFERROR(INDIRECT(Форма[[#This Row],[Адрес]]),"")</f>
        <v>0.3</v>
      </c>
      <c r="K10" s="157">
        <v>1</v>
      </c>
      <c r="L10" s="157">
        <v>1</v>
      </c>
      <c r="M10" s="157">
        <v>1</v>
      </c>
      <c r="N10" s="157"/>
      <c r="O10" s="170" t="s">
        <v>3295</v>
      </c>
      <c r="P10" s="157"/>
      <c r="Q10" s="161" t="s">
        <v>3373</v>
      </c>
      <c r="R10" s="419" t="s">
        <v>3310</v>
      </c>
      <c r="S10" s="425" t="b">
        <v>0</v>
      </c>
      <c r="T10" s="425" t="b">
        <v>1</v>
      </c>
      <c r="U10" t="s">
        <v>3491</v>
      </c>
      <c r="V10" s="623" t="s">
        <v>3604</v>
      </c>
      <c r="W10" t="s">
        <v>57</v>
      </c>
      <c r="X10">
        <f t="shared" ca="1" si="0"/>
        <v>0.3</v>
      </c>
      <c r="AA10" t="s">
        <v>3491</v>
      </c>
      <c r="AD10" s="623" t="s">
        <v>3604</v>
      </c>
      <c r="AH10" t="s">
        <v>3750</v>
      </c>
    </row>
    <row r="11" spans="1:35">
      <c r="A11" s="450" t="s">
        <v>6</v>
      </c>
      <c r="B11" s="187" t="s">
        <v>2267</v>
      </c>
      <c r="C11" s="187" t="s">
        <v>2267</v>
      </c>
      <c r="D11" s="187"/>
      <c r="E11" s="157"/>
      <c r="F11" s="207" t="s">
        <v>2238</v>
      </c>
      <c r="G11" s="157" t="str">
        <f ca="1">IFERROR(RIGHT(getReferToNamedRangeByName(Форма[[#This Row],[Имя]]),LEN(getReferToNamedRangeByName(Форма[[#This Row],[Имя]]))-1),"")</f>
        <v>РГК!$B$7</v>
      </c>
      <c r="H11" s="157" t="str">
        <f ca="1">VLOOKUP($J$2,INDIRECT("Шаблон"),MATCH("Имя",INDIRECT("Шаблон[#Заголовки]"),0),FALSE)&amp;Форма[[#This Row],[Столбец1]]</f>
        <v>gUmRab</v>
      </c>
      <c r="I11" s="157" t="s">
        <v>2169</v>
      </c>
      <c r="J11" t="str">
        <f ca="1">IFERROR(INDIRECT(Форма[[#This Row],[Адрес]]),"")</f>
        <v>Важкі</v>
      </c>
      <c r="K11" s="157">
        <v>1</v>
      </c>
      <c r="L11" s="157">
        <v>1</v>
      </c>
      <c r="M11" s="157">
        <v>1</v>
      </c>
      <c r="N11" s="157"/>
      <c r="O11" s="170" t="s">
        <v>3294</v>
      </c>
      <c r="P11" s="157" t="s">
        <v>3345</v>
      </c>
      <c r="Q11" s="161" t="s">
        <v>3345</v>
      </c>
      <c r="R11" s="419" t="s">
        <v>3310</v>
      </c>
      <c r="S11" s="425" t="b">
        <v>0</v>
      </c>
      <c r="T11" s="425" t="b">
        <v>1</v>
      </c>
      <c r="U11" t="s">
        <v>6</v>
      </c>
      <c r="V11" s="623" t="s">
        <v>3609</v>
      </c>
      <c r="W11" s="632"/>
      <c r="X11" t="str">
        <f t="shared" ca="1" si="0"/>
        <v>Важкі</v>
      </c>
      <c r="AA11" t="s">
        <v>6</v>
      </c>
      <c r="AD11" s="623" t="s">
        <v>3609</v>
      </c>
      <c r="AH11" t="s">
        <v>3568</v>
      </c>
    </row>
    <row r="12" spans="1:35">
      <c r="A12" s="450" t="s">
        <v>67</v>
      </c>
      <c r="B12" s="157" t="s">
        <v>3154</v>
      </c>
      <c r="C12" s="157" t="s">
        <v>2166</v>
      </c>
      <c r="D12" s="157"/>
      <c r="E12" s="157"/>
      <c r="F12" s="208">
        <f ca="1">MAX(INDIRECT("Тарифи[№]"))</f>
        <v>43101</v>
      </c>
      <c r="G12" s="157" t="str">
        <f ca="1">IFERROR(RIGHT(getReferToNamedRangeByName(Форма[[#This Row],[Имя]]),LEN(getReferToNamedRangeByName(Форма[[#This Row],[Имя]]))-1),"")</f>
        <v>РГК!$B$8</v>
      </c>
      <c r="H12" s="157" t="str">
        <f ca="1">VLOOKUP($J$2,INDIRECT("Шаблон"),MATCH("Имя",INDIRECT("Шаблон[#Заголовки]"),0),FALSE)&amp;Форма[[#This Row],[Столбец1]]</f>
        <v>gумДатаТарифы</v>
      </c>
      <c r="I12" s="283" t="s">
        <v>3175</v>
      </c>
      <c r="J12">
        <f ca="1">IFERROR(INDIRECT(Форма[[#This Row],[Адрес]]),"")</f>
        <v>43101</v>
      </c>
      <c r="K12" s="157">
        <v>1</v>
      </c>
      <c r="L12" s="157">
        <v>1</v>
      </c>
      <c r="M12" s="157">
        <v>1</v>
      </c>
      <c r="N12" s="157"/>
      <c r="O12" s="170" t="s">
        <v>3295</v>
      </c>
      <c r="P12" t="s">
        <v>3291</v>
      </c>
      <c r="Q12" s="161" t="s">
        <v>3291</v>
      </c>
      <c r="R12" s="419" t="s">
        <v>3310</v>
      </c>
      <c r="S12" s="425" t="b">
        <v>0</v>
      </c>
      <c r="T12" s="425" t="b">
        <v>1</v>
      </c>
      <c r="U12" t="s">
        <v>67</v>
      </c>
      <c r="V12" s="623"/>
      <c r="W12" s="632"/>
      <c r="X12" s="281">
        <f t="shared" ca="1" si="0"/>
        <v>43101</v>
      </c>
      <c r="AA12" t="s">
        <v>67</v>
      </c>
      <c r="AD12" s="623"/>
      <c r="AF12" t="s">
        <v>3292</v>
      </c>
      <c r="AG12" t="s">
        <v>3298</v>
      </c>
      <c r="AH12" t="s">
        <v>3751</v>
      </c>
    </row>
    <row r="13" spans="1:35">
      <c r="A13" s="64" t="s">
        <v>68</v>
      </c>
      <c r="B13" s="157" t="s">
        <v>2168</v>
      </c>
      <c r="C13" s="157" t="s">
        <v>2184</v>
      </c>
      <c r="D13" s="157"/>
      <c r="E13" s="157"/>
      <c r="F13" s="161"/>
      <c r="G13" s="157" t="str">
        <f ca="1">IFERROR(RIGHT(getReferToNamedRangeByName(Форма[[#This Row],[Имя]]),LEN(getReferToNamedRangeByName(Форма[[#This Row],[Имя]]))-1),"")</f>
        <v>РГК!$B$9</v>
      </c>
      <c r="H13" s="157" t="str">
        <f ca="1">VLOOKUP($J$2,INDIRECT("Шаблон"),MATCH("Имя",INDIRECT("Шаблон[#Заголовки]"),0),FALSE)&amp;Форма[[#This Row],[Столбец1]]</f>
        <v>gVukon</v>
      </c>
      <c r="I13" s="157" t="s">
        <v>3169</v>
      </c>
      <c r="J13" t="str">
        <f ca="1">IFERROR(INDIRECT(Форма[[#This Row],[Адрес]]),"")</f>
        <v>Морозова</v>
      </c>
      <c r="K13" s="157">
        <v>1</v>
      </c>
      <c r="L13" s="157">
        <v>1</v>
      </c>
      <c r="M13" s="157">
        <v>1</v>
      </c>
      <c r="N13" s="157"/>
      <c r="O13" s="170" t="s">
        <v>3294</v>
      </c>
      <c r="P13" s="161" t="s">
        <v>3368</v>
      </c>
      <c r="Q13" s="161" t="s">
        <v>3368</v>
      </c>
      <c r="R13" s="419" t="s">
        <v>3310</v>
      </c>
      <c r="S13" s="425" t="b">
        <v>0</v>
      </c>
      <c r="T13" s="425" t="b">
        <v>1</v>
      </c>
      <c r="U13" t="s">
        <v>68</v>
      </c>
      <c r="V13" s="623" t="s">
        <v>3625</v>
      </c>
      <c r="W13" s="632"/>
      <c r="X13" t="str">
        <f t="shared" ca="1" si="0"/>
        <v>Морозова</v>
      </c>
      <c r="AA13" t="s">
        <v>68</v>
      </c>
      <c r="AD13" s="623" t="s">
        <v>3625</v>
      </c>
      <c r="AG13" t="s">
        <v>3294</v>
      </c>
      <c r="AH13" t="s">
        <v>3752</v>
      </c>
    </row>
    <row r="14" spans="1:35">
      <c r="A14" s="64" t="s">
        <v>73</v>
      </c>
      <c r="B14" s="157"/>
      <c r="C14" s="157"/>
      <c r="D14" s="157"/>
      <c r="E14" s="157"/>
      <c r="F14" s="157">
        <v>10</v>
      </c>
      <c r="G14" s="157" t="str">
        <f ca="1">IFERROR(RIGHT(getReferToNamedRangeByName(Форма[[#This Row],[Имя]]),LEN(getReferToNamedRangeByName(Форма[[#This Row],[Имя]]))-1),"")</f>
        <v>РГК!$B$10</v>
      </c>
      <c r="H14" s="157" t="str">
        <f ca="1">VLOOKUP($J$2,INDIRECT("Шаблон"),MATCH("Имя",INDIRECT("Шаблон[#Заголовки]"),0),FALSE)&amp;Форма[[#This Row],[Столбец1]]</f>
        <v>gVMP</v>
      </c>
      <c r="I14" s="157" t="s">
        <v>3179</v>
      </c>
      <c r="J14">
        <f ca="1">IFERROR(INDIRECT(Форма[[#This Row],[Адрес]]),"")</f>
        <v>5</v>
      </c>
      <c r="K14" s="157">
        <v>1</v>
      </c>
      <c r="L14" s="157"/>
      <c r="M14" s="157"/>
      <c r="N14" s="157"/>
      <c r="O14" s="170" t="s">
        <v>3295</v>
      </c>
      <c r="P14" s="157"/>
      <c r="Q14" s="161" t="s">
        <v>3375</v>
      </c>
      <c r="R14" s="419" t="s">
        <v>3310</v>
      </c>
      <c r="S14" s="425" t="b">
        <v>0</v>
      </c>
      <c r="T14" s="425" t="b">
        <v>1</v>
      </c>
      <c r="U14" s="603" t="s">
        <v>73</v>
      </c>
      <c r="X14">
        <f t="shared" ca="1" si="0"/>
        <v>5</v>
      </c>
      <c r="AA14" s="603" t="s">
        <v>73</v>
      </c>
      <c r="AG14" t="s">
        <v>3295</v>
      </c>
      <c r="AH14" t="s">
        <v>3753</v>
      </c>
      <c r="AI14" t="s">
        <v>3754</v>
      </c>
    </row>
    <row r="15" spans="1:35">
      <c r="A15" s="64" t="s">
        <v>76</v>
      </c>
      <c r="B15" s="157"/>
      <c r="C15" s="157"/>
      <c r="D15" s="157"/>
      <c r="E15" s="157"/>
      <c r="F15" s="157">
        <v>40</v>
      </c>
      <c r="G15" s="157" t="str">
        <f ca="1">IFERROR(RIGHT(getReferToNamedRangeByName(Форма[[#This Row],[Имя]]),LEN(getReferToNamedRangeByName(Форма[[#This Row],[Имя]]))-1),"")</f>
        <v>РГК!$B$11</v>
      </c>
      <c r="H15" s="157" t="str">
        <f ca="1">VLOOKUP($J$2,INDIRECT("Шаблон"),MATCH("Имя",INDIRECT("Шаблон[#Заголовки]"),0),FALSE)&amp;Форма[[#This Row],[Столбец1]]</f>
        <v>gSOP</v>
      </c>
      <c r="I15" s="157" t="s">
        <v>3180</v>
      </c>
      <c r="J15">
        <f ca="1">IFERROR(INDIRECT(Форма[[#This Row],[Адрес]]),"")</f>
        <v>40</v>
      </c>
      <c r="K15" s="157">
        <v>1</v>
      </c>
      <c r="L15" s="157"/>
      <c r="M15" s="157"/>
      <c r="N15" s="157"/>
      <c r="O15" s="170" t="s">
        <v>3294</v>
      </c>
      <c r="P15" s="157"/>
      <c r="Q15" s="161" t="s">
        <v>3376</v>
      </c>
      <c r="R15" s="419" t="s">
        <v>3310</v>
      </c>
      <c r="S15" s="425" t="b">
        <v>0</v>
      </c>
      <c r="T15" s="425" t="b">
        <v>1</v>
      </c>
      <c r="U15" s="206" t="s">
        <v>76</v>
      </c>
      <c r="V15" s="623"/>
      <c r="W15" s="632"/>
      <c r="X15">
        <f t="shared" ca="1" si="0"/>
        <v>40</v>
      </c>
      <c r="AA15" s="206" t="s">
        <v>76</v>
      </c>
      <c r="AD15" s="623"/>
      <c r="AG15" t="s">
        <v>3296</v>
      </c>
    </row>
    <row r="16" spans="1:35">
      <c r="A16" s="450" t="s">
        <v>77</v>
      </c>
      <c r="B16" s="187" t="s">
        <v>2266</v>
      </c>
      <c r="C16" s="187" t="s">
        <v>2266</v>
      </c>
      <c r="D16" s="187"/>
      <c r="E16" s="157"/>
      <c r="F16" s="157" t="s">
        <v>78</v>
      </c>
      <c r="G16" s="157" t="str">
        <f ca="1">IFERROR(RIGHT(getReferToNamedRangeByName(Форма[[#This Row],[Имя]]),LEN(getReferToNamedRangeByName(Форма[[#This Row],[Имя]]))-1),"")</f>
        <v>РГК!$P$13</v>
      </c>
      <c r="H16" s="157" t="str">
        <f ca="1">VLOOKUP($J$2,INDIRECT("Шаблон"),MATCH("Имя",INDIRECT("Шаблон[#Заголовки]"),0),FALSE)&amp;Форма[[#This Row],[Столбец1]]</f>
        <v>gZah</v>
      </c>
      <c r="I16" s="157" t="s">
        <v>3181</v>
      </c>
      <c r="J16" t="str">
        <f ca="1">IFERROR(INDIRECT(Форма[[#This Row],[Адрес]]),"")</f>
        <v>слабка</v>
      </c>
      <c r="K16" s="157">
        <v>1</v>
      </c>
      <c r="L16" s="157"/>
      <c r="M16" s="157"/>
      <c r="N16" s="157"/>
      <c r="O16" s="170" t="s">
        <v>3294</v>
      </c>
      <c r="P16" s="157" t="s">
        <v>3306</v>
      </c>
      <c r="Q16" s="161" t="s">
        <v>3306</v>
      </c>
      <c r="R16" s="419" t="s">
        <v>3310</v>
      </c>
      <c r="S16" s="425" t="b">
        <v>0</v>
      </c>
      <c r="T16" s="425" t="b">
        <v>1</v>
      </c>
      <c r="U16" s="604" t="s">
        <v>77</v>
      </c>
      <c r="V16" s="475"/>
      <c r="W16" s="632"/>
      <c r="X16" t="str">
        <f t="shared" ca="1" si="0"/>
        <v>слабка</v>
      </c>
      <c r="AA16" s="604" t="s">
        <v>77</v>
      </c>
      <c r="AD16" s="475"/>
    </row>
    <row r="17" spans="1:37">
      <c r="A17" s="162" t="s">
        <v>59</v>
      </c>
      <c r="B17" s="157"/>
      <c r="C17" s="157"/>
      <c r="D17" s="157"/>
      <c r="E17" s="157"/>
      <c r="F17" s="157"/>
      <c r="G17" s="157" t="str">
        <f ca="1">IFERROR(RIGHT(getReferToNamedRangeByName(Форма[[#This Row],[Имя]]),LEN(getReferToNamedRangeByName(Форма[[#This Row],[Имя]]))-1),"")</f>
        <v>РГК!$I$2</v>
      </c>
      <c r="H17" s="157" t="str">
        <f ca="1">VLOOKUP($J$2,INDIRECT("Шаблон"),MATCH("Имя",INDIRECT("Шаблон[#Заголовки]"),0),FALSE)&amp;Форма[[#This Row],[Столбец1]]</f>
        <v>gKd</v>
      </c>
      <c r="I17" s="157" t="s">
        <v>3161</v>
      </c>
      <c r="J17">
        <f ca="1">IFERROR(INDIRECT(Форма[[#This Row],[Адрес]]),"")</f>
        <v>162</v>
      </c>
      <c r="K17" s="157">
        <v>1</v>
      </c>
      <c r="L17" s="157">
        <v>1</v>
      </c>
      <c r="M17" s="157"/>
      <c r="N17" s="157"/>
      <c r="O17" s="170" t="s">
        <v>3295</v>
      </c>
      <c r="P17" s="157"/>
      <c r="Q17" s="161" t="s">
        <v>3372</v>
      </c>
      <c r="R17" s="419" t="s">
        <v>3310</v>
      </c>
      <c r="S17" s="425" t="b">
        <v>0</v>
      </c>
      <c r="T17" s="425" t="b">
        <v>1</v>
      </c>
      <c r="U17" t="s">
        <v>3541</v>
      </c>
      <c r="V17" s="623" t="s">
        <v>3610</v>
      </c>
      <c r="W17" s="632"/>
      <c r="X17">
        <f t="shared" ca="1" si="0"/>
        <v>162</v>
      </c>
      <c r="AA17" t="s">
        <v>3541</v>
      </c>
      <c r="AD17" s="623" t="s">
        <v>3610</v>
      </c>
    </row>
    <row r="18" spans="1:37">
      <c r="A18" s="162" t="s">
        <v>61</v>
      </c>
      <c r="B18" s="157"/>
      <c r="C18" s="157"/>
      <c r="D18" s="157"/>
      <c r="E18" s="157"/>
      <c r="F18" s="157"/>
      <c r="G18" s="157" t="str">
        <f ca="1">IFERROR(RIGHT(getReferToNamedRangeByName(Форма[[#This Row],[Имя]]),LEN(getReferToNamedRangeByName(Форма[[#This Row],[Имя]]))-1),"")</f>
        <v>РГК!$I$3</v>
      </c>
      <c r="H18" s="157" t="str">
        <f ca="1">VLOOKUP($J$2,INDIRECT("Шаблон"),MATCH("Имя",INDIRECT("Шаблон[#Заголовки]"),0),FALSE)&amp;Форма[[#This Row],[Столбец1]]</f>
        <v>gZzap</v>
      </c>
      <c r="I18" s="157" t="s">
        <v>3182</v>
      </c>
      <c r="J18">
        <f ca="1">IFERROR(INDIRECT(Форма[[#This Row],[Адрес]]),"")</f>
        <v>1280</v>
      </c>
      <c r="K18" s="157">
        <v>1</v>
      </c>
      <c r="L18" s="157">
        <v>1</v>
      </c>
      <c r="M18" s="157">
        <v>1</v>
      </c>
      <c r="N18" s="157"/>
      <c r="O18" s="170" t="s">
        <v>3295</v>
      </c>
      <c r="P18" s="157"/>
      <c r="Q18" s="445" t="s">
        <v>3377</v>
      </c>
      <c r="R18" s="419" t="s">
        <v>3310</v>
      </c>
      <c r="S18" s="425" t="b">
        <v>0</v>
      </c>
      <c r="T18" s="425" t="b">
        <v>1</v>
      </c>
      <c r="U18" s="448"/>
      <c r="V18" s="475"/>
      <c r="W18" s="632"/>
      <c r="X18">
        <f t="shared" ca="1" si="0"/>
        <v>1280</v>
      </c>
      <c r="AD18" s="475"/>
      <c r="AH18" t="s">
        <v>3756</v>
      </c>
    </row>
    <row r="19" spans="1:37">
      <c r="A19" s="162" t="s">
        <v>62</v>
      </c>
      <c r="B19" s="157"/>
      <c r="C19" s="157"/>
      <c r="D19" s="157"/>
      <c r="E19" s="157"/>
      <c r="F19" s="157"/>
      <c r="G19" s="157" t="str">
        <f ca="1">IFERROR(RIGHT(getReferToNamedRangeByName(Форма[[#This Row],[Имя]]),LEN(getReferToNamedRangeByName(Форма[[#This Row],[Имя]]))-1),"")</f>
        <v>РГК!$I$4</v>
      </c>
      <c r="H19" s="157" t="str">
        <f ca="1">VLOOKUP($J$2,INDIRECT("Шаблон"),MATCH("Имя",INDIRECT("Шаблон[#Заголовки]"),0),FALSE)&amp;Форма[[#This Row],[Столбец1]]</f>
        <v>gNel</v>
      </c>
      <c r="I19" s="157" t="s">
        <v>3171</v>
      </c>
      <c r="J19">
        <f ca="1">IFERROR(INDIRECT(Форма[[#This Row],[Адрес]]),"")</f>
        <v>8</v>
      </c>
      <c r="K19" s="157">
        <v>1</v>
      </c>
      <c r="L19" s="157">
        <v>1</v>
      </c>
      <c r="M19" s="157"/>
      <c r="N19" s="157"/>
      <c r="O19" s="170" t="s">
        <v>3295</v>
      </c>
      <c r="P19" s="157"/>
      <c r="Q19" s="161" t="s">
        <v>3374</v>
      </c>
      <c r="R19" s="419" t="s">
        <v>3310</v>
      </c>
      <c r="S19" s="425" t="b">
        <v>0</v>
      </c>
      <c r="T19" s="425" t="b">
        <v>1</v>
      </c>
      <c r="U19" t="s">
        <v>3536</v>
      </c>
      <c r="V19" s="623" t="s">
        <v>3606</v>
      </c>
      <c r="W19" s="632"/>
      <c r="X19">
        <f t="shared" ca="1" si="0"/>
        <v>8</v>
      </c>
      <c r="AA19" t="s">
        <v>3536</v>
      </c>
      <c r="AD19" s="623" t="s">
        <v>3606</v>
      </c>
      <c r="AH19" t="s">
        <v>3757</v>
      </c>
      <c r="AI19" t="s">
        <v>3758</v>
      </c>
    </row>
    <row r="20" spans="1:37">
      <c r="A20" s="162" t="s">
        <v>60</v>
      </c>
      <c r="B20" s="157"/>
      <c r="C20" s="157"/>
      <c r="D20" s="157"/>
      <c r="E20" s="157"/>
      <c r="F20" s="157"/>
      <c r="G20" s="157" t="str">
        <f ca="1">IFERROR(RIGHT(getReferToNamedRangeByName(Форма[[#This Row],[Имя]]),LEN(getReferToNamedRangeByName(Форма[[#This Row],[Имя]]))-1),"")</f>
        <v>РГК!$I$5</v>
      </c>
      <c r="H20" s="157" t="str">
        <f ca="1">VLOOKUP($J$2,INDIRECT("Шаблон"),MATCH("Имя",INDIRECT("Шаблон[#Заголовки]"),0),FALSE)&amp;Форма[[#This Row],[Столбец1]]</f>
        <v>gMas</v>
      </c>
      <c r="I20" s="157" t="s">
        <v>3162</v>
      </c>
      <c r="J20">
        <f ca="1">IFERROR(INDIRECT(Форма[[#This Row],[Адрес]]),"")</f>
        <v>1272</v>
      </c>
      <c r="K20" s="157">
        <v>1</v>
      </c>
      <c r="L20" s="157">
        <v>1</v>
      </c>
      <c r="M20" s="157"/>
      <c r="N20" s="157"/>
      <c r="O20" s="170" t="s">
        <v>3295</v>
      </c>
      <c r="P20" s="157"/>
      <c r="Q20" s="445" t="s">
        <v>3378</v>
      </c>
      <c r="R20" s="419" t="s">
        <v>3310</v>
      </c>
      <c r="S20" s="425" t="b">
        <v>0</v>
      </c>
      <c r="T20" s="425" t="b">
        <v>1</v>
      </c>
      <c r="V20" s="623" t="s">
        <v>3605</v>
      </c>
      <c r="W20" s="632"/>
      <c r="X20">
        <f t="shared" ca="1" si="0"/>
        <v>1272</v>
      </c>
      <c r="AA20" t="s">
        <v>3485</v>
      </c>
      <c r="AH20" t="s">
        <v>3759</v>
      </c>
      <c r="AI20" t="s">
        <v>3741</v>
      </c>
      <c r="AJ20" t="s">
        <v>3742</v>
      </c>
      <c r="AK20" t="s">
        <v>3760</v>
      </c>
    </row>
    <row r="21" spans="1:37">
      <c r="A21" s="162" t="s">
        <v>64</v>
      </c>
      <c r="B21" s="157"/>
      <c r="C21" s="157"/>
      <c r="D21" s="157"/>
      <c r="E21" s="157"/>
      <c r="F21" s="157"/>
      <c r="G21" s="157" t="str">
        <f ca="1">IFERROR(RIGHT(getReferToNamedRangeByName(Форма[[#This Row],[Имя]]),LEN(getReferToNamedRangeByName(Форма[[#This Row],[Имя]]))-1),"")</f>
        <v>РГК!$I$6</v>
      </c>
      <c r="H21" s="157" t="str">
        <f ca="1">VLOOKUP($J$2,INDIRECT("Шаблон"),MATCH("Имя",INDIRECT("Шаблон[#Заголовки]"),0),FALSE)&amp;Форма[[#This Row],[Столбец1]]</f>
        <v>gMas1Ga</v>
      </c>
      <c r="I21" s="157" t="s">
        <v>3168</v>
      </c>
      <c r="J21">
        <f ca="1">IFERROR(INDIRECT(Форма[[#This Row],[Адрес]]),"")</f>
        <v>342</v>
      </c>
      <c r="K21" s="157">
        <v>1</v>
      </c>
      <c r="L21" s="157">
        <v>1</v>
      </c>
      <c r="M21" s="157">
        <v>1</v>
      </c>
      <c r="N21" s="157"/>
      <c r="O21" s="170" t="s">
        <v>3295</v>
      </c>
      <c r="P21" s="157"/>
      <c r="Q21" s="445" t="s">
        <v>3370</v>
      </c>
      <c r="R21" s="419" t="s">
        <v>3310</v>
      </c>
      <c r="S21" s="425" t="b">
        <v>0</v>
      </c>
      <c r="T21" s="425" t="b">
        <v>1</v>
      </c>
      <c r="U21" s="448"/>
      <c r="X21">
        <f t="shared" ca="1" si="0"/>
        <v>342</v>
      </c>
      <c r="AE21" s="627" t="s">
        <v>3603</v>
      </c>
      <c r="AH21" t="s">
        <v>3759</v>
      </c>
      <c r="AI21" t="s">
        <v>3741</v>
      </c>
      <c r="AJ21" t="s">
        <v>3742</v>
      </c>
    </row>
    <row r="22" spans="1:37">
      <c r="A22" s="162" t="s">
        <v>63</v>
      </c>
      <c r="B22" s="157"/>
      <c r="C22" s="157"/>
      <c r="D22" s="157"/>
      <c r="E22" s="157"/>
      <c r="F22" s="157"/>
      <c r="G22" s="157" t="str">
        <f ca="1">IFERROR(RIGHT(getReferToNamedRangeByName(Форма[[#This Row],[Имя]]),LEN(getReferToNamedRangeByName(Форма[[#This Row],[Имя]]))-1),"")</f>
        <v>РГК!$I$7</v>
      </c>
      <c r="H22" s="157" t="str">
        <f ca="1">VLOOKUP($J$2,INDIRECT("Шаблон"),MATCH("Имя",INDIRECT("Шаблон[#Заголовки]"),0),FALSE)&amp;Форма[[#This Row],[Столбец1]]</f>
        <v>gCrHl</v>
      </c>
      <c r="I22" s="157" t="s">
        <v>3167</v>
      </c>
      <c r="J22">
        <f ca="1">IFERROR(INDIRECT(Форма[[#This Row],[Адрес]]),"")</f>
        <v>0.84</v>
      </c>
      <c r="K22" s="157">
        <v>1</v>
      </c>
      <c r="L22" s="157">
        <v>1</v>
      </c>
      <c r="M22" s="157"/>
      <c r="N22" s="157"/>
      <c r="O22" s="170" t="s">
        <v>3295</v>
      </c>
      <c r="P22" s="157"/>
      <c r="Q22" s="445" t="s">
        <v>3369</v>
      </c>
      <c r="R22" s="419" t="s">
        <v>3310</v>
      </c>
      <c r="S22" s="425" t="b">
        <v>0</v>
      </c>
      <c r="T22" s="425" t="b">
        <v>1</v>
      </c>
      <c r="U22" s="448"/>
      <c r="V22" s="623" t="s">
        <v>3611</v>
      </c>
      <c r="W22" s="632"/>
      <c r="X22">
        <f t="shared" ca="1" si="0"/>
        <v>0.84</v>
      </c>
      <c r="AD22" s="623" t="s">
        <v>3611</v>
      </c>
      <c r="AH22" t="s">
        <v>3761</v>
      </c>
    </row>
    <row r="23" spans="1:37">
      <c r="A23" s="449" t="s">
        <v>4</v>
      </c>
      <c r="B23" s="157" t="s">
        <v>3302</v>
      </c>
      <c r="C23" s="157"/>
      <c r="D23" s="157"/>
      <c r="E23" s="157"/>
      <c r="F23" s="157">
        <v>0</v>
      </c>
      <c r="G23" s="157" t="str">
        <f ca="1">IFERROR(RIGHT(getReferToNamedRangeByName(Форма[[#This Row],[Имя]]),LEN(getReferToNamedRangeByName(Форма[[#This Row],[Имя]]))-1),"")</f>
        <v>РГК!$I$8</v>
      </c>
      <c r="H23" s="157" t="str">
        <f ca="1">VLOOKUP($J$2,INDIRECT("Шаблон"),MATCH("Имя",INDIRECT("Шаблон[#Заголовки]"),0),FALSE)&amp;Форма[[#This Row],[Столбец1]]</f>
        <v>gCZ</v>
      </c>
      <c r="I23" s="157" t="s">
        <v>3166</v>
      </c>
      <c r="J23">
        <f ca="1">IFERROR(INDIRECT(Форма[[#This Row],[Адрес]]),"")</f>
        <v>0</v>
      </c>
      <c r="K23" s="157">
        <v>1</v>
      </c>
      <c r="L23" s="157">
        <v>1</v>
      </c>
      <c r="M23" s="157">
        <v>1</v>
      </c>
      <c r="N23" s="157"/>
      <c r="O23" s="170" t="s">
        <v>3294</v>
      </c>
      <c r="P23" s="157" t="s">
        <v>3304</v>
      </c>
      <c r="Q23" s="161" t="s">
        <v>3304</v>
      </c>
      <c r="R23" s="419" t="s">
        <v>3310</v>
      </c>
      <c r="S23" s="425" t="b">
        <v>0</v>
      </c>
      <c r="T23" s="425" t="b">
        <v>1</v>
      </c>
      <c r="U23" t="s">
        <v>4</v>
      </c>
      <c r="X23">
        <f t="shared" ca="1" si="0"/>
        <v>0</v>
      </c>
      <c r="AA23" t="s">
        <v>4</v>
      </c>
      <c r="AH23" t="s">
        <v>3581</v>
      </c>
      <c r="AI23" t="s">
        <v>3762</v>
      </c>
    </row>
    <row r="24" spans="1:37">
      <c r="A24" s="449" t="s">
        <v>65</v>
      </c>
      <c r="B24" s="157" t="s">
        <v>3305</v>
      </c>
      <c r="C24" s="157" t="s">
        <v>2182</v>
      </c>
      <c r="D24" s="157"/>
      <c r="E24" s="157"/>
      <c r="F24" s="157">
        <v>1</v>
      </c>
      <c r="G24" s="157" t="str">
        <f ca="1">IFERROR(RIGHT(getReferToNamedRangeByName(Форма[[#This Row],[Имя]]),LEN(getReferToNamedRangeByName(Форма[[#This Row],[Имя]]))-1),"")</f>
        <v>РГК!$I$9</v>
      </c>
      <c r="H24" s="157" t="str">
        <f ca="1">VLOOKUP($J$2,INDIRECT("Шаблон"),MATCH("Имя",INDIRECT("Шаблон[#Заголовки]"),0),FALSE)&amp;Форма[[#This Row],[Столбец1]]</f>
        <v>gKS</v>
      </c>
      <c r="I24" s="157" t="s">
        <v>3170</v>
      </c>
      <c r="J24">
        <f ca="1">IFERROR(INDIRECT(Форма[[#This Row],[Адрес]]),"")</f>
        <v>1</v>
      </c>
      <c r="K24" s="157">
        <v>1</v>
      </c>
      <c r="L24" s="157">
        <v>1</v>
      </c>
      <c r="M24" s="157"/>
      <c r="N24" s="157"/>
      <c r="O24" s="170" t="s">
        <v>3294</v>
      </c>
      <c r="P24" s="157" t="s">
        <v>3300</v>
      </c>
      <c r="Q24" s="161" t="s">
        <v>3300</v>
      </c>
      <c r="R24" s="419" t="s">
        <v>3310</v>
      </c>
      <c r="S24" s="425" t="b">
        <v>0</v>
      </c>
      <c r="T24" s="425" t="b">
        <v>1</v>
      </c>
      <c r="U24" t="s">
        <v>3560</v>
      </c>
      <c r="X24">
        <f t="shared" ca="1" si="0"/>
        <v>1</v>
      </c>
      <c r="AA24" t="s">
        <v>3560</v>
      </c>
      <c r="AH24" t="s">
        <v>2168</v>
      </c>
    </row>
    <row r="25" spans="1:37">
      <c r="A25" s="449" t="s">
        <v>3</v>
      </c>
      <c r="B25" s="157" t="s">
        <v>3303</v>
      </c>
      <c r="C25" s="157"/>
      <c r="D25" s="157"/>
      <c r="E25" s="157"/>
      <c r="F25" s="157">
        <v>3</v>
      </c>
      <c r="G25" s="157" t="str">
        <f ca="1">IFERROR(RIGHT(getReferToNamedRangeByName(Форма[[#This Row],[Имя]]),LEN(getReferToNamedRangeByName(Форма[[#This Row],[Имя]]))-1),"")</f>
        <v>РГК!$I$10</v>
      </c>
      <c r="H25" s="157" t="str">
        <f ca="1">VLOOKUP($J$2,INDIRECT("Шаблон"),MATCH("Имя",INDIRECT("Шаблон[#Заголовки]"),0),FALSE)&amp;Форма[[#This Row],[Столбец1]]</f>
        <v>gRV</v>
      </c>
      <c r="I25" s="157" t="s">
        <v>3165</v>
      </c>
      <c r="J25">
        <f ca="1">IFERROR(INDIRECT(Форма[[#This Row],[Адрес]]),"")</f>
        <v>2</v>
      </c>
      <c r="K25" s="157">
        <v>1</v>
      </c>
      <c r="L25" s="157">
        <v>1</v>
      </c>
      <c r="M25" s="157"/>
      <c r="N25" s="157"/>
      <c r="O25" s="170" t="s">
        <v>3294</v>
      </c>
      <c r="P25" s="157" t="s">
        <v>3301</v>
      </c>
      <c r="Q25" s="161" t="s">
        <v>3301</v>
      </c>
      <c r="R25" s="419" t="s">
        <v>3310</v>
      </c>
      <c r="S25" s="425" t="b">
        <v>0</v>
      </c>
      <c r="T25" s="425" t="b">
        <v>1</v>
      </c>
      <c r="U25" t="s">
        <v>3</v>
      </c>
      <c r="V25" s="623" t="s">
        <v>3608</v>
      </c>
      <c r="W25" s="632"/>
      <c r="X25">
        <f t="shared" ca="1" si="0"/>
        <v>2</v>
      </c>
      <c r="AA25" t="s">
        <v>3</v>
      </c>
      <c r="AD25" s="623" t="s">
        <v>3608</v>
      </c>
      <c r="AH25" t="s">
        <v>3763</v>
      </c>
    </row>
    <row r="26" spans="1:37">
      <c r="A26" s="71" t="s">
        <v>66</v>
      </c>
      <c r="B26" s="157"/>
      <c r="C26" s="157"/>
      <c r="D26" s="157"/>
      <c r="E26" s="157"/>
      <c r="F26" s="161">
        <f ca="1">VLOOKUP(F23,INDIRECT("табКоефЧерн"),2,FALSE)*SUMPRODUCT((INDIRECT("тРозрядВысот[РозрядВысот]")=F25)*(INDIRECT("тРозрядВысот[Рубка]")=F2)*(INDIRECT("тРозрядВысот[Коэфициент]")))</f>
        <v>1</v>
      </c>
      <c r="G26" s="157" t="str">
        <f ca="1">IFERROR(RIGHT(getReferToNamedRangeByName(Форма[[#This Row],[Имя]]),LEN(getReferToNamedRangeByName(Форма[[#This Row],[Имя]]))-1),"")</f>
        <v>РГК!$I$11</v>
      </c>
      <c r="H26" s="157" t="str">
        <f ca="1">VLOOKUP($J$2,INDIRECT("Шаблон"),MATCH("Имя",INDIRECT("Шаблон[#Заголовки]"),0),FALSE)&amp;Форма[[#This Row],[Столбец1]]</f>
        <v>gKZ</v>
      </c>
      <c r="I26" s="157" t="s">
        <v>3183</v>
      </c>
      <c r="J26">
        <f ca="1">IFERROR(INDIRECT(Форма[[#This Row],[Адрес]]),"")</f>
        <v>1.1000000000000001</v>
      </c>
      <c r="K26" s="157">
        <v>1</v>
      </c>
      <c r="L26" s="157">
        <v>1</v>
      </c>
      <c r="M26" s="157">
        <v>1</v>
      </c>
      <c r="N26" s="157"/>
      <c r="O26" s="170" t="s">
        <v>3295</v>
      </c>
      <c r="P26" s="157"/>
      <c r="Q26" s="445" t="s">
        <v>3379</v>
      </c>
      <c r="R26" s="419" t="s">
        <v>3310</v>
      </c>
      <c r="S26" s="425" t="b">
        <v>0</v>
      </c>
      <c r="T26" s="425" t="b">
        <v>1</v>
      </c>
      <c r="U26" s="448"/>
      <c r="V26" s="624"/>
      <c r="W26" s="633"/>
      <c r="X26">
        <f t="shared" ca="1" si="0"/>
        <v>1.1000000000000001</v>
      </c>
      <c r="AD26" s="624"/>
      <c r="AH26" t="s">
        <v>3764</v>
      </c>
    </row>
    <row r="27" spans="1:37">
      <c r="A27" s="450" t="s">
        <v>110</v>
      </c>
      <c r="B27" s="157" t="s">
        <v>3347</v>
      </c>
      <c r="C27" s="157" t="s">
        <v>2301</v>
      </c>
      <c r="D27" s="157"/>
      <c r="E27" s="157"/>
      <c r="F27" s="157"/>
      <c r="G27" s="157" t="str">
        <f ca="1">IFERROR(RIGHT(getReferToNamedRangeByName(Форма[[#This Row],[Имя]]),LEN(getReferToNamedRangeByName(Форма[[#This Row],[Имя]]))-1),"")</f>
        <v>РГК!$B$13</v>
      </c>
      <c r="H27" s="157" t="str">
        <f ca="1">VLOOKUP($J$2,INDIRECT("Шаблон"),MATCH("Имя",INDIRECT("Шаблон[#Заголовки]"),0),FALSE)&amp;Форма[[#This Row],[Столбец1]]</f>
        <v>gGp</v>
      </c>
      <c r="I27" s="157" t="s">
        <v>3163</v>
      </c>
      <c r="J27" t="str">
        <f ca="1">IFERROR(INDIRECT(Форма[[#This Row],[Адрес]]),"")</f>
        <v>Дз</v>
      </c>
      <c r="K27" s="157">
        <v>1</v>
      </c>
      <c r="L27" s="157">
        <v>1</v>
      </c>
      <c r="M27" s="157">
        <v>1</v>
      </c>
      <c r="N27" s="157"/>
      <c r="O27" s="170" t="s">
        <v>3294</v>
      </c>
      <c r="P27" s="157" t="s">
        <v>3346</v>
      </c>
      <c r="Q27" s="161" t="s">
        <v>3346</v>
      </c>
      <c r="R27" s="419" t="s">
        <v>3310</v>
      </c>
      <c r="S27" s="425" t="b">
        <v>0</v>
      </c>
      <c r="T27" s="425" t="b">
        <v>1</v>
      </c>
      <c r="U27" t="s">
        <v>3539</v>
      </c>
      <c r="V27" s="623"/>
      <c r="W27" s="632"/>
      <c r="X27" t="str">
        <f t="shared" ca="1" si="0"/>
        <v>Дз</v>
      </c>
      <c r="AA27" t="s">
        <v>3539</v>
      </c>
      <c r="AD27" s="623"/>
      <c r="AH27" t="s">
        <v>3765</v>
      </c>
    </row>
    <row r="28" spans="1:37">
      <c r="A28" s="156" t="s">
        <v>2149</v>
      </c>
      <c r="B28" s="157"/>
      <c r="C28" s="157"/>
      <c r="D28" s="157"/>
      <c r="E28" s="157"/>
      <c r="F28" s="157"/>
      <c r="G28" s="157" t="str">
        <f>IFERROR(RIGHT(getReferToNamedRangeByName(Форма[[#This Row],[Имя]]),LEN(getReferToNamedRangeByName(Форма[[#This Row],[Имя]]))-1),"")</f>
        <v>РГК!$F$39</v>
      </c>
      <c r="H28" s="169" t="str">
        <f xml:space="preserve">  INDEX(Шаблон[Имя],MATCH($J$2,Шаблон[Наименование],0),1) &amp; "T_11"</f>
        <v>gT_11</v>
      </c>
      <c r="I28" s="157"/>
      <c r="J28">
        <f ca="1">IFERROR(INDIRECT(Форма[[#This Row],[Адрес]]),"")</f>
        <v>0</v>
      </c>
      <c r="K28" s="157">
        <v>1</v>
      </c>
      <c r="L28" s="157">
        <v>1</v>
      </c>
      <c r="M28" s="157">
        <v>1</v>
      </c>
      <c r="N28" s="157"/>
      <c r="O28" s="170" t="s">
        <v>3295</v>
      </c>
      <c r="P28" s="157"/>
      <c r="Q28" s="161" t="s">
        <v>3386</v>
      </c>
      <c r="R28" s="419" t="s">
        <v>3310</v>
      </c>
      <c r="S28" s="425" t="b">
        <v>0</v>
      </c>
      <c r="T28" s="425" t="b">
        <v>1</v>
      </c>
      <c r="U28" t="s">
        <v>3542</v>
      </c>
      <c r="V28" s="623"/>
      <c r="W28" s="632"/>
      <c r="X28">
        <f t="shared" ca="1" si="0"/>
        <v>0</v>
      </c>
      <c r="AA28" t="s">
        <v>3542</v>
      </c>
      <c r="AD28" s="623"/>
      <c r="AH28" t="s">
        <v>3766</v>
      </c>
    </row>
    <row r="29" spans="1:37">
      <c r="A29" s="156" t="s">
        <v>2150</v>
      </c>
      <c r="B29" s="157"/>
      <c r="C29" s="157"/>
      <c r="D29" s="157"/>
      <c r="E29" s="157"/>
      <c r="F29" s="157"/>
      <c r="G29" s="157" t="str">
        <f>IFERROR(RIGHT(getReferToNamedRangeByName(Форма[[#This Row],[Имя]]),LEN(getReferToNamedRangeByName(Форма[[#This Row],[Имя]]))-1),"")</f>
        <v>РГК!$F$40</v>
      </c>
      <c r="H29" s="169" t="str">
        <f xml:space="preserve">  INDEX(Шаблон[Имя],MATCH($J$2,Шаблон[Наименование],0),1) &amp; "T_12"</f>
        <v>gT_12</v>
      </c>
      <c r="I29" s="157"/>
      <c r="J29">
        <f ca="1">IFERROR(INDIRECT(Форма[[#This Row],[Адрес]]),"")</f>
        <v>0</v>
      </c>
      <c r="K29" s="157">
        <v>1</v>
      </c>
      <c r="L29" s="157">
        <v>1</v>
      </c>
      <c r="M29" s="157">
        <v>1</v>
      </c>
      <c r="N29" s="157"/>
      <c r="O29" s="170" t="s">
        <v>3295</v>
      </c>
      <c r="P29" s="157"/>
      <c r="Q29" s="161" t="s">
        <v>3387</v>
      </c>
      <c r="R29" s="419" t="s">
        <v>3310</v>
      </c>
      <c r="S29" s="425" t="b">
        <v>0</v>
      </c>
      <c r="T29" s="425" t="b">
        <v>1</v>
      </c>
      <c r="U29" t="s">
        <v>3543</v>
      </c>
      <c r="X29">
        <f t="shared" ca="1" si="0"/>
        <v>0</v>
      </c>
      <c r="AA29" t="s">
        <v>3543</v>
      </c>
      <c r="AE29" s="627" t="s">
        <v>3607</v>
      </c>
    </row>
    <row r="30" spans="1:37">
      <c r="A30" s="156" t="s">
        <v>2151</v>
      </c>
      <c r="B30" s="157"/>
      <c r="C30" s="157"/>
      <c r="D30" s="157"/>
      <c r="E30" s="157"/>
      <c r="F30" s="157"/>
      <c r="G30" s="157" t="str">
        <f>IFERROR(RIGHT(getReferToNamedRangeByName(Форма[[#This Row],[Имя]]),LEN(getReferToNamedRangeByName(Форма[[#This Row],[Имя]]))-1),"")</f>
        <v>РГК!$F$41</v>
      </c>
      <c r="H30" s="169" t="str">
        <f xml:space="preserve">  INDEX(Шаблон[Имя],MATCH($J$2,Шаблон[Наименование],0),1) &amp; "T_13"</f>
        <v>gT_13</v>
      </c>
      <c r="I30" s="157"/>
      <c r="J30">
        <f ca="1">IFERROR(INDIRECT(Форма[[#This Row],[Адрес]]),"")</f>
        <v>36</v>
      </c>
      <c r="K30" s="157">
        <v>1</v>
      </c>
      <c r="L30" s="157">
        <v>1</v>
      </c>
      <c r="M30" s="157">
        <v>1</v>
      </c>
      <c r="N30" s="157"/>
      <c r="O30" s="170" t="s">
        <v>3295</v>
      </c>
      <c r="P30" s="157"/>
      <c r="Q30" s="161" t="s">
        <v>3388</v>
      </c>
      <c r="R30" s="419" t="s">
        <v>3310</v>
      </c>
      <c r="S30" s="425" t="b">
        <v>0</v>
      </c>
      <c r="T30" s="425" t="b">
        <v>1</v>
      </c>
      <c r="U30" t="s">
        <v>3544</v>
      </c>
      <c r="V30" s="623"/>
      <c r="W30" s="632"/>
      <c r="X30">
        <f t="shared" ca="1" si="0"/>
        <v>36</v>
      </c>
      <c r="AA30" t="s">
        <v>3544</v>
      </c>
      <c r="AD30" s="623"/>
    </row>
    <row r="31" spans="1:37">
      <c r="A31" s="156" t="s">
        <v>2152</v>
      </c>
      <c r="B31" s="157"/>
      <c r="C31" s="157"/>
      <c r="D31" s="157"/>
      <c r="E31" s="157"/>
      <c r="F31" s="157"/>
      <c r="G31" s="157" t="str">
        <f>IFERROR(RIGHT(getReferToNamedRangeByName(Форма[[#This Row],[Имя]]),LEN(getReferToNamedRangeByName(Форма[[#This Row],[Имя]]))-1),"")</f>
        <v>РГК!$F$42</v>
      </c>
      <c r="H31" s="169" t="str">
        <f xml:space="preserve">  INDEX(Шаблон[Имя],MATCH($J$2,Шаблон[Наименование],0),1) &amp; "T_21"</f>
        <v>gT_21</v>
      </c>
      <c r="I31" s="157"/>
      <c r="J31">
        <f ca="1">IFERROR(INDIRECT(Форма[[#This Row],[Адрес]]),"")</f>
        <v>0</v>
      </c>
      <c r="K31" s="157">
        <v>1</v>
      </c>
      <c r="L31" s="157">
        <v>1</v>
      </c>
      <c r="M31" s="157">
        <v>1</v>
      </c>
      <c r="N31" s="157"/>
      <c r="O31" s="170" t="s">
        <v>3295</v>
      </c>
      <c r="P31" s="157"/>
      <c r="Q31" s="161" t="s">
        <v>3389</v>
      </c>
      <c r="R31" s="419" t="s">
        <v>3310</v>
      </c>
      <c r="S31" s="425" t="b">
        <v>0</v>
      </c>
      <c r="T31" s="425" t="b">
        <v>1</v>
      </c>
      <c r="U31" t="s">
        <v>3545</v>
      </c>
      <c r="X31">
        <f t="shared" ca="1" si="0"/>
        <v>0</v>
      </c>
      <c r="Z31" t="s">
        <v>3558</v>
      </c>
      <c r="AA31" t="s">
        <v>3545</v>
      </c>
    </row>
    <row r="32" spans="1:37">
      <c r="A32" s="156" t="s">
        <v>2153</v>
      </c>
      <c r="B32" s="157"/>
      <c r="C32" s="157"/>
      <c r="D32" s="157"/>
      <c r="E32" s="157"/>
      <c r="F32" s="157"/>
      <c r="G32" s="157" t="str">
        <f>IFERROR(RIGHT(getReferToNamedRangeByName(Форма[[#This Row],[Имя]]),LEN(getReferToNamedRangeByName(Форма[[#This Row],[Имя]]))-1),"")</f>
        <v>РГК!$F$43</v>
      </c>
      <c r="H32" s="169" t="str">
        <f xml:space="preserve">  INDEX(Шаблон[Имя],MATCH($J$2,Шаблон[Наименование],0),1) &amp; "T_22"</f>
        <v>gT_22</v>
      </c>
      <c r="I32" s="157"/>
      <c r="J32">
        <f ca="1">IFERROR(INDIRECT(Форма[[#This Row],[Адрес]]),"")</f>
        <v>0</v>
      </c>
      <c r="K32" s="157">
        <v>1</v>
      </c>
      <c r="L32" s="157">
        <v>1</v>
      </c>
      <c r="M32" s="157">
        <v>1</v>
      </c>
      <c r="N32" s="157"/>
      <c r="O32" s="170" t="s">
        <v>3295</v>
      </c>
      <c r="P32" s="157"/>
      <c r="Q32" s="161" t="s">
        <v>3390</v>
      </c>
      <c r="R32" s="419" t="s">
        <v>3310</v>
      </c>
      <c r="S32" s="425" t="b">
        <v>0</v>
      </c>
      <c r="T32" s="425" t="b">
        <v>1</v>
      </c>
      <c r="U32" t="s">
        <v>3546</v>
      </c>
      <c r="X32">
        <f t="shared" ca="1" si="0"/>
        <v>0</v>
      </c>
      <c r="AA32" t="s">
        <v>3546</v>
      </c>
    </row>
    <row r="33" spans="1:33">
      <c r="A33" s="156" t="s">
        <v>2154</v>
      </c>
      <c r="B33" s="157"/>
      <c r="C33" s="157"/>
      <c r="D33" s="157"/>
      <c r="E33" s="157"/>
      <c r="F33" s="157"/>
      <c r="G33" s="157" t="str">
        <f>IFERROR(RIGHT(getReferToNamedRangeByName(Форма[[#This Row],[Имя]]),LEN(getReferToNamedRangeByName(Форма[[#This Row],[Имя]]))-1),"")</f>
        <v>РГК!$F$44</v>
      </c>
      <c r="H33" s="169" t="str">
        <f xml:space="preserve">  INDEX(Шаблон[Имя],MATCH($J$2,Шаблон[Наименование],0),1) &amp; "T_23"</f>
        <v>gT_23</v>
      </c>
      <c r="I33" s="157"/>
      <c r="J33">
        <f ca="1">IFERROR(INDIRECT(Форма[[#This Row],[Адрес]]),"")</f>
        <v>0</v>
      </c>
      <c r="K33" s="157">
        <v>1</v>
      </c>
      <c r="L33" s="157">
        <v>1</v>
      </c>
      <c r="M33" s="157">
        <v>1</v>
      </c>
      <c r="N33" s="157"/>
      <c r="O33" s="170" t="s">
        <v>3295</v>
      </c>
      <c r="P33" s="157"/>
      <c r="Q33" s="161" t="s">
        <v>3391</v>
      </c>
      <c r="R33" s="419" t="s">
        <v>3310</v>
      </c>
      <c r="S33" s="425" t="b">
        <v>0</v>
      </c>
      <c r="T33" s="425" t="b">
        <v>1</v>
      </c>
      <c r="U33" t="s">
        <v>3547</v>
      </c>
      <c r="V33" s="623"/>
      <c r="W33" s="632"/>
      <c r="X33">
        <f t="shared" ca="1" si="0"/>
        <v>0</v>
      </c>
      <c r="AA33" t="s">
        <v>3547</v>
      </c>
      <c r="AD33" s="623"/>
    </row>
    <row r="34" spans="1:33">
      <c r="A34" s="156" t="s">
        <v>2155</v>
      </c>
      <c r="B34" s="157"/>
      <c r="C34" s="157"/>
      <c r="D34" s="157"/>
      <c r="E34" s="157"/>
      <c r="F34" s="157"/>
      <c r="G34" s="157" t="str">
        <f>IFERROR(RIGHT(getReferToNamedRangeByName(Форма[[#This Row],[Имя]]),LEN(getReferToNamedRangeByName(Форма[[#This Row],[Имя]]))-1),"")</f>
        <v>РГК!$F$45</v>
      </c>
      <c r="H34" s="169" t="str">
        <f xml:space="preserve">  INDEX(Шаблон[Имя],MATCH($J$2,Шаблон[Наименование],0),1) &amp; "T_31"</f>
        <v>gT_31</v>
      </c>
      <c r="I34" s="157"/>
      <c r="J34">
        <f ca="1">IFERROR(INDIRECT(Форма[[#This Row],[Адрес]]),"")</f>
        <v>1</v>
      </c>
      <c r="K34" s="157">
        <v>1</v>
      </c>
      <c r="L34" s="157">
        <v>1</v>
      </c>
      <c r="M34" s="157">
        <v>1</v>
      </c>
      <c r="N34" s="157"/>
      <c r="O34" s="170" t="s">
        <v>3295</v>
      </c>
      <c r="P34" s="157"/>
      <c r="Q34" s="161" t="s">
        <v>3392</v>
      </c>
      <c r="R34" s="419" t="s">
        <v>3310</v>
      </c>
      <c r="S34" s="425" t="b">
        <v>0</v>
      </c>
      <c r="T34" s="425" t="b">
        <v>1</v>
      </c>
      <c r="U34" t="s">
        <v>3548</v>
      </c>
      <c r="X34">
        <f t="shared" ca="1" si="0"/>
        <v>1</v>
      </c>
      <c r="AA34" t="s">
        <v>3548</v>
      </c>
    </row>
    <row r="35" spans="1:33">
      <c r="A35" s="156" t="s">
        <v>2156</v>
      </c>
      <c r="B35" s="157"/>
      <c r="C35" s="157"/>
      <c r="D35" s="157"/>
      <c r="E35" s="157"/>
      <c r="F35" s="157"/>
      <c r="G35" s="157" t="str">
        <f>IFERROR(RIGHT(getReferToNamedRangeByName(Форма[[#This Row],[Имя]]),LEN(getReferToNamedRangeByName(Форма[[#This Row],[Имя]]))-1),"")</f>
        <v>РГК!$F$46</v>
      </c>
      <c r="H35" s="169" t="str">
        <f xml:space="preserve">  INDEX(Шаблон[Имя],MATCH($J$2,Шаблон[Наименование],0),1) &amp; "T_32"</f>
        <v>gT_32</v>
      </c>
      <c r="I35" s="157"/>
      <c r="J35">
        <f ca="1">IFERROR(INDIRECT(Форма[[#This Row],[Адрес]]),"")</f>
        <v>1</v>
      </c>
      <c r="K35" s="157">
        <v>1</v>
      </c>
      <c r="L35" s="157">
        <v>1</v>
      </c>
      <c r="M35" s="157">
        <v>1</v>
      </c>
      <c r="N35" s="157"/>
      <c r="O35" s="170" t="s">
        <v>3295</v>
      </c>
      <c r="P35" s="157"/>
      <c r="Q35" s="161" t="s">
        <v>3393</v>
      </c>
      <c r="R35" s="419" t="s">
        <v>3310</v>
      </c>
      <c r="S35" s="425" t="b">
        <v>0</v>
      </c>
      <c r="T35" s="425" t="b">
        <v>1</v>
      </c>
      <c r="U35" t="s">
        <v>3549</v>
      </c>
      <c r="V35" s="623"/>
      <c r="W35" s="632"/>
      <c r="X35">
        <f t="shared" ca="1" si="0"/>
        <v>1</v>
      </c>
      <c r="Z35" t="s">
        <v>3561</v>
      </c>
      <c r="AA35" t="s">
        <v>3549</v>
      </c>
      <c r="AD35" s="623"/>
    </row>
    <row r="36" spans="1:33">
      <c r="A36" s="156" t="s">
        <v>2157</v>
      </c>
      <c r="B36" s="157"/>
      <c r="C36" s="157"/>
      <c r="D36" s="157"/>
      <c r="E36" s="157"/>
      <c r="F36" s="157"/>
      <c r="G36" s="157" t="str">
        <f>IFERROR(RIGHT(getReferToNamedRangeByName(Форма[[#This Row],[Имя]]),LEN(getReferToNamedRangeByName(Форма[[#This Row],[Имя]]))-1),"")</f>
        <v>РГК!$F$47</v>
      </c>
      <c r="H36" s="169" t="str">
        <f xml:space="preserve">  INDEX(Шаблон[Имя],MATCH($J$2,Шаблон[Наименование],0),1) &amp; "T_33"</f>
        <v>gT_33</v>
      </c>
      <c r="I36" s="157"/>
      <c r="J36">
        <f ca="1">IFERROR(INDIRECT(Форма[[#This Row],[Адрес]]),"")</f>
        <v>26</v>
      </c>
      <c r="K36" s="157">
        <v>1</v>
      </c>
      <c r="L36" s="157">
        <v>1</v>
      </c>
      <c r="M36" s="157">
        <v>1</v>
      </c>
      <c r="N36" s="157"/>
      <c r="O36" s="170" t="s">
        <v>3295</v>
      </c>
      <c r="P36" s="157"/>
      <c r="Q36" s="161" t="s">
        <v>3394</v>
      </c>
      <c r="R36" s="419" t="s">
        <v>3310</v>
      </c>
      <c r="S36" s="425" t="b">
        <v>0</v>
      </c>
      <c r="T36" s="425" t="b">
        <v>1</v>
      </c>
      <c r="U36" t="s">
        <v>3550</v>
      </c>
      <c r="X36">
        <f t="shared" ca="1" si="0"/>
        <v>26</v>
      </c>
      <c r="Z36" t="s">
        <v>3364</v>
      </c>
      <c r="AA36" t="s">
        <v>3550</v>
      </c>
    </row>
    <row r="37" spans="1:33">
      <c r="A37" s="156" t="s">
        <v>2158</v>
      </c>
      <c r="B37" s="157"/>
      <c r="C37" s="157"/>
      <c r="D37" s="157"/>
      <c r="E37" s="157"/>
      <c r="F37" s="157"/>
      <c r="G37" s="157" t="str">
        <f>IFERROR(RIGHT(getReferToNamedRangeByName(Форма[[#This Row],[Имя]]),LEN(getReferToNamedRangeByName(Форма[[#This Row],[Имя]]))-1),"")</f>
        <v>РГК!$F$48</v>
      </c>
      <c r="H37" s="169" t="str">
        <f xml:space="preserve">  INDEX(Шаблон[Имя],MATCH($J$2,Шаблон[Наименование],0),1) &amp; "T_41"</f>
        <v>gT_41</v>
      </c>
      <c r="I37" s="157"/>
      <c r="J37">
        <f ca="1">IFERROR(INDIRECT(Форма[[#This Row],[Адрес]]),"")</f>
        <v>0</v>
      </c>
      <c r="K37" s="157">
        <v>1</v>
      </c>
      <c r="L37" s="157">
        <v>1</v>
      </c>
      <c r="M37" s="157">
        <v>1</v>
      </c>
      <c r="N37" s="157"/>
      <c r="O37" s="170" t="s">
        <v>3295</v>
      </c>
      <c r="P37" s="157"/>
      <c r="Q37" s="161" t="s">
        <v>3395</v>
      </c>
      <c r="R37" s="419" t="s">
        <v>3310</v>
      </c>
      <c r="S37" s="425" t="b">
        <v>0</v>
      </c>
      <c r="T37" s="425" t="b">
        <v>1</v>
      </c>
      <c r="U37" t="s">
        <v>3551</v>
      </c>
      <c r="X37">
        <f t="shared" ca="1" si="0"/>
        <v>0</v>
      </c>
      <c r="Z37" t="s">
        <v>3562</v>
      </c>
      <c r="AA37" t="s">
        <v>3551</v>
      </c>
    </row>
    <row r="38" spans="1:33">
      <c r="A38" s="156" t="s">
        <v>2159</v>
      </c>
      <c r="B38" s="157"/>
      <c r="C38" s="157"/>
      <c r="D38" s="157"/>
      <c r="E38" s="157"/>
      <c r="F38" s="157"/>
      <c r="G38" s="157" t="str">
        <f>IFERROR(RIGHT(getReferToNamedRangeByName(Форма[[#This Row],[Имя]]),LEN(getReferToNamedRangeByName(Форма[[#This Row],[Имя]]))-1),"")</f>
        <v>РГК!$F$49</v>
      </c>
      <c r="H38" s="169" t="str">
        <f xml:space="preserve">  INDEX(Шаблон[Имя],MATCH($J$2,Шаблон[Наименование],0),1) &amp; "T_42"</f>
        <v>gT_42</v>
      </c>
      <c r="I38" s="157"/>
      <c r="J38">
        <f ca="1">IFERROR(INDIRECT(Форма[[#This Row],[Адрес]]),"")</f>
        <v>1</v>
      </c>
      <c r="K38" s="157">
        <v>1</v>
      </c>
      <c r="L38" s="157">
        <v>1</v>
      </c>
      <c r="M38" s="157">
        <v>1</v>
      </c>
      <c r="N38" s="157"/>
      <c r="O38" s="170" t="s">
        <v>3295</v>
      </c>
      <c r="P38" s="157"/>
      <c r="Q38" s="161" t="s">
        <v>3396</v>
      </c>
      <c r="R38" s="419" t="s">
        <v>3310</v>
      </c>
      <c r="S38" s="425" t="b">
        <v>0</v>
      </c>
      <c r="T38" s="425" t="b">
        <v>1</v>
      </c>
      <c r="U38" t="s">
        <v>3552</v>
      </c>
      <c r="X38">
        <f t="shared" ca="1" si="0"/>
        <v>1</v>
      </c>
      <c r="Z38" t="s">
        <v>3563</v>
      </c>
      <c r="AA38" t="s">
        <v>3552</v>
      </c>
    </row>
    <row r="39" spans="1:33">
      <c r="A39" s="156" t="s">
        <v>2160</v>
      </c>
      <c r="B39" s="157"/>
      <c r="C39" s="157"/>
      <c r="D39" s="157"/>
      <c r="E39" s="157"/>
      <c r="F39" s="157"/>
      <c r="G39" s="157" t="str">
        <f>IFERROR(RIGHT(getReferToNamedRangeByName(Форма[[#This Row],[Имя]]),LEN(getReferToNamedRangeByName(Форма[[#This Row],[Имя]]))-1),"")</f>
        <v>РГК!$F$50</v>
      </c>
      <c r="H39" s="169" t="str">
        <f xml:space="preserve">  INDEX(Шаблон[Имя],MATCH($J$2,Шаблон[Наименование],0),1) &amp; "T_43"</f>
        <v>gT_43</v>
      </c>
      <c r="I39" s="157"/>
      <c r="J39">
        <f ca="1">IFERROR(INDIRECT(Форма[[#This Row],[Адрес]]),"")</f>
        <v>18</v>
      </c>
      <c r="K39" s="157">
        <v>1</v>
      </c>
      <c r="L39" s="157">
        <v>1</v>
      </c>
      <c r="M39" s="157">
        <v>1</v>
      </c>
      <c r="N39" s="157"/>
      <c r="O39" s="170" t="s">
        <v>3295</v>
      </c>
      <c r="P39" s="157"/>
      <c r="Q39" s="445" t="s">
        <v>3397</v>
      </c>
      <c r="R39" s="419" t="s">
        <v>3310</v>
      </c>
      <c r="S39" s="425" t="b">
        <v>0</v>
      </c>
      <c r="T39" s="425" t="b">
        <v>1</v>
      </c>
      <c r="U39" t="s">
        <v>3553</v>
      </c>
      <c r="V39" s="623"/>
      <c r="W39" s="632"/>
      <c r="X39">
        <f t="shared" ca="1" si="0"/>
        <v>18</v>
      </c>
      <c r="AA39" t="s">
        <v>3553</v>
      </c>
      <c r="AD39" s="623"/>
    </row>
    <row r="40" spans="1:33">
      <c r="A40" s="156" t="s">
        <v>868</v>
      </c>
      <c r="B40" s="157" t="s">
        <v>3486</v>
      </c>
      <c r="C40" s="157" t="s">
        <v>868</v>
      </c>
      <c r="D40" s="157"/>
      <c r="E40" s="157"/>
      <c r="F40" s="157"/>
      <c r="G40" s="157" t="str">
        <f ca="1">IFERROR(RIGHT(getReferToNamedRangeByName(Форма[[#This Row],[Имя]]),LEN(getReferToNamedRangeByName(Форма[[#This Row],[Имя]]))-1),"")</f>
        <v>РГК!$Z$3</v>
      </c>
      <c r="H40" s="157" t="str">
        <f ca="1">VLOOKUP($J$2,INDIRECT("Шаблон"),MATCH("Имя",INDIRECT("Шаблон[#Заголовки]"),0),FALSE)&amp;Форма[[#This Row],[Столбец1]]</f>
        <v>gSvedeno</v>
      </c>
      <c r="I40" s="157" t="s">
        <v>5326</v>
      </c>
      <c r="J40" t="str">
        <f ca="1">IFERROR(INDIRECT(Форма[[#This Row],[Адрес]]),"")</f>
        <v>52 кв (7 вид) 0 діл. 556620 РГК</v>
      </c>
      <c r="K40" s="157">
        <v>1</v>
      </c>
      <c r="L40" s="157">
        <v>1</v>
      </c>
      <c r="M40" s="157">
        <v>1</v>
      </c>
      <c r="N40" s="157"/>
      <c r="O40" s="170" t="s">
        <v>3294</v>
      </c>
      <c r="P40" s="161" t="s">
        <v>3384</v>
      </c>
      <c r="Q40" s="161" t="s">
        <v>3384</v>
      </c>
      <c r="R40" s="419" t="s">
        <v>3310</v>
      </c>
      <c r="S40" s="425" t="b">
        <v>0</v>
      </c>
      <c r="T40" s="425" t="b">
        <v>1</v>
      </c>
      <c r="U40" s="610"/>
      <c r="Z40" t="s">
        <v>3565</v>
      </c>
      <c r="AE40" s="623" t="s">
        <v>3612</v>
      </c>
    </row>
    <row r="41" spans="1:33">
      <c r="A41" s="156" t="s">
        <v>867</v>
      </c>
      <c r="B41" s="157"/>
      <c r="C41" s="157"/>
      <c r="D41" s="157"/>
      <c r="E41" s="157"/>
      <c r="F41" s="158"/>
      <c r="G41" s="157" t="str">
        <f ca="1">IFERROR(RIGHT(getReferToNamedRangeByName(Форма[[#This Row],[Имя]]),LEN(getReferToNamedRangeByName(Форма[[#This Row],[Имя]]))-1),"")</f>
        <v>РГК!$Z$2</v>
      </c>
      <c r="H41" s="157" t="str">
        <f ca="1">VLOOKUP($J$2,INDIRECT("Шаблон"),MATCH("Имя",INDIRECT("Шаблон[#Заголовки]"),0),FALSE)&amp;Форма[[#This Row],[Столбец1]]</f>
        <v>gNTK</v>
      </c>
      <c r="I41" s="283" t="s">
        <v>3156</v>
      </c>
      <c r="J41" t="str">
        <f ca="1">IFERROR(INDIRECT(Форма[[#This Row],[Адрес]]),"")</f>
        <v>1\Віл\3_12_ДПО-18</v>
      </c>
      <c r="K41" s="157">
        <v>1</v>
      </c>
      <c r="L41" s="157">
        <v>1</v>
      </c>
      <c r="M41" s="157">
        <v>1</v>
      </c>
      <c r="N41" s="157"/>
      <c r="O41" s="170" t="s">
        <v>3294</v>
      </c>
      <c r="P41" s="157"/>
      <c r="Q41" s="161" t="s">
        <v>3381</v>
      </c>
      <c r="R41" s="419" t="s">
        <v>3310</v>
      </c>
      <c r="S41" s="425" t="b">
        <v>0</v>
      </c>
      <c r="T41" s="425" t="b">
        <v>1</v>
      </c>
      <c r="U41" t="s">
        <v>3559</v>
      </c>
      <c r="X41" t="str">
        <f t="shared" ca="1" si="0"/>
        <v>1\Віл\3_12_ДПО-18</v>
      </c>
      <c r="Z41" t="s">
        <v>3566</v>
      </c>
      <c r="AE41" s="623" t="s">
        <v>3613</v>
      </c>
    </row>
    <row r="42" spans="1:33">
      <c r="A42" s="156" t="s">
        <v>2134</v>
      </c>
      <c r="B42" s="157" t="s">
        <v>3343</v>
      </c>
      <c r="C42" s="157" t="s">
        <v>3155</v>
      </c>
      <c r="D42" s="157"/>
      <c r="E42" s="157"/>
      <c r="F42" s="163"/>
      <c r="G42" s="157" t="str">
        <f ca="1">IFERROR(RIGHT(getReferToNamedRangeByName(Форма[[#This Row],[Имя]]),LEN(getReferToNamedRangeByName(Форма[[#This Row],[Имя]]))-1),"")</f>
        <v>РГК!$G$1</v>
      </c>
      <c r="H42" s="157" t="str">
        <f ca="1">VLOOKUP($J$2,INDIRECT("Шаблон"),MATCH("Имя",INDIRECT("Шаблон[#Заголовки]"),0),FALSE)&amp;Форма[[#This Row],[Столбец1]]</f>
        <v>gMD</v>
      </c>
      <c r="I42" s="157" t="s">
        <v>3178</v>
      </c>
      <c r="J42">
        <f ca="1">IFERROR(INDIRECT(Форма[[#This Row],[Адрес]]),"")</f>
        <v>1</v>
      </c>
      <c r="K42" s="157">
        <v>1</v>
      </c>
      <c r="L42" s="157">
        <v>1</v>
      </c>
      <c r="M42" s="157">
        <v>1</v>
      </c>
      <c r="N42" s="157"/>
      <c r="O42" s="170" t="s">
        <v>3294</v>
      </c>
      <c r="P42" s="161"/>
      <c r="Q42" s="161" t="s">
        <v>3344</v>
      </c>
      <c r="R42" s="419" t="s">
        <v>3310</v>
      </c>
      <c r="S42" s="425" t="b">
        <v>0</v>
      </c>
      <c r="T42" s="425" t="b">
        <v>1</v>
      </c>
      <c r="U42" s="448"/>
      <c r="X42">
        <f ca="1">INDIRECT(G42)</f>
        <v>1</v>
      </c>
      <c r="Z42" t="s">
        <v>3567</v>
      </c>
      <c r="AE42" s="623" t="s">
        <v>3614</v>
      </c>
    </row>
    <row r="43" spans="1:33">
      <c r="A43" s="156" t="s">
        <v>2135</v>
      </c>
      <c r="B43" s="157"/>
      <c r="C43" s="157"/>
      <c r="D43" s="157"/>
      <c r="E43" s="157"/>
      <c r="F43" s="164"/>
      <c r="G43" s="157" t="str">
        <f ca="1">IFERROR(RIGHT(getReferToNamedRangeByName(Форма[[#This Row],[Имя]]),LEN(getReferToNamedRangeByName(Форма[[#This Row],[Имя]]))-1),"")</f>
        <v>РГК!$H$1</v>
      </c>
      <c r="H43" s="157" t="str">
        <f ca="1">VLOOKUP($J$2,INDIRECT("Шаблон"),MATCH("Имя",INDIRECT("Шаблон[#Заголовки]"),0),FALSE)&amp;Форма[[#This Row],[Столбец1]]</f>
        <v>gCKR</v>
      </c>
      <c r="I43" s="157" t="s">
        <v>3176</v>
      </c>
      <c r="J43" t="str">
        <f ca="1">IFERROR(INDIRECT(Форма[[#This Row],[Адрес]]),"")</f>
        <v>Віл</v>
      </c>
      <c r="K43" s="157">
        <v>1</v>
      </c>
      <c r="L43" s="157">
        <v>1</v>
      </c>
      <c r="M43" s="157">
        <v>1</v>
      </c>
      <c r="N43" s="157"/>
      <c r="O43" s="170" t="s">
        <v>3295</v>
      </c>
      <c r="P43" s="157"/>
      <c r="Q43" s="161" t="s">
        <v>3382</v>
      </c>
      <c r="R43" s="419" t="s">
        <v>3310</v>
      </c>
      <c r="S43" s="425" t="b">
        <v>0</v>
      </c>
      <c r="T43" s="425" t="b">
        <v>1</v>
      </c>
      <c r="U43" s="448"/>
      <c r="X43" t="str">
        <f ca="1">INDIRECT(G43)</f>
        <v>Віл</v>
      </c>
      <c r="AE43" s="623"/>
    </row>
    <row r="44" spans="1:33">
      <c r="A44" s="156" t="s">
        <v>2136</v>
      </c>
      <c r="B44" s="157" t="s">
        <v>3724</v>
      </c>
      <c r="C44" s="157"/>
      <c r="D44" s="157"/>
      <c r="E44" s="157"/>
      <c r="F44" s="164"/>
      <c r="G44" s="157" t="str">
        <f ca="1">IFERROR(RIGHT(getReferToNamedRangeByName(Форма[[#This Row],[Имя]]),LEN(getReferToNamedRangeByName(Форма[[#This Row],[Имя]]))-1),"")</f>
        <v>РГК!$I$1</v>
      </c>
      <c r="H44" s="157" t="str">
        <f ca="1">VLOOKUP($J$2,INDIRECT("Шаблон"),MATCH("Имя",INDIRECT("Шаблон[#Заголовки]"),0),FALSE)&amp;Форма[[#This Row],[Столбец1]]</f>
        <v>gPND</v>
      </c>
      <c r="I44" s="157" t="s">
        <v>2261</v>
      </c>
      <c r="J44">
        <f ca="1">IFERROR(INDIRECT(Форма[[#This Row],[Адрес]]),"")</f>
        <v>3</v>
      </c>
      <c r="K44" s="157">
        <v>1</v>
      </c>
      <c r="L44" s="157">
        <v>1</v>
      </c>
      <c r="M44" s="157">
        <v>1</v>
      </c>
      <c r="N44" s="157"/>
      <c r="O44" s="170" t="s">
        <v>3294</v>
      </c>
      <c r="P44" s="161" t="s">
        <v>3380</v>
      </c>
      <c r="Q44" s="161" t="s">
        <v>3380</v>
      </c>
      <c r="R44" s="419" t="s">
        <v>3310</v>
      </c>
      <c r="S44" s="425" t="b">
        <v>0</v>
      </c>
      <c r="T44" s="425" t="b">
        <v>1</v>
      </c>
      <c r="U44" s="611" t="s">
        <v>2136</v>
      </c>
      <c r="X44">
        <f ca="1">INDIRECT(G44)</f>
        <v>3</v>
      </c>
      <c r="AA44" t="s">
        <v>3559</v>
      </c>
      <c r="AE44" s="623" t="s">
        <v>3615</v>
      </c>
    </row>
    <row r="45" spans="1:33">
      <c r="A45" s="156" t="s">
        <v>2137</v>
      </c>
      <c r="B45" s="157" t="s">
        <v>3343</v>
      </c>
      <c r="C45" s="157" t="s">
        <v>3155</v>
      </c>
      <c r="D45" s="157"/>
      <c r="E45" s="157"/>
      <c r="F45" s="164"/>
      <c r="G45" s="157" t="str">
        <f ca="1">IFERROR(RIGHT(getReferToNamedRangeByName(Форма[[#This Row],[Имя]]),LEN(getReferToNamedRangeByName(Форма[[#This Row],[Имя]]))-1),"")</f>
        <v>РГК!$J$1</v>
      </c>
      <c r="H45" s="157" t="str">
        <f ca="1">VLOOKUP($J$2,INDIRECT("Шаблон"),MATCH("Имя",INDIRECT("Шаблон[#Заголовки]"),0),FALSE)&amp;Форма[[#This Row],[Столбец1]]</f>
        <v>gMLK</v>
      </c>
      <c r="I45" s="157" t="s">
        <v>3177</v>
      </c>
      <c r="J45">
        <f ca="1">IFERROR(INDIRECT(Форма[[#This Row],[Адрес]]),"")</f>
        <v>12</v>
      </c>
      <c r="K45" s="157">
        <v>1</v>
      </c>
      <c r="L45" s="157">
        <v>1</v>
      </c>
      <c r="M45" s="157">
        <v>1</v>
      </c>
      <c r="N45" s="157"/>
      <c r="O45" s="170" t="s">
        <v>3294</v>
      </c>
      <c r="P45" s="161"/>
      <c r="Q45" s="161" t="s">
        <v>3342</v>
      </c>
      <c r="R45" s="419" t="s">
        <v>3310</v>
      </c>
      <c r="S45" s="425" t="b">
        <v>0</v>
      </c>
      <c r="T45" s="425" t="b">
        <v>1</v>
      </c>
      <c r="U45" s="610"/>
      <c r="X45">
        <f ca="1">INDIRECT(G45)</f>
        <v>12</v>
      </c>
      <c r="AA45" t="s">
        <v>3578</v>
      </c>
      <c r="AE45" s="623" t="s">
        <v>3616</v>
      </c>
    </row>
    <row r="46" spans="1:33" ht="15.75">
      <c r="A46" s="156" t="s">
        <v>3360</v>
      </c>
      <c r="B46" s="157"/>
      <c r="C46" s="157"/>
      <c r="D46" s="157"/>
      <c r="E46" s="157"/>
      <c r="F46" s="164"/>
      <c r="G46" s="157" t="str">
        <f ca="1">IFERROR(RIGHT(getReferToNamedRangeByName(Форма[[#This Row],[Имя]]),LEN(getReferToNamedRangeByName(Форма[[#This Row],[Имя]]))-1),"")</f>
        <v>РГК!$O$1</v>
      </c>
      <c r="H46" s="157" t="str">
        <f ca="1">VLOOKUP($J$2,INDIRECT("Шаблон"),MATCH("Имя",INDIRECT("Шаблон[#Заголовки]"),0),FALSE)&amp;Форма[[#This Row],[Столбец1]]</f>
        <v>gTender</v>
      </c>
      <c r="I46" s="171" t="s">
        <v>3157</v>
      </c>
      <c r="J46" t="str">
        <f ca="1">IFERROR(INDIRECT(Форма[[#This Row],[Адрес]]),"")</f>
        <v>ДПО-18</v>
      </c>
      <c r="K46" s="157">
        <v>1</v>
      </c>
      <c r="L46" s="157">
        <v>1</v>
      </c>
      <c r="M46" s="157">
        <v>1</v>
      </c>
      <c r="N46" s="171"/>
      <c r="O46" s="170" t="s">
        <v>3294</v>
      </c>
      <c r="P46" s="171"/>
      <c r="Q46" s="446" t="s">
        <v>3383</v>
      </c>
      <c r="R46" s="419" t="s">
        <v>3310</v>
      </c>
      <c r="S46" s="425" t="b">
        <v>0</v>
      </c>
      <c r="T46" s="425" t="b">
        <v>1</v>
      </c>
      <c r="U46" t="s">
        <v>3578</v>
      </c>
      <c r="X46" t="str">
        <f ca="1">INDIRECT(G46)</f>
        <v>ДПО-18</v>
      </c>
      <c r="Z46" t="s">
        <v>3571</v>
      </c>
      <c r="AA46" t="s">
        <v>3570</v>
      </c>
      <c r="AE46" s="625" t="s">
        <v>3617</v>
      </c>
      <c r="AG46" t="s">
        <v>3307</v>
      </c>
    </row>
    <row r="47" spans="1:33">
      <c r="A47" s="451" t="s">
        <v>3356</v>
      </c>
      <c r="B47" s="171" t="s">
        <v>3340</v>
      </c>
      <c r="C47" s="171" t="s">
        <v>3341</v>
      </c>
      <c r="D47" s="171"/>
      <c r="E47" s="171"/>
      <c r="F47" s="416"/>
      <c r="G47" s="157" t="str">
        <f ca="1">IFERROR(RIGHT(getReferToNamedRangeByName(Форма[[#This Row],[Имя]]),LEN(getReferToNamedRangeByName(Форма[[#This Row],[Имя]]))-1),"")</f>
        <v>РГК!$U$10</v>
      </c>
      <c r="H47" s="157" t="str">
        <f ca="1">VLOOKUP($J$2,INDIRECT("Шаблон"),MATCH("Имя",INDIRECT("Шаблон[#Заголовки]"),0),FALSE)&amp;Форма[[#This Row],[Столбец1]]</f>
        <v>gK_Skladanny</v>
      </c>
      <c r="I47" s="171" t="s">
        <v>3339</v>
      </c>
      <c r="J47">
        <f ca="1">IFERROR(INDIRECT(Форма[[#This Row],[Адрес]]),"")</f>
        <v>0</v>
      </c>
      <c r="K47" s="171"/>
      <c r="L47" s="171"/>
      <c r="M47" s="171">
        <v>1</v>
      </c>
      <c r="N47" s="171"/>
      <c r="O47" s="427"/>
      <c r="P47" s="171" t="s">
        <v>3338</v>
      </c>
      <c r="Q47" s="444" t="s">
        <v>3338</v>
      </c>
      <c r="R47" s="428"/>
      <c r="S47" s="417"/>
      <c r="T47" s="429"/>
      <c r="U47" t="s">
        <v>3570</v>
      </c>
      <c r="V47" s="623" t="s">
        <v>3624</v>
      </c>
      <c r="W47" s="632"/>
      <c r="Z47" t="s">
        <v>3572</v>
      </c>
      <c r="AA47" t="s">
        <v>3562</v>
      </c>
      <c r="AD47" s="623" t="s">
        <v>3624</v>
      </c>
      <c r="AG47" t="s">
        <v>3308</v>
      </c>
    </row>
    <row r="48" spans="1:33">
      <c r="A48" s="426" t="s">
        <v>3359</v>
      </c>
      <c r="B48" s="171"/>
      <c r="C48" s="171"/>
      <c r="D48" s="171"/>
      <c r="E48" s="171"/>
      <c r="F48" s="416"/>
      <c r="G48" s="157" t="str">
        <f ca="1">IFERROR(RIGHT(getReferToNamedRangeByName(Форма[[#This Row],[Имя]]),LEN(getReferToNamedRangeByName(Форма[[#This Row],[Имя]]))-1),"")</f>
        <v>РГК!$P$9</v>
      </c>
      <c r="H48" s="157" t="str">
        <f ca="1">VLOOKUP($J$2,INDIRECT("Шаблон"),MATCH("Имя",INDIRECT("Шаблон[#Заголовки]"),0),FALSE)&amp;Форма[[#This Row],[Столбец1]]</f>
        <v>gDataS</v>
      </c>
      <c r="I48" s="171" t="s">
        <v>3586</v>
      </c>
      <c r="J48" s="764">
        <f ca="1">IFERROR(INDIRECT(Форма[[#This Row],[Адрес]]),"")</f>
        <v>43102</v>
      </c>
      <c r="K48" s="157">
        <v>1</v>
      </c>
      <c r="L48" s="157">
        <v>1</v>
      </c>
      <c r="M48" s="157">
        <v>1</v>
      </c>
      <c r="N48" s="171"/>
      <c r="O48" s="427"/>
      <c r="P48" s="171"/>
      <c r="Q48" s="444" t="s">
        <v>3361</v>
      </c>
      <c r="R48" s="428"/>
      <c r="S48" s="417"/>
      <c r="T48" s="429"/>
      <c r="U48" t="s">
        <v>3562</v>
      </c>
      <c r="W48" t="s">
        <v>3768</v>
      </c>
      <c r="X48" s="281">
        <f ca="1">INDIRECT(G48)</f>
        <v>43102</v>
      </c>
      <c r="Z48" t="s">
        <v>3573</v>
      </c>
      <c r="AA48" t="s">
        <v>3579</v>
      </c>
      <c r="AE48" s="626" t="s">
        <v>3618</v>
      </c>
    </row>
    <row r="49" spans="1:31">
      <c r="A49" s="426" t="s">
        <v>3385</v>
      </c>
      <c r="B49" s="171"/>
      <c r="C49" s="171"/>
      <c r="D49" s="171"/>
      <c r="E49" s="171"/>
      <c r="F49" s="416"/>
      <c r="G49" s="157" t="str">
        <f>IFERROR(RIGHT(getReferToNamedRangeByName(Форма[[#This Row],[Имя]]),LEN(getReferToNamedRangeByName(Форма[[#This Row],[Имя]]))-1),"")</f>
        <v/>
      </c>
      <c r="H49" s="171"/>
      <c r="I49" s="171"/>
      <c r="J49" t="str">
        <f ca="1">IFERROR(INDIRECT(Форма[[#This Row],[Адрес]]),"")</f>
        <v/>
      </c>
      <c r="K49" s="157">
        <v>1</v>
      </c>
      <c r="L49" s="157">
        <v>1</v>
      </c>
      <c r="M49" s="157">
        <v>1</v>
      </c>
      <c r="N49" s="171"/>
      <c r="O49" s="427"/>
      <c r="P49" s="171"/>
      <c r="Q49" s="444" t="s">
        <v>3153</v>
      </c>
      <c r="R49" s="428"/>
      <c r="S49" s="417"/>
      <c r="T49" s="429"/>
      <c r="U49" s="610"/>
      <c r="Z49" t="s">
        <v>3574</v>
      </c>
      <c r="AA49" t="s">
        <v>58</v>
      </c>
    </row>
    <row r="50" spans="1:31">
      <c r="A50" s="426" t="s">
        <v>3398</v>
      </c>
      <c r="B50" s="171"/>
      <c r="C50" s="171"/>
      <c r="D50" s="171"/>
      <c r="E50" s="171"/>
      <c r="F50" s="416"/>
      <c r="G50" s="157" t="str">
        <f ca="1">IFERROR(RIGHT(getReferToNamedRangeByName(Форма[[#This Row],[Имя]]),LEN(getReferToNamedRangeByName(Форма[[#This Row],[Имя]]))-1),"")</f>
        <v>РГК!$F$69</v>
      </c>
      <c r="H50" s="157" t="str">
        <f ca="1">VLOOKUP($J$2,INDIRECT("Шаблон"),MATCH("Имя",INDIRECT("Шаблон[#Заголовки]"),0),FALSE)&amp;Форма[[#This Row],[Столбец1]]</f>
        <v>gVitratuSort</v>
      </c>
      <c r="I50" s="171" t="s">
        <v>5324</v>
      </c>
      <c r="J50">
        <f ca="1">IFERROR(INDIRECT(Форма[[#This Row],[Адрес]]),"")</f>
        <v>83.466999999999999</v>
      </c>
      <c r="K50" s="171">
        <v>1</v>
      </c>
      <c r="L50" s="171">
        <v>1</v>
      </c>
      <c r="M50" s="171">
        <v>1</v>
      </c>
      <c r="N50" s="171"/>
      <c r="O50" s="427"/>
      <c r="P50" s="171"/>
      <c r="Q50" s="444" t="s">
        <v>3402</v>
      </c>
      <c r="R50" s="428"/>
      <c r="S50" s="417"/>
      <c r="T50" s="429"/>
      <c r="U50" t="s">
        <v>3556</v>
      </c>
      <c r="X50">
        <f ca="1">INDIRECT(G50)</f>
        <v>83.466999999999999</v>
      </c>
      <c r="AA50" t="s">
        <v>3556</v>
      </c>
      <c r="AE50" s="623" t="s">
        <v>3622</v>
      </c>
    </row>
    <row r="51" spans="1:31">
      <c r="A51" s="426" t="s">
        <v>3399</v>
      </c>
      <c r="B51" s="171"/>
      <c r="C51" s="171"/>
      <c r="D51" s="171"/>
      <c r="E51" s="171"/>
      <c r="F51" s="416"/>
      <c r="G51" s="157" t="str">
        <f ca="1">IFERROR(RIGHT(getReferToNamedRangeByName(Форма[[#This Row],[Имя]]),LEN(getReferToNamedRangeByName(Форма[[#This Row],[Имя]]))-1),"")</f>
        <v>РГК!$F$71</v>
      </c>
      <c r="H51" s="157" t="str">
        <f ca="1">VLOOKUP($J$2,INDIRECT("Шаблон"),MATCH("Имя",INDIRECT("Шаблон[#Заголовки]"),0),FALSE)&amp;Форма[[#This Row],[Столбец1]]</f>
        <v>gVitratuXlist</v>
      </c>
      <c r="I51" s="171" t="s">
        <v>5325</v>
      </c>
      <c r="J51">
        <f ca="1">IFERROR(INDIRECT(Форма[[#This Row],[Адрес]]),"")</f>
        <v>43.048000000000002</v>
      </c>
      <c r="K51" s="171">
        <v>1</v>
      </c>
      <c r="L51" s="171"/>
      <c r="M51" s="171"/>
      <c r="N51" s="171"/>
      <c r="O51" s="427"/>
      <c r="P51" s="171"/>
      <c r="Q51" s="444" t="s">
        <v>3403</v>
      </c>
      <c r="R51" s="428"/>
      <c r="S51" s="417"/>
      <c r="T51" s="429"/>
      <c r="U51" t="s">
        <v>3557</v>
      </c>
      <c r="Z51" t="s">
        <v>2173</v>
      </c>
      <c r="AA51" t="s">
        <v>3557</v>
      </c>
      <c r="AE51" s="623" t="s">
        <v>3623</v>
      </c>
    </row>
    <row r="52" spans="1:31">
      <c r="A52" s="426" t="s">
        <v>3407</v>
      </c>
      <c r="B52" s="171"/>
      <c r="C52" s="171"/>
      <c r="D52" s="171"/>
      <c r="E52" s="171"/>
      <c r="F52" s="416"/>
      <c r="G52" s="157" t="str">
        <f>IFERROR(RIGHT(getReferToNamedRangeByName(Форма[[#This Row],[Имя]]),LEN(getReferToNamedRangeByName(Форма[[#This Row],[Имя]]))-1),"")</f>
        <v/>
      </c>
      <c r="H52" s="171"/>
      <c r="I52" s="171"/>
      <c r="J52" t="str">
        <f ca="1">IFERROR(INDIRECT(Форма[[#This Row],[Адрес]]),"")</f>
        <v/>
      </c>
      <c r="K52" s="171">
        <v>1</v>
      </c>
      <c r="L52" s="171">
        <v>1</v>
      </c>
      <c r="M52" s="171">
        <v>1</v>
      </c>
      <c r="N52" s="171"/>
      <c r="O52" s="427"/>
      <c r="P52" s="171"/>
      <c r="Q52" s="416" t="s">
        <v>3406</v>
      </c>
      <c r="R52" s="428"/>
      <c r="S52" s="417"/>
      <c r="T52" s="429"/>
      <c r="AA52" t="s">
        <v>3575</v>
      </c>
      <c r="AE52" s="623"/>
    </row>
    <row r="53" spans="1:31">
      <c r="A53" s="426" t="s">
        <v>3408</v>
      </c>
      <c r="B53" s="171"/>
      <c r="C53" s="171"/>
      <c r="D53" s="171"/>
      <c r="E53" s="171"/>
      <c r="F53" s="416"/>
      <c r="G53" s="157" t="str">
        <f>IFERROR(RIGHT(getReferToNamedRangeByName(Форма[[#This Row],[Имя]]),LEN(getReferToNamedRangeByName(Форма[[#This Row],[Имя]]))-1),"")</f>
        <v/>
      </c>
      <c r="H53" s="171"/>
      <c r="I53" s="171"/>
      <c r="J53" t="str">
        <f ca="1">IFERROR(INDIRECT(Форма[[#This Row],[Адрес]]),"")</f>
        <v/>
      </c>
      <c r="K53" s="171">
        <v>1</v>
      </c>
      <c r="L53" s="171">
        <v>1</v>
      </c>
      <c r="M53" s="171">
        <v>1</v>
      </c>
      <c r="N53" s="171"/>
      <c r="O53" s="427"/>
      <c r="P53" s="171"/>
      <c r="Q53" s="416" t="s">
        <v>3415</v>
      </c>
      <c r="R53" s="428"/>
      <c r="S53" s="417"/>
      <c r="T53" s="429"/>
      <c r="X53" s="464" t="s">
        <v>3579</v>
      </c>
      <c r="Z53" t="s">
        <v>3576</v>
      </c>
      <c r="AE53" s="623"/>
    </row>
    <row r="54" spans="1:31">
      <c r="A54" s="426" t="s">
        <v>3417</v>
      </c>
      <c r="B54" s="171"/>
      <c r="C54" s="171"/>
      <c r="D54" s="171"/>
      <c r="E54" s="171"/>
      <c r="F54" s="416"/>
      <c r="G54" s="157" t="str">
        <f>IFERROR(RIGHT(getReferToNamedRangeByName(Форма[[#This Row],[Имя]]),LEN(getReferToNamedRangeByName(Форма[[#This Row],[Имя]]))-1),"")</f>
        <v/>
      </c>
      <c r="H54" s="171"/>
      <c r="I54" s="171"/>
      <c r="J54" t="str">
        <f ca="1">IFERROR(INDIRECT(Форма[[#This Row],[Адрес]]),"")</f>
        <v/>
      </c>
      <c r="K54" s="171">
        <v>1</v>
      </c>
      <c r="L54" s="171">
        <v>1</v>
      </c>
      <c r="M54" s="171">
        <v>1</v>
      </c>
      <c r="N54" s="171"/>
      <c r="O54" s="427"/>
      <c r="P54" s="171"/>
      <c r="Q54" s="416" t="s">
        <v>3416</v>
      </c>
      <c r="R54" s="428"/>
      <c r="S54" s="417"/>
      <c r="T54" s="429"/>
      <c r="U54" s="448"/>
      <c r="Z54" t="s">
        <v>3577</v>
      </c>
      <c r="AE54" s="623" t="s">
        <v>3621</v>
      </c>
    </row>
    <row r="55" spans="1:31">
      <c r="A55" s="426" t="s">
        <v>3350</v>
      </c>
      <c r="B55" s="171"/>
      <c r="C55" s="171"/>
      <c r="D55" s="171"/>
      <c r="E55" s="171"/>
      <c r="F55" s="416"/>
      <c r="G55" s="157" t="str">
        <f>IFERROR(RIGHT(getReferToNamedRangeByName(Форма[[#This Row],[Имя]]),LEN(getReferToNamedRangeByName(Форма[[#This Row],[Имя]]))-1),"")</f>
        <v/>
      </c>
      <c r="H55" s="171"/>
      <c r="I55" s="171"/>
      <c r="J55" t="str">
        <f ca="1">IFERROR(INDIRECT(Форма[[#This Row],[Адрес]]),"")</f>
        <v/>
      </c>
      <c r="K55" s="171"/>
      <c r="L55" s="171"/>
      <c r="M55" s="171"/>
      <c r="N55" s="171"/>
      <c r="O55" s="427"/>
      <c r="P55" s="171"/>
      <c r="Q55" s="416" t="s">
        <v>3412</v>
      </c>
      <c r="R55" s="428"/>
      <c r="S55" s="417"/>
      <c r="T55" s="429"/>
      <c r="AE55" s="623"/>
    </row>
    <row r="56" spans="1:31">
      <c r="A56" s="426" t="s">
        <v>3418</v>
      </c>
      <c r="B56" s="171"/>
      <c r="C56" s="171"/>
      <c r="D56" s="171"/>
      <c r="E56" s="171"/>
      <c r="F56" s="416"/>
      <c r="G56" s="157" t="str">
        <f>IFERROR(RIGHT(getReferToNamedRangeByName(Форма[[#This Row],[Имя]]),LEN(getReferToNamedRangeByName(Форма[[#This Row],[Имя]]))-1),"")</f>
        <v/>
      </c>
      <c r="H56" s="171"/>
      <c r="I56" s="171"/>
      <c r="J56" t="str">
        <f ca="1">IFERROR(INDIRECT(Форма[[#This Row],[Адрес]]),"")</f>
        <v/>
      </c>
      <c r="K56" s="171"/>
      <c r="L56" s="171"/>
      <c r="M56" s="171"/>
      <c r="N56" s="171"/>
      <c r="O56" s="427"/>
      <c r="P56" s="171"/>
      <c r="Q56" s="416" t="s">
        <v>3413</v>
      </c>
      <c r="R56" s="428"/>
      <c r="S56" s="417"/>
      <c r="T56" s="429"/>
      <c r="AE56" s="623"/>
    </row>
    <row r="57" spans="1:31">
      <c r="A57" s="426" t="s">
        <v>3414</v>
      </c>
      <c r="B57" s="171"/>
      <c r="C57" s="171"/>
      <c r="D57" s="171"/>
      <c r="E57" s="171"/>
      <c r="F57" s="416"/>
      <c r="G57" s="157" t="str">
        <f>IFERROR(RIGHT(getReferToNamedRangeByName(Форма[[#This Row],[Имя]]),LEN(getReferToNamedRangeByName(Форма[[#This Row],[Имя]]))-1),"")</f>
        <v/>
      </c>
      <c r="H57" s="171"/>
      <c r="I57" s="171"/>
      <c r="J57" t="str">
        <f ca="1">IFERROR(INDIRECT(Форма[[#This Row],[Адрес]]),"")</f>
        <v/>
      </c>
      <c r="K57" s="171"/>
      <c r="L57" s="171"/>
      <c r="M57" s="171"/>
      <c r="N57" s="171"/>
      <c r="O57" s="427"/>
      <c r="P57" s="171"/>
      <c r="Q57" s="416" t="s">
        <v>3419</v>
      </c>
      <c r="R57" s="428"/>
      <c r="S57" s="417"/>
      <c r="T57" s="429"/>
      <c r="Z57" t="s">
        <v>3580</v>
      </c>
      <c r="AE57" s="623"/>
    </row>
    <row r="58" spans="1:31">
      <c r="A58" s="156" t="s">
        <v>3778</v>
      </c>
      <c r="B58" s="157"/>
      <c r="C58" s="157"/>
      <c r="D58" s="157"/>
      <c r="E58" s="157"/>
      <c r="F58" s="634">
        <v>1</v>
      </c>
      <c r="G58" s="157" t="str">
        <f ca="1">IFERROR(RIGHT(getReferToNamedRangeByName(Форма[[#This Row],[Имя]]),LEN(getReferToNamedRangeByName(Форма[[#This Row],[Имя]]))-1),"")</f>
        <v>РГК!$P$6</v>
      </c>
      <c r="H58" s="157" t="str">
        <f ca="1">VLOOKUP($J$2,INDIRECT("Шаблон"),MATCH("Имя",INDIRECT("Шаблон[#Заголовки]"),0),FALSE)&amp;Форма[[#This Row],[Столбец1]]</f>
        <v>gbPribiranny</v>
      </c>
      <c r="I58" s="157" t="s">
        <v>3779</v>
      </c>
      <c r="J58" t="str">
        <f ca="1">IFERROR(INDIRECT(Форма[[#This Row],[Адрес]]),"")</f>
        <v>Так</v>
      </c>
      <c r="K58" s="157">
        <v>1</v>
      </c>
      <c r="L58" s="157"/>
      <c r="M58" s="157"/>
      <c r="N58" s="157"/>
      <c r="O58" s="427"/>
      <c r="P58" s="171"/>
      <c r="Q58" s="634" t="str">
        <f>Форма[[#This Row],[ControlType]]&amp;Форма[[#This Row],[Столбец1]]</f>
        <v>bPribiranny</v>
      </c>
      <c r="R58" s="419"/>
      <c r="T58" s="425"/>
      <c r="U58" s="156" t="s">
        <v>3778</v>
      </c>
    </row>
    <row r="59" spans="1:31">
      <c r="A59" s="156" t="s">
        <v>3774</v>
      </c>
      <c r="B59" s="157"/>
      <c r="C59" s="157"/>
      <c r="D59" s="157"/>
      <c r="E59" s="157"/>
      <c r="F59" s="634">
        <v>1</v>
      </c>
      <c r="G59" s="157" t="str">
        <f ca="1">IFERROR(RIGHT(getReferToNamedRangeByName(Форма[[#This Row],[Имя]]),LEN(getReferToNamedRangeByName(Форма[[#This Row],[Имя]]))-1),"")</f>
        <v>РГК!$P$7</v>
      </c>
      <c r="H59" s="157" t="str">
        <f ca="1">VLOOKUP($J$2,INDIRECT("Шаблон"),MATCH("Имя",INDIRECT("Шаблон[#Заголовки]"),0),FALSE)&amp;Форма[[#This Row],[Столбец1]]</f>
        <v>gbZrizuvanny</v>
      </c>
      <c r="I59" s="157" t="s">
        <v>3776</v>
      </c>
      <c r="J59" t="str">
        <f ca="1">IFERROR(INDIRECT(Форма[[#This Row],[Адрес]]),"")</f>
        <v>Так</v>
      </c>
      <c r="K59" s="157">
        <v>1</v>
      </c>
      <c r="L59" s="157"/>
      <c r="M59" s="157"/>
      <c r="N59" s="157"/>
      <c r="O59" s="427"/>
      <c r="P59" s="427"/>
      <c r="Q59" s="634" t="str">
        <f>Форма[[#This Row],[ControlType]]&amp;Форма[[#This Row],[Столбец1]]</f>
        <v>bZrizuvanny</v>
      </c>
      <c r="R59" s="419"/>
      <c r="T59" s="425"/>
      <c r="U59" s="156" t="s">
        <v>3774</v>
      </c>
    </row>
    <row r="60" spans="1:31">
      <c r="A60" s="156" t="s">
        <v>3775</v>
      </c>
      <c r="B60" s="171"/>
      <c r="C60" s="171"/>
      <c r="D60" s="171"/>
      <c r="E60" s="171"/>
      <c r="F60" s="416">
        <v>1</v>
      </c>
      <c r="G60" s="157" t="str">
        <f ca="1">IFERROR(RIGHT(getReferToNamedRangeByName(Форма[[#This Row],[Имя]]),LEN(getReferToNamedRangeByName(Форма[[#This Row],[Имя]]))-1),"")</f>
        <v>РГК!$P$8</v>
      </c>
      <c r="H60" s="157" t="str">
        <f ca="1">VLOOKUP($J$2,INDIRECT("Шаблон"),MATCH("Имя",INDIRECT("Шаблон[#Заголовки]"),0),FALSE)&amp;Форма[[#This Row],[Столбец1]]</f>
        <v>gbSpiluvanny</v>
      </c>
      <c r="I60" s="157" t="s">
        <v>3777</v>
      </c>
      <c r="J60" t="str">
        <f ca="1">IFERROR(INDIRECT(Форма[[#This Row],[Адрес]]),"")</f>
        <v>Так</v>
      </c>
      <c r="K60" s="171">
        <v>1</v>
      </c>
      <c r="L60" s="171"/>
      <c r="M60" s="171"/>
      <c r="N60" s="171"/>
      <c r="O60" s="427"/>
      <c r="P60" s="427"/>
      <c r="Q60" s="416" t="str">
        <f>Форма[[#This Row],[ControlType]]&amp;Форма[[#This Row],[Столбец1]]</f>
        <v>bSpiluvanny</v>
      </c>
      <c r="R60" s="428"/>
      <c r="S60" s="417"/>
      <c r="T60" s="429"/>
      <c r="U60" s="156" t="s">
        <v>3775</v>
      </c>
      <c r="V60" s="417"/>
      <c r="W60" s="417"/>
    </row>
    <row r="61" spans="1:31">
      <c r="A61" s="426" t="s">
        <v>58</v>
      </c>
      <c r="B61" s="171"/>
      <c r="C61" s="171"/>
      <c r="D61" s="171"/>
      <c r="E61" s="171"/>
      <c r="F61" s="416"/>
      <c r="G61" s="157" t="str">
        <f ca="1">IFERROR(RIGHT(getReferToNamedRangeByName(Форма[[#This Row],[Имя]]),LEN(getReferToNamedRangeByName(Форма[[#This Row],[Имя]]))-1),"")</f>
        <v>РГК!$B$6</v>
      </c>
      <c r="H61" s="157" t="str">
        <f ca="1">VLOOKUP($J$2,INDIRECT("Шаблон"),MATCH("Имя",INDIRECT("Шаблон[#Заголовки]"),0),FALSE)&amp;Форма[[#This Row],[Столбец1]]</f>
        <v>gNr</v>
      </c>
      <c r="I61" s="157" t="s">
        <v>3164</v>
      </c>
      <c r="J61" t="str">
        <f ca="1">IFERROR(INDIRECT(Форма[[#This Row],[Адрес]]),"")</f>
        <v>РГК</v>
      </c>
      <c r="K61" s="171"/>
      <c r="L61" s="171"/>
      <c r="M61" s="171"/>
      <c r="N61" s="171"/>
      <c r="O61" s="427"/>
      <c r="P61" s="171"/>
      <c r="Q61" s="416" t="str">
        <f>Форма[[#This Row],[ControlType]]&amp;Форма[[#This Row],[Столбец1]]</f>
        <v>Nr</v>
      </c>
      <c r="R61" s="428"/>
      <c r="S61" s="417"/>
      <c r="T61" s="429"/>
      <c r="U61" s="635" t="s">
        <v>58</v>
      </c>
      <c r="V61" s="417"/>
      <c r="W61" s="417"/>
    </row>
    <row r="62" spans="1:31">
      <c r="A62" s="426" t="s">
        <v>3432</v>
      </c>
      <c r="B62" s="171"/>
      <c r="C62" s="171"/>
      <c r="D62" s="171"/>
      <c r="E62" s="171"/>
      <c r="F62" s="416"/>
      <c r="G62" s="157" t="str">
        <f ca="1">IFERROR(RIGHT(getReferToNamedRangeByName(Форма[[#This Row],[Имя]]),LEN(getReferToNamedRangeByName(Форма[[#This Row],[Имя]]))-1),"")</f>
        <v>РГК!$P$11</v>
      </c>
      <c r="H62" s="157" t="str">
        <f ca="1">VLOOKUP($J$2,INDIRECT("Шаблон"),MATCH("Имя",INDIRECT("Шаблон[#Заголовки]"),0),FALSE)&amp;Форма[[#This Row],[Столбец1]]</f>
        <v>gVidpMayster</v>
      </c>
      <c r="I62" s="171" t="s">
        <v>5320</v>
      </c>
      <c r="J62" t="str">
        <f ca="1">IFERROR(INDIRECT(Форма[[#This Row],[Адрес]]),"")</f>
        <v>Поліщук П.В.</v>
      </c>
      <c r="K62" s="171">
        <v>1</v>
      </c>
      <c r="L62" s="171">
        <v>1</v>
      </c>
      <c r="M62" s="171">
        <v>1</v>
      </c>
      <c r="N62" s="171"/>
      <c r="O62" s="427"/>
      <c r="P62" s="171"/>
      <c r="Q62" s="416" t="str">
        <f>Форма[[#This Row],[ControlType]]&amp;Форма[[#This Row],[Столбец1]]</f>
        <v>VidpMayster</v>
      </c>
      <c r="R62" s="428"/>
      <c r="S62" s="417"/>
      <c r="T62" s="429"/>
      <c r="U62" t="s">
        <v>3564</v>
      </c>
      <c r="V62" s="417"/>
      <c r="W62" s="417"/>
    </row>
    <row r="63" spans="1:31">
      <c r="A63" s="426" t="s">
        <v>3905</v>
      </c>
      <c r="B63" s="171"/>
      <c r="C63" s="171"/>
      <c r="D63" s="171"/>
      <c r="E63" s="171"/>
      <c r="F63" s="416"/>
      <c r="G63" s="157" t="str">
        <f ca="1">IFERROR(RIGHT(getReferToNamedRangeByName(Форма[[#This Row],[Имя]]),LEN(getReferToNamedRangeByName(Форма[[#This Row],[Имя]]))-1),"")</f>
        <v>РГК!$U$1</v>
      </c>
      <c r="H63" s="157" t="str">
        <f ca="1">VLOOKUP($J$2,INDIRECT("Шаблон"),MATCH("Имя",INDIRECT("Шаблон[#Заголовки]"),0),FALSE)&amp;Форма[[#This Row],[Столбец1]]</f>
        <v>gDovginaVerh</v>
      </c>
      <c r="I63" s="171" t="s">
        <v>5442</v>
      </c>
      <c r="J63">
        <f ca="1">IFERROR(INDIRECT(Форма[[#This Row],[Адрес]]),"")</f>
        <v>0</v>
      </c>
      <c r="K63" s="171"/>
      <c r="L63" s="171"/>
      <c r="M63" s="171">
        <v>1</v>
      </c>
      <c r="N63" s="171"/>
      <c r="O63" s="427"/>
      <c r="P63" s="171"/>
      <c r="Q63" s="416" t="str">
        <f>Форма[[#This Row],[ControlType]]&amp;Форма[[#This Row],[Столбец1]]</f>
        <v>DovginaVerh</v>
      </c>
      <c r="R63" s="428"/>
      <c r="S63" s="417"/>
      <c r="T63" s="429"/>
      <c r="U63" s="426" t="s">
        <v>3905</v>
      </c>
      <c r="V63" s="417"/>
      <c r="W63" s="417"/>
    </row>
    <row r="64" spans="1:31">
      <c r="A64" s="156" t="s">
        <v>5315</v>
      </c>
      <c r="B64" s="157"/>
      <c r="C64" s="157"/>
      <c r="D64" s="157"/>
      <c r="E64" s="157"/>
      <c r="F64" s="634"/>
      <c r="G64" s="157" t="str">
        <f ca="1">IFERROR(RIGHT(getReferToNamedRangeByName(Форма[[#This Row],[Имя]]),LEN(getReferToNamedRangeByName(Форма[[#This Row],[Имя]]))-1),"")</f>
        <v>РГК!$F$60</v>
      </c>
      <c r="H64" s="157" t="str">
        <f ca="1">VLOOKUP($J$2,INDIRECT("Шаблон"),MATCH("Имя",INDIRECT("Шаблон[#Заголовки]"),0),FALSE)&amp;Форма[[#This Row],[Столбец1]]</f>
        <v>gT_51</v>
      </c>
      <c r="I64" s="157" t="s">
        <v>5321</v>
      </c>
      <c r="J64">
        <f ca="1">IFERROR(INDIRECT(Форма[[#This Row],[Адрес]]),"")</f>
        <v>0</v>
      </c>
      <c r="K64" s="157">
        <v>1</v>
      </c>
      <c r="L64" s="157"/>
      <c r="M64" s="157"/>
      <c r="N64" s="157"/>
      <c r="O64" s="427"/>
      <c r="P64" s="171"/>
      <c r="Q64" s="634" t="str">
        <f>Форма[[#This Row],[ControlType]]&amp;Форма[[#This Row],[Столбец1]]</f>
        <v>T_51</v>
      </c>
      <c r="R64" s="419"/>
      <c r="T64" s="425"/>
      <c r="U64" s="156" t="s">
        <v>5315</v>
      </c>
    </row>
    <row r="65" spans="1:23">
      <c r="A65" s="156" t="s">
        <v>5316</v>
      </c>
      <c r="B65" s="157"/>
      <c r="C65" s="157"/>
      <c r="D65" s="157"/>
      <c r="E65" s="157"/>
      <c r="F65" s="634"/>
      <c r="G65" s="157" t="str">
        <f ca="1">IFERROR(RIGHT(getReferToNamedRangeByName(Форма[[#This Row],[Имя]]),LEN(getReferToNamedRangeByName(Форма[[#This Row],[Имя]]))-1),"")</f>
        <v>РГК!$F$61</v>
      </c>
      <c r="H65" s="157" t="str">
        <f ca="1">VLOOKUP($J$2,INDIRECT("Шаблон"),MATCH("Имя",INDIRECT("Шаблон[#Заголовки]"),0),FALSE)&amp;Форма[[#This Row],[Столбец1]]</f>
        <v>gT_52</v>
      </c>
      <c r="I65" s="157" t="s">
        <v>5322</v>
      </c>
      <c r="J65">
        <f ca="1">IFERROR(INDIRECT(Форма[[#This Row],[Адрес]]),"")</f>
        <v>0</v>
      </c>
      <c r="K65" s="157">
        <v>1</v>
      </c>
      <c r="L65" s="157"/>
      <c r="M65" s="157"/>
      <c r="N65" s="157"/>
      <c r="O65" s="427"/>
      <c r="P65" s="427"/>
      <c r="Q65" s="634" t="str">
        <f>Форма[[#This Row],[ControlType]]&amp;Форма[[#This Row],[Столбец1]]</f>
        <v>T_52</v>
      </c>
      <c r="R65" s="419"/>
      <c r="T65" s="425"/>
      <c r="U65" s="156" t="s">
        <v>5316</v>
      </c>
    </row>
    <row r="66" spans="1:23">
      <c r="A66" s="156" t="s">
        <v>5317</v>
      </c>
      <c r="B66" s="157"/>
      <c r="C66" s="157"/>
      <c r="D66" s="157"/>
      <c r="E66" s="157"/>
      <c r="F66" s="634"/>
      <c r="G66" s="157" t="str">
        <f ca="1">IFERROR(RIGHT(getReferToNamedRangeByName(Форма[[#This Row],[Имя]]),LEN(getReferToNamedRangeByName(Форма[[#This Row],[Имя]]))-1),"")</f>
        <v>РГК!$F$62</v>
      </c>
      <c r="H66" s="157" t="str">
        <f ca="1">VLOOKUP($J$2,INDIRECT("Шаблон"),MATCH("Имя",INDIRECT("Шаблон[#Заголовки]"),0),FALSE)&amp;Форма[[#This Row],[Столбец1]]</f>
        <v>gT_53</v>
      </c>
      <c r="I66" s="157" t="s">
        <v>5323</v>
      </c>
      <c r="J66">
        <f ca="1">IFERROR(INDIRECT(Форма[[#This Row],[Адрес]]),"")</f>
        <v>8</v>
      </c>
      <c r="K66" s="157">
        <v>1</v>
      </c>
      <c r="L66" s="157"/>
      <c r="M66" s="157"/>
      <c r="N66" s="157"/>
      <c r="O66" s="427"/>
      <c r="P66" s="427"/>
      <c r="Q66" s="634" t="str">
        <f>Форма[[#This Row],[ControlType]]&amp;Форма[[#This Row],[Столбец1]]</f>
        <v>T_53</v>
      </c>
      <c r="R66" s="419"/>
      <c r="T66" s="425"/>
      <c r="U66" s="156" t="s">
        <v>5317</v>
      </c>
    </row>
    <row r="67" spans="1:23">
      <c r="A67" s="426" t="s">
        <v>5312</v>
      </c>
      <c r="B67" s="171"/>
      <c r="C67" s="171"/>
      <c r="D67" s="171"/>
      <c r="E67" s="171"/>
      <c r="F67" s="416" t="s">
        <v>4994</v>
      </c>
      <c r="G67" s="157" t="str">
        <f ca="1">IFERROR(RIGHT(getReferToNamedRangeByName(Форма[[#This Row],[Имя]]),LEN(getReferToNamedRangeByName(Форма[[#This Row],[Имя]]))-1),"")</f>
        <v>РГК!$B$12</v>
      </c>
      <c r="H67" s="157" t="str">
        <f ca="1">VLOOKUP($J$2,INDIRECT("Шаблон"),MATCH("Имя",INDIRECT("Шаблон[#Заголовки]"),0),FALSE)&amp;Форма[[#This Row],[Столбец1]]</f>
        <v>gPidrist</v>
      </c>
      <c r="I67" s="171" t="s">
        <v>5318</v>
      </c>
      <c r="J67" t="str">
        <f ca="1">IFERROR(INDIRECT(Форма[[#This Row],[Адрес]]),"")</f>
        <v>з густим</v>
      </c>
      <c r="K67" s="171">
        <v>1</v>
      </c>
      <c r="L67" s="171"/>
      <c r="M67" s="171"/>
      <c r="N67" s="171"/>
      <c r="O67" s="427"/>
      <c r="P67" s="427"/>
      <c r="Q67" s="416" t="str">
        <f>Форма[[#This Row],[ControlType]]&amp;Форма[[#This Row],[Столбец1]]</f>
        <v>Pidrist</v>
      </c>
      <c r="R67" s="428"/>
      <c r="S67" s="417"/>
      <c r="T67" s="429"/>
      <c r="U67" s="426" t="s">
        <v>5312</v>
      </c>
      <c r="V67" s="417"/>
      <c r="W67" s="417"/>
    </row>
    <row r="68" spans="1:23">
      <c r="A68" s="426" t="s">
        <v>5310</v>
      </c>
      <c r="B68" s="171"/>
      <c r="C68" s="171"/>
      <c r="D68" s="171"/>
      <c r="E68" s="171"/>
      <c r="F68" s="416" t="s">
        <v>4992</v>
      </c>
      <c r="G68" s="157" t="str">
        <f ca="1">IFERROR(RIGHT(getReferToNamedRangeByName(Форма[[#This Row],[Имя]]),LEN(getReferToNamedRangeByName(Форма[[#This Row],[Имя]]))-1),"")</f>
        <v>РГК!$P$10</v>
      </c>
      <c r="H68" s="157" t="str">
        <f ca="1">VLOOKUP($J$2,INDIRECT("Шаблон"),MATCH("Имя",INDIRECT("Шаблон[#Заголовки]"),0),FALSE)&amp;Форма[[#This Row],[Столбец1]]</f>
        <v>gbSpaluvanny</v>
      </c>
      <c r="I68" s="171" t="s">
        <v>5319</v>
      </c>
      <c r="J68" t="str">
        <f ca="1">IFERROR(INDIRECT(Форма[[#This Row],[Адрес]]),"")</f>
        <v>Без спалювання</v>
      </c>
      <c r="K68" s="171"/>
      <c r="L68" s="171"/>
      <c r="M68" s="171"/>
      <c r="N68" s="171"/>
      <c r="O68" s="427"/>
      <c r="P68" s="171"/>
      <c r="Q68" s="416" t="str">
        <f>Форма[[#This Row],[ControlType]]&amp;Форма[[#This Row],[Столбец1]]</f>
        <v>bSpaluvanny</v>
      </c>
      <c r="R68" s="428"/>
      <c r="S68" s="417"/>
      <c r="T68" s="429"/>
      <c r="U68" s="426" t="s">
        <v>5310</v>
      </c>
      <c r="V68" s="417"/>
      <c r="W68" s="417"/>
    </row>
  </sheetData>
  <dataValidations count="12">
    <dataValidation type="list" allowBlank="1" showInputMessage="1" showErrorMessage="1" sqref="A6">
      <formula1>ЛісВа</formula1>
    </dataValidation>
    <dataValidation type="list" allowBlank="1" showInputMessage="1" showErrorMessage="1" sqref="A20">
      <formula1>Зона</formula1>
    </dataValidation>
    <dataValidation type="list" allowBlank="1" showInputMessage="1" showErrorMessage="1" sqref="F2 J2">
      <formula1>INDIRECT("Шаблон[Наименование]")</formula1>
    </dataValidation>
    <dataValidation type="list" allowBlank="1" showInputMessage="1" showErrorMessage="1" sqref="F25">
      <formula1>INDIRECT("РозрядВысот[РозрядВысот]")</formula1>
    </dataValidation>
    <dataValidation type="list" allowBlank="1" showInputMessage="1" showErrorMessage="1" sqref="F23">
      <formula1>INDIRECT("тЧернобыльскийКоэф[ЧернобыльскаЗона]")</formula1>
    </dataValidation>
    <dataValidation type="list" allowBlank="1" showInputMessage="1" showErrorMessage="1" sqref="F16">
      <formula1>INDIRECT("ЗахаращеністьЛісосіки[ЗахаращеністьЛісосіки]")</formula1>
    </dataValidation>
    <dataValidation type="list" allowBlank="1" showInputMessage="1" showErrorMessage="1" sqref="F11">
      <formula1>INDIRECT("Умови_Роботи[Умови_Роботи]")</formula1>
    </dataValidation>
    <dataValidation type="list" allowBlank="1" showInputMessage="1" showErrorMessage="1" sqref="F24">
      <formula1>INDIRECT("тКоэфициентСхилу[КоэфициентСхилу]")</formula1>
    </dataValidation>
    <dataValidation type="list" allowBlank="1" showInputMessage="1" showErrorMessage="1" sqref="F12">
      <formula1>INDIRECT("Тарифи[№]")</formula1>
    </dataValidation>
    <dataValidation type="list" allowBlank="1" showInputMessage="1" showErrorMessage="1" sqref="O2:O68">
      <formula1>$AG$13:$AG$15</formula1>
    </dataValidation>
    <dataValidation type="list" allowBlank="1" showInputMessage="1" showErrorMessage="1" sqref="F67 K67 I67">
      <formula1>Підріст</formula1>
    </dataValidation>
    <dataValidation type="list" allowBlank="1" showInputMessage="1" showErrorMessage="1" sqref="F68">
      <formula1>Вирубування</formula1>
    </dataValidation>
  </dataValidations>
  <pageMargins left="0.7" right="0.7" top="0.75" bottom="0.75" header="0.3" footer="0.3"/>
  <pageSetup paperSize="9" orientation="portrait" horizontalDpi="0" verticalDpi="0" r:id="rId1"/>
  <legacyDrawing r:id="rId2"/>
  <tableParts count="1">
    <tablePart r:id="rId3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9"/>
  <dimension ref="A1:P35"/>
  <sheetViews>
    <sheetView topLeftCell="E1" workbookViewId="0">
      <selection activeCell="P9" sqref="P9"/>
    </sheetView>
  </sheetViews>
  <sheetFormatPr defaultRowHeight="15"/>
  <cols>
    <col min="1" max="1" width="12.140625" customWidth="1"/>
    <col min="2" max="2" width="14.5703125" customWidth="1"/>
    <col min="3" max="3" width="23.7109375" customWidth="1"/>
    <col min="4" max="4" width="24.42578125" customWidth="1"/>
    <col min="8" max="8" width="2.85546875" customWidth="1"/>
    <col min="9" max="9" width="16" customWidth="1"/>
    <col min="10" max="10" width="10.85546875" customWidth="1"/>
    <col min="12" max="12" width="10.28515625" bestFit="1" customWidth="1"/>
    <col min="15" max="15" width="77.7109375" customWidth="1"/>
  </cols>
  <sheetData>
    <row r="1" spans="1:16">
      <c r="A1" t="s">
        <v>2170</v>
      </c>
      <c r="B1" t="s">
        <v>5068</v>
      </c>
      <c r="C1" t="s">
        <v>5069</v>
      </c>
      <c r="D1" t="s">
        <v>5070</v>
      </c>
    </row>
    <row r="2" spans="1:16">
      <c r="A2" t="s">
        <v>104</v>
      </c>
      <c r="B2" t="str">
        <f>g</f>
        <v>g</v>
      </c>
      <c r="C2" t="str">
        <f>A2&amp;"_кошторис"</f>
        <v>РГК_кошторис</v>
      </c>
      <c r="D2" t="str">
        <f>B2&amp;"_"&amp;k</f>
        <v>g_k</v>
      </c>
    </row>
    <row r="3" spans="1:16">
      <c r="A3" t="s">
        <v>105</v>
      </c>
      <c r="B3" t="str">
        <f>d</f>
        <v>d</v>
      </c>
      <c r="C3" t="str">
        <f>A3&amp;"_кошторис"</f>
        <v>РД_кошторис</v>
      </c>
      <c r="D3" t="str">
        <f>B3&amp;"_"&amp;k</f>
        <v>d_k</v>
      </c>
    </row>
    <row r="4" spans="1:16">
      <c r="A4" t="s">
        <v>3896</v>
      </c>
      <c r="B4" t="str">
        <f>m</f>
        <v>m</v>
      </c>
      <c r="C4" t="str">
        <f>A4&amp;"_кошторис"</f>
        <v>Молодняки_кошторис</v>
      </c>
      <c r="D4" t="str">
        <f>B4&amp;"_"&amp;k</f>
        <v>m_k</v>
      </c>
    </row>
    <row r="7" spans="1:16" ht="15.75" thickBot="1">
      <c r="L7" t="s">
        <v>2175</v>
      </c>
      <c r="M7" t="s">
        <v>2172</v>
      </c>
      <c r="N7" t="s">
        <v>2174</v>
      </c>
      <c r="O7" t="s">
        <v>3186</v>
      </c>
    </row>
    <row r="8" spans="1:16">
      <c r="A8" t="s">
        <v>5072</v>
      </c>
      <c r="G8" t="s">
        <v>3523</v>
      </c>
      <c r="H8" t="s">
        <v>2175</v>
      </c>
      <c r="I8" t="s">
        <v>5071</v>
      </c>
      <c r="J8" s="877">
        <v>1</v>
      </c>
      <c r="K8" s="877">
        <v>1</v>
      </c>
      <c r="L8" t="str">
        <f t="shared" ref="L8:L19" si="0">m&amp;T_&amp;J8&amp;K8</f>
        <v>mT_11</v>
      </c>
      <c r="M8" t="str">
        <f t="shared" ref="M8:M19" si="1">g&amp;T_&amp;J8&amp;K8</f>
        <v>gT_11</v>
      </c>
      <c r="N8" t="str">
        <f t="shared" ref="N8:N19" si="2">g&amp;T_&amp;J8&amp;K8</f>
        <v>gT_11</v>
      </c>
      <c r="O8" s="785" t="s">
        <v>5011</v>
      </c>
      <c r="P8" s="134" t="s">
        <v>95</v>
      </c>
    </row>
    <row r="9" spans="1:16">
      <c r="A9" t="s">
        <v>5073</v>
      </c>
      <c r="B9" t="s">
        <v>5077</v>
      </c>
      <c r="G9" s="39" t="s">
        <v>91</v>
      </c>
      <c r="H9" t="s">
        <v>2175</v>
      </c>
      <c r="I9" t="s">
        <v>5071</v>
      </c>
      <c r="J9" s="877">
        <v>1</v>
      </c>
      <c r="K9" s="877">
        <v>2</v>
      </c>
      <c r="L9" t="str">
        <f t="shared" si="0"/>
        <v>mT_12</v>
      </c>
      <c r="M9" t="str">
        <f t="shared" si="1"/>
        <v>gT_12</v>
      </c>
      <c r="N9" t="str">
        <f t="shared" si="2"/>
        <v>gT_12</v>
      </c>
      <c r="O9" s="785" t="s">
        <v>5011</v>
      </c>
      <c r="P9" s="39" t="s">
        <v>91</v>
      </c>
    </row>
    <row r="10" spans="1:16" ht="15.75" thickBot="1">
      <c r="A10" t="s">
        <v>5074</v>
      </c>
      <c r="B10" t="s">
        <v>5079</v>
      </c>
      <c r="G10" s="41" t="s">
        <v>40</v>
      </c>
      <c r="H10" t="s">
        <v>2175</v>
      </c>
      <c r="I10" t="s">
        <v>5071</v>
      </c>
      <c r="J10" s="877">
        <v>1</v>
      </c>
      <c r="K10" s="877">
        <v>3</v>
      </c>
      <c r="L10" t="str">
        <f t="shared" si="0"/>
        <v>mT_13</v>
      </c>
      <c r="M10" t="str">
        <f t="shared" si="1"/>
        <v>gT_13</v>
      </c>
      <c r="N10" t="str">
        <f t="shared" si="2"/>
        <v>gT_13</v>
      </c>
      <c r="O10" s="785" t="s">
        <v>5011</v>
      </c>
      <c r="P10" s="41" t="s">
        <v>40</v>
      </c>
    </row>
    <row r="11" spans="1:16">
      <c r="A11" t="s">
        <v>5075</v>
      </c>
      <c r="B11" t="s">
        <v>5080</v>
      </c>
      <c r="G11" s="102" t="s">
        <v>74</v>
      </c>
      <c r="H11" t="s">
        <v>2172</v>
      </c>
      <c r="I11" t="s">
        <v>5071</v>
      </c>
      <c r="J11" s="877">
        <v>2</v>
      </c>
      <c r="K11" s="877">
        <v>1</v>
      </c>
      <c r="L11" t="str">
        <f t="shared" si="0"/>
        <v>mT_21</v>
      </c>
      <c r="M11" t="str">
        <f t="shared" si="1"/>
        <v>gT_21</v>
      </c>
      <c r="N11" t="str">
        <f t="shared" si="2"/>
        <v>gT_21</v>
      </c>
      <c r="O11" s="785" t="s">
        <v>5012</v>
      </c>
      <c r="P11" s="134" t="s">
        <v>95</v>
      </c>
    </row>
    <row r="12" spans="1:16">
      <c r="A12" t="s">
        <v>5076</v>
      </c>
      <c r="B12" t="s">
        <v>5078</v>
      </c>
      <c r="G12" s="39" t="s">
        <v>71</v>
      </c>
      <c r="H12" t="s">
        <v>2172</v>
      </c>
      <c r="I12" t="s">
        <v>5071</v>
      </c>
      <c r="J12" s="877">
        <v>2</v>
      </c>
      <c r="K12" s="877">
        <v>2</v>
      </c>
      <c r="L12" t="str">
        <f t="shared" si="0"/>
        <v>mT_22</v>
      </c>
      <c r="M12" t="str">
        <f t="shared" si="1"/>
        <v>gT_22</v>
      </c>
      <c r="N12" t="str">
        <f t="shared" si="2"/>
        <v>gT_22</v>
      </c>
      <c r="O12" s="785" t="s">
        <v>5012</v>
      </c>
      <c r="P12" s="39" t="s">
        <v>92</v>
      </c>
    </row>
    <row r="13" spans="1:16" ht="15.75" thickBot="1">
      <c r="G13" s="41" t="s">
        <v>72</v>
      </c>
      <c r="H13" t="s">
        <v>2172</v>
      </c>
      <c r="I13" t="s">
        <v>5071</v>
      </c>
      <c r="J13" s="877">
        <v>2</v>
      </c>
      <c r="K13" s="877">
        <v>3</v>
      </c>
      <c r="L13" t="str">
        <f t="shared" si="0"/>
        <v>mT_23</v>
      </c>
      <c r="M13" t="str">
        <f t="shared" si="1"/>
        <v>gT_23</v>
      </c>
      <c r="N13" t="str">
        <f t="shared" si="2"/>
        <v>gT_23</v>
      </c>
      <c r="O13" s="785" t="s">
        <v>5012</v>
      </c>
      <c r="P13" s="137" t="s">
        <v>40</v>
      </c>
    </row>
    <row r="14" spans="1:16">
      <c r="G14" s="102" t="s">
        <v>74</v>
      </c>
      <c r="H14" t="s">
        <v>2174</v>
      </c>
      <c r="I14" t="s">
        <v>5071</v>
      </c>
      <c r="J14" s="877">
        <v>3</v>
      </c>
      <c r="K14" s="877">
        <v>1</v>
      </c>
      <c r="L14" t="str">
        <f t="shared" si="0"/>
        <v>mT_31</v>
      </c>
      <c r="M14" t="str">
        <f t="shared" si="1"/>
        <v>gT_31</v>
      </c>
      <c r="N14" t="str">
        <f t="shared" si="2"/>
        <v>gT_31</v>
      </c>
      <c r="O14" s="55" t="s">
        <v>5013</v>
      </c>
      <c r="P14" s="134" t="s">
        <v>96</v>
      </c>
    </row>
    <row r="15" spans="1:16">
      <c r="G15" s="39" t="s">
        <v>71</v>
      </c>
      <c r="H15" t="s">
        <v>2174</v>
      </c>
      <c r="I15" t="s">
        <v>5071</v>
      </c>
      <c r="J15" s="877">
        <v>3</v>
      </c>
      <c r="K15" s="877">
        <v>2</v>
      </c>
      <c r="L15" t="str">
        <f t="shared" si="0"/>
        <v>mT_32</v>
      </c>
      <c r="M15" t="str">
        <f t="shared" si="1"/>
        <v>gT_32</v>
      </c>
      <c r="N15" t="str">
        <f t="shared" si="2"/>
        <v>gT_32</v>
      </c>
      <c r="O15" s="55" t="s">
        <v>5013</v>
      </c>
      <c r="P15" s="39" t="s">
        <v>93</v>
      </c>
    </row>
    <row r="16" spans="1:16" ht="15.75" thickBot="1">
      <c r="G16" s="41" t="s">
        <v>72</v>
      </c>
      <c r="H16" t="s">
        <v>2174</v>
      </c>
      <c r="I16" t="s">
        <v>5071</v>
      </c>
      <c r="J16" s="877">
        <v>3</v>
      </c>
      <c r="K16" s="877">
        <v>3</v>
      </c>
      <c r="L16" t="str">
        <f t="shared" si="0"/>
        <v>mT_33</v>
      </c>
      <c r="M16" t="str">
        <f t="shared" si="1"/>
        <v>gT_33</v>
      </c>
      <c r="N16" t="str">
        <f t="shared" si="2"/>
        <v>gT_33</v>
      </c>
      <c r="O16" s="55" t="s">
        <v>5013</v>
      </c>
      <c r="P16" s="41" t="s">
        <v>40</v>
      </c>
    </row>
    <row r="17" spans="9:16">
      <c r="J17" s="877">
        <v>4</v>
      </c>
      <c r="K17" s="877">
        <v>1</v>
      </c>
      <c r="L17" t="str">
        <f t="shared" si="0"/>
        <v>mT_41</v>
      </c>
      <c r="M17" t="str">
        <f t="shared" si="1"/>
        <v>gT_41</v>
      </c>
      <c r="N17" t="str">
        <f t="shared" si="2"/>
        <v>gT_41</v>
      </c>
      <c r="O17" s="55" t="s">
        <v>5014</v>
      </c>
      <c r="P17" s="141" t="s">
        <v>96</v>
      </c>
    </row>
    <row r="18" spans="9:16">
      <c r="J18" s="877">
        <v>4</v>
      </c>
      <c r="K18" s="877">
        <v>2</v>
      </c>
      <c r="L18" t="str">
        <f t="shared" si="0"/>
        <v>mT_42</v>
      </c>
      <c r="M18" t="str">
        <f t="shared" si="1"/>
        <v>gT_42</v>
      </c>
      <c r="N18" t="str">
        <f t="shared" si="2"/>
        <v>gT_42</v>
      </c>
      <c r="O18" s="55" t="s">
        <v>5014</v>
      </c>
      <c r="P18" s="39" t="s">
        <v>94</v>
      </c>
    </row>
    <row r="19" spans="9:16">
      <c r="J19" s="877">
        <v>4</v>
      </c>
      <c r="K19" s="877">
        <v>3</v>
      </c>
      <c r="L19" t="str">
        <f t="shared" si="0"/>
        <v>mT_43</v>
      </c>
      <c r="M19" t="str">
        <f t="shared" si="1"/>
        <v>gT_43</v>
      </c>
      <c r="N19" t="str">
        <f t="shared" si="2"/>
        <v>gT_43</v>
      </c>
      <c r="O19" s="55" t="s">
        <v>5014</v>
      </c>
      <c r="P19" s="137" t="s">
        <v>40</v>
      </c>
    </row>
    <row r="21" spans="9:16">
      <c r="K21" t="str">
        <f>g</f>
        <v>g</v>
      </c>
    </row>
    <row r="22" spans="9:16">
      <c r="I22" t="s">
        <v>5101</v>
      </c>
      <c r="L22">
        <v>1</v>
      </c>
      <c r="M22">
        <v>2</v>
      </c>
      <c r="N22">
        <v>3</v>
      </c>
      <c r="O22">
        <v>4</v>
      </c>
    </row>
    <row r="23" spans="9:16">
      <c r="I23" t="str">
        <f>$K$21&amp;J23</f>
        <v>gДерКлBCD</v>
      </c>
      <c r="J23" t="s">
        <v>5097</v>
      </c>
      <c r="K23">
        <v>1</v>
      </c>
      <c r="L23" t="str">
        <f>$K$21&amp;T_&amp;$K23&amp;L$22</f>
        <v>gT_11</v>
      </c>
      <c r="M23" t="str">
        <f t="shared" ref="M23:N26" si="3">$K$21&amp;T_&amp;$K23&amp;M$22</f>
        <v>gT_12</v>
      </c>
      <c r="N23" t="str">
        <f t="shared" si="3"/>
        <v>gT_13</v>
      </c>
      <c r="O23" t="str">
        <f>"="&amp;CONCATENATE(L23,"+",M23,"+",N23)</f>
        <v>=gT_11+gT_12+gT_13</v>
      </c>
      <c r="P23" t="str">
        <f>"="&amp;CONCATENATE(L23,"+",M23,"+",N23)</f>
        <v>=gT_11+gT_12+gT_13</v>
      </c>
    </row>
    <row r="24" spans="9:16">
      <c r="I24" t="str">
        <f>$K$21&amp;J24</f>
        <v>gДерКлA</v>
      </c>
      <c r="J24" t="s">
        <v>5098</v>
      </c>
      <c r="K24">
        <v>2</v>
      </c>
      <c r="L24" t="str">
        <f>$K$21&amp;T_&amp;$K24&amp;L$22</f>
        <v>gT_21</v>
      </c>
      <c r="M24" t="str">
        <f t="shared" si="3"/>
        <v>gT_22</v>
      </c>
      <c r="N24" t="str">
        <f t="shared" si="3"/>
        <v>gT_23</v>
      </c>
      <c r="O24" t="str">
        <f>"="&amp;CONCATENATE(L24,"+",M24,"+",N24)</f>
        <v>=gT_21+gT_22+gT_23</v>
      </c>
      <c r="P24" t="str">
        <f>"="&amp;CONCATENATE(L24,"+",M24,"+",N24)</f>
        <v>=gT_21+gT_22+gT_23</v>
      </c>
    </row>
    <row r="25" spans="9:16">
      <c r="I25" t="str">
        <f>$K$21&amp;J25</f>
        <v>gДерПрПр</v>
      </c>
      <c r="J25" t="s">
        <v>5099</v>
      </c>
      <c r="K25">
        <v>3</v>
      </c>
      <c r="L25" t="str">
        <f>$K$21&amp;T_&amp;$K25&amp;L$22</f>
        <v>gT_31</v>
      </c>
      <c r="M25" t="str">
        <f t="shared" si="3"/>
        <v>gT_32</v>
      </c>
      <c r="N25" t="str">
        <f t="shared" si="3"/>
        <v>gT_33</v>
      </c>
      <c r="O25" t="str">
        <f>"="&amp;CONCATENATE(L25,"+",M25,"+",N25)</f>
        <v>=gT_31+gT_32+gT_33</v>
      </c>
      <c r="P25" t="str">
        <f>"="&amp;CONCATENATE(L25,"+",M25,"+",N25)</f>
        <v>=gT_31+gT_32+gT_33</v>
      </c>
    </row>
    <row r="26" spans="9:16">
      <c r="I26" t="str">
        <f>$K$21&amp;J26</f>
        <v>gДерПал</v>
      </c>
      <c r="J26" t="s">
        <v>5105</v>
      </c>
      <c r="K26">
        <v>4</v>
      </c>
      <c r="L26" t="str">
        <f>$K$21&amp;T_&amp;$K26&amp;L$22</f>
        <v>gT_41</v>
      </c>
      <c r="M26" t="str">
        <f t="shared" si="3"/>
        <v>gT_42</v>
      </c>
      <c r="N26" t="str">
        <f t="shared" si="3"/>
        <v>gT_43</v>
      </c>
      <c r="O26" t="str">
        <f>"="&amp;CONCATENATE(L26,"+",M26,"+",N26)</f>
        <v>=gT_41+gT_42+gT_43</v>
      </c>
      <c r="P26" t="str">
        <f>"="&amp;CONCATENATE(L26,"+",M26,"+",N26)</f>
        <v>=gT_41+gT_42+gT_43</v>
      </c>
    </row>
    <row r="27" spans="9:16">
      <c r="I27" t="s">
        <v>5102</v>
      </c>
      <c r="L27">
        <v>1</v>
      </c>
      <c r="M27">
        <v>2</v>
      </c>
      <c r="N27">
        <v>3</v>
      </c>
      <c r="O27">
        <v>4</v>
      </c>
    </row>
    <row r="28" spans="9:16">
      <c r="I28" t="str">
        <f>$K$21&amp;J28</f>
        <v>gДерГраб</v>
      </c>
      <c r="J28" t="s">
        <v>5100</v>
      </c>
      <c r="K28">
        <v>1</v>
      </c>
      <c r="L28" t="str">
        <f>$K$21&amp;T_&amp;K$28&amp;$L22</f>
        <v>gT_11</v>
      </c>
      <c r="M28" t="str">
        <f>$K$21&amp;T_&amp;M$22&amp;$K28</f>
        <v>gT_21</v>
      </c>
      <c r="N28" t="str">
        <f>$K$21&amp;T_&amp;N$22&amp;$K28</f>
        <v>gT_31</v>
      </c>
      <c r="O28" t="str">
        <f>$K$21&amp;T_&amp;O$22&amp;$K28</f>
        <v>gT_41</v>
      </c>
      <c r="P28" t="str">
        <f>"="&amp;CONCATENATE(L28,"+",M28,"+",N28,"+",O28)</f>
        <v>=gT_11+gT_21+gT_31+gT_41</v>
      </c>
    </row>
    <row r="29" spans="9:16">
      <c r="I29" t="str">
        <f>$K$21&amp;J29</f>
        <v>gДерМЛ</v>
      </c>
      <c r="J29" t="s">
        <v>5104</v>
      </c>
      <c r="K29">
        <v>2</v>
      </c>
      <c r="L29" t="str">
        <f>$K$21&amp;T_&amp;L$27&amp;$K$29</f>
        <v>gT_12</v>
      </c>
      <c r="M29" t="str">
        <f>$K$21&amp;T_&amp;M27&amp;$K$29</f>
        <v>gT_22</v>
      </c>
      <c r="N29" t="str">
        <f>$K$21&amp;T_&amp;N27&amp;$K$29</f>
        <v>gT_32</v>
      </c>
      <c r="O29" t="str">
        <f>$K$21&amp;T_&amp;O27&amp;$K$29</f>
        <v>gT_42</v>
      </c>
      <c r="P29" t="str">
        <f>"="&amp;CONCATENATE(L29,"+",M29,"+",N29,"+",O29)</f>
        <v>=gT_12+gT_22+gT_32+gT_42</v>
      </c>
    </row>
    <row r="30" spans="9:16">
      <c r="I30" t="str">
        <f>$K$21&amp;J30</f>
        <v>gДерТВ</v>
      </c>
      <c r="J30" t="s">
        <v>5103</v>
      </c>
      <c r="K30">
        <v>3</v>
      </c>
      <c r="L30" t="str">
        <f>$K$21&amp;T_&amp;L$27&amp;$K30</f>
        <v>gT_13</v>
      </c>
      <c r="M30" t="str">
        <f>$K$21&amp;T_&amp;M$27&amp;$K30</f>
        <v>gT_23</v>
      </c>
      <c r="N30" t="str">
        <f>$K$21&amp;T_&amp;N$27&amp;$K30</f>
        <v>gT_33</v>
      </c>
      <c r="O30" t="str">
        <f>$K$21&amp;T_&amp;O$27&amp;$K30</f>
        <v>gT_43</v>
      </c>
      <c r="P30" t="str">
        <f>"="&amp;CONCATENATE(L30,"+",M30,"+",N30,"+",O30)</f>
        <v>=gT_13+gT_23+gT_33+gT_43</v>
      </c>
    </row>
    <row r="33" spans="9:10">
      <c r="I33">
        <f>gДерМЛ</f>
        <v>2</v>
      </c>
      <c r="J33">
        <f>gT_11+gT_12+gT_13</f>
        <v>36</v>
      </c>
    </row>
    <row r="34" spans="9:10">
      <c r="I34">
        <f>gДерКлA</f>
        <v>0</v>
      </c>
    </row>
    <row r="35" spans="9:10">
      <c r="J35" t="e">
        <f>gT_21+gT_22+gT_23+gT_24</f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2"/>
  <dimension ref="A1:AA236"/>
  <sheetViews>
    <sheetView topLeftCell="A207" workbookViewId="0">
      <selection activeCell="A226" sqref="A226"/>
    </sheetView>
  </sheetViews>
  <sheetFormatPr defaultRowHeight="12.75"/>
  <cols>
    <col min="1" max="1" width="17.7109375" style="187" customWidth="1"/>
    <col min="2" max="2" width="13.85546875" style="187" customWidth="1"/>
    <col min="3" max="3" width="18.140625" style="187" customWidth="1"/>
    <col min="4" max="4" width="14.5703125" style="187" customWidth="1"/>
    <col min="5" max="5" width="17.28515625" style="187" customWidth="1"/>
    <col min="6" max="6" width="15.7109375" style="187" customWidth="1"/>
    <col min="7" max="7" width="12" style="187" customWidth="1"/>
    <col min="8" max="8" width="13.5703125" style="187" customWidth="1"/>
    <col min="9" max="9" width="23.140625" style="187" customWidth="1"/>
    <col min="10" max="10" width="13" style="187" customWidth="1"/>
    <col min="11" max="11" width="14.140625" style="187" bestFit="1" customWidth="1"/>
    <col min="12" max="13" width="13" style="187" customWidth="1"/>
    <col min="14" max="14" width="9.140625" style="187"/>
    <col min="15" max="15" width="38.140625" style="187" bestFit="1" customWidth="1"/>
    <col min="16" max="16" width="9.140625" style="187"/>
    <col min="17" max="17" width="10.140625" style="187" customWidth="1"/>
    <col min="18" max="18" width="9.140625" style="187"/>
    <col min="19" max="19" width="15.5703125" style="187" customWidth="1"/>
    <col min="20" max="20" width="9.140625" style="187"/>
    <col min="21" max="21" width="14" style="187" customWidth="1"/>
    <col min="22" max="16384" width="9.140625" style="187"/>
  </cols>
  <sheetData>
    <row r="1" spans="1:27">
      <c r="A1" s="200" t="s">
        <v>2233</v>
      </c>
      <c r="D1" s="200" t="s">
        <v>2279</v>
      </c>
    </row>
    <row r="2" spans="1:27">
      <c r="A2" s="211" t="s">
        <v>2173</v>
      </c>
      <c r="B2" s="212" t="s">
        <v>2280</v>
      </c>
      <c r="C2" s="212" t="s">
        <v>2281</v>
      </c>
      <c r="D2" s="212" t="s">
        <v>2282</v>
      </c>
      <c r="E2" s="212" t="s">
        <v>2283</v>
      </c>
      <c r="F2" s="212" t="s">
        <v>2284</v>
      </c>
      <c r="G2" s="212" t="s">
        <v>2285</v>
      </c>
      <c r="H2" s="212" t="s">
        <v>2286</v>
      </c>
      <c r="I2" s="212" t="s">
        <v>2287</v>
      </c>
      <c r="J2" s="212" t="s">
        <v>2288</v>
      </c>
      <c r="K2" s="212" t="s">
        <v>2289</v>
      </c>
      <c r="L2" s="212" t="s">
        <v>2290</v>
      </c>
      <c r="M2" s="212" t="s">
        <v>2291</v>
      </c>
    </row>
    <row r="3" spans="1:27" ht="13.5">
      <c r="A3" s="187" t="s">
        <v>2239</v>
      </c>
      <c r="B3" s="209"/>
      <c r="C3" s="205"/>
      <c r="D3" s="205"/>
      <c r="E3" s="205"/>
      <c r="F3" s="205"/>
      <c r="G3" s="205"/>
      <c r="H3" s="205"/>
      <c r="I3" s="205"/>
      <c r="J3" s="205"/>
      <c r="K3" s="205"/>
      <c r="L3" s="205"/>
      <c r="M3" s="205"/>
      <c r="O3" s="187" t="s">
        <v>2225</v>
      </c>
      <c r="P3" s="187" t="s">
        <v>2236</v>
      </c>
      <c r="S3" s="187" t="s">
        <v>2267</v>
      </c>
      <c r="X3" s="215">
        <v>1</v>
      </c>
      <c r="Y3" s="216" t="s">
        <v>2311</v>
      </c>
      <c r="Z3" s="217" t="s">
        <v>2311</v>
      </c>
      <c r="AA3" s="219"/>
    </row>
    <row r="4" spans="1:27" ht="13.5">
      <c r="A4" s="235" t="s">
        <v>2235</v>
      </c>
      <c r="B4" s="205">
        <v>200</v>
      </c>
      <c r="C4" s="205"/>
      <c r="D4" s="205"/>
      <c r="E4" s="205"/>
      <c r="F4" s="205">
        <v>300</v>
      </c>
      <c r="G4" s="205"/>
      <c r="H4" s="205"/>
      <c r="I4" s="205"/>
      <c r="J4" s="205">
        <v>1000</v>
      </c>
      <c r="K4" s="205"/>
      <c r="L4" s="205"/>
      <c r="M4" s="205"/>
      <c r="O4" s="187" t="s">
        <v>2239</v>
      </c>
      <c r="P4" s="210">
        <f>РГК!I7</f>
        <v>0.84</v>
      </c>
      <c r="S4" s="201" t="s">
        <v>2237</v>
      </c>
      <c r="W4" s="187" t="s">
        <v>2234</v>
      </c>
      <c r="X4" s="215">
        <v>2</v>
      </c>
      <c r="Y4" s="216" t="s">
        <v>2305</v>
      </c>
      <c r="Z4" s="217" t="s">
        <v>2305</v>
      </c>
      <c r="AA4" s="219"/>
    </row>
    <row r="5" spans="1:27" ht="13.5">
      <c r="A5" s="187" t="s">
        <v>6</v>
      </c>
      <c r="B5" s="205" t="s">
        <v>2237</v>
      </c>
      <c r="C5" s="205"/>
      <c r="D5" s="205" t="s">
        <v>2238</v>
      </c>
      <c r="E5" s="205"/>
      <c r="F5" s="205" t="s">
        <v>2237</v>
      </c>
      <c r="G5" s="205"/>
      <c r="H5" s="205" t="s">
        <v>2238</v>
      </c>
      <c r="I5" s="205"/>
      <c r="J5" s="205" t="s">
        <v>2237</v>
      </c>
      <c r="K5" s="205"/>
      <c r="L5" s="205" t="s">
        <v>2238</v>
      </c>
      <c r="M5" s="205"/>
      <c r="O5" s="187" t="s">
        <v>2235</v>
      </c>
      <c r="P5" s="233">
        <f>РГК!I6</f>
        <v>342</v>
      </c>
      <c r="S5" s="201" t="s">
        <v>2238</v>
      </c>
      <c r="W5" s="187" t="s">
        <v>2236</v>
      </c>
      <c r="X5" s="215">
        <v>3</v>
      </c>
      <c r="Y5" s="216" t="s">
        <v>2316</v>
      </c>
      <c r="Z5" s="217" t="s">
        <v>2316</v>
      </c>
      <c r="AA5" s="219" t="s">
        <v>2311</v>
      </c>
    </row>
    <row r="6" spans="1:27" ht="13.5">
      <c r="A6" s="187" t="s">
        <v>3101</v>
      </c>
      <c r="B6" s="187" t="s">
        <v>71</v>
      </c>
      <c r="C6" s="187" t="s">
        <v>72</v>
      </c>
      <c r="D6" s="187" t="s">
        <v>71</v>
      </c>
      <c r="E6" s="187" t="s">
        <v>72</v>
      </c>
      <c r="F6" s="187" t="s">
        <v>71</v>
      </c>
      <c r="G6" s="187" t="s">
        <v>72</v>
      </c>
      <c r="H6" s="187" t="s">
        <v>71</v>
      </c>
      <c r="I6" s="187" t="s">
        <v>72</v>
      </c>
      <c r="J6" s="187" t="s">
        <v>71</v>
      </c>
      <c r="K6" s="187" t="s">
        <v>72</v>
      </c>
      <c r="L6" s="187" t="s">
        <v>71</v>
      </c>
      <c r="M6" s="187" t="s">
        <v>72</v>
      </c>
      <c r="O6" s="187" t="s">
        <v>6</v>
      </c>
      <c r="P6" s="187" t="str">
        <f>РГК!B7</f>
        <v>Важкі</v>
      </c>
      <c r="X6" s="215">
        <v>4</v>
      </c>
      <c r="Y6" s="216" t="s">
        <v>2334</v>
      </c>
      <c r="Z6" s="217" t="s">
        <v>2334</v>
      </c>
      <c r="AA6" s="219" t="s">
        <v>2305</v>
      </c>
    </row>
    <row r="7" spans="1:27" ht="13.5">
      <c r="A7" s="187">
        <v>0.14000000000000001</v>
      </c>
      <c r="B7" s="187">
        <v>60</v>
      </c>
      <c r="C7" s="187">
        <v>50</v>
      </c>
      <c r="D7" s="187">
        <v>52</v>
      </c>
      <c r="E7" s="187">
        <v>44</v>
      </c>
      <c r="F7" s="187">
        <v>66</v>
      </c>
      <c r="G7" s="187">
        <v>55</v>
      </c>
      <c r="H7" s="187">
        <v>57</v>
      </c>
      <c r="I7" s="187">
        <v>48</v>
      </c>
      <c r="J7" s="187">
        <v>73</v>
      </c>
      <c r="K7" s="187">
        <v>61</v>
      </c>
      <c r="L7" s="187">
        <v>63</v>
      </c>
      <c r="M7" s="187">
        <v>53</v>
      </c>
      <c r="O7" s="187" t="s">
        <v>2240</v>
      </c>
      <c r="P7" s="187" t="str">
        <f>РГК!Q13</f>
        <v>Твердолистяні породи</v>
      </c>
      <c r="S7" s="201"/>
      <c r="U7" s="187" t="e">
        <f ca="1">INDIRECT("Вид_Породи[Вид_Породи]")</f>
        <v>#VALUE!</v>
      </c>
      <c r="X7" s="215">
        <v>5</v>
      </c>
      <c r="Y7" s="216" t="s">
        <v>2347</v>
      </c>
      <c r="Z7" s="217" t="s">
        <v>2347</v>
      </c>
      <c r="AA7" s="219" t="s">
        <v>2318</v>
      </c>
    </row>
    <row r="8" spans="1:27" ht="13.5">
      <c r="A8" s="187">
        <v>0.17</v>
      </c>
      <c r="B8" s="187">
        <v>71</v>
      </c>
      <c r="C8" s="187">
        <v>60</v>
      </c>
      <c r="D8" s="187">
        <v>62</v>
      </c>
      <c r="E8" s="187">
        <v>52</v>
      </c>
      <c r="F8" s="187">
        <v>78</v>
      </c>
      <c r="G8" s="187">
        <v>66</v>
      </c>
      <c r="H8" s="187">
        <v>68</v>
      </c>
      <c r="I8" s="187">
        <v>57</v>
      </c>
      <c r="J8" s="187">
        <v>86</v>
      </c>
      <c r="K8" s="187">
        <v>73</v>
      </c>
      <c r="L8" s="187">
        <v>75</v>
      </c>
      <c r="M8" s="187">
        <v>63</v>
      </c>
      <c r="O8" s="187">
        <f>IF(N3="Важкі",2,0)</f>
        <v>0</v>
      </c>
      <c r="S8" s="187" t="e">
        <f ca="1">INDIRECT("Умови_Роботи[Умови_Роботи]")</f>
        <v>#VALUE!</v>
      </c>
      <c r="X8" s="215">
        <v>6</v>
      </c>
      <c r="Y8" s="216" t="s">
        <v>2358</v>
      </c>
      <c r="Z8" s="217" t="s">
        <v>2358</v>
      </c>
      <c r="AA8" s="219" t="s">
        <v>2321</v>
      </c>
    </row>
    <row r="9" spans="1:27" ht="13.5">
      <c r="A9" s="187">
        <v>0.21</v>
      </c>
      <c r="B9" s="187">
        <v>83</v>
      </c>
      <c r="C9" s="187">
        <v>70</v>
      </c>
      <c r="D9" s="187">
        <v>73</v>
      </c>
      <c r="E9" s="187">
        <v>61</v>
      </c>
      <c r="F9" s="187">
        <v>91</v>
      </c>
      <c r="G9" s="187">
        <v>77</v>
      </c>
      <c r="H9" s="187">
        <v>80</v>
      </c>
      <c r="I9" s="187">
        <v>67</v>
      </c>
      <c r="J9" s="187">
        <v>100</v>
      </c>
      <c r="K9" s="187">
        <v>85</v>
      </c>
      <c r="L9" s="187">
        <v>88</v>
      </c>
      <c r="M9" s="187">
        <v>74</v>
      </c>
      <c r="O9" s="187">
        <f>IF(N4="Твердолистяні породи",1,0)</f>
        <v>0</v>
      </c>
      <c r="X9" s="215">
        <v>7</v>
      </c>
      <c r="Y9" s="216" t="s">
        <v>2368</v>
      </c>
      <c r="Z9" s="217" t="s">
        <v>2368</v>
      </c>
      <c r="AA9" s="219" t="s">
        <v>2326</v>
      </c>
    </row>
    <row r="10" spans="1:27" ht="13.5">
      <c r="A10" s="187">
        <v>0.25</v>
      </c>
      <c r="B10" s="187">
        <v>93</v>
      </c>
      <c r="C10" s="187">
        <v>78</v>
      </c>
      <c r="D10" s="187">
        <v>82</v>
      </c>
      <c r="E10" s="187">
        <v>68</v>
      </c>
      <c r="F10" s="187">
        <v>102</v>
      </c>
      <c r="G10" s="187">
        <v>86</v>
      </c>
      <c r="H10" s="187">
        <v>90</v>
      </c>
      <c r="I10" s="187">
        <v>75</v>
      </c>
      <c r="J10" s="187">
        <v>112</v>
      </c>
      <c r="K10" s="187">
        <v>95</v>
      </c>
      <c r="L10" s="187">
        <v>99</v>
      </c>
      <c r="M10" s="187">
        <v>83</v>
      </c>
      <c r="O10" s="200">
        <f t="array" ref="O10">MATCH(MIN(IF(ZVZP_HL&gt;=P4,ZVZP_HL)),ZVZP_HL,0)</f>
        <v>9</v>
      </c>
      <c r="P10" s="187">
        <f t="array" ref="P10">MIN(IF(ZVZP_VM&gt;=P5,ZVZP_VM))</f>
        <v>1000</v>
      </c>
      <c r="S10" s="187" t="s">
        <v>2267</v>
      </c>
      <c r="T10" s="187" t="s">
        <v>2267</v>
      </c>
      <c r="X10" s="215">
        <v>8</v>
      </c>
      <c r="Y10" s="216" t="s">
        <v>2430</v>
      </c>
      <c r="Z10" s="217" t="s">
        <v>2430</v>
      </c>
      <c r="AA10" s="219" t="s">
        <v>2330</v>
      </c>
    </row>
    <row r="11" spans="1:27" ht="13.5">
      <c r="A11" s="187">
        <v>0.32</v>
      </c>
      <c r="B11" s="187">
        <v>107</v>
      </c>
      <c r="C11" s="187">
        <v>90</v>
      </c>
      <c r="D11" s="187">
        <v>94</v>
      </c>
      <c r="E11" s="187">
        <v>78</v>
      </c>
      <c r="F11" s="187">
        <v>118</v>
      </c>
      <c r="G11" s="187">
        <v>99</v>
      </c>
      <c r="H11" s="187">
        <v>103</v>
      </c>
      <c r="I11" s="187">
        <v>86</v>
      </c>
      <c r="J11" s="187">
        <v>130</v>
      </c>
      <c r="K11" s="187">
        <v>109</v>
      </c>
      <c r="L11" s="187">
        <v>113</v>
      </c>
      <c r="M11" s="187">
        <v>95</v>
      </c>
      <c r="O11" s="200" t="e">
        <f ca="1">INDIRECT(P3)</f>
        <v>#VALUE!</v>
      </c>
      <c r="P11" s="187">
        <f t="array" ref="P11">MATCH(MIN(IF($B$4:$M$4&gt;=P5,$B$4:$M$4)),$B$4:$M$4,0)+IF(P6="Важкі",2,0)+IF(P7="Твердолистяні породи",1,0)</f>
        <v>12</v>
      </c>
      <c r="Q11" s="187">
        <f>IF(P6="Важкі",2,0)</f>
        <v>2</v>
      </c>
      <c r="X11" s="215">
        <v>9</v>
      </c>
      <c r="Y11" s="216" t="s">
        <v>2321</v>
      </c>
      <c r="Z11" s="217" t="s">
        <v>2321</v>
      </c>
      <c r="AA11" s="219"/>
    </row>
    <row r="12" spans="1:27" ht="13.5">
      <c r="A12" s="187">
        <v>0.39</v>
      </c>
      <c r="B12" s="187">
        <v>118</v>
      </c>
      <c r="C12" s="187">
        <v>99</v>
      </c>
      <c r="D12" s="187">
        <v>104</v>
      </c>
      <c r="E12" s="187">
        <v>87</v>
      </c>
      <c r="F12" s="187">
        <v>130</v>
      </c>
      <c r="G12" s="187">
        <v>109</v>
      </c>
      <c r="H12" s="187">
        <v>114</v>
      </c>
      <c r="I12" s="187">
        <v>96</v>
      </c>
      <c r="J12" s="187">
        <v>143</v>
      </c>
      <c r="K12" s="187">
        <v>120</v>
      </c>
      <c r="L12" s="187">
        <v>125</v>
      </c>
      <c r="M12" s="187">
        <v>106</v>
      </c>
      <c r="O12" s="200">
        <f t="array" ref="O12">INDEX(OBR,MATCH(MIN(IF(OBR_HL&gt;=P4,OBR_HL)),OBR_HL,0),MATCH(MIN(IF(ZVZP_VM&gt;=P5,ZVZP_VM)),ZVZP_VM,0)+IF(P6="Важкі",2,0)+IF(P7="Твердолистяні породи",1,0)+1)</f>
        <v>51.8</v>
      </c>
      <c r="Q12" s="187">
        <f>IF(P7="Твердолистяні породи",1,0)</f>
        <v>1</v>
      </c>
      <c r="X12" s="215">
        <v>10</v>
      </c>
      <c r="Y12" s="216" t="s">
        <v>2449</v>
      </c>
      <c r="Z12" s="217" t="s">
        <v>2449</v>
      </c>
      <c r="AA12" s="222"/>
    </row>
    <row r="13" spans="1:27" ht="13.5">
      <c r="A13" s="187">
        <v>0.49</v>
      </c>
      <c r="B13" s="187">
        <v>132</v>
      </c>
      <c r="C13" s="187">
        <v>110</v>
      </c>
      <c r="D13" s="187">
        <v>116</v>
      </c>
      <c r="E13" s="187">
        <v>96</v>
      </c>
      <c r="F13" s="187">
        <v>145</v>
      </c>
      <c r="G13" s="187">
        <v>121</v>
      </c>
      <c r="H13" s="187">
        <v>128</v>
      </c>
      <c r="I13" s="187">
        <v>106</v>
      </c>
      <c r="J13" s="187">
        <v>160</v>
      </c>
      <c r="K13" s="187">
        <v>133</v>
      </c>
      <c r="L13" s="187">
        <v>141</v>
      </c>
      <c r="M13" s="187">
        <v>117</v>
      </c>
      <c r="O13" s="200"/>
      <c r="X13" s="215">
        <v>11</v>
      </c>
      <c r="Y13" s="216" t="s">
        <v>2379</v>
      </c>
      <c r="Z13" s="217" t="s">
        <v>2379</v>
      </c>
      <c r="AA13" s="222"/>
    </row>
    <row r="14" spans="1:27" ht="13.5">
      <c r="A14" s="187">
        <v>0.75</v>
      </c>
      <c r="B14" s="187">
        <v>156</v>
      </c>
      <c r="C14" s="187">
        <v>130</v>
      </c>
      <c r="D14" s="187">
        <v>137</v>
      </c>
      <c r="E14" s="187">
        <v>114</v>
      </c>
      <c r="F14" s="187">
        <v>172</v>
      </c>
      <c r="G14" s="187">
        <v>143</v>
      </c>
      <c r="H14" s="187">
        <v>151</v>
      </c>
      <c r="I14" s="187">
        <v>125</v>
      </c>
      <c r="J14" s="187">
        <v>189</v>
      </c>
      <c r="K14" s="187">
        <v>157</v>
      </c>
      <c r="L14" s="187">
        <v>166</v>
      </c>
      <c r="M14" s="187">
        <v>138</v>
      </c>
      <c r="O14" s="200"/>
      <c r="X14" s="215">
        <v>12</v>
      </c>
      <c r="Y14" s="216" t="s">
        <v>2439</v>
      </c>
      <c r="Z14" s="217" t="s">
        <v>2439</v>
      </c>
      <c r="AA14" s="222"/>
    </row>
    <row r="15" spans="1:27" ht="13.5">
      <c r="A15" s="187">
        <v>1.1000000000000001</v>
      </c>
      <c r="B15" s="187">
        <v>178</v>
      </c>
      <c r="C15" s="187">
        <v>149</v>
      </c>
      <c r="D15" s="187">
        <v>157</v>
      </c>
      <c r="E15" s="187">
        <v>130</v>
      </c>
      <c r="F15" s="187">
        <v>196</v>
      </c>
      <c r="G15" s="187">
        <v>164</v>
      </c>
      <c r="H15" s="187">
        <v>173</v>
      </c>
      <c r="I15" s="187">
        <v>143</v>
      </c>
      <c r="J15" s="187">
        <v>216</v>
      </c>
      <c r="K15" s="187">
        <v>180</v>
      </c>
      <c r="L15" s="187">
        <v>190</v>
      </c>
      <c r="M15" s="187">
        <v>157</v>
      </c>
      <c r="O15" s="200" t="s">
        <v>2241</v>
      </c>
      <c r="P15" s="187" t="s">
        <v>2135</v>
      </c>
      <c r="Q15" s="187" t="s">
        <v>2242</v>
      </c>
      <c r="R15" s="187" t="s">
        <v>2293</v>
      </c>
      <c r="S15" s="209" t="s">
        <v>864</v>
      </c>
      <c r="X15" s="215">
        <v>13</v>
      </c>
      <c r="Y15" s="216" t="s">
        <v>2355</v>
      </c>
      <c r="Z15" s="217" t="s">
        <v>2355</v>
      </c>
      <c r="AA15" s="222"/>
    </row>
    <row r="16" spans="1:27" ht="13.5">
      <c r="A16" s="187">
        <v>1000</v>
      </c>
      <c r="B16" s="187">
        <v>178</v>
      </c>
      <c r="C16" s="187">
        <v>149</v>
      </c>
      <c r="D16" s="187">
        <v>157</v>
      </c>
      <c r="E16" s="187">
        <v>130</v>
      </c>
      <c r="F16" s="187">
        <v>196</v>
      </c>
      <c r="G16" s="187">
        <v>164</v>
      </c>
      <c r="H16" s="187">
        <v>173</v>
      </c>
      <c r="I16" s="187">
        <v>143</v>
      </c>
      <c r="J16" s="187">
        <v>216</v>
      </c>
      <c r="K16" s="187">
        <v>180</v>
      </c>
      <c r="L16" s="187">
        <v>190</v>
      </c>
      <c r="M16" s="187">
        <v>157</v>
      </c>
      <c r="O16" s="200" t="s">
        <v>2233</v>
      </c>
      <c r="P16" s="200" t="s">
        <v>2279</v>
      </c>
      <c r="Q16" s="200" t="str">
        <f>P16 &amp; "_HL"</f>
        <v>ZVZP_HL</v>
      </c>
      <c r="R16" s="187" t="s">
        <v>2293</v>
      </c>
      <c r="S16" s="187" t="s">
        <v>3101</v>
      </c>
      <c r="X16" s="215">
        <v>14</v>
      </c>
      <c r="Y16" s="216" t="s">
        <v>2342</v>
      </c>
      <c r="Z16" s="217" t="s">
        <v>2342</v>
      </c>
      <c r="AA16" s="222"/>
    </row>
    <row r="17" spans="1:27" ht="13.5">
      <c r="A17" s="200" t="s">
        <v>2243</v>
      </c>
      <c r="D17" s="200" t="s">
        <v>2236</v>
      </c>
      <c r="O17" s="200" t="s">
        <v>2243</v>
      </c>
      <c r="P17" s="200" t="s">
        <v>2236</v>
      </c>
      <c r="Q17" s="200" t="str">
        <f t="shared" ref="Q17:Q27" si="0">P17 &amp; "_HL"</f>
        <v>OBR_HL</v>
      </c>
      <c r="R17" s="187" t="s">
        <v>2293</v>
      </c>
      <c r="S17" s="187" t="s">
        <v>3101</v>
      </c>
      <c r="X17" s="215">
        <v>15</v>
      </c>
      <c r="Y17" s="216" t="s">
        <v>2383</v>
      </c>
      <c r="Z17" s="217" t="s">
        <v>2383</v>
      </c>
      <c r="AA17" s="222"/>
    </row>
    <row r="18" spans="1:27" ht="13.5">
      <c r="A18" s="187" t="s">
        <v>2173</v>
      </c>
      <c r="B18" s="187" t="s">
        <v>2280</v>
      </c>
      <c r="C18" s="187" t="s">
        <v>2281</v>
      </c>
      <c r="D18" s="200" t="s">
        <v>2282</v>
      </c>
      <c r="E18" s="187" t="s">
        <v>2283</v>
      </c>
      <c r="F18" s="187" t="s">
        <v>2284</v>
      </c>
      <c r="G18" s="187" t="s">
        <v>2285</v>
      </c>
      <c r="H18" s="187" t="s">
        <v>2286</v>
      </c>
      <c r="I18" s="187" t="s">
        <v>2287</v>
      </c>
      <c r="J18" s="187" t="s">
        <v>2288</v>
      </c>
      <c r="K18" s="187" t="s">
        <v>2289</v>
      </c>
      <c r="L18" s="187" t="s">
        <v>2290</v>
      </c>
      <c r="M18" s="187" t="s">
        <v>2291</v>
      </c>
      <c r="O18" s="200" t="s">
        <v>2244</v>
      </c>
      <c r="P18" s="200" t="s">
        <v>2245</v>
      </c>
      <c r="Q18" s="200" t="str">
        <f t="shared" si="0"/>
        <v>OBRU_HL</v>
      </c>
      <c r="R18" s="187" t="s">
        <v>2293</v>
      </c>
      <c r="S18" s="187" t="s">
        <v>3101</v>
      </c>
      <c r="X18" s="215">
        <v>16</v>
      </c>
      <c r="Y18" s="216" t="s">
        <v>2326</v>
      </c>
      <c r="Z18" s="217" t="s">
        <v>2326</v>
      </c>
      <c r="AA18" s="222"/>
    </row>
    <row r="19" spans="1:27" ht="13.5">
      <c r="A19" s="187" t="s">
        <v>2239</v>
      </c>
      <c r="B19" s="209"/>
      <c r="D19" s="200"/>
      <c r="O19" s="200" t="s">
        <v>2246</v>
      </c>
      <c r="P19" s="200" t="s">
        <v>2247</v>
      </c>
      <c r="Q19" s="200" t="str">
        <f t="shared" si="0"/>
        <v>PIL_HL</v>
      </c>
      <c r="R19" s="187" t="s">
        <v>2293</v>
      </c>
      <c r="S19" s="187" t="s">
        <v>3101</v>
      </c>
      <c r="X19" s="215">
        <v>17</v>
      </c>
      <c r="Y19" s="216" t="s">
        <v>2332</v>
      </c>
      <c r="Z19" s="217" t="s">
        <v>2332</v>
      </c>
      <c r="AA19" s="222"/>
    </row>
    <row r="20" spans="1:27" ht="13.5">
      <c r="A20" s="235" t="s">
        <v>2235</v>
      </c>
      <c r="B20" s="205">
        <v>200</v>
      </c>
      <c r="C20" s="205"/>
      <c r="D20" s="205"/>
      <c r="E20" s="205"/>
      <c r="F20" s="205">
        <v>300</v>
      </c>
      <c r="G20" s="205"/>
      <c r="H20" s="205"/>
      <c r="I20" s="205"/>
      <c r="J20" s="205">
        <v>1000</v>
      </c>
      <c r="K20" s="205"/>
      <c r="L20" s="205"/>
      <c r="M20" s="205"/>
      <c r="O20" s="200" t="s">
        <v>2248</v>
      </c>
      <c r="P20" s="200" t="s">
        <v>2249</v>
      </c>
      <c r="Q20" s="200" t="str">
        <f t="shared" si="0"/>
        <v>FAN_HL</v>
      </c>
      <c r="R20" s="187" t="s">
        <v>2293</v>
      </c>
      <c r="S20" s="187" t="s">
        <v>3101</v>
      </c>
      <c r="X20" s="215">
        <v>18</v>
      </c>
      <c r="Y20" s="216" t="s">
        <v>2481</v>
      </c>
      <c r="Z20" s="217" t="s">
        <v>2481</v>
      </c>
      <c r="AA20" s="222"/>
    </row>
    <row r="21" spans="1:27" ht="13.5">
      <c r="A21" s="187" t="s">
        <v>6</v>
      </c>
      <c r="B21" s="205" t="s">
        <v>2237</v>
      </c>
      <c r="C21" s="205"/>
      <c r="D21" s="205" t="s">
        <v>2238</v>
      </c>
      <c r="E21" s="205"/>
      <c r="F21" s="205" t="s">
        <v>2237</v>
      </c>
      <c r="G21" s="205"/>
      <c r="H21" s="205" t="s">
        <v>2238</v>
      </c>
      <c r="I21" s="205"/>
      <c r="J21" s="205" t="s">
        <v>2237</v>
      </c>
      <c r="K21" s="205"/>
      <c r="L21" s="205" t="s">
        <v>2238</v>
      </c>
      <c r="M21" s="205"/>
      <c r="O21" s="200" t="s">
        <v>2250</v>
      </c>
      <c r="P21" s="200" t="s">
        <v>2251</v>
      </c>
      <c r="Q21" s="200" t="str">
        <f t="shared" si="0"/>
        <v>TEX_HL</v>
      </c>
      <c r="R21" s="187" t="s">
        <v>2293</v>
      </c>
      <c r="S21" s="187" t="s">
        <v>3101</v>
      </c>
      <c r="X21" s="215">
        <v>19</v>
      </c>
      <c r="Y21" s="216" t="s">
        <v>2490</v>
      </c>
      <c r="Z21" s="217" t="s">
        <v>2490</v>
      </c>
      <c r="AA21" s="222"/>
    </row>
    <row r="22" spans="1:27" ht="13.5">
      <c r="A22" s="187" t="s">
        <v>3101</v>
      </c>
      <c r="B22" s="187" t="s">
        <v>71</v>
      </c>
      <c r="C22" s="187" t="s">
        <v>72</v>
      </c>
      <c r="D22" s="187" t="s">
        <v>71</v>
      </c>
      <c r="E22" s="187" t="s">
        <v>72</v>
      </c>
      <c r="F22" s="187" t="s">
        <v>71</v>
      </c>
      <c r="G22" s="187" t="s">
        <v>72</v>
      </c>
      <c r="H22" s="187" t="s">
        <v>71</v>
      </c>
      <c r="I22" s="187" t="s">
        <v>72</v>
      </c>
      <c r="J22" s="187" t="s">
        <v>71</v>
      </c>
      <c r="K22" s="187" t="s">
        <v>72</v>
      </c>
      <c r="L22" s="187" t="s">
        <v>71</v>
      </c>
      <c r="M22" s="187" t="s">
        <v>72</v>
      </c>
      <c r="O22" s="200" t="s">
        <v>2252</v>
      </c>
      <c r="P22" s="200" t="s">
        <v>2253</v>
      </c>
      <c r="Q22" s="200" t="str">
        <f t="shared" si="0"/>
        <v>DROV_HL</v>
      </c>
      <c r="R22" s="187" t="s">
        <v>2293</v>
      </c>
      <c r="S22" s="187" t="s">
        <v>3101</v>
      </c>
      <c r="X22" s="215">
        <v>20</v>
      </c>
      <c r="Y22" s="216" t="s">
        <v>2324</v>
      </c>
      <c r="Z22" s="217" t="s">
        <v>2324</v>
      </c>
      <c r="AA22" s="222"/>
    </row>
    <row r="23" spans="1:27" ht="13.5">
      <c r="A23" s="187">
        <v>0.14000000000000001</v>
      </c>
      <c r="B23" s="187">
        <v>24</v>
      </c>
      <c r="C23" s="187">
        <v>19.5</v>
      </c>
      <c r="D23" s="187">
        <v>20.8</v>
      </c>
      <c r="E23" s="187">
        <v>17</v>
      </c>
      <c r="F23" s="187">
        <v>26.4</v>
      </c>
      <c r="G23" s="187">
        <v>21.5</v>
      </c>
      <c r="H23" s="187">
        <v>22.9</v>
      </c>
      <c r="I23" s="187">
        <v>18.7</v>
      </c>
      <c r="J23" s="187">
        <v>29</v>
      </c>
      <c r="K23" s="187">
        <v>23.7</v>
      </c>
      <c r="L23" s="187">
        <v>25.2</v>
      </c>
      <c r="M23" s="187">
        <v>20.6</v>
      </c>
      <c r="O23" s="200" t="s">
        <v>2254</v>
      </c>
      <c r="P23" s="200" t="s">
        <v>2255</v>
      </c>
      <c r="Q23" s="200" t="str">
        <f t="shared" si="0"/>
        <v>ZACH_HL</v>
      </c>
      <c r="R23" s="187" t="s">
        <v>2293</v>
      </c>
      <c r="S23" s="187" t="s">
        <v>3101</v>
      </c>
      <c r="X23" s="215">
        <v>21</v>
      </c>
      <c r="Y23" s="216" t="s">
        <v>2341</v>
      </c>
      <c r="Z23" s="217" t="s">
        <v>2341</v>
      </c>
      <c r="AA23" s="222"/>
    </row>
    <row r="24" spans="1:27" ht="13.5">
      <c r="A24" s="187">
        <v>0.17</v>
      </c>
      <c r="B24" s="187">
        <v>27.4</v>
      </c>
      <c r="C24" s="187">
        <v>22.2</v>
      </c>
      <c r="D24" s="187">
        <v>23.8</v>
      </c>
      <c r="E24" s="187">
        <v>19.3</v>
      </c>
      <c r="F24" s="187">
        <v>30.1</v>
      </c>
      <c r="G24" s="187">
        <v>24.4</v>
      </c>
      <c r="H24" s="187">
        <v>26.2</v>
      </c>
      <c r="I24" s="187">
        <v>21.2</v>
      </c>
      <c r="J24" s="187">
        <v>33.1</v>
      </c>
      <c r="K24" s="187">
        <v>26.8</v>
      </c>
      <c r="L24" s="187">
        <v>28.8</v>
      </c>
      <c r="M24" s="187">
        <v>23.3</v>
      </c>
      <c r="O24" s="200" t="s">
        <v>81</v>
      </c>
      <c r="P24" s="200" t="s">
        <v>2256</v>
      </c>
      <c r="Q24" s="200" t="str">
        <f t="shared" si="0"/>
        <v>SPLG_HL</v>
      </c>
      <c r="R24" s="187" t="s">
        <v>2293</v>
      </c>
      <c r="S24" s="187" t="s">
        <v>3101</v>
      </c>
      <c r="X24" s="215">
        <v>22</v>
      </c>
      <c r="Y24" s="216" t="s">
        <v>2345</v>
      </c>
      <c r="Z24" s="217" t="s">
        <v>2345</v>
      </c>
      <c r="AA24" s="222"/>
    </row>
    <row r="25" spans="1:27" ht="13.5">
      <c r="A25" s="187">
        <v>0.21</v>
      </c>
      <c r="B25" s="187">
        <v>31.2</v>
      </c>
      <c r="C25" s="187">
        <v>25.4</v>
      </c>
      <c r="D25" s="187">
        <v>27.1</v>
      </c>
      <c r="E25" s="187">
        <v>22.1</v>
      </c>
      <c r="F25" s="187">
        <v>34.299999999999997</v>
      </c>
      <c r="G25" s="187">
        <v>27.9</v>
      </c>
      <c r="H25" s="187">
        <v>29.8</v>
      </c>
      <c r="I25" s="187">
        <v>24.3</v>
      </c>
      <c r="J25" s="187">
        <v>37.700000000000003</v>
      </c>
      <c r="K25" s="187">
        <v>30.7</v>
      </c>
      <c r="L25" s="187">
        <v>32.799999999999997</v>
      </c>
      <c r="M25" s="187">
        <v>26.7</v>
      </c>
      <c r="O25" s="200" t="s">
        <v>2257</v>
      </c>
      <c r="P25" s="200" t="s">
        <v>2258</v>
      </c>
      <c r="Q25" s="200" t="str">
        <f t="shared" si="0"/>
        <v>KOL_HL</v>
      </c>
      <c r="R25" s="187" t="s">
        <v>2293</v>
      </c>
      <c r="S25" s="187" t="s">
        <v>3101</v>
      </c>
      <c r="X25" s="215">
        <v>23</v>
      </c>
      <c r="Y25" s="216" t="s">
        <v>2353</v>
      </c>
      <c r="Z25" s="217" t="s">
        <v>2353</v>
      </c>
      <c r="AA25" s="222"/>
    </row>
    <row r="26" spans="1:27" ht="13.5">
      <c r="A26" s="187">
        <v>0.25</v>
      </c>
      <c r="B26" s="187">
        <v>34.200000000000003</v>
      </c>
      <c r="C26" s="187">
        <v>27.8</v>
      </c>
      <c r="D26" s="187">
        <v>29.8</v>
      </c>
      <c r="E26" s="187">
        <v>24.2</v>
      </c>
      <c r="F26" s="187">
        <v>37.6</v>
      </c>
      <c r="G26" s="187">
        <v>30.6</v>
      </c>
      <c r="H26" s="187">
        <v>32.799999999999997</v>
      </c>
      <c r="I26" s="187">
        <v>26.6</v>
      </c>
      <c r="J26" s="187">
        <v>41.4</v>
      </c>
      <c r="K26" s="187">
        <v>33.700000000000003</v>
      </c>
      <c r="L26" s="187">
        <v>36.1</v>
      </c>
      <c r="M26" s="187">
        <v>29.3</v>
      </c>
      <c r="O26" s="200" t="s">
        <v>2259</v>
      </c>
      <c r="P26" s="200" t="s">
        <v>2260</v>
      </c>
      <c r="Q26" s="200" t="str">
        <f t="shared" si="0"/>
        <v>SPILP_HL</v>
      </c>
      <c r="R26" s="187" t="s">
        <v>2293</v>
      </c>
      <c r="S26" s="187" t="s">
        <v>3101</v>
      </c>
      <c r="X26" s="215">
        <v>24</v>
      </c>
      <c r="Y26" s="216" t="s">
        <v>2361</v>
      </c>
      <c r="Z26" s="217" t="s">
        <v>2361</v>
      </c>
      <c r="AA26" s="222"/>
    </row>
    <row r="27" spans="1:27" ht="13.5">
      <c r="A27" s="187">
        <v>0.32</v>
      </c>
      <c r="B27" s="187">
        <v>38.6</v>
      </c>
      <c r="C27" s="187">
        <v>31.4</v>
      </c>
      <c r="D27" s="187">
        <v>33.6</v>
      </c>
      <c r="E27" s="187">
        <v>27.3</v>
      </c>
      <c r="F27" s="187">
        <v>42.5</v>
      </c>
      <c r="G27" s="187">
        <v>34.5</v>
      </c>
      <c r="H27" s="187">
        <v>37</v>
      </c>
      <c r="I27" s="187">
        <v>30</v>
      </c>
      <c r="J27" s="187">
        <v>46.8</v>
      </c>
      <c r="K27" s="187">
        <v>38</v>
      </c>
      <c r="L27" s="187">
        <v>40.700000000000003</v>
      </c>
      <c r="M27" s="187">
        <v>33</v>
      </c>
      <c r="O27" s="200" t="s">
        <v>36</v>
      </c>
      <c r="P27" s="200" t="s">
        <v>2261</v>
      </c>
      <c r="Q27" s="200" t="str">
        <f t="shared" si="0"/>
        <v>PND_HL</v>
      </c>
      <c r="R27" s="187" t="s">
        <v>2293</v>
      </c>
      <c r="S27" s="187" t="s">
        <v>6</v>
      </c>
      <c r="X27" s="215">
        <v>25</v>
      </c>
      <c r="Y27" s="216" t="s">
        <v>2396</v>
      </c>
      <c r="Z27" s="217" t="s">
        <v>2396</v>
      </c>
      <c r="AA27" s="222"/>
    </row>
    <row r="28" spans="1:27" ht="13.5">
      <c r="A28" s="187">
        <v>0.39</v>
      </c>
      <c r="B28" s="187">
        <v>42.2</v>
      </c>
      <c r="C28" s="187">
        <v>34.299999999999997</v>
      </c>
      <c r="D28" s="187">
        <v>36.700000000000003</v>
      </c>
      <c r="E28" s="187">
        <v>29.9</v>
      </c>
      <c r="F28" s="187">
        <v>46.4</v>
      </c>
      <c r="G28" s="187">
        <v>37.700000000000003</v>
      </c>
      <c r="H28" s="187">
        <v>40.4</v>
      </c>
      <c r="I28" s="187">
        <v>32.9</v>
      </c>
      <c r="J28" s="187">
        <v>51</v>
      </c>
      <c r="K28" s="187">
        <v>41.5</v>
      </c>
      <c r="L28" s="187">
        <v>44.4</v>
      </c>
      <c r="M28" s="187">
        <v>36.200000000000003</v>
      </c>
      <c r="X28" s="215">
        <v>26</v>
      </c>
      <c r="Y28" s="216" t="s">
        <v>2408</v>
      </c>
      <c r="Z28" s="217" t="s">
        <v>2408</v>
      </c>
      <c r="AA28" s="222"/>
    </row>
    <row r="29" spans="1:27" ht="13.5">
      <c r="A29" s="187">
        <v>0.49</v>
      </c>
      <c r="B29" s="187">
        <v>46.2</v>
      </c>
      <c r="C29" s="187">
        <v>37.6</v>
      </c>
      <c r="D29" s="187">
        <v>40.200000000000003</v>
      </c>
      <c r="E29" s="187">
        <v>32.700000000000003</v>
      </c>
      <c r="F29" s="187">
        <v>50.8</v>
      </c>
      <c r="G29" s="187">
        <v>41.4</v>
      </c>
      <c r="H29" s="187">
        <v>44.2</v>
      </c>
      <c r="I29" s="187">
        <v>36</v>
      </c>
      <c r="J29" s="187">
        <v>55.9</v>
      </c>
      <c r="K29" s="187">
        <v>45.5</v>
      </c>
      <c r="L29" s="187">
        <v>48.6</v>
      </c>
      <c r="M29" s="187">
        <v>39.6</v>
      </c>
      <c r="X29" s="215">
        <v>27</v>
      </c>
      <c r="Y29" s="216" t="s">
        <v>2386</v>
      </c>
      <c r="Z29" s="217" t="s">
        <v>2386</v>
      </c>
      <c r="AA29" s="222"/>
    </row>
    <row r="30" spans="1:27" ht="13.5">
      <c r="A30" s="187">
        <v>0.75</v>
      </c>
      <c r="B30" s="187">
        <v>53.7</v>
      </c>
      <c r="C30" s="187">
        <v>43.7</v>
      </c>
      <c r="D30" s="187">
        <v>46.8</v>
      </c>
      <c r="E30" s="187">
        <v>38</v>
      </c>
      <c r="F30" s="187">
        <v>59.1</v>
      </c>
      <c r="G30" s="187">
        <v>48.1</v>
      </c>
      <c r="H30" s="187">
        <v>51.5</v>
      </c>
      <c r="I30" s="187">
        <v>41.8</v>
      </c>
      <c r="J30" s="187">
        <v>65</v>
      </c>
      <c r="K30" s="187">
        <v>52.9</v>
      </c>
      <c r="L30" s="187">
        <v>56.7</v>
      </c>
      <c r="M30" s="187">
        <v>46</v>
      </c>
      <c r="X30" s="215">
        <v>28</v>
      </c>
      <c r="Y30" s="216" t="s">
        <v>2330</v>
      </c>
      <c r="Z30" s="217" t="s">
        <v>2330</v>
      </c>
      <c r="AA30" s="222"/>
    </row>
    <row r="31" spans="1:27" ht="13.5">
      <c r="A31" s="187">
        <v>1.1000000000000001</v>
      </c>
      <c r="B31" s="187">
        <v>60.6</v>
      </c>
      <c r="C31" s="187">
        <v>49.3</v>
      </c>
      <c r="D31" s="187">
        <v>52.6</v>
      </c>
      <c r="E31" s="187">
        <v>42.8</v>
      </c>
      <c r="F31" s="187">
        <v>66.7</v>
      </c>
      <c r="G31" s="187">
        <v>54.2</v>
      </c>
      <c r="H31" s="187">
        <v>57.9</v>
      </c>
      <c r="I31" s="187">
        <v>47.1</v>
      </c>
      <c r="J31" s="187">
        <v>73.400000000000006</v>
      </c>
      <c r="K31" s="187">
        <v>59.6</v>
      </c>
      <c r="L31" s="187">
        <v>63.7</v>
      </c>
      <c r="M31" s="187">
        <v>51.8</v>
      </c>
      <c r="X31" s="215">
        <v>29</v>
      </c>
      <c r="Y31" s="216" t="s">
        <v>2318</v>
      </c>
      <c r="Z31" s="217" t="s">
        <v>2318</v>
      </c>
      <c r="AA31" s="222"/>
    </row>
    <row r="32" spans="1:27" ht="13.5">
      <c r="A32" s="187">
        <v>1000</v>
      </c>
      <c r="B32" s="187">
        <v>60.6</v>
      </c>
      <c r="C32" s="187">
        <v>49.3</v>
      </c>
      <c r="D32" s="187">
        <v>52.6</v>
      </c>
      <c r="E32" s="187">
        <v>42.8</v>
      </c>
      <c r="F32" s="187">
        <v>66.7</v>
      </c>
      <c r="G32" s="187">
        <v>54.2</v>
      </c>
      <c r="H32" s="187">
        <v>57.9</v>
      </c>
      <c r="I32" s="187">
        <v>47.1</v>
      </c>
      <c r="J32" s="187">
        <v>73.400000000000006</v>
      </c>
      <c r="K32" s="187">
        <v>59.6</v>
      </c>
      <c r="L32" s="187">
        <v>63.7</v>
      </c>
      <c r="M32" s="187">
        <v>51.8</v>
      </c>
      <c r="X32" s="215">
        <v>30</v>
      </c>
      <c r="Y32" s="216" t="s">
        <v>2457</v>
      </c>
      <c r="Z32" s="217" t="s">
        <v>2457</v>
      </c>
      <c r="AA32" s="222"/>
    </row>
    <row r="33" spans="1:27" ht="13.5">
      <c r="A33" s="200" t="s">
        <v>2244</v>
      </c>
      <c r="D33" s="200" t="s">
        <v>2245</v>
      </c>
      <c r="X33" s="215">
        <v>31</v>
      </c>
      <c r="Y33" s="216" t="s">
        <v>2476</v>
      </c>
      <c r="Z33" s="217" t="s">
        <v>2476</v>
      </c>
      <c r="AA33" s="222"/>
    </row>
    <row r="34" spans="1:27" ht="13.5">
      <c r="A34" s="187" t="s">
        <v>2173</v>
      </c>
      <c r="B34" s="187" t="s">
        <v>2280</v>
      </c>
      <c r="C34" s="187" t="s">
        <v>2281</v>
      </c>
      <c r="D34" s="200" t="s">
        <v>2282</v>
      </c>
      <c r="E34" s="187" t="s">
        <v>2283</v>
      </c>
      <c r="F34" s="187" t="s">
        <v>2284</v>
      </c>
      <c r="G34" s="187" t="s">
        <v>2285</v>
      </c>
      <c r="H34" s="187" t="s">
        <v>2286</v>
      </c>
      <c r="I34" s="187" t="s">
        <v>2287</v>
      </c>
      <c r="J34" s="187" t="s">
        <v>2288</v>
      </c>
      <c r="K34" s="187" t="s">
        <v>2289</v>
      </c>
      <c r="L34" s="187" t="s">
        <v>2290</v>
      </c>
      <c r="M34" s="187" t="s">
        <v>2291</v>
      </c>
      <c r="X34" s="215">
        <v>32</v>
      </c>
      <c r="Y34" s="216" t="s">
        <v>2495</v>
      </c>
      <c r="Z34" s="217" t="s">
        <v>2495</v>
      </c>
      <c r="AA34" s="222"/>
    </row>
    <row r="35" spans="1:27" ht="13.5">
      <c r="A35" s="187" t="s">
        <v>2239</v>
      </c>
      <c r="B35" s="209"/>
      <c r="D35" s="200"/>
      <c r="X35" s="215">
        <v>33</v>
      </c>
      <c r="Y35" s="216" t="s">
        <v>2502</v>
      </c>
      <c r="Z35" s="217" t="s">
        <v>2502</v>
      </c>
      <c r="AA35" s="222"/>
    </row>
    <row r="36" spans="1:27" ht="13.5">
      <c r="A36" s="235" t="s">
        <v>2235</v>
      </c>
      <c r="B36" s="205">
        <v>200</v>
      </c>
      <c r="C36" s="205"/>
      <c r="D36" s="205"/>
      <c r="E36" s="205"/>
      <c r="F36" s="205">
        <v>300</v>
      </c>
      <c r="G36" s="205"/>
      <c r="H36" s="205"/>
      <c r="I36" s="205"/>
      <c r="J36" s="205">
        <v>1000</v>
      </c>
      <c r="K36" s="205"/>
      <c r="L36" s="205"/>
      <c r="M36" s="205"/>
      <c r="X36" s="215">
        <v>34</v>
      </c>
      <c r="Y36" s="216" t="s">
        <v>3100</v>
      </c>
      <c r="Z36" s="217" t="s">
        <v>3100</v>
      </c>
      <c r="AA36" s="222"/>
    </row>
    <row r="37" spans="1:27" ht="13.5">
      <c r="A37" s="187" t="s">
        <v>6</v>
      </c>
      <c r="B37" s="205" t="s">
        <v>2237</v>
      </c>
      <c r="C37" s="205"/>
      <c r="D37" s="205" t="s">
        <v>2238</v>
      </c>
      <c r="E37" s="205"/>
      <c r="F37" s="205" t="s">
        <v>2237</v>
      </c>
      <c r="G37" s="205"/>
      <c r="H37" s="205" t="s">
        <v>2238</v>
      </c>
      <c r="I37" s="205"/>
      <c r="J37" s="205" t="s">
        <v>2237</v>
      </c>
      <c r="K37" s="205"/>
      <c r="L37" s="205" t="s">
        <v>2238</v>
      </c>
      <c r="M37" s="205"/>
      <c r="X37" s="215">
        <v>35</v>
      </c>
      <c r="Y37" s="216" t="s">
        <v>3100</v>
      </c>
      <c r="Z37" s="217" t="s">
        <v>3100</v>
      </c>
      <c r="AA37" s="222"/>
    </row>
    <row r="38" spans="1:27" ht="13.5">
      <c r="A38" s="187" t="s">
        <v>3101</v>
      </c>
      <c r="B38" s="187" t="s">
        <v>71</v>
      </c>
      <c r="C38" s="187" t="s">
        <v>72</v>
      </c>
      <c r="D38" s="187" t="s">
        <v>71</v>
      </c>
      <c r="E38" s="187" t="s">
        <v>72</v>
      </c>
      <c r="F38" s="187" t="s">
        <v>71</v>
      </c>
      <c r="G38" s="187" t="s">
        <v>72</v>
      </c>
      <c r="H38" s="187" t="s">
        <v>71</v>
      </c>
      <c r="I38" s="187" t="s">
        <v>72</v>
      </c>
      <c r="J38" s="187" t="s">
        <v>71</v>
      </c>
      <c r="K38" s="187" t="s">
        <v>72</v>
      </c>
      <c r="L38" s="187" t="s">
        <v>71</v>
      </c>
      <c r="M38" s="187" t="s">
        <v>72</v>
      </c>
      <c r="X38" s="215">
        <v>36</v>
      </c>
      <c r="Y38" s="216" t="s">
        <v>2545</v>
      </c>
      <c r="Z38" s="217" t="s">
        <v>3100</v>
      </c>
      <c r="AA38" s="222"/>
    </row>
    <row r="39" spans="1:27" ht="13.5">
      <c r="A39" s="187">
        <v>0.14000000000000001</v>
      </c>
      <c r="B39" s="187">
        <v>30.8</v>
      </c>
      <c r="C39" s="187">
        <v>20.5</v>
      </c>
      <c r="D39" s="187">
        <v>26.8</v>
      </c>
      <c r="E39" s="187">
        <v>17.8</v>
      </c>
      <c r="F39" s="187">
        <v>33.9</v>
      </c>
      <c r="G39" s="187">
        <v>22.6</v>
      </c>
      <c r="H39" s="187">
        <v>29.5</v>
      </c>
      <c r="I39" s="187">
        <v>19.7</v>
      </c>
      <c r="J39" s="187">
        <v>37.200000000000003</v>
      </c>
      <c r="K39" s="187">
        <v>24.8</v>
      </c>
      <c r="L39" s="187">
        <v>32.299999999999997</v>
      </c>
      <c r="M39" s="187">
        <v>21.6</v>
      </c>
      <c r="X39" s="215">
        <v>37</v>
      </c>
      <c r="Y39" s="216" t="s">
        <v>2548</v>
      </c>
      <c r="Z39" s="217" t="s">
        <v>3100</v>
      </c>
      <c r="AA39" s="222"/>
    </row>
    <row r="40" spans="1:27" ht="13.5">
      <c r="A40" s="187">
        <v>0.17</v>
      </c>
      <c r="B40" s="187">
        <v>35.1</v>
      </c>
      <c r="C40" s="187">
        <v>23.4</v>
      </c>
      <c r="D40" s="187">
        <v>30.5</v>
      </c>
      <c r="E40" s="187">
        <v>20.3</v>
      </c>
      <c r="F40" s="187">
        <v>38.6</v>
      </c>
      <c r="G40" s="187">
        <v>25.7</v>
      </c>
      <c r="H40" s="187">
        <v>33.6</v>
      </c>
      <c r="I40" s="187">
        <v>22.3</v>
      </c>
      <c r="J40" s="187">
        <v>42.6</v>
      </c>
      <c r="K40" s="187">
        <v>28.4</v>
      </c>
      <c r="L40" s="187">
        <v>37</v>
      </c>
      <c r="M40" s="187">
        <v>24.7</v>
      </c>
      <c r="X40" s="215">
        <v>38</v>
      </c>
      <c r="Y40" s="216" t="s">
        <v>2551</v>
      </c>
      <c r="Z40" s="217" t="s">
        <v>3100</v>
      </c>
      <c r="AA40" s="222"/>
    </row>
    <row r="41" spans="1:27" ht="13.5">
      <c r="A41" s="187">
        <v>0.21</v>
      </c>
      <c r="B41" s="187">
        <v>40</v>
      </c>
      <c r="C41" s="187">
        <v>26.7</v>
      </c>
      <c r="D41" s="187">
        <v>34.799999999999997</v>
      </c>
      <c r="E41" s="187">
        <v>23.2</v>
      </c>
      <c r="F41" s="187">
        <v>44.1</v>
      </c>
      <c r="G41" s="187">
        <v>29.4</v>
      </c>
      <c r="H41" s="187">
        <v>38.299999999999997</v>
      </c>
      <c r="I41" s="187">
        <v>25.6</v>
      </c>
      <c r="J41" s="187">
        <v>48.6</v>
      </c>
      <c r="K41" s="187">
        <v>32.4</v>
      </c>
      <c r="L41" s="187">
        <v>42.3</v>
      </c>
      <c r="M41" s="187">
        <v>28.2</v>
      </c>
      <c r="X41" s="215">
        <v>39</v>
      </c>
      <c r="Y41" s="216" t="s">
        <v>2554</v>
      </c>
      <c r="Z41" s="217" t="s">
        <v>3100</v>
      </c>
      <c r="AA41" s="222"/>
    </row>
    <row r="42" spans="1:27" ht="13.5">
      <c r="A42" s="187">
        <v>0.25</v>
      </c>
      <c r="B42" s="187">
        <v>44</v>
      </c>
      <c r="C42" s="187">
        <v>29.3</v>
      </c>
      <c r="D42" s="187">
        <v>38.299999999999997</v>
      </c>
      <c r="E42" s="187">
        <v>25.5</v>
      </c>
      <c r="F42" s="187">
        <v>48.3</v>
      </c>
      <c r="G42" s="187">
        <v>32.200000000000003</v>
      </c>
      <c r="H42" s="187">
        <v>42</v>
      </c>
      <c r="I42" s="187">
        <v>28</v>
      </c>
      <c r="J42" s="187">
        <v>53.2</v>
      </c>
      <c r="K42" s="187">
        <v>35.5</v>
      </c>
      <c r="L42" s="187">
        <v>46.3</v>
      </c>
      <c r="M42" s="187">
        <v>30.9</v>
      </c>
      <c r="X42" s="215">
        <v>40</v>
      </c>
      <c r="Y42" s="216" t="s">
        <v>2557</v>
      </c>
      <c r="Z42" s="217" t="s">
        <v>3100</v>
      </c>
      <c r="AA42" s="222"/>
    </row>
    <row r="43" spans="1:27" ht="13.5">
      <c r="A43" s="187">
        <v>0.32</v>
      </c>
      <c r="B43" s="187">
        <v>49.6</v>
      </c>
      <c r="C43" s="187">
        <v>33.1</v>
      </c>
      <c r="D43" s="187">
        <v>43.1</v>
      </c>
      <c r="E43" s="187">
        <v>28.8</v>
      </c>
      <c r="F43" s="187">
        <v>54.5</v>
      </c>
      <c r="G43" s="187">
        <v>36.299999999999997</v>
      </c>
      <c r="H43" s="187">
        <v>47.4</v>
      </c>
      <c r="I43" s="187">
        <v>31.6</v>
      </c>
      <c r="J43" s="187">
        <v>59.9</v>
      </c>
      <c r="K43" s="187">
        <v>39.9</v>
      </c>
      <c r="L43" s="187">
        <v>52.1</v>
      </c>
      <c r="M43" s="187">
        <v>34.700000000000003</v>
      </c>
      <c r="X43" s="215">
        <v>41</v>
      </c>
      <c r="Y43" s="216" t="s">
        <v>3100</v>
      </c>
      <c r="Z43" s="217" t="s">
        <v>3100</v>
      </c>
      <c r="AA43" s="222"/>
    </row>
    <row r="44" spans="1:27" ht="13.5">
      <c r="A44" s="187">
        <v>0.39</v>
      </c>
      <c r="B44" s="187">
        <v>54.2</v>
      </c>
      <c r="C44" s="187">
        <v>36.1</v>
      </c>
      <c r="D44" s="187">
        <v>47.1</v>
      </c>
      <c r="E44" s="187">
        <v>31.4</v>
      </c>
      <c r="F44" s="187">
        <v>59.6</v>
      </c>
      <c r="G44" s="187">
        <v>39.700000000000003</v>
      </c>
      <c r="H44" s="187">
        <v>51.8</v>
      </c>
      <c r="I44" s="187">
        <v>34.5</v>
      </c>
      <c r="J44" s="187">
        <v>65.7</v>
      </c>
      <c r="K44" s="187">
        <v>43.8</v>
      </c>
      <c r="L44" s="187">
        <v>57.1</v>
      </c>
      <c r="M44" s="187">
        <v>38.1</v>
      </c>
      <c r="X44" s="215">
        <v>42</v>
      </c>
      <c r="Y44" s="216" t="s">
        <v>3100</v>
      </c>
      <c r="Z44" s="217" t="s">
        <v>3100</v>
      </c>
      <c r="AA44" s="222"/>
    </row>
    <row r="45" spans="1:27" ht="13.5">
      <c r="A45" s="187">
        <v>0.49</v>
      </c>
      <c r="B45" s="187">
        <v>59.4</v>
      </c>
      <c r="C45" s="187">
        <v>39.6</v>
      </c>
      <c r="D45" s="187">
        <v>51.7</v>
      </c>
      <c r="E45" s="187">
        <v>34.4</v>
      </c>
      <c r="F45" s="187">
        <v>65.2</v>
      </c>
      <c r="G45" s="187">
        <v>43.5</v>
      </c>
      <c r="H45" s="187">
        <v>56.7</v>
      </c>
      <c r="I45" s="187">
        <v>37.799999999999997</v>
      </c>
      <c r="J45" s="187">
        <v>71.8</v>
      </c>
      <c r="K45" s="187">
        <v>47.9</v>
      </c>
      <c r="L45" s="187">
        <v>62.4</v>
      </c>
      <c r="M45" s="187">
        <v>41.7</v>
      </c>
      <c r="X45" s="215">
        <v>43</v>
      </c>
      <c r="Y45" s="216" t="s">
        <v>3100</v>
      </c>
      <c r="Z45" s="217" t="s">
        <v>3100</v>
      </c>
      <c r="AA45" s="222"/>
    </row>
    <row r="46" spans="1:27" ht="13.5">
      <c r="A46" s="187">
        <v>0.75</v>
      </c>
      <c r="B46" s="187">
        <v>69</v>
      </c>
      <c r="C46" s="187">
        <v>46</v>
      </c>
      <c r="D46" s="187">
        <v>60</v>
      </c>
      <c r="E46" s="187">
        <v>40</v>
      </c>
      <c r="F46" s="187">
        <v>75.900000000000006</v>
      </c>
      <c r="G46" s="187">
        <v>50.6</v>
      </c>
      <c r="H46" s="187">
        <v>66</v>
      </c>
      <c r="I46" s="187">
        <v>44</v>
      </c>
      <c r="J46" s="187">
        <v>83.4</v>
      </c>
      <c r="K46" s="187">
        <v>55.6</v>
      </c>
      <c r="L46" s="187">
        <v>72.5</v>
      </c>
      <c r="M46" s="187">
        <v>48.3</v>
      </c>
      <c r="X46" s="215">
        <v>44</v>
      </c>
      <c r="Y46" s="216" t="s">
        <v>3100</v>
      </c>
      <c r="Z46" s="217" t="s">
        <v>3100</v>
      </c>
      <c r="AA46" s="222"/>
    </row>
    <row r="47" spans="1:27" ht="13.5">
      <c r="A47" s="187">
        <v>1.1000000000000001</v>
      </c>
      <c r="B47" s="187">
        <v>77.8</v>
      </c>
      <c r="C47" s="187">
        <v>51.9</v>
      </c>
      <c r="D47" s="187">
        <v>67.7</v>
      </c>
      <c r="E47" s="187">
        <v>45.1</v>
      </c>
      <c r="F47" s="187">
        <v>85.7</v>
      </c>
      <c r="G47" s="187">
        <v>57.1</v>
      </c>
      <c r="H47" s="187">
        <v>74.5</v>
      </c>
      <c r="I47" s="187">
        <v>49.7</v>
      </c>
      <c r="J47" s="187">
        <v>94.2</v>
      </c>
      <c r="K47" s="187">
        <v>62.8</v>
      </c>
      <c r="L47" s="187">
        <v>81.900000000000006</v>
      </c>
      <c r="M47" s="187">
        <v>54.6</v>
      </c>
      <c r="X47" s="215">
        <v>45</v>
      </c>
      <c r="Y47" s="216" t="s">
        <v>3100</v>
      </c>
      <c r="Z47" s="217" t="s">
        <v>3100</v>
      </c>
      <c r="AA47" s="222"/>
    </row>
    <row r="48" spans="1:27" ht="13.5">
      <c r="A48" s="187">
        <v>1000</v>
      </c>
      <c r="B48" s="187">
        <v>77.8</v>
      </c>
      <c r="C48" s="187">
        <v>51.9</v>
      </c>
      <c r="D48" s="187">
        <v>67.7</v>
      </c>
      <c r="E48" s="187">
        <v>45.1</v>
      </c>
      <c r="F48" s="187">
        <v>85.7</v>
      </c>
      <c r="G48" s="187">
        <v>57.1</v>
      </c>
      <c r="H48" s="187">
        <v>74.5</v>
      </c>
      <c r="I48" s="187">
        <v>49.7</v>
      </c>
      <c r="J48" s="187">
        <v>94.2</v>
      </c>
      <c r="K48" s="187">
        <v>62.8</v>
      </c>
      <c r="L48" s="187">
        <v>81.900000000000006</v>
      </c>
      <c r="M48" s="187">
        <v>54.6</v>
      </c>
      <c r="X48" s="215">
        <v>46</v>
      </c>
      <c r="Y48" s="216" t="s">
        <v>3100</v>
      </c>
      <c r="Z48" s="217" t="s">
        <v>3100</v>
      </c>
      <c r="AA48" s="222"/>
    </row>
    <row r="49" spans="1:27" ht="13.5">
      <c r="A49" s="200" t="s">
        <v>2246</v>
      </c>
      <c r="D49" s="200" t="s">
        <v>2247</v>
      </c>
      <c r="X49" s="215">
        <v>47</v>
      </c>
      <c r="Y49" s="216" t="s">
        <v>3100</v>
      </c>
      <c r="Z49" s="217" t="s">
        <v>3100</v>
      </c>
      <c r="AA49" s="222"/>
    </row>
    <row r="50" spans="1:27" ht="13.5">
      <c r="A50" s="187" t="s">
        <v>2173</v>
      </c>
      <c r="B50" s="187" t="s">
        <v>2280</v>
      </c>
      <c r="C50" s="187" t="s">
        <v>2281</v>
      </c>
      <c r="D50" s="200" t="s">
        <v>2282</v>
      </c>
      <c r="E50" s="187" t="s">
        <v>2283</v>
      </c>
      <c r="F50" s="187" t="s">
        <v>2284</v>
      </c>
      <c r="G50" s="187" t="s">
        <v>2285</v>
      </c>
      <c r="H50" s="187" t="s">
        <v>2286</v>
      </c>
      <c r="I50" s="187" t="s">
        <v>2287</v>
      </c>
      <c r="J50" s="187" t="s">
        <v>2288</v>
      </c>
      <c r="K50" s="187" t="s">
        <v>2289</v>
      </c>
      <c r="L50" s="187" t="s">
        <v>2290</v>
      </c>
      <c r="M50" s="187" t="s">
        <v>2291</v>
      </c>
      <c r="X50" s="215">
        <v>48</v>
      </c>
      <c r="Y50" s="216" t="s">
        <v>3100</v>
      </c>
      <c r="Z50" s="217" t="s">
        <v>3100</v>
      </c>
      <c r="AA50" s="222"/>
    </row>
    <row r="51" spans="1:27" ht="13.5">
      <c r="A51" s="187" t="s">
        <v>2239</v>
      </c>
      <c r="B51" s="209"/>
      <c r="D51" s="200"/>
      <c r="X51" s="215">
        <v>49</v>
      </c>
      <c r="Y51" s="216" t="s">
        <v>3100</v>
      </c>
      <c r="Z51" s="217" t="s">
        <v>3100</v>
      </c>
      <c r="AA51" s="222"/>
    </row>
    <row r="52" spans="1:27" ht="13.5">
      <c r="A52" s="235" t="s">
        <v>2235</v>
      </c>
      <c r="B52" s="205">
        <v>200</v>
      </c>
      <c r="C52" s="205"/>
      <c r="D52" s="205"/>
      <c r="E52" s="205"/>
      <c r="F52" s="205">
        <v>300</v>
      </c>
      <c r="G52" s="205"/>
      <c r="H52" s="205"/>
      <c r="I52" s="205"/>
      <c r="J52" s="205">
        <v>1000</v>
      </c>
      <c r="K52" s="205"/>
      <c r="L52" s="205"/>
      <c r="M52" s="205"/>
      <c r="X52" s="215">
        <v>50</v>
      </c>
      <c r="Y52" s="216" t="s">
        <v>3100</v>
      </c>
      <c r="Z52" s="217" t="s">
        <v>3100</v>
      </c>
      <c r="AA52" s="222"/>
    </row>
    <row r="53" spans="1:27" ht="13.5">
      <c r="A53" s="187" t="s">
        <v>6</v>
      </c>
      <c r="B53" s="205" t="s">
        <v>2237</v>
      </c>
      <c r="C53" s="205"/>
      <c r="D53" s="205" t="s">
        <v>2238</v>
      </c>
      <c r="E53" s="205"/>
      <c r="F53" s="205" t="s">
        <v>2237</v>
      </c>
      <c r="G53" s="205"/>
      <c r="H53" s="205" t="s">
        <v>2238</v>
      </c>
      <c r="I53" s="205"/>
      <c r="J53" s="205" t="s">
        <v>2237</v>
      </c>
      <c r="K53" s="205"/>
      <c r="L53" s="205" t="s">
        <v>2238</v>
      </c>
      <c r="M53" s="205"/>
      <c r="X53" s="215">
        <v>51</v>
      </c>
      <c r="Y53" s="216" t="s">
        <v>3100</v>
      </c>
      <c r="Z53" s="217" t="s">
        <v>3100</v>
      </c>
      <c r="AA53" s="222"/>
    </row>
    <row r="54" spans="1:27" ht="13.5">
      <c r="A54" s="187" t="s">
        <v>3101</v>
      </c>
      <c r="B54" s="187" t="s">
        <v>71</v>
      </c>
      <c r="C54" s="187" t="s">
        <v>72</v>
      </c>
      <c r="D54" s="187" t="s">
        <v>71</v>
      </c>
      <c r="E54" s="187" t="s">
        <v>72</v>
      </c>
      <c r="F54" s="187" t="s">
        <v>71</v>
      </c>
      <c r="G54" s="187" t="s">
        <v>72</v>
      </c>
      <c r="H54" s="187" t="s">
        <v>71</v>
      </c>
      <c r="I54" s="187" t="s">
        <v>72</v>
      </c>
      <c r="J54" s="187" t="s">
        <v>71</v>
      </c>
      <c r="K54" s="187" t="s">
        <v>72</v>
      </c>
      <c r="L54" s="187" t="s">
        <v>71</v>
      </c>
      <c r="M54" s="187" t="s">
        <v>72</v>
      </c>
      <c r="X54" s="215">
        <v>52</v>
      </c>
      <c r="Y54" s="216" t="s">
        <v>3100</v>
      </c>
      <c r="Z54" s="217" t="s">
        <v>3100</v>
      </c>
      <c r="AA54" s="222"/>
    </row>
    <row r="55" spans="1:27" ht="13.5">
      <c r="A55" s="187">
        <v>0.14000000000000001</v>
      </c>
      <c r="B55" s="187">
        <v>28</v>
      </c>
      <c r="C55" s="187">
        <v>23</v>
      </c>
      <c r="D55" s="187">
        <v>25</v>
      </c>
      <c r="E55" s="187">
        <v>21</v>
      </c>
      <c r="F55" s="187">
        <v>31</v>
      </c>
      <c r="G55" s="187">
        <v>25</v>
      </c>
      <c r="H55" s="187">
        <v>28</v>
      </c>
      <c r="I55" s="187">
        <v>23</v>
      </c>
      <c r="J55" s="187">
        <v>34</v>
      </c>
      <c r="K55" s="187">
        <v>28</v>
      </c>
      <c r="L55" s="187">
        <v>31</v>
      </c>
      <c r="M55" s="187">
        <v>25</v>
      </c>
      <c r="X55" s="215">
        <v>53</v>
      </c>
      <c r="Y55" s="216" t="s">
        <v>3100</v>
      </c>
      <c r="Z55" s="217" t="s">
        <v>3100</v>
      </c>
      <c r="AA55" s="222"/>
    </row>
    <row r="56" spans="1:27" ht="13.5">
      <c r="A56" s="187">
        <v>0.17</v>
      </c>
      <c r="B56" s="187">
        <v>32</v>
      </c>
      <c r="C56" s="187">
        <v>26</v>
      </c>
      <c r="D56" s="187">
        <v>29</v>
      </c>
      <c r="E56" s="187">
        <v>23</v>
      </c>
      <c r="F56" s="187">
        <v>35</v>
      </c>
      <c r="G56" s="187">
        <v>29</v>
      </c>
      <c r="H56" s="187">
        <v>32</v>
      </c>
      <c r="I56" s="187">
        <v>25</v>
      </c>
      <c r="J56" s="187">
        <v>39</v>
      </c>
      <c r="K56" s="187">
        <v>32</v>
      </c>
      <c r="L56" s="187">
        <v>35</v>
      </c>
      <c r="M56" s="187">
        <v>28</v>
      </c>
      <c r="X56" s="215">
        <v>54</v>
      </c>
      <c r="Y56" s="216" t="s">
        <v>3100</v>
      </c>
      <c r="Z56" s="217" t="s">
        <v>3100</v>
      </c>
      <c r="AA56" s="222"/>
    </row>
    <row r="57" spans="1:27" ht="13.5">
      <c r="A57" s="187">
        <v>0.21</v>
      </c>
      <c r="B57" s="187">
        <v>37</v>
      </c>
      <c r="C57" s="187">
        <v>29</v>
      </c>
      <c r="D57" s="187">
        <v>33</v>
      </c>
      <c r="E57" s="187">
        <v>26</v>
      </c>
      <c r="F57" s="187">
        <v>41</v>
      </c>
      <c r="G57" s="187">
        <v>32</v>
      </c>
      <c r="H57" s="187">
        <v>36</v>
      </c>
      <c r="I57" s="187">
        <v>29</v>
      </c>
      <c r="J57" s="187">
        <v>45</v>
      </c>
      <c r="K57" s="187">
        <v>35</v>
      </c>
      <c r="L57" s="187">
        <v>40</v>
      </c>
      <c r="M57" s="187">
        <v>32</v>
      </c>
      <c r="X57" s="215">
        <v>55</v>
      </c>
      <c r="Y57" s="216" t="s">
        <v>3100</v>
      </c>
      <c r="Z57" s="217" t="s">
        <v>3100</v>
      </c>
      <c r="AA57" s="222"/>
    </row>
    <row r="58" spans="1:27" ht="13.5">
      <c r="A58" s="187">
        <v>0.25</v>
      </c>
      <c r="B58" s="187">
        <v>40</v>
      </c>
      <c r="C58" s="187">
        <v>32</v>
      </c>
      <c r="D58" s="187">
        <v>36</v>
      </c>
      <c r="E58" s="187">
        <v>29</v>
      </c>
      <c r="F58" s="187">
        <v>44</v>
      </c>
      <c r="G58" s="187">
        <v>35</v>
      </c>
      <c r="H58" s="187">
        <v>40</v>
      </c>
      <c r="I58" s="187">
        <v>32</v>
      </c>
      <c r="J58" s="187">
        <v>48</v>
      </c>
      <c r="K58" s="187">
        <v>39</v>
      </c>
      <c r="L58" s="187">
        <v>44</v>
      </c>
      <c r="M58" s="187">
        <v>35</v>
      </c>
      <c r="X58" s="215">
        <v>56</v>
      </c>
      <c r="Y58" s="216" t="s">
        <v>3100</v>
      </c>
      <c r="Z58" s="217" t="s">
        <v>3100</v>
      </c>
      <c r="AA58" s="222"/>
    </row>
    <row r="59" spans="1:27" ht="13.5">
      <c r="A59" s="187">
        <v>0.32</v>
      </c>
      <c r="B59" s="187">
        <v>46</v>
      </c>
      <c r="C59" s="187">
        <v>37</v>
      </c>
      <c r="D59" s="187">
        <v>41</v>
      </c>
      <c r="E59" s="187">
        <v>33</v>
      </c>
      <c r="F59" s="187">
        <v>51</v>
      </c>
      <c r="G59" s="187">
        <v>41</v>
      </c>
      <c r="H59" s="187">
        <v>45</v>
      </c>
      <c r="I59" s="187">
        <v>36</v>
      </c>
      <c r="J59" s="187">
        <v>56</v>
      </c>
      <c r="K59" s="187">
        <v>45</v>
      </c>
      <c r="L59" s="187">
        <v>50</v>
      </c>
      <c r="M59" s="187">
        <v>40</v>
      </c>
      <c r="X59" s="215">
        <v>57</v>
      </c>
      <c r="Y59" s="216" t="s">
        <v>3100</v>
      </c>
      <c r="Z59" s="217" t="s">
        <v>3100</v>
      </c>
      <c r="AA59" s="222"/>
    </row>
    <row r="60" spans="1:27" ht="13.5">
      <c r="A60" s="187">
        <v>0.39</v>
      </c>
      <c r="B60" s="187">
        <v>50</v>
      </c>
      <c r="C60" s="187">
        <v>40</v>
      </c>
      <c r="D60" s="187">
        <v>45</v>
      </c>
      <c r="E60" s="187">
        <v>36</v>
      </c>
      <c r="F60" s="187">
        <v>55</v>
      </c>
      <c r="G60" s="187">
        <v>44</v>
      </c>
      <c r="H60" s="187">
        <v>50</v>
      </c>
      <c r="I60" s="187">
        <v>40</v>
      </c>
      <c r="J60" s="187">
        <v>61</v>
      </c>
      <c r="K60" s="187">
        <v>48</v>
      </c>
      <c r="L60" s="187">
        <v>55</v>
      </c>
      <c r="M60" s="187">
        <v>44</v>
      </c>
      <c r="X60" s="215">
        <v>58</v>
      </c>
      <c r="Y60" s="216" t="s">
        <v>3100</v>
      </c>
      <c r="Z60" s="217" t="s">
        <v>3100</v>
      </c>
      <c r="AA60" s="222"/>
    </row>
    <row r="61" spans="1:27" ht="13.5">
      <c r="A61" s="187">
        <v>0.49</v>
      </c>
      <c r="B61" s="187">
        <v>55</v>
      </c>
      <c r="C61" s="187">
        <v>44</v>
      </c>
      <c r="D61" s="187">
        <v>50</v>
      </c>
      <c r="E61" s="187">
        <v>40</v>
      </c>
      <c r="F61" s="187">
        <v>61</v>
      </c>
      <c r="G61" s="187">
        <v>48</v>
      </c>
      <c r="H61" s="187">
        <v>55</v>
      </c>
      <c r="I61" s="187">
        <v>44</v>
      </c>
      <c r="J61" s="187">
        <v>67</v>
      </c>
      <c r="K61" s="187">
        <v>53</v>
      </c>
      <c r="L61" s="187">
        <v>61</v>
      </c>
      <c r="M61" s="187">
        <v>48</v>
      </c>
      <c r="X61" s="215">
        <v>59</v>
      </c>
      <c r="Y61" s="216" t="s">
        <v>3100</v>
      </c>
      <c r="Z61" s="217" t="s">
        <v>3100</v>
      </c>
      <c r="AA61" s="222"/>
    </row>
    <row r="62" spans="1:27" ht="13.5">
      <c r="A62" s="187">
        <v>0.75</v>
      </c>
      <c r="B62" s="187">
        <v>63</v>
      </c>
      <c r="C62" s="187">
        <v>51</v>
      </c>
      <c r="D62" s="187">
        <v>57</v>
      </c>
      <c r="E62" s="187">
        <v>46</v>
      </c>
      <c r="F62" s="187">
        <v>69</v>
      </c>
      <c r="G62" s="187">
        <v>56</v>
      </c>
      <c r="H62" s="187">
        <v>63</v>
      </c>
      <c r="I62" s="187">
        <v>51</v>
      </c>
      <c r="J62" s="187">
        <v>76</v>
      </c>
      <c r="K62" s="187">
        <v>62</v>
      </c>
      <c r="L62" s="187">
        <v>69</v>
      </c>
      <c r="M62" s="187">
        <v>56</v>
      </c>
      <c r="X62" s="215">
        <v>60</v>
      </c>
      <c r="Y62" s="216" t="s">
        <v>3100</v>
      </c>
      <c r="Z62" s="217" t="s">
        <v>3100</v>
      </c>
      <c r="AA62" s="222"/>
    </row>
    <row r="63" spans="1:27" ht="13.5">
      <c r="A63" s="187">
        <v>1.1000000000000001</v>
      </c>
      <c r="B63" s="187">
        <v>69</v>
      </c>
      <c r="C63" s="187">
        <v>56</v>
      </c>
      <c r="D63" s="187">
        <v>62</v>
      </c>
      <c r="E63" s="187">
        <v>50</v>
      </c>
      <c r="F63" s="187">
        <v>76</v>
      </c>
      <c r="G63" s="187">
        <v>62</v>
      </c>
      <c r="H63" s="187">
        <v>68</v>
      </c>
      <c r="I63" s="187">
        <v>55</v>
      </c>
      <c r="J63" s="187">
        <v>84</v>
      </c>
      <c r="K63" s="187">
        <v>68</v>
      </c>
      <c r="L63" s="187">
        <v>75</v>
      </c>
      <c r="M63" s="187">
        <v>61</v>
      </c>
      <c r="X63" s="215">
        <v>61</v>
      </c>
      <c r="Y63" s="216" t="s">
        <v>3100</v>
      </c>
      <c r="Z63" s="217" t="s">
        <v>3100</v>
      </c>
      <c r="AA63" s="222"/>
    </row>
    <row r="64" spans="1:27" ht="13.5">
      <c r="A64" s="187">
        <v>1000</v>
      </c>
      <c r="B64" s="187">
        <v>69</v>
      </c>
      <c r="C64" s="187">
        <v>56</v>
      </c>
      <c r="D64" s="187">
        <v>62</v>
      </c>
      <c r="E64" s="187">
        <v>50</v>
      </c>
      <c r="F64" s="187">
        <v>76</v>
      </c>
      <c r="G64" s="187">
        <v>62</v>
      </c>
      <c r="H64" s="187">
        <v>68</v>
      </c>
      <c r="I64" s="187">
        <v>55</v>
      </c>
      <c r="J64" s="187">
        <v>84</v>
      </c>
      <c r="K64" s="187">
        <v>68</v>
      </c>
      <c r="L64" s="187">
        <v>75</v>
      </c>
      <c r="M64" s="187">
        <v>61</v>
      </c>
      <c r="X64" s="215">
        <v>62</v>
      </c>
      <c r="Y64" s="216" t="s">
        <v>3100</v>
      </c>
      <c r="Z64" s="217" t="s">
        <v>3100</v>
      </c>
      <c r="AA64" s="222"/>
    </row>
    <row r="65" spans="1:27" ht="13.5">
      <c r="A65" s="200" t="s">
        <v>2248</v>
      </c>
      <c r="D65" s="200" t="s">
        <v>2249</v>
      </c>
      <c r="X65" s="215">
        <v>63</v>
      </c>
      <c r="Y65" s="216" t="s">
        <v>3100</v>
      </c>
      <c r="Z65" s="217" t="s">
        <v>3100</v>
      </c>
      <c r="AA65" s="222"/>
    </row>
    <row r="66" spans="1:27" ht="13.5">
      <c r="A66" s="187" t="s">
        <v>2173</v>
      </c>
      <c r="B66" s="187" t="s">
        <v>2280</v>
      </c>
      <c r="C66" s="187" t="s">
        <v>2281</v>
      </c>
      <c r="D66" s="200" t="s">
        <v>2282</v>
      </c>
      <c r="E66" s="187" t="s">
        <v>2283</v>
      </c>
      <c r="F66" s="187" t="s">
        <v>2284</v>
      </c>
      <c r="G66" s="187" t="s">
        <v>2285</v>
      </c>
      <c r="H66" s="187" t="s">
        <v>2286</v>
      </c>
      <c r="I66" s="187" t="s">
        <v>2287</v>
      </c>
      <c r="J66" s="187" t="s">
        <v>2288</v>
      </c>
      <c r="K66" s="187" t="s">
        <v>2289</v>
      </c>
      <c r="L66" s="187" t="s">
        <v>2290</v>
      </c>
      <c r="M66" s="187" t="s">
        <v>2291</v>
      </c>
      <c r="X66" s="215">
        <v>64</v>
      </c>
      <c r="Y66" s="216" t="s">
        <v>3100</v>
      </c>
      <c r="Z66" s="217" t="s">
        <v>3100</v>
      </c>
      <c r="AA66" s="222"/>
    </row>
    <row r="67" spans="1:27" ht="13.5">
      <c r="A67" s="187" t="s">
        <v>2239</v>
      </c>
      <c r="B67" s="209"/>
      <c r="D67" s="200"/>
      <c r="X67" s="215">
        <v>65</v>
      </c>
      <c r="Y67" s="216" t="s">
        <v>3100</v>
      </c>
      <c r="Z67" s="217" t="s">
        <v>3100</v>
      </c>
      <c r="AA67" s="222"/>
    </row>
    <row r="68" spans="1:27" ht="13.5">
      <c r="A68" s="235" t="s">
        <v>2235</v>
      </c>
      <c r="B68" s="205">
        <v>200</v>
      </c>
      <c r="C68" s="205"/>
      <c r="D68" s="205"/>
      <c r="E68" s="205"/>
      <c r="F68" s="205">
        <v>300</v>
      </c>
      <c r="G68" s="205"/>
      <c r="H68" s="205"/>
      <c r="I68" s="205"/>
      <c r="J68" s="205">
        <v>1000</v>
      </c>
      <c r="K68" s="205"/>
      <c r="L68" s="205"/>
      <c r="M68" s="205"/>
      <c r="X68" s="215">
        <v>66</v>
      </c>
      <c r="Y68" s="216" t="s">
        <v>3100</v>
      </c>
      <c r="Z68" s="217" t="s">
        <v>3100</v>
      </c>
      <c r="AA68" s="222"/>
    </row>
    <row r="69" spans="1:27" ht="13.5">
      <c r="A69" s="187" t="s">
        <v>6</v>
      </c>
      <c r="B69" s="205" t="s">
        <v>2237</v>
      </c>
      <c r="C69" s="205"/>
      <c r="D69" s="205" t="s">
        <v>2238</v>
      </c>
      <c r="E69" s="205"/>
      <c r="F69" s="205" t="s">
        <v>2237</v>
      </c>
      <c r="G69" s="205"/>
      <c r="H69" s="205" t="s">
        <v>2238</v>
      </c>
      <c r="I69" s="205"/>
      <c r="J69" s="205" t="s">
        <v>2237</v>
      </c>
      <c r="K69" s="205"/>
      <c r="L69" s="205" t="s">
        <v>2238</v>
      </c>
      <c r="M69" s="205"/>
      <c r="X69" s="215">
        <v>67</v>
      </c>
      <c r="Y69" s="216" t="s">
        <v>3100</v>
      </c>
      <c r="Z69" s="217" t="s">
        <v>3100</v>
      </c>
      <c r="AA69" s="222"/>
    </row>
    <row r="70" spans="1:27" ht="13.5">
      <c r="A70" s="187" t="s">
        <v>3101</v>
      </c>
      <c r="B70" s="187" t="s">
        <v>71</v>
      </c>
      <c r="C70" s="187" t="s">
        <v>72</v>
      </c>
      <c r="D70" s="187" t="s">
        <v>71</v>
      </c>
      <c r="E70" s="187" t="s">
        <v>72</v>
      </c>
      <c r="F70" s="187" t="s">
        <v>71</v>
      </c>
      <c r="G70" s="187" t="s">
        <v>72</v>
      </c>
      <c r="H70" s="187" t="s">
        <v>71</v>
      </c>
      <c r="I70" s="187" t="s">
        <v>72</v>
      </c>
      <c r="J70" s="187" t="s">
        <v>71</v>
      </c>
      <c r="K70" s="187" t="s">
        <v>72</v>
      </c>
      <c r="L70" s="187" t="s">
        <v>71</v>
      </c>
      <c r="M70" s="187" t="s">
        <v>72</v>
      </c>
      <c r="X70" s="215">
        <v>68</v>
      </c>
      <c r="Y70" s="216" t="s">
        <v>3100</v>
      </c>
      <c r="Z70" s="217" t="s">
        <v>3100</v>
      </c>
      <c r="AA70" s="222"/>
    </row>
    <row r="71" spans="1:27" ht="13.5">
      <c r="A71" s="187">
        <v>0.14000000000000001</v>
      </c>
      <c r="B71" s="187">
        <v>22</v>
      </c>
      <c r="C71" s="187">
        <v>17</v>
      </c>
      <c r="D71" s="187">
        <v>20</v>
      </c>
      <c r="E71" s="187">
        <v>15</v>
      </c>
      <c r="F71" s="187">
        <v>24</v>
      </c>
      <c r="G71" s="187">
        <v>19</v>
      </c>
      <c r="H71" s="187">
        <v>22</v>
      </c>
      <c r="I71" s="187">
        <v>17</v>
      </c>
      <c r="J71" s="187">
        <v>26</v>
      </c>
      <c r="K71" s="187">
        <v>21</v>
      </c>
      <c r="L71" s="187">
        <v>24</v>
      </c>
      <c r="M71" s="187">
        <v>19</v>
      </c>
      <c r="X71" s="215">
        <v>69</v>
      </c>
      <c r="Y71" s="216" t="s">
        <v>3100</v>
      </c>
      <c r="Z71" s="217" t="s">
        <v>3100</v>
      </c>
      <c r="AA71" s="222"/>
    </row>
    <row r="72" spans="1:27" ht="13.5">
      <c r="A72" s="187">
        <v>0.17</v>
      </c>
      <c r="B72" s="187">
        <v>25</v>
      </c>
      <c r="C72" s="187">
        <v>20</v>
      </c>
      <c r="D72" s="187">
        <v>23</v>
      </c>
      <c r="E72" s="187">
        <v>18</v>
      </c>
      <c r="F72" s="187">
        <v>28</v>
      </c>
      <c r="G72" s="187">
        <v>22</v>
      </c>
      <c r="H72" s="187">
        <v>25</v>
      </c>
      <c r="I72" s="187">
        <v>20</v>
      </c>
      <c r="J72" s="187">
        <v>31</v>
      </c>
      <c r="K72" s="187">
        <v>24</v>
      </c>
      <c r="L72" s="187">
        <v>28</v>
      </c>
      <c r="M72" s="187">
        <v>22</v>
      </c>
      <c r="X72" s="215">
        <v>70</v>
      </c>
      <c r="Y72" s="216" t="s">
        <v>3100</v>
      </c>
      <c r="Z72" s="217" t="s">
        <v>3100</v>
      </c>
      <c r="AA72" s="222"/>
    </row>
    <row r="73" spans="1:27" ht="13.5">
      <c r="A73" s="187">
        <v>0.21</v>
      </c>
      <c r="B73" s="187">
        <v>28</v>
      </c>
      <c r="C73" s="187">
        <v>22</v>
      </c>
      <c r="D73" s="187">
        <v>25</v>
      </c>
      <c r="E73" s="187">
        <v>20</v>
      </c>
      <c r="F73" s="187">
        <v>31</v>
      </c>
      <c r="G73" s="187">
        <v>24</v>
      </c>
      <c r="H73" s="187">
        <v>28</v>
      </c>
      <c r="I73" s="187">
        <v>22</v>
      </c>
      <c r="J73" s="187">
        <v>34</v>
      </c>
      <c r="K73" s="187">
        <v>26</v>
      </c>
      <c r="L73" s="187">
        <v>31</v>
      </c>
      <c r="M73" s="187">
        <v>24</v>
      </c>
      <c r="X73" s="215">
        <v>71</v>
      </c>
      <c r="Y73" s="216" t="s">
        <v>3100</v>
      </c>
      <c r="Z73" s="217" t="s">
        <v>3100</v>
      </c>
      <c r="AA73" s="222"/>
    </row>
    <row r="74" spans="1:27" ht="13.5">
      <c r="A74" s="187">
        <v>0.25</v>
      </c>
      <c r="B74" s="187">
        <v>31</v>
      </c>
      <c r="C74" s="187">
        <v>25</v>
      </c>
      <c r="D74" s="187">
        <v>28</v>
      </c>
      <c r="E74" s="187">
        <v>23</v>
      </c>
      <c r="F74" s="187">
        <v>34</v>
      </c>
      <c r="G74" s="187">
        <v>28</v>
      </c>
      <c r="H74" s="187">
        <v>31</v>
      </c>
      <c r="I74" s="187">
        <v>25</v>
      </c>
      <c r="J74" s="187">
        <v>37</v>
      </c>
      <c r="K74" s="187">
        <v>31</v>
      </c>
      <c r="L74" s="187">
        <v>34</v>
      </c>
      <c r="M74" s="187">
        <v>28</v>
      </c>
      <c r="X74" s="215">
        <v>72</v>
      </c>
      <c r="Y74" s="216" t="s">
        <v>3100</v>
      </c>
      <c r="Z74" s="217" t="s">
        <v>3100</v>
      </c>
      <c r="AA74" s="222"/>
    </row>
    <row r="75" spans="1:27" ht="13.5">
      <c r="A75" s="187">
        <v>0.32</v>
      </c>
      <c r="B75" s="187">
        <v>35</v>
      </c>
      <c r="C75" s="187">
        <v>28</v>
      </c>
      <c r="D75" s="187">
        <v>32</v>
      </c>
      <c r="E75" s="187">
        <v>25</v>
      </c>
      <c r="F75" s="187">
        <v>39</v>
      </c>
      <c r="G75" s="187">
        <v>31</v>
      </c>
      <c r="H75" s="187">
        <v>35</v>
      </c>
      <c r="I75" s="187">
        <v>28</v>
      </c>
      <c r="J75" s="187">
        <v>43</v>
      </c>
      <c r="K75" s="187">
        <v>34</v>
      </c>
      <c r="L75" s="187">
        <v>39</v>
      </c>
      <c r="M75" s="187">
        <v>31</v>
      </c>
      <c r="X75" s="215">
        <v>73</v>
      </c>
      <c r="Y75" s="216" t="s">
        <v>3100</v>
      </c>
      <c r="Z75" s="217" t="s">
        <v>3100</v>
      </c>
      <c r="AA75" s="222"/>
    </row>
    <row r="76" spans="1:27" ht="13.5">
      <c r="A76" s="187">
        <v>0.39</v>
      </c>
      <c r="B76" s="187">
        <v>38</v>
      </c>
      <c r="C76" s="187">
        <v>31</v>
      </c>
      <c r="D76" s="187">
        <v>34</v>
      </c>
      <c r="E76" s="187">
        <v>28</v>
      </c>
      <c r="F76" s="187">
        <v>42</v>
      </c>
      <c r="G76" s="187">
        <v>34</v>
      </c>
      <c r="H76" s="187">
        <v>37</v>
      </c>
      <c r="I76" s="187">
        <v>31</v>
      </c>
      <c r="J76" s="187">
        <v>46</v>
      </c>
      <c r="K76" s="187">
        <v>37</v>
      </c>
      <c r="L76" s="187">
        <v>41</v>
      </c>
      <c r="M76" s="187">
        <v>34</v>
      </c>
      <c r="X76" s="215">
        <v>74</v>
      </c>
      <c r="Y76" s="216" t="s">
        <v>3100</v>
      </c>
      <c r="Z76" s="217" t="s">
        <v>3100</v>
      </c>
      <c r="AA76" s="222"/>
    </row>
    <row r="77" spans="1:27" ht="13.5">
      <c r="A77" s="187">
        <v>0.49</v>
      </c>
      <c r="B77" s="187">
        <v>42</v>
      </c>
      <c r="C77" s="187">
        <v>33</v>
      </c>
      <c r="D77" s="187">
        <v>38</v>
      </c>
      <c r="E77" s="187">
        <v>30</v>
      </c>
      <c r="F77" s="187">
        <v>46</v>
      </c>
      <c r="G77" s="187">
        <v>36</v>
      </c>
      <c r="H77" s="187">
        <v>42</v>
      </c>
      <c r="I77" s="187">
        <v>33</v>
      </c>
      <c r="J77" s="187">
        <v>51</v>
      </c>
      <c r="K77" s="187">
        <v>40</v>
      </c>
      <c r="L77" s="187">
        <v>46</v>
      </c>
      <c r="M77" s="187">
        <v>36</v>
      </c>
      <c r="X77" s="215">
        <v>75</v>
      </c>
      <c r="Y77" s="216" t="s">
        <v>3100</v>
      </c>
      <c r="Z77" s="217" t="s">
        <v>3100</v>
      </c>
      <c r="AA77" s="222"/>
    </row>
    <row r="78" spans="1:27" ht="13.5">
      <c r="A78" s="187">
        <v>0.75</v>
      </c>
      <c r="B78" s="187">
        <v>48</v>
      </c>
      <c r="C78" s="187">
        <v>38</v>
      </c>
      <c r="D78" s="187">
        <v>43</v>
      </c>
      <c r="E78" s="187">
        <v>34</v>
      </c>
      <c r="F78" s="187">
        <v>53</v>
      </c>
      <c r="G78" s="187">
        <v>42</v>
      </c>
      <c r="H78" s="187">
        <v>47</v>
      </c>
      <c r="I78" s="187">
        <v>37</v>
      </c>
      <c r="J78" s="187">
        <v>58</v>
      </c>
      <c r="K78" s="187">
        <v>46</v>
      </c>
      <c r="L78" s="187">
        <v>52</v>
      </c>
      <c r="M78" s="187">
        <v>41</v>
      </c>
      <c r="X78" s="215">
        <v>76</v>
      </c>
      <c r="Y78" s="216" t="s">
        <v>3100</v>
      </c>
      <c r="Z78" s="217" t="s">
        <v>3100</v>
      </c>
      <c r="AA78" s="222"/>
    </row>
    <row r="79" spans="1:27" ht="13.5">
      <c r="A79" s="187">
        <v>1.1000000000000001</v>
      </c>
      <c r="B79" s="187">
        <v>53</v>
      </c>
      <c r="C79" s="187">
        <v>42</v>
      </c>
      <c r="D79" s="187">
        <v>48</v>
      </c>
      <c r="E79" s="187">
        <v>38</v>
      </c>
      <c r="F79" s="187">
        <v>58</v>
      </c>
      <c r="G79" s="187">
        <v>46</v>
      </c>
      <c r="H79" s="187">
        <v>53</v>
      </c>
      <c r="I79" s="187">
        <v>42</v>
      </c>
      <c r="J79" s="187">
        <v>64</v>
      </c>
      <c r="K79" s="187">
        <v>51</v>
      </c>
      <c r="L79" s="187">
        <v>58</v>
      </c>
      <c r="M79" s="187">
        <v>46</v>
      </c>
      <c r="X79" s="215">
        <v>77</v>
      </c>
      <c r="Y79" s="216" t="s">
        <v>3100</v>
      </c>
      <c r="Z79" s="217" t="s">
        <v>3100</v>
      </c>
      <c r="AA79" s="222"/>
    </row>
    <row r="80" spans="1:27" ht="13.5">
      <c r="A80" s="187">
        <v>1000</v>
      </c>
      <c r="B80" s="187">
        <v>53</v>
      </c>
      <c r="C80" s="187">
        <v>42</v>
      </c>
      <c r="D80" s="187">
        <v>48</v>
      </c>
      <c r="E80" s="187">
        <v>38</v>
      </c>
      <c r="F80" s="187">
        <v>58</v>
      </c>
      <c r="G80" s="187">
        <v>46</v>
      </c>
      <c r="H80" s="187">
        <v>53</v>
      </c>
      <c r="I80" s="187">
        <v>42</v>
      </c>
      <c r="J80" s="187">
        <v>64</v>
      </c>
      <c r="K80" s="187">
        <v>51</v>
      </c>
      <c r="L80" s="187">
        <v>58</v>
      </c>
      <c r="M80" s="187">
        <v>46</v>
      </c>
      <c r="X80" s="215">
        <v>78</v>
      </c>
      <c r="Y80" s="216" t="s">
        <v>3100</v>
      </c>
      <c r="Z80" s="217" t="s">
        <v>3100</v>
      </c>
      <c r="AA80" s="222"/>
    </row>
    <row r="81" spans="1:27" ht="13.5">
      <c r="A81" s="200" t="s">
        <v>2250</v>
      </c>
      <c r="D81" s="200" t="s">
        <v>2251</v>
      </c>
      <c r="X81" s="215">
        <v>79</v>
      </c>
      <c r="Y81" s="216" t="s">
        <v>3100</v>
      </c>
      <c r="Z81" s="217" t="s">
        <v>3100</v>
      </c>
      <c r="AA81" s="222"/>
    </row>
    <row r="82" spans="1:27" ht="13.5">
      <c r="A82" s="187" t="s">
        <v>2173</v>
      </c>
      <c r="B82" s="187" t="s">
        <v>2280</v>
      </c>
      <c r="C82" s="187" t="s">
        <v>2281</v>
      </c>
      <c r="D82" s="200" t="s">
        <v>2282</v>
      </c>
      <c r="E82" s="187" t="s">
        <v>2283</v>
      </c>
      <c r="F82" s="187" t="s">
        <v>2284</v>
      </c>
      <c r="G82" s="187" t="s">
        <v>2285</v>
      </c>
      <c r="H82" s="187" t="s">
        <v>2286</v>
      </c>
      <c r="I82" s="187" t="s">
        <v>2287</v>
      </c>
      <c r="J82" s="187" t="s">
        <v>2288</v>
      </c>
      <c r="K82" s="187" t="s">
        <v>2289</v>
      </c>
      <c r="L82" s="187" t="s">
        <v>2290</v>
      </c>
      <c r="M82" s="187" t="s">
        <v>2291</v>
      </c>
      <c r="X82" s="215">
        <v>80</v>
      </c>
      <c r="Y82" s="216" t="s">
        <v>3100</v>
      </c>
      <c r="Z82" s="217" t="s">
        <v>3100</v>
      </c>
      <c r="AA82" s="222"/>
    </row>
    <row r="83" spans="1:27" ht="13.5">
      <c r="A83" s="187" t="s">
        <v>2239</v>
      </c>
      <c r="B83" s="209"/>
      <c r="D83" s="200"/>
      <c r="X83" s="215">
        <v>81</v>
      </c>
      <c r="Y83" s="216" t="s">
        <v>3100</v>
      </c>
      <c r="Z83" s="217" t="s">
        <v>3100</v>
      </c>
      <c r="AA83" s="222"/>
    </row>
    <row r="84" spans="1:27" ht="13.5">
      <c r="A84" s="235" t="s">
        <v>2235</v>
      </c>
      <c r="B84" s="205">
        <v>200</v>
      </c>
      <c r="C84" s="205"/>
      <c r="D84" s="205"/>
      <c r="E84" s="205"/>
      <c r="F84" s="205">
        <v>300</v>
      </c>
      <c r="G84" s="205"/>
      <c r="H84" s="205"/>
      <c r="I84" s="205"/>
      <c r="J84" s="205">
        <v>1000</v>
      </c>
      <c r="K84" s="205"/>
      <c r="L84" s="205"/>
      <c r="M84" s="205"/>
      <c r="X84" s="215">
        <v>82</v>
      </c>
      <c r="Y84" s="216" t="s">
        <v>3100</v>
      </c>
      <c r="Z84" s="217" t="s">
        <v>3100</v>
      </c>
      <c r="AA84" s="222"/>
    </row>
    <row r="85" spans="1:27" ht="13.5">
      <c r="A85" s="187" t="s">
        <v>6</v>
      </c>
      <c r="B85" s="205" t="s">
        <v>2237</v>
      </c>
      <c r="C85" s="205"/>
      <c r="D85" s="205" t="s">
        <v>2238</v>
      </c>
      <c r="E85" s="205"/>
      <c r="F85" s="205" t="s">
        <v>2237</v>
      </c>
      <c r="G85" s="205"/>
      <c r="H85" s="205" t="s">
        <v>2238</v>
      </c>
      <c r="I85" s="205"/>
      <c r="J85" s="205" t="s">
        <v>2237</v>
      </c>
      <c r="K85" s="205"/>
      <c r="L85" s="205" t="s">
        <v>2238</v>
      </c>
      <c r="M85" s="205"/>
      <c r="X85" s="215">
        <v>83</v>
      </c>
      <c r="Y85" s="216" t="s">
        <v>3100</v>
      </c>
      <c r="Z85" s="217" t="s">
        <v>3100</v>
      </c>
      <c r="AA85" s="222"/>
    </row>
    <row r="86" spans="1:27" ht="13.5">
      <c r="A86" s="187" t="s">
        <v>3101</v>
      </c>
      <c r="B86" s="187" t="s">
        <v>71</v>
      </c>
      <c r="C86" s="187" t="s">
        <v>72</v>
      </c>
      <c r="D86" s="187" t="s">
        <v>71</v>
      </c>
      <c r="E86" s="187" t="s">
        <v>72</v>
      </c>
      <c r="F86" s="187" t="s">
        <v>71</v>
      </c>
      <c r="G86" s="187" t="s">
        <v>72</v>
      </c>
      <c r="H86" s="187" t="s">
        <v>71</v>
      </c>
      <c r="I86" s="187" t="s">
        <v>72</v>
      </c>
      <c r="J86" s="187" t="s">
        <v>71</v>
      </c>
      <c r="K86" s="187" t="s">
        <v>72</v>
      </c>
      <c r="L86" s="187" t="s">
        <v>71</v>
      </c>
      <c r="M86" s="187" t="s">
        <v>72</v>
      </c>
      <c r="X86" s="215">
        <v>84</v>
      </c>
      <c r="Y86" s="216" t="s">
        <v>3100</v>
      </c>
      <c r="Z86" s="217" t="s">
        <v>3100</v>
      </c>
      <c r="AA86" s="222"/>
    </row>
    <row r="87" spans="1:27" ht="13.5">
      <c r="A87" s="187">
        <v>0.14000000000000001</v>
      </c>
      <c r="B87" s="187">
        <v>40</v>
      </c>
      <c r="C87" s="187">
        <v>33</v>
      </c>
      <c r="D87" s="187">
        <v>36</v>
      </c>
      <c r="E87" s="187">
        <v>30</v>
      </c>
      <c r="F87" s="187">
        <v>44</v>
      </c>
      <c r="G87" s="187">
        <v>36</v>
      </c>
      <c r="H87" s="187">
        <v>40</v>
      </c>
      <c r="I87" s="187">
        <v>33</v>
      </c>
      <c r="J87" s="187">
        <v>48</v>
      </c>
      <c r="K87" s="187">
        <v>40</v>
      </c>
      <c r="L87" s="187">
        <v>44</v>
      </c>
      <c r="M87" s="187">
        <v>36</v>
      </c>
      <c r="X87" s="215">
        <v>85</v>
      </c>
      <c r="Y87" s="216" t="s">
        <v>3100</v>
      </c>
      <c r="Z87" s="217" t="s">
        <v>3100</v>
      </c>
      <c r="AA87" s="222"/>
    </row>
    <row r="88" spans="1:27" ht="13.5">
      <c r="A88" s="187">
        <v>0.17</v>
      </c>
      <c r="B88" s="187">
        <v>45</v>
      </c>
      <c r="C88" s="187">
        <v>37</v>
      </c>
      <c r="D88" s="187">
        <v>41</v>
      </c>
      <c r="E88" s="187">
        <v>33</v>
      </c>
      <c r="F88" s="187">
        <v>50</v>
      </c>
      <c r="G88" s="187">
        <v>41</v>
      </c>
      <c r="H88" s="187">
        <v>45</v>
      </c>
      <c r="I88" s="187">
        <v>36</v>
      </c>
      <c r="J88" s="187">
        <v>55</v>
      </c>
      <c r="K88" s="187">
        <v>45</v>
      </c>
      <c r="L88" s="187">
        <v>50</v>
      </c>
      <c r="M88" s="187">
        <v>40</v>
      </c>
      <c r="X88" s="215">
        <v>86</v>
      </c>
      <c r="Y88" s="216" t="s">
        <v>3100</v>
      </c>
      <c r="Z88" s="217" t="s">
        <v>3100</v>
      </c>
      <c r="AA88" s="222"/>
    </row>
    <row r="89" spans="1:27" ht="13.5">
      <c r="A89" s="187">
        <v>0.21</v>
      </c>
      <c r="B89" s="187">
        <v>52</v>
      </c>
      <c r="C89" s="187">
        <v>42</v>
      </c>
      <c r="D89" s="187">
        <v>47</v>
      </c>
      <c r="E89" s="187">
        <v>38</v>
      </c>
      <c r="F89" s="187">
        <v>57</v>
      </c>
      <c r="G89" s="187">
        <v>46</v>
      </c>
      <c r="H89" s="187">
        <v>52</v>
      </c>
      <c r="I89" s="187">
        <v>42</v>
      </c>
      <c r="J89" s="187">
        <v>63</v>
      </c>
      <c r="K89" s="187">
        <v>51</v>
      </c>
      <c r="L89" s="187">
        <v>57</v>
      </c>
      <c r="M89" s="187">
        <v>46</v>
      </c>
      <c r="X89" s="215">
        <v>87</v>
      </c>
      <c r="Y89" s="216" t="s">
        <v>3100</v>
      </c>
      <c r="Z89" s="217" t="s">
        <v>3100</v>
      </c>
      <c r="AA89" s="222"/>
    </row>
    <row r="90" spans="1:27" ht="14.25" thickBot="1">
      <c r="A90" s="187">
        <v>0.25</v>
      </c>
      <c r="B90" s="187">
        <v>57</v>
      </c>
      <c r="C90" s="187">
        <v>46</v>
      </c>
      <c r="D90" s="187">
        <v>51</v>
      </c>
      <c r="E90" s="187">
        <v>41</v>
      </c>
      <c r="F90" s="187">
        <v>63</v>
      </c>
      <c r="G90" s="187">
        <v>51</v>
      </c>
      <c r="H90" s="187">
        <v>56</v>
      </c>
      <c r="I90" s="187">
        <v>45</v>
      </c>
      <c r="J90" s="187">
        <v>69</v>
      </c>
      <c r="K90" s="187">
        <v>56</v>
      </c>
      <c r="L90" s="187">
        <v>62</v>
      </c>
      <c r="M90" s="187">
        <v>50</v>
      </c>
      <c r="P90" s="202"/>
      <c r="Q90" s="203"/>
      <c r="X90" s="215">
        <v>88</v>
      </c>
      <c r="Y90" s="216" t="s">
        <v>3100</v>
      </c>
      <c r="Z90" s="217" t="s">
        <v>3100</v>
      </c>
      <c r="AA90" s="222"/>
    </row>
    <row r="91" spans="1:27" ht="13.5">
      <c r="A91" s="187">
        <v>0.32</v>
      </c>
      <c r="B91" s="187">
        <v>65</v>
      </c>
      <c r="C91" s="187">
        <v>53</v>
      </c>
      <c r="D91" s="187">
        <v>59</v>
      </c>
      <c r="E91" s="187">
        <v>48</v>
      </c>
      <c r="F91" s="187">
        <v>72</v>
      </c>
      <c r="G91" s="187">
        <v>58</v>
      </c>
      <c r="H91" s="187">
        <v>65</v>
      </c>
      <c r="I91" s="187">
        <v>53</v>
      </c>
      <c r="J91" s="187">
        <v>79</v>
      </c>
      <c r="K91" s="187">
        <v>64</v>
      </c>
      <c r="L91" s="187">
        <v>72</v>
      </c>
      <c r="M91" s="187">
        <v>58</v>
      </c>
      <c r="X91" s="215">
        <v>89</v>
      </c>
      <c r="Y91" s="216" t="s">
        <v>3100</v>
      </c>
      <c r="Z91" s="217" t="s">
        <v>3100</v>
      </c>
      <c r="AA91" s="222"/>
    </row>
    <row r="92" spans="1:27" ht="13.5">
      <c r="A92" s="187">
        <v>0.39</v>
      </c>
      <c r="B92" s="187">
        <v>71</v>
      </c>
      <c r="C92" s="187">
        <v>58</v>
      </c>
      <c r="D92" s="187">
        <v>64</v>
      </c>
      <c r="E92" s="187">
        <v>52</v>
      </c>
      <c r="F92" s="187">
        <v>78</v>
      </c>
      <c r="G92" s="187">
        <v>64</v>
      </c>
      <c r="H92" s="187">
        <v>70</v>
      </c>
      <c r="I92" s="187">
        <v>57</v>
      </c>
      <c r="J92" s="187">
        <v>86</v>
      </c>
      <c r="K92" s="187">
        <v>70</v>
      </c>
      <c r="L92" s="187">
        <v>77</v>
      </c>
      <c r="M92" s="187">
        <v>63</v>
      </c>
      <c r="X92" s="215">
        <v>90</v>
      </c>
      <c r="Y92" s="216" t="s">
        <v>3100</v>
      </c>
      <c r="Z92" s="217" t="s">
        <v>3100</v>
      </c>
      <c r="AA92" s="222"/>
    </row>
    <row r="93" spans="1:27" ht="13.5">
      <c r="A93" s="187">
        <v>0.49</v>
      </c>
      <c r="B93" s="187">
        <v>78</v>
      </c>
      <c r="C93" s="187">
        <v>63</v>
      </c>
      <c r="D93" s="187">
        <v>70</v>
      </c>
      <c r="E93" s="187">
        <v>57</v>
      </c>
      <c r="F93" s="187">
        <v>86</v>
      </c>
      <c r="G93" s="187">
        <v>69</v>
      </c>
      <c r="H93" s="187">
        <v>77</v>
      </c>
      <c r="I93" s="187">
        <v>63</v>
      </c>
      <c r="J93" s="187">
        <v>95</v>
      </c>
      <c r="K93" s="187">
        <v>76</v>
      </c>
      <c r="L93" s="187">
        <v>85</v>
      </c>
      <c r="M93" s="187">
        <v>69</v>
      </c>
      <c r="X93" s="215">
        <v>91</v>
      </c>
      <c r="Y93" s="216" t="s">
        <v>3100</v>
      </c>
      <c r="Z93" s="217" t="s">
        <v>3100</v>
      </c>
      <c r="AA93" s="222"/>
    </row>
    <row r="94" spans="1:27" ht="13.5">
      <c r="A94" s="187">
        <v>0.75</v>
      </c>
      <c r="B94" s="187">
        <v>89</v>
      </c>
      <c r="C94" s="187">
        <v>73</v>
      </c>
      <c r="D94" s="187">
        <v>80</v>
      </c>
      <c r="E94" s="187">
        <v>66</v>
      </c>
      <c r="F94" s="187">
        <v>98</v>
      </c>
      <c r="G94" s="187">
        <v>80</v>
      </c>
      <c r="H94" s="187">
        <v>88</v>
      </c>
      <c r="I94" s="187">
        <v>73</v>
      </c>
      <c r="J94" s="187">
        <v>108</v>
      </c>
      <c r="K94" s="187">
        <v>88</v>
      </c>
      <c r="L94" s="187">
        <v>97</v>
      </c>
      <c r="M94" s="187">
        <v>80</v>
      </c>
      <c r="X94" s="215">
        <v>92</v>
      </c>
      <c r="Y94" s="216" t="s">
        <v>3100</v>
      </c>
      <c r="Z94" s="217" t="s">
        <v>3100</v>
      </c>
      <c r="AA94" s="222"/>
    </row>
    <row r="95" spans="1:27" ht="13.5">
      <c r="A95" s="187">
        <v>1.1000000000000001</v>
      </c>
      <c r="B95" s="187">
        <v>98</v>
      </c>
      <c r="C95" s="187">
        <v>80</v>
      </c>
      <c r="D95" s="187">
        <v>88</v>
      </c>
      <c r="E95" s="187">
        <v>72</v>
      </c>
      <c r="F95" s="187">
        <v>108</v>
      </c>
      <c r="G95" s="187">
        <v>88</v>
      </c>
      <c r="H95" s="187">
        <v>97</v>
      </c>
      <c r="I95" s="187">
        <v>79</v>
      </c>
      <c r="J95" s="187">
        <v>119</v>
      </c>
      <c r="K95" s="187">
        <v>97</v>
      </c>
      <c r="L95" s="187">
        <v>107</v>
      </c>
      <c r="M95" s="187">
        <v>87</v>
      </c>
      <c r="X95" s="215">
        <v>93</v>
      </c>
      <c r="Y95" s="216" t="s">
        <v>3100</v>
      </c>
      <c r="Z95" s="217" t="s">
        <v>3100</v>
      </c>
      <c r="AA95" s="222"/>
    </row>
    <row r="96" spans="1:27" ht="13.5">
      <c r="A96" s="187">
        <v>1000</v>
      </c>
      <c r="B96" s="187">
        <v>98</v>
      </c>
      <c r="C96" s="187">
        <v>80</v>
      </c>
      <c r="D96" s="187">
        <v>88</v>
      </c>
      <c r="E96" s="187">
        <v>72</v>
      </c>
      <c r="F96" s="187">
        <v>108</v>
      </c>
      <c r="G96" s="187">
        <v>88</v>
      </c>
      <c r="H96" s="187">
        <v>97</v>
      </c>
      <c r="I96" s="187">
        <v>79</v>
      </c>
      <c r="J96" s="187">
        <v>119</v>
      </c>
      <c r="K96" s="187">
        <v>97</v>
      </c>
      <c r="L96" s="187">
        <v>107</v>
      </c>
      <c r="M96" s="187">
        <v>87</v>
      </c>
      <c r="X96" s="215">
        <v>94</v>
      </c>
      <c r="Y96" s="216" t="s">
        <v>3100</v>
      </c>
      <c r="Z96" s="217" t="s">
        <v>3100</v>
      </c>
      <c r="AA96" s="222"/>
    </row>
    <row r="97" spans="1:27" ht="13.5">
      <c r="A97" s="200" t="s">
        <v>2252</v>
      </c>
      <c r="D97" s="200" t="s">
        <v>2253</v>
      </c>
      <c r="X97" s="215">
        <v>95</v>
      </c>
      <c r="Y97" s="216" t="s">
        <v>3100</v>
      </c>
      <c r="Z97" s="217" t="s">
        <v>3100</v>
      </c>
      <c r="AA97" s="222"/>
    </row>
    <row r="98" spans="1:27" ht="13.5">
      <c r="A98" s="187" t="s">
        <v>2173</v>
      </c>
      <c r="B98" s="187" t="s">
        <v>2280</v>
      </c>
      <c r="C98" s="187" t="s">
        <v>2281</v>
      </c>
      <c r="D98" s="200" t="s">
        <v>2282</v>
      </c>
      <c r="E98" s="187" t="s">
        <v>2283</v>
      </c>
      <c r="F98" s="187" t="s">
        <v>2284</v>
      </c>
      <c r="G98" s="187" t="s">
        <v>2285</v>
      </c>
      <c r="H98" s="187" t="s">
        <v>2286</v>
      </c>
      <c r="I98" s="187" t="s">
        <v>2287</v>
      </c>
      <c r="J98" s="187" t="s">
        <v>2288</v>
      </c>
      <c r="K98" s="187" t="s">
        <v>2289</v>
      </c>
      <c r="L98" s="187" t="s">
        <v>2290</v>
      </c>
      <c r="M98" s="187" t="s">
        <v>2291</v>
      </c>
      <c r="X98" s="215">
        <v>96</v>
      </c>
      <c r="Y98" s="216" t="s">
        <v>3100</v>
      </c>
      <c r="Z98" s="217" t="s">
        <v>3100</v>
      </c>
      <c r="AA98" s="222"/>
    </row>
    <row r="99" spans="1:27" ht="13.5">
      <c r="A99" s="187" t="s">
        <v>2239</v>
      </c>
      <c r="B99" s="209"/>
      <c r="D99" s="200"/>
      <c r="X99" s="215">
        <v>97</v>
      </c>
      <c r="Y99" s="216" t="s">
        <v>3100</v>
      </c>
      <c r="Z99" s="217" t="s">
        <v>3100</v>
      </c>
      <c r="AA99" s="222"/>
    </row>
    <row r="100" spans="1:27" ht="13.5">
      <c r="A100" s="235" t="s">
        <v>2235</v>
      </c>
      <c r="B100" s="205">
        <v>200</v>
      </c>
      <c r="C100" s="205"/>
      <c r="D100" s="205"/>
      <c r="E100" s="205"/>
      <c r="F100" s="205">
        <v>300</v>
      </c>
      <c r="G100" s="205"/>
      <c r="H100" s="205"/>
      <c r="I100" s="205"/>
      <c r="J100" s="205">
        <v>1000</v>
      </c>
      <c r="K100" s="205"/>
      <c r="L100" s="205"/>
      <c r="M100" s="205"/>
      <c r="X100" s="215">
        <v>98</v>
      </c>
      <c r="Y100" s="216" t="s">
        <v>3100</v>
      </c>
      <c r="Z100" s="217" t="s">
        <v>3100</v>
      </c>
      <c r="AA100" s="222"/>
    </row>
    <row r="101" spans="1:27" ht="14.25" thickBot="1">
      <c r="A101" s="187" t="s">
        <v>6</v>
      </c>
      <c r="B101" s="205" t="s">
        <v>2237</v>
      </c>
      <c r="C101" s="205"/>
      <c r="D101" s="205" t="s">
        <v>2238</v>
      </c>
      <c r="E101" s="205"/>
      <c r="F101" s="205" t="s">
        <v>2237</v>
      </c>
      <c r="G101" s="205"/>
      <c r="H101" s="205" t="s">
        <v>2238</v>
      </c>
      <c r="I101" s="205"/>
      <c r="J101" s="205" t="s">
        <v>2237</v>
      </c>
      <c r="K101" s="205"/>
      <c r="L101" s="205" t="s">
        <v>2238</v>
      </c>
      <c r="M101" s="205"/>
      <c r="X101" s="223">
        <v>99</v>
      </c>
      <c r="Y101" s="224" t="s">
        <v>3100</v>
      </c>
      <c r="Z101" s="225" t="s">
        <v>3100</v>
      </c>
      <c r="AA101" s="222"/>
    </row>
    <row r="102" spans="1:27">
      <c r="A102" s="187" t="s">
        <v>3101</v>
      </c>
      <c r="B102" s="187" t="s">
        <v>71</v>
      </c>
      <c r="C102" s="187" t="s">
        <v>72</v>
      </c>
      <c r="D102" s="187" t="s">
        <v>71</v>
      </c>
      <c r="E102" s="187" t="s">
        <v>72</v>
      </c>
      <c r="F102" s="187" t="s">
        <v>71</v>
      </c>
      <c r="G102" s="187" t="s">
        <v>72</v>
      </c>
      <c r="H102" s="187" t="s">
        <v>71</v>
      </c>
      <c r="I102" s="187" t="s">
        <v>72</v>
      </c>
      <c r="J102" s="187" t="s">
        <v>71</v>
      </c>
      <c r="K102" s="187" t="s">
        <v>72</v>
      </c>
      <c r="L102" s="187" t="s">
        <v>71</v>
      </c>
      <c r="M102" s="187" t="s">
        <v>72</v>
      </c>
    </row>
    <row r="103" spans="1:27">
      <c r="A103" s="187">
        <v>0.14000000000000001</v>
      </c>
      <c r="B103" s="187">
        <v>12.7</v>
      </c>
      <c r="C103" s="187">
        <v>10</v>
      </c>
      <c r="D103" s="187">
        <v>11.4</v>
      </c>
      <c r="E103" s="187">
        <v>9</v>
      </c>
      <c r="F103" s="187">
        <v>14</v>
      </c>
      <c r="G103" s="187">
        <v>11</v>
      </c>
      <c r="H103" s="187">
        <v>12.5</v>
      </c>
      <c r="I103" s="187">
        <v>9.9</v>
      </c>
      <c r="J103" s="187">
        <v>15.4</v>
      </c>
      <c r="K103" s="187">
        <v>12.1</v>
      </c>
      <c r="L103" s="187">
        <v>13.8</v>
      </c>
      <c r="M103" s="187">
        <v>10.9</v>
      </c>
    </row>
    <row r="104" spans="1:27">
      <c r="A104" s="187">
        <v>0.17</v>
      </c>
      <c r="B104" s="187">
        <v>14.5</v>
      </c>
      <c r="C104" s="187">
        <v>11.4</v>
      </c>
      <c r="D104" s="187">
        <v>13.1</v>
      </c>
      <c r="E104" s="187">
        <v>10.3</v>
      </c>
      <c r="F104" s="187">
        <v>16</v>
      </c>
      <c r="G104" s="187">
        <v>12.5</v>
      </c>
      <c r="H104" s="187">
        <v>14.4</v>
      </c>
      <c r="I104" s="187">
        <v>11.3</v>
      </c>
      <c r="J104" s="187">
        <v>17.600000000000001</v>
      </c>
      <c r="K104" s="187">
        <v>13.8</v>
      </c>
      <c r="L104" s="187">
        <v>15.8</v>
      </c>
      <c r="M104" s="187">
        <v>12.4</v>
      </c>
    </row>
    <row r="105" spans="1:27">
      <c r="A105" s="187">
        <v>0.21</v>
      </c>
      <c r="B105" s="187">
        <v>16.399999999999999</v>
      </c>
      <c r="C105" s="187">
        <v>13</v>
      </c>
      <c r="D105" s="187">
        <v>14.8</v>
      </c>
      <c r="E105" s="187">
        <v>11.7</v>
      </c>
      <c r="F105" s="187">
        <v>18</v>
      </c>
      <c r="G105" s="187">
        <v>14.3</v>
      </c>
      <c r="H105" s="187">
        <v>16.3</v>
      </c>
      <c r="I105" s="187">
        <v>12.9</v>
      </c>
      <c r="J105" s="187">
        <v>19.8</v>
      </c>
      <c r="K105" s="187">
        <v>15.7</v>
      </c>
      <c r="L105" s="187">
        <v>17.899999999999999</v>
      </c>
      <c r="M105" s="187">
        <v>14.2</v>
      </c>
    </row>
    <row r="106" spans="1:27">
      <c r="A106" s="187">
        <v>0.25</v>
      </c>
      <c r="B106" s="187">
        <v>18.100000000000001</v>
      </c>
      <c r="C106" s="187">
        <v>14.4</v>
      </c>
      <c r="D106" s="187">
        <v>16.3</v>
      </c>
      <c r="E106" s="187">
        <v>13</v>
      </c>
      <c r="F106" s="187">
        <v>19.899999999999999</v>
      </c>
      <c r="G106" s="187">
        <v>15.8</v>
      </c>
      <c r="H106" s="187">
        <v>17.899999999999999</v>
      </c>
      <c r="I106" s="187">
        <v>14.3</v>
      </c>
      <c r="J106" s="187">
        <v>21.9</v>
      </c>
      <c r="K106" s="187">
        <v>17.399999999999999</v>
      </c>
      <c r="L106" s="187">
        <v>19.7</v>
      </c>
      <c r="M106" s="187">
        <v>15.7</v>
      </c>
    </row>
    <row r="107" spans="1:27">
      <c r="A107" s="187">
        <v>0.32</v>
      </c>
      <c r="B107" s="187">
        <v>20.5</v>
      </c>
      <c r="C107" s="187">
        <v>16.399999999999999</v>
      </c>
      <c r="D107" s="187">
        <v>18.5</v>
      </c>
      <c r="E107" s="187">
        <v>14.8</v>
      </c>
      <c r="F107" s="187">
        <v>22.6</v>
      </c>
      <c r="G107" s="187">
        <v>18</v>
      </c>
      <c r="H107" s="187">
        <v>20.399999999999999</v>
      </c>
      <c r="I107" s="187">
        <v>16.3</v>
      </c>
      <c r="J107" s="187">
        <v>24.9</v>
      </c>
      <c r="K107" s="187">
        <v>19.8</v>
      </c>
      <c r="L107" s="187">
        <v>22.4</v>
      </c>
      <c r="M107" s="187">
        <v>17.899999999999999</v>
      </c>
    </row>
    <row r="108" spans="1:27">
      <c r="A108" s="187">
        <v>0.39</v>
      </c>
      <c r="B108" s="187">
        <v>22.5</v>
      </c>
      <c r="C108" s="187">
        <v>17.899999999999999</v>
      </c>
      <c r="D108" s="187">
        <v>20.3</v>
      </c>
      <c r="E108" s="187">
        <v>16.100000000000001</v>
      </c>
      <c r="F108" s="187">
        <v>24.8</v>
      </c>
      <c r="G108" s="187">
        <v>19.7</v>
      </c>
      <c r="H108" s="187">
        <v>22.3</v>
      </c>
      <c r="I108" s="187">
        <v>17.7</v>
      </c>
      <c r="J108" s="187">
        <v>27.3</v>
      </c>
      <c r="K108" s="187">
        <v>21.7</v>
      </c>
      <c r="L108" s="187">
        <v>24.5</v>
      </c>
      <c r="M108" s="187">
        <v>19.5</v>
      </c>
    </row>
    <row r="109" spans="1:27">
      <c r="A109" s="187">
        <v>0.49</v>
      </c>
      <c r="B109" s="187">
        <v>24.6</v>
      </c>
      <c r="C109" s="187">
        <v>19.7</v>
      </c>
      <c r="D109" s="187">
        <v>22.1</v>
      </c>
      <c r="E109" s="187">
        <v>17.7</v>
      </c>
      <c r="F109" s="187">
        <v>27.1</v>
      </c>
      <c r="G109" s="187">
        <v>21.7</v>
      </c>
      <c r="H109" s="187">
        <v>24.3</v>
      </c>
      <c r="I109" s="187">
        <v>19.5</v>
      </c>
      <c r="J109" s="187">
        <v>29.8</v>
      </c>
      <c r="K109" s="187">
        <v>23.9</v>
      </c>
      <c r="L109" s="187">
        <v>26.7</v>
      </c>
      <c r="M109" s="187">
        <v>21.5</v>
      </c>
    </row>
    <row r="110" spans="1:27">
      <c r="A110" s="187">
        <v>0.75</v>
      </c>
      <c r="B110" s="187">
        <v>28.3</v>
      </c>
      <c r="C110" s="187">
        <v>22.8</v>
      </c>
      <c r="D110" s="187">
        <v>25.5</v>
      </c>
      <c r="E110" s="187">
        <v>20.5</v>
      </c>
      <c r="F110" s="187">
        <v>31.1</v>
      </c>
      <c r="G110" s="187">
        <v>25.1</v>
      </c>
      <c r="H110" s="187">
        <v>28.1</v>
      </c>
      <c r="I110" s="187">
        <v>22.6</v>
      </c>
      <c r="J110" s="187">
        <v>34.200000000000003</v>
      </c>
      <c r="K110" s="187">
        <v>27.6</v>
      </c>
      <c r="L110" s="187">
        <v>30.9</v>
      </c>
      <c r="M110" s="187">
        <v>24.9</v>
      </c>
    </row>
    <row r="111" spans="1:27">
      <c r="A111" s="187">
        <v>1.1000000000000001</v>
      </c>
      <c r="B111" s="187">
        <v>31</v>
      </c>
      <c r="C111" s="187">
        <v>25.1</v>
      </c>
      <c r="D111" s="187">
        <v>27.9</v>
      </c>
      <c r="E111" s="187">
        <v>22.6</v>
      </c>
      <c r="F111" s="187">
        <v>34.1</v>
      </c>
      <c r="G111" s="187">
        <v>27.6</v>
      </c>
      <c r="H111" s="187">
        <v>30.7</v>
      </c>
      <c r="I111" s="187">
        <v>24.9</v>
      </c>
      <c r="J111" s="187">
        <v>37.5</v>
      </c>
      <c r="K111" s="187">
        <v>30.4</v>
      </c>
      <c r="L111" s="187">
        <v>33.799999999999997</v>
      </c>
      <c r="M111" s="187">
        <v>27.4</v>
      </c>
    </row>
    <row r="112" spans="1:27">
      <c r="A112" s="187">
        <v>1000</v>
      </c>
      <c r="B112" s="187">
        <v>31</v>
      </c>
      <c r="C112" s="187">
        <v>25.1</v>
      </c>
      <c r="D112" s="187">
        <v>27.9</v>
      </c>
      <c r="E112" s="187">
        <v>22.6</v>
      </c>
      <c r="F112" s="187">
        <v>34.1</v>
      </c>
      <c r="G112" s="187">
        <v>27.6</v>
      </c>
      <c r="H112" s="187">
        <v>30.7</v>
      </c>
      <c r="I112" s="187">
        <v>24.9</v>
      </c>
      <c r="J112" s="187">
        <v>37.5</v>
      </c>
      <c r="K112" s="187">
        <v>30.4</v>
      </c>
      <c r="L112" s="187">
        <v>33.799999999999997</v>
      </c>
      <c r="M112" s="187">
        <v>27.4</v>
      </c>
    </row>
    <row r="113" spans="1:13">
      <c r="A113" s="200" t="s">
        <v>81</v>
      </c>
      <c r="D113" s="200" t="s">
        <v>2256</v>
      </c>
    </row>
    <row r="114" spans="1:13">
      <c r="A114" s="200" t="s">
        <v>2173</v>
      </c>
      <c r="B114" s="187" t="s">
        <v>2280</v>
      </c>
      <c r="C114" s="187" t="s">
        <v>2281</v>
      </c>
      <c r="D114" s="200" t="s">
        <v>2282</v>
      </c>
      <c r="E114" s="187" t="s">
        <v>2283</v>
      </c>
      <c r="F114" s="187" t="s">
        <v>2284</v>
      </c>
      <c r="G114" s="187" t="s">
        <v>2285</v>
      </c>
      <c r="H114" s="187" t="s">
        <v>2286</v>
      </c>
      <c r="I114" s="187" t="s">
        <v>2287</v>
      </c>
      <c r="J114" s="187" t="s">
        <v>2288</v>
      </c>
      <c r="K114" s="187" t="s">
        <v>2289</v>
      </c>
      <c r="L114" s="187" t="s">
        <v>2290</v>
      </c>
      <c r="M114" s="187" t="s">
        <v>2291</v>
      </c>
    </row>
    <row r="115" spans="1:13">
      <c r="A115" s="187" t="s">
        <v>2239</v>
      </c>
      <c r="B115" s="209"/>
      <c r="D115" s="200"/>
    </row>
    <row r="116" spans="1:13">
      <c r="A116" s="235" t="s">
        <v>2235</v>
      </c>
      <c r="B116" s="205">
        <v>200</v>
      </c>
      <c r="C116" s="205"/>
      <c r="D116" s="205"/>
      <c r="E116" s="205"/>
      <c r="F116" s="205">
        <v>300</v>
      </c>
      <c r="G116" s="205"/>
      <c r="H116" s="205"/>
      <c r="I116" s="205"/>
      <c r="J116" s="205">
        <v>1000</v>
      </c>
      <c r="K116" s="205"/>
      <c r="L116" s="205"/>
      <c r="M116" s="205"/>
    </row>
    <row r="117" spans="1:13">
      <c r="A117" s="187" t="s">
        <v>6</v>
      </c>
      <c r="B117" s="205" t="s">
        <v>2237</v>
      </c>
      <c r="C117" s="205"/>
      <c r="D117" s="205" t="s">
        <v>2238</v>
      </c>
      <c r="E117" s="205"/>
      <c r="F117" s="205" t="s">
        <v>2237</v>
      </c>
      <c r="G117" s="205"/>
      <c r="H117" s="205" t="s">
        <v>2238</v>
      </c>
      <c r="I117" s="205"/>
      <c r="J117" s="205" t="s">
        <v>2237</v>
      </c>
      <c r="K117" s="205"/>
      <c r="L117" s="205" t="s">
        <v>2238</v>
      </c>
      <c r="M117" s="205"/>
    </row>
    <row r="118" spans="1:13">
      <c r="A118" s="187" t="s">
        <v>3101</v>
      </c>
      <c r="B118" s="187" t="s">
        <v>71</v>
      </c>
      <c r="C118" s="187" t="s">
        <v>72</v>
      </c>
      <c r="D118" s="187" t="s">
        <v>71</v>
      </c>
      <c r="E118" s="187" t="s">
        <v>72</v>
      </c>
      <c r="F118" s="187" t="s">
        <v>71</v>
      </c>
      <c r="G118" s="187" t="s">
        <v>72</v>
      </c>
      <c r="H118" s="187" t="s">
        <v>71</v>
      </c>
      <c r="I118" s="187" t="s">
        <v>72</v>
      </c>
      <c r="J118" s="187" t="s">
        <v>71</v>
      </c>
      <c r="K118" s="187" t="s">
        <v>72</v>
      </c>
      <c r="L118" s="187" t="s">
        <v>71</v>
      </c>
      <c r="M118" s="187" t="s">
        <v>72</v>
      </c>
    </row>
    <row r="119" spans="1:13">
      <c r="A119" s="187">
        <v>0.14000000000000001</v>
      </c>
      <c r="B119" s="187">
        <v>58.5</v>
      </c>
      <c r="C119" s="187">
        <v>39</v>
      </c>
      <c r="D119" s="187">
        <v>50.9</v>
      </c>
      <c r="E119" s="187">
        <v>33.9</v>
      </c>
      <c r="F119" s="187">
        <v>64.400000000000006</v>
      </c>
      <c r="G119" s="187">
        <v>42.9</v>
      </c>
      <c r="H119" s="187">
        <v>56</v>
      </c>
      <c r="I119" s="187">
        <v>37.299999999999997</v>
      </c>
      <c r="J119" s="187">
        <v>70.7</v>
      </c>
      <c r="K119" s="187">
        <v>47.1</v>
      </c>
      <c r="L119" s="187">
        <v>61.5</v>
      </c>
      <c r="M119" s="187">
        <v>41</v>
      </c>
    </row>
    <row r="120" spans="1:13">
      <c r="A120" s="187">
        <v>0.17</v>
      </c>
      <c r="B120" s="187">
        <v>66.7</v>
      </c>
      <c r="C120" s="187">
        <v>44.5</v>
      </c>
      <c r="D120" s="187">
        <v>58</v>
      </c>
      <c r="E120" s="187">
        <v>38.700000000000003</v>
      </c>
      <c r="F120" s="187">
        <v>73.3</v>
      </c>
      <c r="G120" s="187">
        <v>48.9</v>
      </c>
      <c r="H120" s="187">
        <v>63.7</v>
      </c>
      <c r="I120" s="187">
        <v>42.5</v>
      </c>
      <c r="J120" s="187">
        <v>80.900000000000006</v>
      </c>
      <c r="K120" s="187">
        <v>53.9</v>
      </c>
      <c r="L120" s="187">
        <v>70.3</v>
      </c>
      <c r="M120" s="187">
        <v>46.9</v>
      </c>
    </row>
    <row r="121" spans="1:13">
      <c r="A121" s="187">
        <v>0.21</v>
      </c>
      <c r="B121" s="187">
        <v>76</v>
      </c>
      <c r="C121" s="187">
        <v>50.7</v>
      </c>
      <c r="D121" s="187">
        <v>66.099999999999994</v>
      </c>
      <c r="E121" s="187">
        <v>44.1</v>
      </c>
      <c r="F121" s="187">
        <v>83.8</v>
      </c>
      <c r="G121" s="187">
        <v>55.9</v>
      </c>
      <c r="H121" s="187">
        <v>72.900000000000006</v>
      </c>
      <c r="I121" s="187">
        <v>48.6</v>
      </c>
      <c r="J121" s="187">
        <v>92.3</v>
      </c>
      <c r="K121" s="187">
        <v>61.5</v>
      </c>
      <c r="L121" s="187">
        <v>80.3</v>
      </c>
      <c r="M121" s="187">
        <v>53.5</v>
      </c>
    </row>
    <row r="122" spans="1:13">
      <c r="A122" s="187">
        <v>0.25</v>
      </c>
      <c r="B122" s="187">
        <v>83.6</v>
      </c>
      <c r="C122" s="187">
        <v>55.7</v>
      </c>
      <c r="D122" s="187">
        <v>72.7</v>
      </c>
      <c r="E122" s="187">
        <v>48.4</v>
      </c>
      <c r="F122" s="187">
        <v>91.8</v>
      </c>
      <c r="G122" s="187">
        <v>61.2</v>
      </c>
      <c r="H122" s="187">
        <v>79.8</v>
      </c>
      <c r="I122" s="187">
        <v>53.2</v>
      </c>
      <c r="J122" s="187">
        <v>101.1</v>
      </c>
      <c r="K122" s="187">
        <v>67.400000000000006</v>
      </c>
      <c r="L122" s="187">
        <v>87.9</v>
      </c>
      <c r="M122" s="187">
        <v>58.6</v>
      </c>
    </row>
    <row r="123" spans="1:13">
      <c r="A123" s="187">
        <v>0.32</v>
      </c>
      <c r="B123" s="187">
        <v>94.2</v>
      </c>
      <c r="C123" s="187">
        <v>62.8</v>
      </c>
      <c r="D123" s="187">
        <v>81.900000000000006</v>
      </c>
      <c r="E123" s="187">
        <v>54.6</v>
      </c>
      <c r="F123" s="187">
        <v>103.6</v>
      </c>
      <c r="G123" s="187">
        <v>69.099999999999994</v>
      </c>
      <c r="H123" s="187">
        <v>90.1</v>
      </c>
      <c r="I123" s="187">
        <v>60.1</v>
      </c>
      <c r="J123" s="187">
        <v>113.8</v>
      </c>
      <c r="K123" s="187">
        <v>75.900000000000006</v>
      </c>
      <c r="L123" s="187">
        <v>99</v>
      </c>
      <c r="M123" s="187">
        <v>66</v>
      </c>
    </row>
    <row r="124" spans="1:13">
      <c r="A124" s="187">
        <v>0.39</v>
      </c>
      <c r="B124" s="187">
        <v>103</v>
      </c>
      <c r="C124" s="187">
        <v>68.7</v>
      </c>
      <c r="D124" s="187">
        <v>89.6</v>
      </c>
      <c r="E124" s="187">
        <v>59.7</v>
      </c>
      <c r="F124" s="187">
        <v>113.2</v>
      </c>
      <c r="G124" s="187">
        <v>75.5</v>
      </c>
      <c r="H124" s="187">
        <v>98.4</v>
      </c>
      <c r="I124" s="187">
        <v>65.7</v>
      </c>
      <c r="J124" s="187">
        <v>124.8</v>
      </c>
      <c r="K124" s="187">
        <v>83.2</v>
      </c>
      <c r="L124" s="187">
        <v>108.5</v>
      </c>
      <c r="M124" s="187">
        <v>72.3</v>
      </c>
    </row>
    <row r="125" spans="1:13">
      <c r="A125" s="187">
        <v>0.49</v>
      </c>
      <c r="B125" s="187">
        <v>112.9</v>
      </c>
      <c r="C125" s="187">
        <v>75.3</v>
      </c>
      <c r="D125" s="187">
        <v>98.2</v>
      </c>
      <c r="E125" s="187">
        <v>65.5</v>
      </c>
      <c r="F125" s="187">
        <v>123.9</v>
      </c>
      <c r="G125" s="187">
        <v>82.6</v>
      </c>
      <c r="H125" s="187">
        <v>107.7</v>
      </c>
      <c r="I125" s="187">
        <v>71.8</v>
      </c>
      <c r="J125" s="187">
        <v>136.4</v>
      </c>
      <c r="K125" s="187">
        <v>90.9</v>
      </c>
      <c r="L125" s="187">
        <v>118.6</v>
      </c>
      <c r="M125" s="187">
        <v>79</v>
      </c>
    </row>
    <row r="126" spans="1:13">
      <c r="A126" s="187">
        <v>0.75</v>
      </c>
      <c r="B126" s="187">
        <v>131.1</v>
      </c>
      <c r="C126" s="187">
        <v>87.4</v>
      </c>
      <c r="D126" s="187">
        <v>114</v>
      </c>
      <c r="E126" s="187">
        <v>76</v>
      </c>
      <c r="F126" s="187">
        <v>144.19999999999999</v>
      </c>
      <c r="G126" s="187">
        <v>96.1</v>
      </c>
      <c r="H126" s="187">
        <v>125.4</v>
      </c>
      <c r="I126" s="187">
        <v>83.6</v>
      </c>
      <c r="J126" s="187">
        <v>158.5</v>
      </c>
      <c r="K126" s="187">
        <v>105.7</v>
      </c>
      <c r="L126" s="187">
        <v>137.80000000000001</v>
      </c>
      <c r="M126" s="187">
        <v>91.9</v>
      </c>
    </row>
    <row r="127" spans="1:13">
      <c r="A127" s="187">
        <v>1.1000000000000001</v>
      </c>
      <c r="B127" s="187">
        <v>147.80000000000001</v>
      </c>
      <c r="C127" s="187">
        <v>98.5</v>
      </c>
      <c r="D127" s="187">
        <v>128.5</v>
      </c>
      <c r="E127" s="187">
        <v>85.7</v>
      </c>
      <c r="F127" s="187">
        <v>162.80000000000001</v>
      </c>
      <c r="G127" s="187">
        <v>108.5</v>
      </c>
      <c r="H127" s="187">
        <v>141.6</v>
      </c>
      <c r="I127" s="187">
        <v>94.3</v>
      </c>
      <c r="J127" s="187">
        <v>179</v>
      </c>
      <c r="K127" s="187">
        <v>119.3</v>
      </c>
      <c r="L127" s="187">
        <v>155.69999999999999</v>
      </c>
      <c r="M127" s="187">
        <v>103.7</v>
      </c>
    </row>
    <row r="128" spans="1:13">
      <c r="A128" s="187">
        <v>1000</v>
      </c>
      <c r="B128" s="187">
        <v>147.80000000000001</v>
      </c>
      <c r="C128" s="187">
        <v>98.5</v>
      </c>
      <c r="D128" s="187">
        <v>128.5</v>
      </c>
      <c r="E128" s="187">
        <v>85.7</v>
      </c>
      <c r="F128" s="187">
        <v>162.80000000000001</v>
      </c>
      <c r="G128" s="187">
        <v>108.5</v>
      </c>
      <c r="H128" s="187">
        <v>141.6</v>
      </c>
      <c r="I128" s="187">
        <v>94.3</v>
      </c>
      <c r="J128" s="187">
        <v>179</v>
      </c>
      <c r="K128" s="187">
        <v>119.3</v>
      </c>
      <c r="L128" s="187">
        <v>155.69999999999999</v>
      </c>
      <c r="M128" s="187">
        <v>103.7</v>
      </c>
    </row>
    <row r="135" spans="1:14">
      <c r="A135" s="200" t="s">
        <v>2259</v>
      </c>
      <c r="D135" s="200" t="s">
        <v>2260</v>
      </c>
    </row>
    <row r="136" spans="1:14">
      <c r="A136" s="200" t="s">
        <v>2173</v>
      </c>
      <c r="B136" s="187" t="s">
        <v>2280</v>
      </c>
      <c r="C136" s="187" t="s">
        <v>2281</v>
      </c>
      <c r="D136" s="200" t="s">
        <v>2282</v>
      </c>
      <c r="E136" s="187" t="s">
        <v>2283</v>
      </c>
    </row>
    <row r="137" spans="1:14">
      <c r="A137" s="187" t="s">
        <v>2263</v>
      </c>
      <c r="B137" s="236"/>
      <c r="D137" s="200"/>
    </row>
    <row r="138" spans="1:14">
      <c r="A138" s="187" t="s">
        <v>2292</v>
      </c>
      <c r="B138" s="205" t="s">
        <v>2237</v>
      </c>
      <c r="C138" s="205"/>
      <c r="D138" s="205" t="s">
        <v>2238</v>
      </c>
      <c r="E138" s="205"/>
      <c r="I138" s="187" t="s">
        <v>2277</v>
      </c>
      <c r="J138" s="187" t="s">
        <v>2316</v>
      </c>
      <c r="N138" s="187" t="s">
        <v>2276</v>
      </c>
    </row>
    <row r="139" spans="1:14">
      <c r="A139" s="187" t="s">
        <v>3101</v>
      </c>
      <c r="B139" s="187" t="s">
        <v>71</v>
      </c>
      <c r="C139" s="187" t="s">
        <v>72</v>
      </c>
      <c r="D139" s="187" t="s">
        <v>71</v>
      </c>
      <c r="E139" s="187" t="s">
        <v>72</v>
      </c>
      <c r="I139" s="206" t="s">
        <v>6</v>
      </c>
      <c r="J139" s="187" t="s">
        <v>2237</v>
      </c>
      <c r="L139" s="187">
        <f>IF(J139="Важкі",3,1)</f>
        <v>1</v>
      </c>
    </row>
    <row r="140" spans="1:14">
      <c r="A140" s="189">
        <v>1</v>
      </c>
      <c r="B140" s="189"/>
      <c r="C140" s="189"/>
      <c r="D140" s="189"/>
      <c r="E140" s="189"/>
      <c r="I140" s="187" t="s">
        <v>3101</v>
      </c>
      <c r="J140" s="187" t="str">
        <f>INDEX(ПородиИГруппи[],MATCH(J138,ПородиИГруппи[список без груп порід],0),MATCH("Группа порід",ПородиИГруппи[#Headers],0))</f>
        <v>Твердолистяні породи</v>
      </c>
      <c r="L140" s="187">
        <f>IF(J140="Важкі",1,0)</f>
        <v>0</v>
      </c>
    </row>
    <row r="141" spans="1:14">
      <c r="A141" s="189">
        <v>15</v>
      </c>
      <c r="B141" s="189">
        <v>122</v>
      </c>
      <c r="C141" s="189">
        <v>103</v>
      </c>
      <c r="D141" s="189">
        <v>97</v>
      </c>
      <c r="E141" s="189">
        <v>83</v>
      </c>
      <c r="I141" s="187" t="s">
        <v>2263</v>
      </c>
      <c r="J141" s="187">
        <v>16</v>
      </c>
    </row>
    <row r="142" spans="1:14">
      <c r="A142" s="189">
        <v>20</v>
      </c>
      <c r="B142" s="189">
        <v>111</v>
      </c>
      <c r="C142" s="189">
        <v>94</v>
      </c>
      <c r="D142" s="189">
        <v>89</v>
      </c>
      <c r="E142" s="189">
        <v>75</v>
      </c>
      <c r="I142" s="187">
        <f t="array" ref="I142">MIN(IF(SPILP_HL&gt;=$J$141,SPILP_HL))</f>
        <v>20</v>
      </c>
      <c r="J142" s="187" t="s">
        <v>2269</v>
      </c>
    </row>
    <row r="143" spans="1:14">
      <c r="A143" s="189">
        <v>25</v>
      </c>
      <c r="B143" s="189">
        <v>100</v>
      </c>
      <c r="C143" s="189">
        <v>85</v>
      </c>
      <c r="D143" s="189">
        <v>80</v>
      </c>
      <c r="E143" s="189">
        <v>68</v>
      </c>
      <c r="I143" s="187">
        <f>MATCH(I142,SPILP_HL,0)</f>
        <v>3</v>
      </c>
      <c r="J143" s="187" t="s">
        <v>2270</v>
      </c>
      <c r="L143" s="187">
        <f t="array" ref="L143">MATCH(MIN(IF(SPILP_HL&gt;=$J$141,SPILP_HL)),SPILP_HL,0)</f>
        <v>3</v>
      </c>
    </row>
    <row r="144" spans="1:14">
      <c r="A144" s="189">
        <v>30</v>
      </c>
      <c r="B144" s="189">
        <v>91</v>
      </c>
      <c r="C144" s="189">
        <v>78</v>
      </c>
      <c r="D144" s="189">
        <v>73</v>
      </c>
      <c r="E144" s="189">
        <v>62</v>
      </c>
      <c r="I144" s="187">
        <f>L139+L140+1</f>
        <v>2</v>
      </c>
      <c r="J144" s="187" t="s">
        <v>2271</v>
      </c>
      <c r="L144" s="187">
        <f>IF(J139="Важкі",3,1)+IF(J140="Важкі",1,0)+1</f>
        <v>2</v>
      </c>
    </row>
    <row r="145" spans="1:17">
      <c r="A145" s="189">
        <v>35</v>
      </c>
      <c r="B145" s="189">
        <v>83</v>
      </c>
      <c r="C145" s="189">
        <v>71</v>
      </c>
      <c r="D145" s="189">
        <v>66</v>
      </c>
      <c r="E145" s="189">
        <v>56</v>
      </c>
      <c r="I145" s="187">
        <f>INDEX(SPILP,I143,I144)</f>
        <v>111</v>
      </c>
      <c r="J145" s="187" t="s">
        <v>2275</v>
      </c>
      <c r="M145" s="187">
        <f>D127</f>
        <v>128.5</v>
      </c>
    </row>
    <row r="146" spans="1:17">
      <c r="A146" s="189">
        <v>40</v>
      </c>
      <c r="B146" s="189">
        <v>75</v>
      </c>
      <c r="C146" s="189">
        <v>64</v>
      </c>
      <c r="D146" s="189">
        <v>60</v>
      </c>
      <c r="E146" s="189">
        <v>51</v>
      </c>
      <c r="I146" s="187">
        <f>INDEX(SPILP,MATCH(MIN(IF(SPILP_HL&gt;=$J$141,SPILP_HL)),SPILP_HL,0),IF(J139="Важкі",3,1)+IF(J140=INDEX(ПородиИГруппи[],MATCH(J138,ПородиИГруппи[список без груп порід],0),MATCH("Группа порід",ПородиИГруппи[#Headers],0)),1,0)+1)</f>
        <v>0</v>
      </c>
    </row>
    <row r="147" spans="1:17">
      <c r="A147" s="189">
        <v>45</v>
      </c>
      <c r="B147" s="189">
        <v>68</v>
      </c>
      <c r="C147" s="189">
        <v>58</v>
      </c>
      <c r="D147" s="189">
        <v>55</v>
      </c>
      <c r="E147" s="189">
        <v>47</v>
      </c>
    </row>
    <row r="148" spans="1:17">
      <c r="A148" s="189">
        <v>50</v>
      </c>
      <c r="B148" s="189">
        <v>62</v>
      </c>
      <c r="C148" s="189">
        <v>53</v>
      </c>
      <c r="D148" s="189">
        <v>50</v>
      </c>
      <c r="E148" s="189">
        <v>42</v>
      </c>
    </row>
    <row r="149" spans="1:17">
      <c r="A149" s="189">
        <v>55</v>
      </c>
      <c r="B149" s="189">
        <v>56</v>
      </c>
      <c r="C149" s="189">
        <v>48</v>
      </c>
      <c r="D149" s="189">
        <v>45</v>
      </c>
      <c r="E149" s="189">
        <v>38</v>
      </c>
      <c r="Q149" s="187" t="s">
        <v>3220</v>
      </c>
    </row>
    <row r="150" spans="1:17">
      <c r="A150" s="189">
        <v>60</v>
      </c>
      <c r="B150" s="189">
        <v>51</v>
      </c>
      <c r="C150" s="189">
        <v>44</v>
      </c>
      <c r="D150" s="189">
        <v>41</v>
      </c>
      <c r="E150" s="189">
        <v>35</v>
      </c>
    </row>
    <row r="151" spans="1:17">
      <c r="A151" s="189">
        <v>65</v>
      </c>
      <c r="B151" s="189">
        <v>46</v>
      </c>
      <c r="C151" s="189">
        <v>40</v>
      </c>
      <c r="D151" s="189">
        <v>37</v>
      </c>
      <c r="E151" s="189">
        <v>32</v>
      </c>
    </row>
    <row r="152" spans="1:17">
      <c r="A152" s="189">
        <v>70</v>
      </c>
      <c r="B152" s="189">
        <v>42</v>
      </c>
      <c r="C152" s="189">
        <v>36</v>
      </c>
      <c r="D152" s="189">
        <v>34</v>
      </c>
      <c r="E152" s="189">
        <v>29</v>
      </c>
    </row>
    <row r="153" spans="1:17">
      <c r="A153" s="194">
        <v>1000</v>
      </c>
      <c r="B153" s="194">
        <v>42</v>
      </c>
      <c r="C153" s="194">
        <v>36</v>
      </c>
      <c r="D153" s="194">
        <v>34</v>
      </c>
      <c r="E153" s="194">
        <v>29</v>
      </c>
    </row>
    <row r="155" spans="1:17">
      <c r="A155" s="200" t="s">
        <v>36</v>
      </c>
      <c r="D155" s="200" t="s">
        <v>2261</v>
      </c>
      <c r="H155" s="201"/>
      <c r="I155" s="201"/>
      <c r="K155" s="201"/>
      <c r="L155" s="201"/>
      <c r="M155" s="201"/>
      <c r="N155" s="187" t="s">
        <v>2274</v>
      </c>
      <c r="O155" s="187">
        <f>MATCH(J164,ЗахаращеністьЛісосіки[ЗахаращеністьЛісосіки],0)-M164+L164</f>
        <v>2</v>
      </c>
    </row>
    <row r="156" spans="1:17">
      <c r="A156" s="200" t="s">
        <v>2173</v>
      </c>
      <c r="B156" s="187" t="s">
        <v>2280</v>
      </c>
      <c r="C156" s="187" t="s">
        <v>2281</v>
      </c>
      <c r="D156" s="200" t="s">
        <v>2282</v>
      </c>
      <c r="E156" s="187" t="s">
        <v>2283</v>
      </c>
      <c r="F156" s="187" t="s">
        <v>2284</v>
      </c>
      <c r="G156" s="187" t="s">
        <v>2285</v>
      </c>
      <c r="H156" s="201"/>
      <c r="I156" s="201"/>
      <c r="K156" s="201"/>
      <c r="L156" s="201"/>
      <c r="M156" s="201"/>
    </row>
    <row r="157" spans="1:17">
      <c r="A157" s="187" t="s">
        <v>2239</v>
      </c>
      <c r="B157" s="209"/>
      <c r="D157" s="200"/>
      <c r="H157" s="201"/>
      <c r="I157" s="201"/>
      <c r="J157" s="201"/>
      <c r="K157" s="201"/>
      <c r="L157" s="201"/>
      <c r="M157" s="201"/>
      <c r="N157" s="187">
        <v>3</v>
      </c>
    </row>
    <row r="158" spans="1:17">
      <c r="A158" s="187" t="s">
        <v>77</v>
      </c>
      <c r="B158" s="205" t="s">
        <v>78</v>
      </c>
      <c r="C158" s="205"/>
      <c r="D158" s="205" t="s">
        <v>2264</v>
      </c>
      <c r="E158" s="205"/>
      <c r="F158" s="205" t="s">
        <v>2265</v>
      </c>
      <c r="G158" s="205"/>
      <c r="I158" s="187" t="s">
        <v>2266</v>
      </c>
      <c r="N158" s="187">
        <v>2</v>
      </c>
    </row>
    <row r="159" spans="1:17">
      <c r="A159" s="187" t="s">
        <v>6</v>
      </c>
      <c r="B159" s="201" t="s">
        <v>2237</v>
      </c>
      <c r="C159" s="201" t="s">
        <v>2238</v>
      </c>
      <c r="D159" s="201" t="s">
        <v>2237</v>
      </c>
      <c r="E159" s="201" t="s">
        <v>2238</v>
      </c>
      <c r="F159" s="201" t="s">
        <v>2237</v>
      </c>
      <c r="G159" s="201" t="s">
        <v>2238</v>
      </c>
      <c r="I159" s="201" t="s">
        <v>78</v>
      </c>
      <c r="K159" s="187" t="str">
        <f ca="1">INDIRECT("ЗахаращеністьЛісосіки[ЗахаращеністьЛісосіки]")</f>
        <v>слабка</v>
      </c>
      <c r="L159" s="187" t="s">
        <v>2266</v>
      </c>
      <c r="M159" s="187" t="s">
        <v>2266</v>
      </c>
    </row>
    <row r="160" spans="1:17">
      <c r="A160" s="187">
        <v>0.14000000000000001</v>
      </c>
      <c r="B160" s="187">
        <v>3.3</v>
      </c>
      <c r="C160" s="187">
        <v>2.9</v>
      </c>
      <c r="D160" s="187">
        <v>2.5</v>
      </c>
      <c r="E160" s="187">
        <v>2.2000000000000002</v>
      </c>
      <c r="F160" s="187">
        <v>1.7</v>
      </c>
      <c r="G160" s="187">
        <v>1.4</v>
      </c>
      <c r="I160" s="201" t="s">
        <v>2264</v>
      </c>
    </row>
    <row r="161" spans="1:14">
      <c r="A161" s="187">
        <v>0.17</v>
      </c>
      <c r="B161" s="187">
        <v>2.9</v>
      </c>
      <c r="C161" s="187">
        <v>2.5</v>
      </c>
      <c r="D161" s="187">
        <v>2.2000000000000002</v>
      </c>
      <c r="E161" s="187">
        <v>1.9</v>
      </c>
      <c r="F161" s="187">
        <v>1.5</v>
      </c>
      <c r="G161" s="187">
        <v>1.3</v>
      </c>
      <c r="I161" s="201" t="s">
        <v>2265</v>
      </c>
    </row>
    <row r="162" spans="1:14">
      <c r="A162" s="187">
        <v>0.21</v>
      </c>
      <c r="B162" s="187">
        <v>2.5</v>
      </c>
      <c r="C162" s="187">
        <v>2.2000000000000002</v>
      </c>
      <c r="D162" s="187">
        <v>1.9</v>
      </c>
      <c r="E162" s="187">
        <v>1.6</v>
      </c>
      <c r="F162" s="187">
        <v>1.3</v>
      </c>
      <c r="G162" s="187">
        <v>1.1000000000000001</v>
      </c>
      <c r="I162" s="201"/>
    </row>
    <row r="163" spans="1:14">
      <c r="A163" s="209">
        <v>0.25</v>
      </c>
      <c r="B163" s="209">
        <v>2.2999999999999998</v>
      </c>
      <c r="C163" s="209">
        <v>2</v>
      </c>
      <c r="D163" s="209">
        <v>1.7</v>
      </c>
      <c r="E163" s="209">
        <v>1.5</v>
      </c>
      <c r="F163" s="209">
        <v>1.1000000000000001</v>
      </c>
      <c r="G163" s="209">
        <v>1</v>
      </c>
      <c r="L163" s="187" t="s">
        <v>2272</v>
      </c>
      <c r="M163" s="187" t="s">
        <v>2273</v>
      </c>
    </row>
    <row r="164" spans="1:14">
      <c r="A164" s="187">
        <v>0.32</v>
      </c>
      <c r="C164" s="187">
        <v>1.7</v>
      </c>
      <c r="D164" s="187">
        <v>1.5</v>
      </c>
      <c r="E164" s="187">
        <v>1.2</v>
      </c>
      <c r="F164" s="187">
        <v>1</v>
      </c>
      <c r="G164" s="187">
        <v>0.8</v>
      </c>
      <c r="I164" s="201" t="s">
        <v>2266</v>
      </c>
      <c r="J164" s="187" t="str">
        <f>РГК!P13</f>
        <v>слабка</v>
      </c>
      <c r="K164" s="187">
        <f>IF(J164="велика",5,IF(J164="середня",3,1))</f>
        <v>1</v>
      </c>
      <c r="L164" s="187">
        <v>2</v>
      </c>
      <c r="M164" s="187">
        <v>1</v>
      </c>
      <c r="N164" s="187" t="s">
        <v>2276</v>
      </c>
    </row>
    <row r="165" spans="1:14">
      <c r="A165" s="187">
        <v>0.39</v>
      </c>
      <c r="B165" s="187">
        <v>1.8</v>
      </c>
      <c r="C165" s="187">
        <v>1.6</v>
      </c>
      <c r="D165" s="187">
        <v>1.3</v>
      </c>
      <c r="E165" s="187">
        <v>1.1000000000000001</v>
      </c>
      <c r="F165" s="187">
        <v>0.9</v>
      </c>
      <c r="G165" s="187">
        <v>0.76</v>
      </c>
      <c r="I165" s="206" t="s">
        <v>6</v>
      </c>
      <c r="J165" s="187" t="str">
        <f>РГК!B7</f>
        <v>Важкі</v>
      </c>
      <c r="K165" s="187">
        <f>IF(J165="Важкі",1,0)</f>
        <v>1</v>
      </c>
      <c r="L165" s="187">
        <v>1</v>
      </c>
      <c r="M165" s="187">
        <v>0</v>
      </c>
    </row>
    <row r="166" spans="1:14">
      <c r="A166" s="187">
        <v>0.49</v>
      </c>
      <c r="B166" s="187">
        <v>1.7</v>
      </c>
      <c r="C166" s="187">
        <v>1.4</v>
      </c>
      <c r="D166" s="187">
        <v>1.2</v>
      </c>
      <c r="E166" s="187">
        <v>1</v>
      </c>
      <c r="F166" s="187">
        <v>0.8</v>
      </c>
      <c r="G166" s="187">
        <v>0.7</v>
      </c>
      <c r="I166" s="187" t="s">
        <v>2239</v>
      </c>
      <c r="J166" s="210">
        <f>РГК!I7</f>
        <v>0.84</v>
      </c>
    </row>
    <row r="167" spans="1:14">
      <c r="A167" s="187">
        <v>0.75</v>
      </c>
      <c r="B167" s="187">
        <v>1.5</v>
      </c>
      <c r="C167" s="187">
        <v>1.2</v>
      </c>
      <c r="D167" s="187">
        <v>1</v>
      </c>
      <c r="E167" s="187">
        <v>0.8</v>
      </c>
      <c r="F167" s="187">
        <v>0</v>
      </c>
      <c r="G167" s="187">
        <v>0</v>
      </c>
    </row>
    <row r="168" spans="1:14">
      <c r="A168" s="187">
        <v>1.1000000000000001</v>
      </c>
      <c r="B168" s="187">
        <v>1.3</v>
      </c>
      <c r="C168" s="187">
        <v>1.1000000000000001</v>
      </c>
      <c r="D168" s="187">
        <v>0.9</v>
      </c>
      <c r="E168" s="187">
        <v>0.7</v>
      </c>
      <c r="F168" s="187">
        <v>0</v>
      </c>
      <c r="G168" s="187">
        <v>0</v>
      </c>
      <c r="I168" s="187">
        <f t="array" ref="I168">MIN(IF(PND_HL&gt;=$J$166,PND_HL))</f>
        <v>1.1000000000000001</v>
      </c>
      <c r="J168" s="187" t="s">
        <v>2269</v>
      </c>
    </row>
    <row r="169" spans="1:14">
      <c r="A169" s="187">
        <v>1000</v>
      </c>
      <c r="B169" s="187">
        <v>1.3</v>
      </c>
      <c r="C169" s="187">
        <v>1.1000000000000001</v>
      </c>
      <c r="D169" s="187">
        <v>0.9</v>
      </c>
      <c r="E169" s="187">
        <v>0.7</v>
      </c>
      <c r="F169" s="187">
        <v>0</v>
      </c>
      <c r="G169" s="187">
        <v>0</v>
      </c>
      <c r="I169" s="187">
        <f>MATCH(I168,PND_HL,0)</f>
        <v>9</v>
      </c>
      <c r="J169" s="187" t="s">
        <v>2270</v>
      </c>
      <c r="L169" s="187">
        <f t="array" ref="L169">MATCH(MIN(IF(PND_HL&gt;=$J$166,PND_HL)),PND_HL,0)</f>
        <v>9</v>
      </c>
    </row>
    <row r="170" spans="1:14">
      <c r="I170" s="187">
        <f>K164+K165+1</f>
        <v>3</v>
      </c>
      <c r="J170" s="187" t="s">
        <v>2271</v>
      </c>
      <c r="L170" s="187">
        <f>IF(J164="велика",5,IF(J164="середня",3,1))+IF(J165="Важкі",1,0)+1</f>
        <v>3</v>
      </c>
    </row>
    <row r="171" spans="1:14">
      <c r="I171" s="187">
        <f>INDEX(PND,I169,I170)</f>
        <v>1.1000000000000001</v>
      </c>
      <c r="J171" s="187" t="s">
        <v>2275</v>
      </c>
      <c r="M171" s="187" t="str">
        <f>D155</f>
        <v>PND</v>
      </c>
      <c r="N171" s="187">
        <f>IF(L179="Важкі",3,1)</f>
        <v>3</v>
      </c>
    </row>
    <row r="172" spans="1:14">
      <c r="I172" s="187">
        <f t="array" ref="I172">INDEX(PND,MATCH(MIN(IF(PND_HL&gt;=$J$166,PND_HL)),PND_HL,0),IF(J164="велика",5,IF(J164="середня",3,1))+IF(J165="Важкі",1,0)+1)</f>
        <v>1.1000000000000001</v>
      </c>
      <c r="N172" s="187">
        <f>IF(L180="Твердолистяні породи",1,0)</f>
        <v>1</v>
      </c>
    </row>
    <row r="174" spans="1:14">
      <c r="I174" s="187" t="b">
        <f>COUNTIF(PND,Наряд_№)&gt;0</f>
        <v>0</v>
      </c>
    </row>
    <row r="175" spans="1:14">
      <c r="A175" s="200" t="s">
        <v>2254</v>
      </c>
      <c r="D175" s="200" t="s">
        <v>2255</v>
      </c>
      <c r="N175" s="187">
        <f t="array" ref="N175">MATCH(MIN(IF(SPILP_HL&gt;=$J$141,SPILP_HL)),SPILP_HL,0)</f>
        <v>3</v>
      </c>
    </row>
    <row r="176" spans="1:14">
      <c r="A176" s="200" t="s">
        <v>2173</v>
      </c>
      <c r="B176" s="213" t="s">
        <v>2280</v>
      </c>
      <c r="C176" s="187" t="s">
        <v>2281</v>
      </c>
      <c r="D176" s="200" t="s">
        <v>2282</v>
      </c>
      <c r="E176" s="187" t="s">
        <v>2283</v>
      </c>
    </row>
    <row r="177" spans="1:16" ht="13.5" thickBot="1">
      <c r="A177" s="187" t="s">
        <v>2239</v>
      </c>
      <c r="B177" s="209"/>
      <c r="D177" s="200"/>
      <c r="H177" s="202" t="s">
        <v>2262</v>
      </c>
      <c r="I177" s="203" t="s">
        <v>2278</v>
      </c>
      <c r="N177" s="187">
        <f>IF(L179="Важкі",3,1)+IF(L180="Важкі",1,0)+1</f>
        <v>4</v>
      </c>
      <c r="O177" s="187">
        <f>F107</f>
        <v>22.6</v>
      </c>
      <c r="P177" s="187" t="s">
        <v>2276</v>
      </c>
    </row>
    <row r="178" spans="1:16">
      <c r="A178" s="213" t="s">
        <v>2292</v>
      </c>
      <c r="B178" s="205" t="s">
        <v>2237</v>
      </c>
      <c r="C178" s="205"/>
      <c r="D178" s="205" t="s">
        <v>2238</v>
      </c>
      <c r="E178" s="205"/>
      <c r="F178" s="187">
        <v>0.12</v>
      </c>
      <c r="G178" s="187">
        <f>nearmax(F178,ZACH_HL)</f>
        <v>0.14000000000000001</v>
      </c>
    </row>
    <row r="179" spans="1:16">
      <c r="A179" s="187" t="s">
        <v>3101</v>
      </c>
      <c r="B179" s="187" t="s">
        <v>71</v>
      </c>
      <c r="C179" s="187" t="s">
        <v>72</v>
      </c>
      <c r="D179" s="187" t="s">
        <v>71</v>
      </c>
      <c r="E179" s="187" t="s">
        <v>72</v>
      </c>
      <c r="F179" s="187" t="str">
        <f>P6</f>
        <v>Важкі</v>
      </c>
      <c r="G179" s="187">
        <f>MATCH(G178,ZACH_HL,1)</f>
        <v>1</v>
      </c>
      <c r="K179" s="206" t="s">
        <v>6</v>
      </c>
      <c r="L179" s="187" t="s">
        <v>2238</v>
      </c>
    </row>
    <row r="180" spans="1:16">
      <c r="A180" s="187">
        <v>0.14000000000000001</v>
      </c>
      <c r="B180" s="187">
        <v>48</v>
      </c>
      <c r="C180" s="187">
        <v>36</v>
      </c>
      <c r="D180" s="187">
        <v>41</v>
      </c>
      <c r="E180" s="187">
        <v>30</v>
      </c>
      <c r="G180" s="187">
        <f>IF(P6="Нормальні",1,3)+IF(H177="м'які породи",1,2)</f>
        <v>4</v>
      </c>
      <c r="K180" s="187" t="s">
        <v>2277</v>
      </c>
      <c r="L180" s="187" t="s">
        <v>72</v>
      </c>
    </row>
    <row r="181" spans="1:16">
      <c r="A181" s="187">
        <v>0.17</v>
      </c>
      <c r="B181" s="187">
        <v>54</v>
      </c>
      <c r="C181" s="187">
        <v>40</v>
      </c>
      <c r="D181" s="187">
        <v>45</v>
      </c>
      <c r="E181" s="187">
        <v>34</v>
      </c>
      <c r="G181" s="187">
        <f>VLOOKUP(nearmax(F178,ZACH_HL),ZACH,IF(P6="Нормальні",1,3)+IF(H177="м'які породи",1,2),FALSE)</f>
        <v>41</v>
      </c>
      <c r="H181" s="187">
        <f>VLOOKUP(nearmax(G178,ZACH_HL),ZACH,IF(Q6="Нормальні",1,3)+IF(I177="м'які породи",1,2),FALSE)</f>
        <v>34</v>
      </c>
      <c r="K181" s="187" t="s">
        <v>2239</v>
      </c>
      <c r="L181" s="187">
        <v>0.15</v>
      </c>
    </row>
    <row r="182" spans="1:16">
      <c r="A182" s="187">
        <v>0.21</v>
      </c>
      <c r="B182" s="187">
        <v>59</v>
      </c>
      <c r="C182" s="187">
        <v>45</v>
      </c>
      <c r="D182" s="187">
        <v>50</v>
      </c>
      <c r="E182" s="187">
        <v>38</v>
      </c>
      <c r="H182" s="187">
        <f>IF(H177="м'які породи",1,2)</f>
        <v>1</v>
      </c>
      <c r="I182" s="187">
        <f>IF(I177="м'які породи",1,2)</f>
        <v>2</v>
      </c>
      <c r="K182" s="187">
        <f t="array" ref="K182">MIN(IF(ZACH_HL&gt;=L181,ZACH_HL))</f>
        <v>0.17</v>
      </c>
      <c r="L182" s="187" t="s">
        <v>2269</v>
      </c>
    </row>
    <row r="183" spans="1:16">
      <c r="A183" s="187">
        <v>0.25</v>
      </c>
      <c r="B183" s="187">
        <v>64</v>
      </c>
      <c r="C183" s="187">
        <v>49</v>
      </c>
      <c r="D183" s="187">
        <v>54</v>
      </c>
      <c r="E183" s="187">
        <v>41</v>
      </c>
      <c r="K183" s="187">
        <f>MATCH(K182,ZACH_HL,0)</f>
        <v>2</v>
      </c>
      <c r="L183" s="187" t="s">
        <v>2270</v>
      </c>
    </row>
    <row r="184" spans="1:16">
      <c r="A184" s="187">
        <v>0.32</v>
      </c>
      <c r="B184" s="187">
        <v>71</v>
      </c>
      <c r="C184" s="187">
        <v>55</v>
      </c>
      <c r="D184" s="187">
        <v>60</v>
      </c>
      <c r="E184" s="187">
        <v>46</v>
      </c>
      <c r="K184" s="187">
        <f>N171+N172+1</f>
        <v>5</v>
      </c>
      <c r="L184" s="187" t="s">
        <v>2271</v>
      </c>
    </row>
    <row r="185" spans="1:16">
      <c r="A185" s="187">
        <v>0.39</v>
      </c>
      <c r="B185" s="187">
        <v>76</v>
      </c>
      <c r="C185" s="187">
        <v>60</v>
      </c>
      <c r="D185" s="187">
        <v>64</v>
      </c>
      <c r="E185" s="187">
        <v>50</v>
      </c>
      <c r="K185" s="187">
        <f>INDEX(SPILP,K183,K184)</f>
        <v>83</v>
      </c>
      <c r="L185" s="187" t="s">
        <v>2275</v>
      </c>
    </row>
    <row r="186" spans="1:16">
      <c r="A186" s="187">
        <v>0.49</v>
      </c>
      <c r="B186" s="187">
        <v>83</v>
      </c>
      <c r="C186" s="187">
        <v>65</v>
      </c>
      <c r="D186" s="187">
        <v>69</v>
      </c>
      <c r="E186" s="187">
        <v>54</v>
      </c>
      <c r="K186" s="187">
        <f t="array" ref="K186">INDEX(ZACH,MATCH(MIN(IF(ZACH_HL&gt;=L181,ZACH_HL)),ZACH_HL,0),IF(L179="Важкі",3,1)+IF(L180="Твердолистяні породи",1,0)+1)</f>
        <v>34</v>
      </c>
    </row>
    <row r="187" spans="1:16">
      <c r="A187" s="187">
        <v>0.75</v>
      </c>
      <c r="B187" s="187">
        <v>94</v>
      </c>
      <c r="C187" s="187">
        <v>73</v>
      </c>
      <c r="D187" s="187">
        <v>79</v>
      </c>
      <c r="E187" s="187">
        <v>61</v>
      </c>
    </row>
    <row r="188" spans="1:16">
      <c r="A188" s="187">
        <v>1.1000000000000001</v>
      </c>
      <c r="B188" s="187">
        <v>105</v>
      </c>
      <c r="C188" s="187">
        <v>79</v>
      </c>
      <c r="D188" s="187">
        <v>88</v>
      </c>
      <c r="E188" s="187">
        <v>46</v>
      </c>
    </row>
    <row r="189" spans="1:16">
      <c r="A189" s="187">
        <v>1000</v>
      </c>
      <c r="B189" s="187">
        <v>105</v>
      </c>
      <c r="C189" s="187">
        <v>79</v>
      </c>
      <c r="D189" s="187">
        <v>88</v>
      </c>
      <c r="E189" s="187">
        <v>46</v>
      </c>
    </row>
    <row r="190" spans="1:16">
      <c r="A190" s="200" t="s">
        <v>2257</v>
      </c>
      <c r="D190" s="200" t="s">
        <v>2258</v>
      </c>
      <c r="E190" s="204"/>
    </row>
    <row r="191" spans="1:16">
      <c r="A191" s="200" t="s">
        <v>2173</v>
      </c>
      <c r="B191" s="213" t="s">
        <v>2280</v>
      </c>
      <c r="C191" s="187" t="s">
        <v>2281</v>
      </c>
      <c r="D191" s="200" t="s">
        <v>2282</v>
      </c>
      <c r="E191" s="204" t="s">
        <v>2283</v>
      </c>
      <c r="H191" s="206" t="s">
        <v>6</v>
      </c>
      <c r="I191" s="187" t="s">
        <v>2238</v>
      </c>
      <c r="J191" s="187">
        <f>IF(I191="Важкі",3,1)</f>
        <v>3</v>
      </c>
    </row>
    <row r="192" spans="1:16">
      <c r="A192" s="187" t="s">
        <v>2239</v>
      </c>
      <c r="D192" s="200"/>
      <c r="E192" s="204"/>
      <c r="H192" s="187" t="s">
        <v>2277</v>
      </c>
      <c r="I192" s="187" t="s">
        <v>72</v>
      </c>
      <c r="J192" s="187">
        <f>IF(I192="Твердолистяні породи",1,0)</f>
        <v>1</v>
      </c>
    </row>
    <row r="193" spans="1:12">
      <c r="A193" s="213" t="s">
        <v>2292</v>
      </c>
      <c r="B193" s="205" t="s">
        <v>2237</v>
      </c>
      <c r="C193" s="205"/>
      <c r="D193" s="205" t="s">
        <v>2238</v>
      </c>
      <c r="E193" s="205"/>
    </row>
    <row r="194" spans="1:12">
      <c r="A194" s="187" t="s">
        <v>3101</v>
      </c>
      <c r="B194" s="187" t="s">
        <v>71</v>
      </c>
      <c r="C194" s="187" t="s">
        <v>72</v>
      </c>
      <c r="D194" s="187" t="s">
        <v>71</v>
      </c>
      <c r="E194" s="187" t="s">
        <v>72</v>
      </c>
      <c r="H194" s="187">
        <f>INDEX(KOL,1,IF(I191="Важкі",3,1)+IF(I192="Твердолистяні породи",1,0)+1)</f>
        <v>5.7</v>
      </c>
    </row>
    <row r="195" spans="1:12">
      <c r="B195" s="187">
        <v>8.4</v>
      </c>
      <c r="C195" s="187">
        <v>6.7</v>
      </c>
      <c r="D195" s="187">
        <v>7.1</v>
      </c>
      <c r="E195" s="187">
        <v>5.7</v>
      </c>
    </row>
    <row r="197" spans="1:12">
      <c r="A197" s="400" t="s">
        <v>3280</v>
      </c>
      <c r="D197" s="400" t="s">
        <v>3281</v>
      </c>
      <c r="I197" s="187" t="s">
        <v>863</v>
      </c>
      <c r="J197" s="187" t="s">
        <v>3283</v>
      </c>
      <c r="K197" s="187" t="s">
        <v>3284</v>
      </c>
      <c r="L197" s="187" t="s">
        <v>3285</v>
      </c>
    </row>
    <row r="198" spans="1:12">
      <c r="H198" s="187" t="s">
        <v>3286</v>
      </c>
      <c r="I198" s="369">
        <v>5</v>
      </c>
      <c r="J198" s="187">
        <f t="array" ref="J198">MIN(IF(ZKK_NS&gt;=I198,ZKK_NS))</f>
        <v>100</v>
      </c>
      <c r="K198" s="401">
        <f t="array" ref="K198">MATCH(MIN(IF(ZKK_NS&gt;=I198,ZKK_NS)),ZKK_NS,0)</f>
        <v>3</v>
      </c>
      <c r="L198" s="187" t="e">
        <f>INDEX(ZKK,,K198)</f>
        <v>#VALUE!</v>
      </c>
    </row>
    <row r="199" spans="1:12">
      <c r="A199" s="187" t="s">
        <v>3282</v>
      </c>
      <c r="H199" s="187" t="s">
        <v>3282</v>
      </c>
      <c r="I199" s="369">
        <v>4</v>
      </c>
      <c r="J199" s="187">
        <f t="array" ref="J199">MIN(IF(INDEX(ZKK,,MATCH(MIN(IF(ZKK_NS&gt;=I198,ZKK_NS)),ZKK_NS,0))&gt;=I199,INDEX(ZKK,,MATCH(MIN(IF(ZKK_NS&gt;=I198,ZKK_NS)),ZKK_NS,0))))</f>
        <v>5</v>
      </c>
      <c r="K199" s="401">
        <f t="array" ref="K199">MATCH(MIN(IF(INDEX(ZKK,,MATCH(MIN(IF(ZKK_NS&gt;=I198,ZKK_NS)),ZKK_NS,0))&gt;=I199,INDEX(ZKK,,MATCH(MIN(IF(ZKK_NS&gt;=I198,ZKK_NS)),ZKK_NS,0)))),INDEX(ZKK,,MATCH(MIN(IF(ZKK_NS&gt;=I198,ZKK_NS)),ZKK_NS,0)),0)</f>
        <v>1</v>
      </c>
      <c r="L199" s="187" t="s">
        <v>3287</v>
      </c>
    </row>
    <row r="200" spans="1:12">
      <c r="A200" s="187">
        <v>2</v>
      </c>
      <c r="B200" s="187">
        <v>4</v>
      </c>
      <c r="C200" s="187">
        <v>100</v>
      </c>
      <c r="J200" s="187">
        <f t="array" ref="J200">MATCH(J199,INDEX(ZKK,,MATCH(MIN(IF(ZKK_NS&gt;=I198,ZKK_NS)),ZKK_NS,0)),0)</f>
        <v>1</v>
      </c>
      <c r="K200" s="187">
        <f t="array" ref="K200">INDEX(ZKK,,MATCH(MIN(IF(ZKK_NS&gt;=I198,ZKK_NS)),ZKK_NS,0))</f>
        <v>5</v>
      </c>
    </row>
    <row r="201" spans="1:12">
      <c r="A201" s="187">
        <v>2.5</v>
      </c>
      <c r="B201" s="187">
        <v>5</v>
      </c>
      <c r="C201" s="187">
        <v>5</v>
      </c>
      <c r="D201" s="187">
        <v>15.9</v>
      </c>
      <c r="E201" s="187">
        <v>32.299999999999997</v>
      </c>
      <c r="F201" s="187">
        <v>36.6</v>
      </c>
      <c r="G201" s="187">
        <v>21.9</v>
      </c>
      <c r="H201" s="187">
        <v>15.9</v>
      </c>
      <c r="I201" s="187">
        <v>21.9</v>
      </c>
      <c r="J201" s="187">
        <f>INDEX(ZKK,K199,K198+3)</f>
        <v>36.6</v>
      </c>
      <c r="K201" s="187" t="e">
        <f>INDEX(ZKK,MATCH(MIN(IF(INDEX(ZKK,,MATCH(MIN(IF(ZKK_NS&gt;=I198,ZKK_NS)),ZKK_NS,0))&gt;=I199,INDEX(ZKK,,MATCH(MIN(IF(ZKK_NS&gt;=I198,ZKK_NS)),ZKK_NS,0)))),INDEX(ZKK,,MATCH(MIN(IF(ZKK_NS&gt;=I198,ZKK_NS)),ZKK_NS,0)),0),MATCH(MIN(IF(ZKK_NS&gt;=I198,ZKK_NS)),ZKK_NS,0)+3)</f>
        <v>#VALUE!</v>
      </c>
    </row>
    <row r="202" spans="1:12">
      <c r="A202" s="187">
        <v>4</v>
      </c>
      <c r="B202" s="187">
        <v>9</v>
      </c>
      <c r="C202" s="187">
        <v>9</v>
      </c>
      <c r="D202" s="187">
        <v>19.02</v>
      </c>
      <c r="E202" s="187">
        <v>39.299999999999997</v>
      </c>
      <c r="F202" s="187">
        <v>44.6</v>
      </c>
      <c r="G202" s="187">
        <v>25.7</v>
      </c>
      <c r="H202" s="187">
        <v>19.02</v>
      </c>
      <c r="I202" s="187">
        <v>25.7</v>
      </c>
      <c r="K202" s="187">
        <f t="array" ref="K202">INDEX(ZKK,MATCH(MIN(IF(INDEX(ZKK,,MATCH(MIN(IF(ZKK_NS&gt;=2,ZKK_NS)),ZKK_NS,0))&gt;=I199,INDEX(ZKK,,MATCH(MIN(IF(ZKK_NS&gt;=2,ZKK_NS)),ZKK_NS,0)))),INDEX(ZKK,,MATCH(MIN(IF(ZKK_NS&gt;=2,ZKK_NS)),ZKK_NS,0)),0),1+3)</f>
        <v>19.02</v>
      </c>
      <c r="L202" s="187" t="s">
        <v>3288</v>
      </c>
    </row>
    <row r="203" spans="1:12">
      <c r="A203" s="187">
        <v>6</v>
      </c>
      <c r="B203" s="187">
        <v>16</v>
      </c>
      <c r="C203" s="187">
        <v>16</v>
      </c>
      <c r="D203" s="187">
        <v>21.59</v>
      </c>
      <c r="E203" s="187">
        <v>46.2</v>
      </c>
      <c r="F203" s="187">
        <v>52.3</v>
      </c>
      <c r="G203" s="187">
        <v>29.6</v>
      </c>
      <c r="H203" s="187">
        <v>21.59</v>
      </c>
      <c r="I203" s="187">
        <v>29.6</v>
      </c>
    </row>
    <row r="204" spans="1:12">
      <c r="A204" s="187">
        <v>9</v>
      </c>
      <c r="B204" s="187">
        <v>30</v>
      </c>
      <c r="C204" s="187">
        <v>30</v>
      </c>
      <c r="D204" s="187">
        <v>24</v>
      </c>
      <c r="E204" s="187">
        <v>53.6</v>
      </c>
      <c r="F204" s="187">
        <v>60.8</v>
      </c>
      <c r="G204" s="187">
        <v>34</v>
      </c>
      <c r="H204" s="187">
        <v>24</v>
      </c>
      <c r="I204" s="187">
        <v>34</v>
      </c>
    </row>
    <row r="205" spans="1:12">
      <c r="A205" s="187">
        <v>13</v>
      </c>
      <c r="B205" s="187">
        <v>34</v>
      </c>
      <c r="C205" s="187">
        <v>34</v>
      </c>
      <c r="D205" s="187">
        <v>25.88</v>
      </c>
      <c r="E205" s="187">
        <v>55.1</v>
      </c>
      <c r="F205" s="187">
        <v>62.5</v>
      </c>
      <c r="G205" s="187">
        <v>38.5</v>
      </c>
      <c r="H205" s="187">
        <v>25.88</v>
      </c>
      <c r="I205" s="187">
        <v>38.5</v>
      </c>
    </row>
    <row r="206" spans="1:12">
      <c r="A206" s="187">
        <v>100</v>
      </c>
      <c r="B206" s="187">
        <v>100</v>
      </c>
      <c r="C206" s="187">
        <v>100</v>
      </c>
      <c r="D206" s="187">
        <v>25.88</v>
      </c>
      <c r="E206" s="187">
        <v>55.1</v>
      </c>
      <c r="F206" s="187">
        <v>62.5</v>
      </c>
      <c r="G206" s="187">
        <v>38.5</v>
      </c>
      <c r="H206" s="187">
        <v>25.88</v>
      </c>
      <c r="I206" s="187">
        <v>38.5</v>
      </c>
    </row>
    <row r="211" spans="1:11">
      <c r="A211" s="187" t="s">
        <v>3901</v>
      </c>
      <c r="C211" s="187" t="s">
        <v>3903</v>
      </c>
      <c r="E211" s="187" t="s">
        <v>3902</v>
      </c>
    </row>
    <row r="212" spans="1:11">
      <c r="A212" s="187" t="s">
        <v>3282</v>
      </c>
    </row>
    <row r="213" spans="1:11">
      <c r="A213" s="187">
        <v>2</v>
      </c>
      <c r="B213" s="187">
        <v>100</v>
      </c>
      <c r="I213" s="187" t="s">
        <v>863</v>
      </c>
      <c r="J213" s="187" t="s">
        <v>3283</v>
      </c>
      <c r="K213" s="187" t="s">
        <v>3284</v>
      </c>
    </row>
    <row r="214" spans="1:11">
      <c r="A214" s="187">
        <v>2.5</v>
      </c>
      <c r="B214" s="187">
        <v>5</v>
      </c>
      <c r="C214" s="187">
        <v>12.6</v>
      </c>
      <c r="D214" s="187">
        <v>13.6</v>
      </c>
      <c r="H214" s="187" t="s">
        <v>3286</v>
      </c>
      <c r="I214" s="369">
        <v>3</v>
      </c>
      <c r="J214" s="187">
        <f t="array" ref="J214">MIN(IF(OMRM_NS&gt;=I214,OMRM_NS))</f>
        <v>100</v>
      </c>
      <c r="K214" s="401">
        <f t="array" ref="K214">MATCH(MIN(IF(OMRM_NS&gt;=I214,OMRM_NS)),OMRM_NS,0)</f>
        <v>2</v>
      </c>
    </row>
    <row r="215" spans="1:11">
      <c r="A215" s="187">
        <v>4</v>
      </c>
      <c r="B215" s="187">
        <v>9</v>
      </c>
      <c r="C215" s="187">
        <v>15.1</v>
      </c>
      <c r="D215" s="187">
        <v>15.5</v>
      </c>
      <c r="H215" s="187" t="s">
        <v>3282</v>
      </c>
      <c r="I215" s="369">
        <v>4</v>
      </c>
      <c r="J215" s="187">
        <f t="array" ref="J215">MIN(IF(INDEX(OMRM,,MATCH(MIN(IF(OMRM_NS&gt;=I214,OMRM_NS)),OMRM_NS,0))&gt;=I215,INDEX(OMRM,,MATCH(MIN(IF(OMRM_NS&gt;=I214,OMRM_NS)),OMRM_NS,0))))</f>
        <v>5</v>
      </c>
      <c r="K215" s="401">
        <f t="array" ref="K215">MATCH(MIN(IF(INDEX(OMRM,,MATCH(MIN(IF(OMRM_NS&gt;=I214,OMRM_NS)),OMRM_NS,0))&gt;=I215,INDEX(OMRM,,MATCH(MIN(IF(OMRM_NS&gt;=I214,OMRM_NS)),OMRM_NS,0)))),INDEX(OMRM,,MATCH(MIN(IF(OMRM_NS&gt;=I214,OMRM_NS)),OMRM_NS,0)),0)</f>
        <v>1</v>
      </c>
    </row>
    <row r="216" spans="1:11">
      <c r="A216" s="187">
        <v>6</v>
      </c>
      <c r="B216" s="187">
        <v>16</v>
      </c>
      <c r="C216" s="187">
        <v>17</v>
      </c>
      <c r="D216" s="187">
        <v>17.600000000000001</v>
      </c>
      <c r="K216" s="187">
        <f t="array" ref="K216">INDEX(OMRM,MATCH(MIN(IF(INDEX(OMRM,,MATCH(MIN(IF(OMRM_NS&gt;=I198,OMRM_NS)),OMRM_NS,0))&gt;=I199,INDEX(OMRM,,MATCH(MIN(IF(OMRM_NS&gt;=I198,OMRM_NS)),OMRM_NS,0)))),INDEX(OMRM,,MATCH(MIN(IF(OMRM_NS&gt;=I198,OMRM_NS)),OMRM_NS,0)),0),MATCH(MIN(IF(OMRM_NS&gt;=I198,OMRM_NS)),OMRM_NS,0)+2)</f>
        <v>13.6</v>
      </c>
    </row>
    <row r="217" spans="1:11">
      <c r="A217" s="187">
        <v>9</v>
      </c>
      <c r="B217" s="187">
        <v>30</v>
      </c>
      <c r="C217" s="187">
        <v>18.5</v>
      </c>
      <c r="D217" s="187">
        <v>20.3</v>
      </c>
    </row>
    <row r="218" spans="1:11">
      <c r="A218" s="187">
        <v>13</v>
      </c>
      <c r="B218" s="187">
        <v>34</v>
      </c>
      <c r="C218" s="187">
        <v>19.600000000000001</v>
      </c>
      <c r="D218" s="187">
        <v>22.2</v>
      </c>
    </row>
    <row r="219" spans="1:11">
      <c r="A219" s="187">
        <v>100</v>
      </c>
      <c r="B219" s="187">
        <v>100</v>
      </c>
      <c r="C219" s="187">
        <v>19.600000000000001</v>
      </c>
      <c r="D219" s="187">
        <v>22.2</v>
      </c>
    </row>
    <row r="222" spans="1:11">
      <c r="A222" s="187" t="s">
        <v>4985</v>
      </c>
    </row>
    <row r="224" spans="1:11" ht="13.5" thickBot="1">
      <c r="A224" s="213" t="s">
        <v>3101</v>
      </c>
      <c r="B224" s="187" t="s">
        <v>4986</v>
      </c>
      <c r="C224" s="187" t="s">
        <v>4987</v>
      </c>
      <c r="D224" s="187" t="s">
        <v>4988</v>
      </c>
      <c r="E224" s="187" t="s">
        <v>4989</v>
      </c>
      <c r="F224" s="187" t="s">
        <v>4990</v>
      </c>
    </row>
    <row r="225" spans="1:16" ht="13.5" thickBot="1">
      <c r="A225" s="778" t="s">
        <v>41</v>
      </c>
      <c r="B225" s="187">
        <v>1</v>
      </c>
      <c r="C225" s="187">
        <v>2.4</v>
      </c>
      <c r="D225" s="187">
        <v>3.3330000000000002</v>
      </c>
      <c r="E225" s="187">
        <v>3</v>
      </c>
      <c r="F225" s="187">
        <v>35.97</v>
      </c>
      <c r="I225" s="187" t="s">
        <v>72</v>
      </c>
    </row>
    <row r="226" spans="1:16" ht="39" thickBot="1">
      <c r="A226" s="779" t="s">
        <v>71</v>
      </c>
      <c r="B226" s="187">
        <v>1</v>
      </c>
      <c r="C226" s="187">
        <v>3.4</v>
      </c>
      <c r="D226" s="187">
        <v>2.3530000000000002</v>
      </c>
      <c r="E226" s="187">
        <v>3</v>
      </c>
      <c r="F226" s="187">
        <v>35.97</v>
      </c>
      <c r="I226" s="187">
        <f>SUMPRODUCT((СпалюванняВЗУ[Группа порід]=I225)*(СпалюванняВЗУ[[норма вироботку ]]))</f>
        <v>2.4</v>
      </c>
    </row>
    <row r="227" spans="1:16" ht="26.25" thickBot="1">
      <c r="A227" s="779" t="s">
        <v>72</v>
      </c>
      <c r="B227" s="187">
        <v>1</v>
      </c>
      <c r="C227" s="187">
        <v>2.4</v>
      </c>
      <c r="D227" s="187">
        <v>3.3330000000000002</v>
      </c>
      <c r="E227" s="187">
        <v>3</v>
      </c>
      <c r="F227" s="187">
        <v>35.97</v>
      </c>
    </row>
    <row r="229" spans="1:16">
      <c r="A229" s="187" t="s">
        <v>4991</v>
      </c>
      <c r="C229" s="187" t="s">
        <v>5314</v>
      </c>
    </row>
    <row r="230" spans="1:16">
      <c r="A230" s="187" t="s">
        <v>4991</v>
      </c>
      <c r="B230" s="187" t="s">
        <v>4997</v>
      </c>
      <c r="C230" s="187" t="s">
        <v>4987</v>
      </c>
      <c r="D230" s="187" t="s">
        <v>4988</v>
      </c>
      <c r="H230" s="187" t="s">
        <v>5312</v>
      </c>
      <c r="I230" s="187" t="s">
        <v>5313</v>
      </c>
    </row>
    <row r="231" spans="1:16" ht="13.5" thickBot="1">
      <c r="A231" s="187" t="s">
        <v>4992</v>
      </c>
      <c r="B231" s="187" t="s">
        <v>4994</v>
      </c>
      <c r="C231" s="187">
        <v>0.24</v>
      </c>
      <c r="D231" s="187">
        <v>33.332999999999998</v>
      </c>
      <c r="H231" s="187" t="s">
        <v>4994</v>
      </c>
      <c r="I231" s="187" t="s">
        <v>4992</v>
      </c>
      <c r="K231" s="899" t="s">
        <v>4992</v>
      </c>
    </row>
    <row r="232" spans="1:16" ht="13.5" thickBot="1">
      <c r="A232" s="187" t="s">
        <v>4992</v>
      </c>
      <c r="B232" s="187" t="s">
        <v>4995</v>
      </c>
      <c r="C232" s="187">
        <v>0.28999999999999998</v>
      </c>
      <c r="D232" s="187">
        <v>27.585999999999999</v>
      </c>
      <c r="H232" s="187" t="s">
        <v>4995</v>
      </c>
      <c r="I232" s="187" t="s">
        <v>4993</v>
      </c>
      <c r="K232" s="901" t="s">
        <v>4996</v>
      </c>
      <c r="L232" s="902"/>
      <c r="M232" s="902"/>
      <c r="N232" s="902"/>
      <c r="O232" s="903"/>
      <c r="P232" s="209"/>
    </row>
    <row r="233" spans="1:16">
      <c r="A233" s="187" t="s">
        <v>4992</v>
      </c>
      <c r="B233" s="187" t="s">
        <v>4996</v>
      </c>
      <c r="C233" s="187">
        <v>0.43</v>
      </c>
      <c r="D233" s="187">
        <v>18.605</v>
      </c>
      <c r="H233" s="187" t="s">
        <v>4996</v>
      </c>
      <c r="K233" s="187">
        <f>SUMPRODUCT((VKP[[Вирубування ]]=K231)*(VKP[підростом]=K232)*(VKP[[норма вироботку ]]))</f>
        <v>0.43</v>
      </c>
    </row>
    <row r="234" spans="1:16">
      <c r="A234" s="187" t="s">
        <v>4993</v>
      </c>
      <c r="B234" s="187" t="s">
        <v>4994</v>
      </c>
      <c r="C234" s="187">
        <v>0.22</v>
      </c>
      <c r="D234" s="187">
        <v>36.363999999999997</v>
      </c>
    </row>
    <row r="235" spans="1:16">
      <c r="A235" s="187" t="s">
        <v>4993</v>
      </c>
      <c r="B235" s="187" t="s">
        <v>4995</v>
      </c>
      <c r="C235" s="187">
        <v>0.25</v>
      </c>
      <c r="D235" s="187">
        <v>32</v>
      </c>
    </row>
    <row r="236" spans="1:16">
      <c r="A236" s="187" t="s">
        <v>4993</v>
      </c>
      <c r="B236" s="187" t="s">
        <v>4996</v>
      </c>
      <c r="C236" s="187">
        <v>0.32</v>
      </c>
      <c r="D236" s="187">
        <v>25</v>
      </c>
    </row>
  </sheetData>
  <conditionalFormatting sqref="A163:G163">
    <cfRule type="expression" dxfId="154" priority="1">
      <formula>$A$163:$G$163=$I$166</formula>
    </cfRule>
  </conditionalFormatting>
  <dataValidations count="9">
    <dataValidation type="list" allowBlank="1" showInputMessage="1" showErrorMessage="1" sqref="P6">
      <formula1>$S$4:$S$5</formula1>
    </dataValidation>
    <dataValidation type="list" allowBlank="1" showInputMessage="1" showErrorMessage="1" sqref="J165 J139 L179 I191">
      <formula1>INDIRECT("Умови_Роботи[Умови_Роботи]")</formula1>
    </dataValidation>
    <dataValidation type="list" allowBlank="1" showInputMessage="1" showErrorMessage="1" sqref="J164">
      <formula1>INDIRECT("ЗахаращеністьЛісосіки[ЗахаращеністьЛісосіки]")</formula1>
    </dataValidation>
    <dataValidation type="list" allowBlank="1" showInputMessage="1" showErrorMessage="1" sqref="L180 I192">
      <formula1>INDIRECT("Вид_Породи[Вид_Породи]")</formula1>
    </dataValidation>
    <dataValidation type="list" allowBlank="1" showInputMessage="1" sqref="J140">
      <formula1>INDIRECT("Вид_Породи[Вид_Породи]")</formula1>
    </dataValidation>
    <dataValidation type="list" allowBlank="1" showInputMessage="1" showErrorMessage="1" sqref="J138">
      <formula1>INDIRECT("ПородиИГруппи[список без груп порід]")</formula1>
    </dataValidation>
    <dataValidation type="list" allowBlank="1" showInputMessage="1" showErrorMessage="1" sqref="K231">
      <formula1>Вирубування</formula1>
    </dataValidation>
    <dataValidation type="list" allowBlank="1" showInputMessage="1" showErrorMessage="1" sqref="K232:O232">
      <formula1>Підріст</formula1>
    </dataValidation>
    <dataValidation type="list" allowBlank="1" showInputMessage="1" showErrorMessage="1" sqref="I225">
      <formula1>$A$225:$A$227</formula1>
    </dataValidation>
  </dataValidations>
  <pageMargins left="0.75" right="0.75" top="1" bottom="1" header="0.5" footer="0.5"/>
  <pageSetup paperSize="9" orientation="portrait" r:id="rId1"/>
  <headerFooter alignWithMargins="0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породи!$L$2:$L$3</xm:f>
          </x14:formula1>
          <xm:sqref>P7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tabColor rgb="FFFF0000"/>
    <pageSetUpPr fitToPage="1"/>
  </sheetPr>
  <dimension ref="A1:GP76"/>
  <sheetViews>
    <sheetView zoomScale="80" zoomScaleNormal="80" workbookViewId="0">
      <pane xSplit="1" ySplit="17" topLeftCell="B69" activePane="bottomRight" state="frozen"/>
      <selection pane="topRight" activeCell="B1" sqref="B1"/>
      <selection pane="bottomLeft" activeCell="A18" sqref="A18"/>
      <selection pane="bottomRight" activeCell="H62" sqref="H62"/>
    </sheetView>
  </sheetViews>
  <sheetFormatPr defaultColWidth="9.140625" defaultRowHeight="12.75" outlineLevelRow="2" outlineLevelCol="1"/>
  <cols>
    <col min="1" max="1" width="5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8" style="3" customWidth="1"/>
    <col min="9" max="9" width="15.5703125" style="3" customWidth="1"/>
    <col min="10" max="10" width="24.42578125" style="3" customWidth="1"/>
    <col min="11" max="11" width="16" style="3" hidden="1" customWidth="1" outlineLevel="1"/>
    <col min="12" max="12" width="15.5703125" style="3" hidden="1" customWidth="1" outlineLevel="1"/>
    <col min="13" max="13" width="14.85546875" style="3" hidden="1" customWidth="1" outlineLevel="1"/>
    <col min="14" max="14" width="4.5703125" style="3" hidden="1" customWidth="1" outlineLevel="1"/>
    <col min="15" max="15" width="16.28515625" style="3" customWidth="1" collapsed="1"/>
    <col min="16" max="16" width="18.140625" style="3" customWidth="1"/>
    <col min="17" max="17" width="9.140625" style="3"/>
    <col min="18" max="18" width="13.140625" style="3" customWidth="1"/>
    <col min="19" max="19" width="9.140625" style="3"/>
    <col min="20" max="20" width="12.7109375" style="3" customWidth="1"/>
    <col min="21" max="21" width="18" style="883" bestFit="1" customWidth="1"/>
    <col min="22" max="22" width="3.85546875" style="883" customWidth="1"/>
    <col min="23" max="23" width="13" style="3" bestFit="1" customWidth="1"/>
    <col min="24" max="24" width="12.140625" style="3" bestFit="1" customWidth="1"/>
    <col min="25" max="25" width="10.28515625" style="3" customWidth="1"/>
    <col min="26" max="29" width="9.140625" style="3"/>
    <col min="30" max="30" width="25.5703125" style="3" bestFit="1" customWidth="1"/>
    <col min="31" max="31" width="7.85546875" style="3" bestFit="1" customWidth="1"/>
    <col min="32" max="16384" width="9.140625" style="3"/>
  </cols>
  <sheetData>
    <row r="1" spans="1:26" ht="24" customHeight="1" thickBot="1">
      <c r="A1" s="1154" t="s">
        <v>108</v>
      </c>
      <c r="B1" s="1154"/>
      <c r="C1" s="1154"/>
      <c r="D1" s="1154"/>
      <c r="E1" s="1154"/>
      <c r="F1" s="1154"/>
      <c r="G1" s="639">
        <f>MONTH(gDataS)</f>
        <v>1</v>
      </c>
      <c r="H1" s="639" t="str">
        <f>VLOOKUP(gLisVo,Лісництва[[Підрозділ]:[01.фев]],3,FALSE)</f>
        <v>Віл</v>
      </c>
      <c r="I1" s="406">
        <v>3</v>
      </c>
      <c r="J1" s="411">
        <v>12</v>
      </c>
      <c r="O1" s="641" t="str">
        <f>VLOOKUP(gLisVo,Лісництва[[Підрозділ]:[ВиконавецДоговор]],15,FALSE)</f>
        <v>ДПО-18</v>
      </c>
      <c r="P1" s="412"/>
      <c r="Q1" s="413" t="s">
        <v>0</v>
      </c>
      <c r="R1" s="412"/>
      <c r="T1" s="285" t="s">
        <v>2171</v>
      </c>
      <c r="Y1" s="3" t="s">
        <v>3486</v>
      </c>
      <c r="Z1" s="3" t="s">
        <v>104</v>
      </c>
    </row>
    <row r="2" spans="1:26" ht="21" customHeight="1" outlineLevel="1" thickTop="1" thickBot="1">
      <c r="A2" s="4" t="s">
        <v>54</v>
      </c>
      <c r="B2" s="1160" t="s">
        <v>113</v>
      </c>
      <c r="C2" s="1161"/>
      <c r="D2" s="1161"/>
      <c r="E2" s="1161"/>
      <c r="F2" s="1162"/>
      <c r="G2" s="1132" t="s">
        <v>59</v>
      </c>
      <c r="H2" s="1133"/>
      <c r="I2" s="1158">
        <v>162</v>
      </c>
      <c r="J2" s="1159"/>
      <c r="K2" s="4"/>
      <c r="P2" s="1131" t="s">
        <v>1</v>
      </c>
      <c r="Q2" s="1131"/>
      <c r="R2" s="1131"/>
      <c r="T2" s="286" t="s">
        <v>867</v>
      </c>
      <c r="Z2" s="3" t="str">
        <f>CONCATENATE(gMD,"\",gCKR,"\",gPND,"_",gMLK,"_",gTender)</f>
        <v>1\Віл\3_12_ДПО-18</v>
      </c>
    </row>
    <row r="3" spans="1:26" ht="21" customHeight="1" outlineLevel="1" thickBot="1">
      <c r="A3" s="96" t="s">
        <v>55</v>
      </c>
      <c r="B3" s="1128">
        <v>52</v>
      </c>
      <c r="C3" s="1129"/>
      <c r="D3" s="1129"/>
      <c r="E3" s="1129"/>
      <c r="F3" s="1130"/>
      <c r="G3" s="1132" t="s">
        <v>61</v>
      </c>
      <c r="H3" s="1133"/>
      <c r="I3" s="1145">
        <f>gMas+gNel</f>
        <v>1280</v>
      </c>
      <c r="J3" s="1146"/>
      <c r="P3" s="799"/>
      <c r="Q3" s="147"/>
      <c r="R3" s="798" t="s">
        <v>2</v>
      </c>
      <c r="T3" s="285" t="s">
        <v>868</v>
      </c>
      <c r="Z3" s="3" t="str">
        <f>gDil &amp;" "&amp;gNLK&amp;" "&amp;gNr</f>
        <v>52 кв (7 вид) 0 діл. 556620 РГК</v>
      </c>
    </row>
    <row r="4" spans="1:26" ht="19.899999999999999" customHeight="1" outlineLevel="1" thickBot="1">
      <c r="A4" s="96" t="s">
        <v>56</v>
      </c>
      <c r="B4" s="1134" t="s">
        <v>3791</v>
      </c>
      <c r="C4" s="1135"/>
      <c r="D4" s="1135"/>
      <c r="E4" s="1135"/>
      <c r="F4" s="1136"/>
      <c r="G4" s="1132" t="s">
        <v>62</v>
      </c>
      <c r="H4" s="1133"/>
      <c r="I4" s="1147">
        <f>gT_51+gT_52+gT_53</f>
        <v>8</v>
      </c>
      <c r="J4" s="1148"/>
      <c r="P4" s="5"/>
      <c r="Q4" s="6"/>
      <c r="R4" s="7"/>
      <c r="T4" s="617" t="s">
        <v>3407</v>
      </c>
    </row>
    <row r="5" spans="1:26" ht="17.45" customHeight="1" outlineLevel="1" thickBot="1">
      <c r="A5" s="96" t="s">
        <v>57</v>
      </c>
      <c r="B5" s="1137">
        <v>0.3</v>
      </c>
      <c r="C5" s="1138"/>
      <c r="D5" s="1138"/>
      <c r="E5" s="1138"/>
      <c r="F5" s="1139"/>
      <c r="G5" s="1132" t="s">
        <v>60</v>
      </c>
      <c r="H5" s="1133"/>
      <c r="I5" s="1149">
        <v>1272</v>
      </c>
      <c r="J5" s="1150"/>
      <c r="O5" s="3" t="s">
        <v>104</v>
      </c>
      <c r="P5" s="1152" t="s">
        <v>5</v>
      </c>
      <c r="Q5" s="1152"/>
      <c r="R5" s="1153"/>
      <c r="T5" s="618" t="s">
        <v>3408</v>
      </c>
    </row>
    <row r="6" spans="1:26" ht="18" customHeight="1" outlineLevel="1" thickBot="1">
      <c r="A6" s="1" t="s">
        <v>58</v>
      </c>
      <c r="B6" s="1155" t="s">
        <v>104</v>
      </c>
      <c r="C6" s="1156"/>
      <c r="D6" s="1156"/>
      <c r="E6" s="1156"/>
      <c r="F6" s="1157"/>
      <c r="G6" s="1132" t="s">
        <v>64</v>
      </c>
      <c r="H6" s="1133"/>
      <c r="I6" s="1149">
        <v>342</v>
      </c>
      <c r="J6" s="1151"/>
      <c r="O6" s="430" t="s">
        <v>3778</v>
      </c>
      <c r="P6" s="647" t="s">
        <v>3784</v>
      </c>
      <c r="T6" s="3">
        <f>VLOOKUP(P6,Логика[],2)</f>
        <v>1</v>
      </c>
      <c r="Z6" s="3">
        <f t="array" aca="1" ref="Z6" ca="1">MAX(IF(INDIRECT("Техкарта[Лісництво]")=gLisVo,IF(INDIRECT("Техкарта[Месяц договору]")=gMD,INDIRECT("Техкарта[Порядковий договору]"))))</f>
        <v>24</v>
      </c>
    </row>
    <row r="7" spans="1:26" ht="16.899999999999999" customHeight="1" outlineLevel="1" thickBot="1">
      <c r="A7" s="97" t="s">
        <v>6</v>
      </c>
      <c r="B7" s="1142" t="s">
        <v>2238</v>
      </c>
      <c r="C7" s="1143"/>
      <c r="D7" s="1143"/>
      <c r="E7" s="1143"/>
      <c r="F7" s="1144"/>
      <c r="G7" s="1132" t="s">
        <v>63</v>
      </c>
      <c r="H7" s="1133"/>
      <c r="I7" s="1140">
        <v>0.84</v>
      </c>
      <c r="J7" s="1141"/>
      <c r="O7" s="430" t="s">
        <v>3774</v>
      </c>
      <c r="P7" s="647" t="s">
        <v>3784</v>
      </c>
      <c r="T7" s="3">
        <f>VLOOKUP(P7,Логика[],2)</f>
        <v>1</v>
      </c>
    </row>
    <row r="8" spans="1:26" ht="16.899999999999999" customHeight="1" outlineLevel="1" thickBot="1">
      <c r="A8" s="97" t="s">
        <v>67</v>
      </c>
      <c r="B8" s="1125">
        <v>43101</v>
      </c>
      <c r="C8" s="1126"/>
      <c r="D8" s="1126"/>
      <c r="E8" s="1126"/>
      <c r="F8" s="1127"/>
      <c r="G8" s="1089" t="s">
        <v>4</v>
      </c>
      <c r="H8" s="1088"/>
      <c r="I8" s="1165">
        <v>0</v>
      </c>
      <c r="J8" s="1166"/>
      <c r="O8" s="648" t="s">
        <v>3775</v>
      </c>
      <c r="P8" s="647" t="s">
        <v>3784</v>
      </c>
      <c r="T8" s="3">
        <f>VLOOKUP(P8,Логика[],2)</f>
        <v>1</v>
      </c>
      <c r="Z8" s="3" t="str">
        <f>Substring(gV,",",1)</f>
        <v>7_0</v>
      </c>
    </row>
    <row r="9" spans="1:26" ht="16.899999999999999" customHeight="1" outlineLevel="1" thickBot="1">
      <c r="A9" s="97" t="s">
        <v>68</v>
      </c>
      <c r="B9" s="1078" t="s">
        <v>80</v>
      </c>
      <c r="C9" s="1079"/>
      <c r="D9" s="1079"/>
      <c r="E9" s="1079"/>
      <c r="F9" s="1080"/>
      <c r="G9" s="1089" t="s">
        <v>65</v>
      </c>
      <c r="H9" s="1088"/>
      <c r="I9" s="1167">
        <v>1</v>
      </c>
      <c r="J9" s="1168"/>
      <c r="O9" s="650" t="s">
        <v>3487</v>
      </c>
      <c r="P9" s="649">
        <v>43102</v>
      </c>
      <c r="Z9" s="3" t="str">
        <f>Substring(gV,",",2)</f>
        <v/>
      </c>
    </row>
    <row r="10" spans="1:26" ht="16.899999999999999" customHeight="1" outlineLevel="1" thickBot="1">
      <c r="A10" s="97" t="s">
        <v>3773</v>
      </c>
      <c r="B10" s="1128">
        <v>5</v>
      </c>
      <c r="C10" s="1129"/>
      <c r="D10" s="1129"/>
      <c r="E10" s="1129"/>
      <c r="F10" s="1130"/>
      <c r="G10" s="1089" t="s">
        <v>3</v>
      </c>
      <c r="H10" s="1088"/>
      <c r="I10" s="1165">
        <v>2</v>
      </c>
      <c r="J10" s="1166"/>
      <c r="O10" s="3" t="s">
        <v>5310</v>
      </c>
      <c r="P10" s="899" t="s">
        <v>4992</v>
      </c>
      <c r="T10" s="3">
        <f>IF(P6="Так",1,0)</f>
        <v>1</v>
      </c>
    </row>
    <row r="11" spans="1:26" ht="16.899999999999999" customHeight="1" outlineLevel="1" thickBot="1">
      <c r="A11" s="97" t="s">
        <v>76</v>
      </c>
      <c r="B11" s="1128">
        <v>40</v>
      </c>
      <c r="C11" s="1129"/>
      <c r="D11" s="1129"/>
      <c r="E11" s="1129"/>
      <c r="F11" s="1130"/>
      <c r="G11" s="1088" t="s">
        <v>66</v>
      </c>
      <c r="H11" s="1088"/>
      <c r="I11" s="1171">
        <v>1.1000000000000001</v>
      </c>
      <c r="J11" s="1150"/>
      <c r="O11" s="852" t="s">
        <v>3432</v>
      </c>
      <c r="P11" s="853" t="s">
        <v>3453</v>
      </c>
    </row>
    <row r="12" spans="1:26" ht="16.899999999999999" customHeight="1" outlineLevel="1" thickBot="1">
      <c r="A12" s="97" t="s">
        <v>5312</v>
      </c>
      <c r="B12" s="1172" t="s">
        <v>4994</v>
      </c>
      <c r="C12" s="1172"/>
      <c r="D12" s="1172"/>
      <c r="E12" s="1172"/>
      <c r="F12" s="1148"/>
      <c r="G12" s="1088" t="s">
        <v>87</v>
      </c>
      <c r="H12" s="1088"/>
      <c r="I12" s="1165">
        <v>556620</v>
      </c>
      <c r="J12" s="1166"/>
      <c r="O12" s="850" t="s">
        <v>117</v>
      </c>
      <c r="P12" s="851" t="str">
        <f>gKV&amp;" кв ("&amp;Substring(gV,"_",1)&amp;" вид) "&amp;Substring(gV,"_",2)&amp;" діл."</f>
        <v>52 кв (7 вид) 0 діл.</v>
      </c>
    </row>
    <row r="13" spans="1:26" ht="16.899999999999999" customHeight="1" outlineLevel="1" thickBot="1">
      <c r="A13" s="97" t="s">
        <v>110</v>
      </c>
      <c r="B13" s="1142" t="s">
        <v>2305</v>
      </c>
      <c r="C13" s="1143"/>
      <c r="D13" s="1143"/>
      <c r="E13" s="1143"/>
      <c r="F13" s="1143"/>
      <c r="G13" s="1088" t="s">
        <v>109</v>
      </c>
      <c r="H13" s="1088"/>
      <c r="I13" s="1169" t="s">
        <v>3723</v>
      </c>
      <c r="J13" s="1170"/>
      <c r="O13" s="967" t="s">
        <v>5311</v>
      </c>
      <c r="P13" s="968" t="s">
        <v>78</v>
      </c>
      <c r="Q13" s="969" t="str">
        <f>INDEX(ПородиИГруппи[],MATCH(B13,ПородиИГруппи[список без груп порід],0),MATCH("Группа порід",ПородиИГруппи[#Headers],0))</f>
        <v>Твердолистяні породи</v>
      </c>
    </row>
    <row r="14" spans="1:26" ht="15" customHeight="1" outlineLevel="2" collapsed="1" thickBot="1">
      <c r="A14" s="8"/>
      <c r="B14" s="8" t="s">
        <v>7</v>
      </c>
      <c r="C14" s="8"/>
      <c r="D14" s="8"/>
      <c r="E14" s="8"/>
      <c r="F14" s="9"/>
      <c r="G14" s="1163" t="s">
        <v>8</v>
      </c>
      <c r="H14" s="1164"/>
      <c r="I14" s="772"/>
      <c r="J14" s="773"/>
      <c r="K14" s="12" t="s">
        <v>9</v>
      </c>
      <c r="L14" s="12" t="s">
        <v>10</v>
      </c>
      <c r="M14" s="12" t="s">
        <v>11</v>
      </c>
      <c r="N14" s="12" t="s">
        <v>12</v>
      </c>
    </row>
    <row r="15" spans="1:26" ht="15" outlineLevel="2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7" t="s">
        <v>21</v>
      </c>
      <c r="L15" s="17" t="s">
        <v>22</v>
      </c>
      <c r="M15" s="17" t="s">
        <v>23</v>
      </c>
      <c r="N15" s="17" t="s">
        <v>24</v>
      </c>
    </row>
    <row r="16" spans="1:26" outlineLevel="2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7" t="s">
        <v>30</v>
      </c>
      <c r="L16" s="17" t="s">
        <v>31</v>
      </c>
      <c r="M16" s="17" t="s">
        <v>32</v>
      </c>
      <c r="N16" s="17" t="s">
        <v>33</v>
      </c>
    </row>
    <row r="17" spans="1:198" ht="13.5" outlineLevel="2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21"/>
      <c r="L17" s="21"/>
      <c r="M17" s="21"/>
      <c r="N17" s="21"/>
    </row>
    <row r="18" spans="1:198" ht="15" hidden="1" customHeight="1" thickBot="1">
      <c r="A18" s="8"/>
      <c r="B18" s="8" t="s">
        <v>7</v>
      </c>
      <c r="C18" s="8"/>
      <c r="D18" s="8"/>
      <c r="E18" s="8"/>
      <c r="F18" s="9"/>
      <c r="G18" s="1173" t="s">
        <v>8</v>
      </c>
      <c r="H18" s="1174"/>
      <c r="I18" s="772"/>
      <c r="J18" s="773"/>
      <c r="K18" s="780"/>
      <c r="L18" s="781"/>
      <c r="M18" s="781"/>
      <c r="N18" s="781"/>
      <c r="O18" s="12" t="s">
        <v>9</v>
      </c>
      <c r="P18" s="12" t="s">
        <v>10</v>
      </c>
      <c r="Q18" s="12" t="s">
        <v>11</v>
      </c>
      <c r="R18" s="12" t="s">
        <v>12</v>
      </c>
    </row>
    <row r="19" spans="1:198" ht="15" hidden="1">
      <c r="A19" s="13"/>
      <c r="B19" s="13"/>
      <c r="C19" s="13" t="s">
        <v>13</v>
      </c>
      <c r="D19" s="14" t="s">
        <v>14</v>
      </c>
      <c r="E19" s="13" t="s">
        <v>15</v>
      </c>
      <c r="F19" s="13" t="s">
        <v>16</v>
      </c>
      <c r="G19" s="15" t="s">
        <v>17</v>
      </c>
      <c r="H19" s="16" t="s">
        <v>18</v>
      </c>
      <c r="I19" s="17" t="s">
        <v>19</v>
      </c>
      <c r="J19" s="13" t="s">
        <v>20</v>
      </c>
      <c r="K19" s="782" t="s">
        <v>4998</v>
      </c>
      <c r="L19" s="13" t="s">
        <v>4999</v>
      </c>
      <c r="M19" s="13" t="s">
        <v>4999</v>
      </c>
      <c r="N19" s="13" t="s">
        <v>4999</v>
      </c>
      <c r="O19" s="17" t="s">
        <v>21</v>
      </c>
      <c r="P19" s="17" t="s">
        <v>22</v>
      </c>
      <c r="Q19" s="17" t="s">
        <v>23</v>
      </c>
      <c r="R19" s="17" t="s">
        <v>24</v>
      </c>
    </row>
    <row r="20" spans="1:198" hidden="1">
      <c r="A20" s="13"/>
      <c r="B20" s="13"/>
      <c r="C20" s="13" t="s">
        <v>25</v>
      </c>
      <c r="D20" s="13" t="s">
        <v>26</v>
      </c>
      <c r="E20" s="13" t="s">
        <v>27</v>
      </c>
      <c r="F20" s="13" t="s">
        <v>28</v>
      </c>
      <c r="G20" s="15"/>
      <c r="H20" s="16"/>
      <c r="I20" s="17" t="s">
        <v>29</v>
      </c>
      <c r="J20" s="13" t="s">
        <v>29</v>
      </c>
      <c r="K20" s="782" t="s">
        <v>5000</v>
      </c>
      <c r="L20" s="13" t="s">
        <v>5001</v>
      </c>
      <c r="M20" s="13" t="s">
        <v>5002</v>
      </c>
      <c r="N20" s="13" t="s">
        <v>5003</v>
      </c>
      <c r="O20" s="17" t="s">
        <v>30</v>
      </c>
      <c r="P20" s="17" t="s">
        <v>31</v>
      </c>
      <c r="Q20" s="17" t="s">
        <v>32</v>
      </c>
      <c r="R20" s="17" t="s">
        <v>33</v>
      </c>
    </row>
    <row r="21" spans="1:198" hidden="1">
      <c r="A21" s="13"/>
      <c r="B21" s="13"/>
      <c r="C21" s="13"/>
      <c r="D21" s="13"/>
      <c r="E21" s="13" t="s">
        <v>34</v>
      </c>
      <c r="F21" s="13"/>
      <c r="G21" s="15"/>
      <c r="H21" s="16"/>
      <c r="I21" s="13"/>
      <c r="J21" s="13"/>
      <c r="K21" s="782" t="s">
        <v>5001</v>
      </c>
      <c r="L21" s="13" t="s">
        <v>5004</v>
      </c>
      <c r="M21" s="13" t="s">
        <v>5004</v>
      </c>
      <c r="N21" s="13" t="s">
        <v>5004</v>
      </c>
      <c r="O21" s="129"/>
      <c r="P21" s="129"/>
      <c r="Q21" s="129"/>
      <c r="R21" s="129"/>
    </row>
    <row r="22" spans="1:198" ht="13.5" thickBot="1">
      <c r="A22" s="854" t="s">
        <v>35</v>
      </c>
      <c r="B22" s="825"/>
      <c r="C22" s="825"/>
      <c r="D22" s="825"/>
      <c r="E22" s="825"/>
      <c r="F22" s="825"/>
      <c r="G22" s="840">
        <f>gKZ</f>
        <v>1.1000000000000001</v>
      </c>
      <c r="H22" s="812"/>
      <c r="I22" s="810"/>
      <c r="J22" s="810"/>
      <c r="K22" s="841"/>
      <c r="L22" s="810"/>
      <c r="M22" s="810"/>
      <c r="N22" s="810"/>
      <c r="O22" s="827"/>
      <c r="P22" s="827"/>
      <c r="Q22" s="827"/>
      <c r="R22" s="842"/>
      <c r="AD22" s="3" t="s">
        <v>5112</v>
      </c>
    </row>
    <row r="23" spans="1:198" ht="16.5" thickTop="1" thickBot="1">
      <c r="A23" s="855" t="s">
        <v>36</v>
      </c>
      <c r="B23" s="831" t="s">
        <v>37</v>
      </c>
      <c r="C23" s="832">
        <f t="array" ref="C23">INDEX(PND,MATCH(MIN(IF(PND_HL&gt;=gCrHl,PND_HL)),PND_HL,0),IF(gZah="велика",5,IF(gZah="середня",3,1))+IF(gUmRab="Важкі",1,0)+1)</f>
        <v>1.1000000000000001</v>
      </c>
      <c r="D23" s="833" t="s">
        <v>38</v>
      </c>
      <c r="E23" s="238">
        <f ca="1">ROUNDUP((INDIRECT(ADDRESS(MATCH(gумДатаТарифы,Тарифи[№],0)+1,LEFT(D23,1)+2,1,1,"Тарифи"))+INDIRECT(ADDRESS(MATCH(gумДатаТарифы,Тарифи[№],0)+1,RIGHT(D23,1)+2,1,1,"Тарифи")))/2,2)</f>
        <v>36.03</v>
      </c>
      <c r="F23" s="832">
        <f>gPl</f>
        <v>0.3</v>
      </c>
      <c r="G23" s="834">
        <f>C23*gKZ</f>
        <v>1.2100000000000002</v>
      </c>
      <c r="H23" s="835">
        <f>16/G23</f>
        <v>13.223140495867767</v>
      </c>
      <c r="I23" s="836">
        <f>J23/2</f>
        <v>1.9834710743801649</v>
      </c>
      <c r="J23" s="835">
        <f>F23/G23*16</f>
        <v>3.9669421487603298</v>
      </c>
      <c r="K23" s="837"/>
      <c r="L23" s="835">
        <f>(F23*K23/1000)/0.73</f>
        <v>0</v>
      </c>
      <c r="M23" s="835">
        <f>L23*0.4</f>
        <v>0</v>
      </c>
      <c r="N23" s="835">
        <f>L23*0.05</f>
        <v>0</v>
      </c>
      <c r="O23" s="962">
        <f ca="1">E23*J23</f>
        <v>142.9289256198347</v>
      </c>
      <c r="P23" s="838">
        <f ca="1">O23*0.5</f>
        <v>71.46446280991735</v>
      </c>
      <c r="Q23" s="838">
        <f ca="1">(O23+P23)*0.22</f>
        <v>47.166545454545457</v>
      </c>
      <c r="R23" s="839">
        <f ca="1">O23+P23+Q23</f>
        <v>261.55993388429749</v>
      </c>
      <c r="T23" s="897">
        <f ca="1">BankersRound(O23,3)</f>
        <v>142.929</v>
      </c>
      <c r="U23" s="893">
        <f t="shared" ref="U23:U62" ca="1" si="0">BankersRound(T23*gККЗ,V23)</f>
        <v>173.65873500000001</v>
      </c>
      <c r="V23" s="895">
        <f>LEN(F23)+4</f>
        <v>7</v>
      </c>
      <c r="W23" s="3">
        <f ca="1">U23/F23</f>
        <v>578.86245000000008</v>
      </c>
      <c r="X23" s="882">
        <f ca="1">ROUND(O23,3)</f>
        <v>142.929</v>
      </c>
      <c r="Y23" s="882">
        <f ca="1">X23-T23</f>
        <v>0</v>
      </c>
      <c r="Z23" s="3" t="s">
        <v>2172</v>
      </c>
      <c r="AA23" t="s">
        <v>5087</v>
      </c>
      <c r="AD23" s="3" t="str">
        <f>g&amp;Param&amp;REGPLACE(REGPLACE(Join_Range(AA23:AC23), "_{1,3}","_"), "_$","")</f>
        <v>gСуммПриб</v>
      </c>
      <c r="AE23" s="882">
        <f>COLUMN($O23)-COLUMN()+1</f>
        <v>-15</v>
      </c>
      <c r="GP23" s="3">
        <v>26</v>
      </c>
    </row>
    <row r="24" spans="1:198" ht="16.5" thickTop="1" thickBot="1">
      <c r="A24" s="856" t="s">
        <v>5005</v>
      </c>
      <c r="B24" s="831" t="s">
        <v>37</v>
      </c>
      <c r="C24" s="900">
        <f>SUMPRODUCT((VKP[[Вирубування ]]=gbSpaluvanny)*(VKP[підростом]=gPidrist)*(VKP[[норма вироботку ]]))</f>
        <v>0.24</v>
      </c>
      <c r="D24" s="833">
        <v>3</v>
      </c>
      <c r="E24" s="238">
        <f ca="1">ROUNDUP((INDIRECT(ADDRESS(MATCH(gумДатаТарифы,Тарифи[№],0)+1,LEFT(D24,1)+2,1,1,"Тарифи"))+INDIRECT(ADDRESS(MATCH(gумДатаТарифы,Тарифи[№],0)+1,RIGHT(D24,1)+2,1,1,"Тарифи")))/2,2)</f>
        <v>27.45</v>
      </c>
      <c r="F24" s="832">
        <f>gPl</f>
        <v>0.3</v>
      </c>
      <c r="G24" s="834">
        <f>C24*gKZ</f>
        <v>0.26400000000000001</v>
      </c>
      <c r="H24" s="835">
        <f>8/G24</f>
        <v>30.303030303030301</v>
      </c>
      <c r="I24" s="836"/>
      <c r="J24" s="835">
        <f>F24/G24*8</f>
        <v>9.0909090909090899</v>
      </c>
      <c r="K24" s="837"/>
      <c r="L24" s="835">
        <f>(F24*K24/1000)/0.73</f>
        <v>0</v>
      </c>
      <c r="M24" s="835">
        <f>L24*0.4</f>
        <v>0</v>
      </c>
      <c r="N24" s="835">
        <f>L24*0.05</f>
        <v>0</v>
      </c>
      <c r="O24" s="962">
        <f ca="1">E24*J24</f>
        <v>249.5454545454545</v>
      </c>
      <c r="P24" s="838">
        <f ca="1">O24*0.5</f>
        <v>124.77272727272725</v>
      </c>
      <c r="Q24" s="838">
        <f ca="1">(O24+P24)*0.22</f>
        <v>82.34999999999998</v>
      </c>
      <c r="R24" s="839">
        <f ca="1">O24+P24+Q24</f>
        <v>456.66818181818172</v>
      </c>
      <c r="T24" s="897">
        <f t="shared" ref="T24:T62" ca="1" si="1">BankersRound(O24,3)</f>
        <v>249.54499999999999</v>
      </c>
      <c r="U24" s="893">
        <f t="shared" ca="1" si="0"/>
        <v>303.19717500000002</v>
      </c>
      <c r="V24" s="895">
        <f t="shared" ref="V24:V62" si="2">LEN(F24)+4</f>
        <v>7</v>
      </c>
      <c r="W24" s="3">
        <f t="shared" ref="W24:W62" ca="1" si="3">U24/F24</f>
        <v>1010.6572500000001</v>
      </c>
      <c r="X24" s="882">
        <f t="shared" ref="X24:X62" ca="1" si="4">ROUND(O24,3)</f>
        <v>249.54499999999999</v>
      </c>
      <c r="Y24" s="882">
        <f t="shared" ref="Y24:Y62" ca="1" si="5">X24-T24</f>
        <v>0</v>
      </c>
      <c r="AA24" t="s">
        <v>5088</v>
      </c>
      <c r="AD24" s="3" t="str">
        <f>g&amp;Param&amp;REGPLACE(REGPLACE(Join_Range(AA24:AC24), "_{1,3}","_"), "_$","")</f>
        <v>gСуммВируб</v>
      </c>
      <c r="AE24" s="882">
        <f t="shared" ref="AE24:AE62" si="6">COLUMN($O24)-COLUMN()+1</f>
        <v>-15</v>
      </c>
    </row>
    <row r="25" spans="1:198" ht="16.5" thickTop="1" thickBot="1">
      <c r="A25" s="857" t="s">
        <v>5006</v>
      </c>
      <c r="B25" s="828" t="s">
        <v>69</v>
      </c>
      <c r="C25" s="829">
        <f t="array" ref="C25">INDEX(SPILP,MATCH(MIN(IF(SPILP_HL&gt;=gSOP,SPILP_HL)),SPILP_HL,0),IF(gUmRab="Важкі",3,1)+IF(K13=INDEX(ПородиИГруппи[],MATCH(gGp,ПородиИГруппи[список без груп порід],0),MATCH("Группа порід",ПородиИГруппи[#Headers],0)),1,0)+1)</f>
        <v>60</v>
      </c>
      <c r="D25" s="830" t="s">
        <v>70</v>
      </c>
      <c r="E25" s="238">
        <f ca="1">ROUNDUP((INDIRECT(ADDRESS(MATCH(gумДатаТарифы,Тарифи[№],0)+1,LEFT(D25,1)+2,1,1,"Тарифи"))+INDIRECT(ADDRESS(MATCH(gумДатаТарифы,Тарифи[№],0)+1,RIGHT(D25,1)+2,1,1,"Тарифи")))/2,2)</f>
        <v>27.79</v>
      </c>
      <c r="F25" s="829">
        <f>gKd</f>
        <v>162</v>
      </c>
      <c r="G25" s="70">
        <f>C25*gKZ</f>
        <v>66</v>
      </c>
      <c r="H25" s="817">
        <f>16/G25</f>
        <v>0.24242424242424243</v>
      </c>
      <c r="I25" s="60">
        <f>J25/2</f>
        <v>19.636363636363637</v>
      </c>
      <c r="J25" s="817">
        <f>F25/G25*16</f>
        <v>39.272727272727273</v>
      </c>
      <c r="K25" s="824"/>
      <c r="L25" s="817">
        <f>(F25*K25/1000)/0.73</f>
        <v>0</v>
      </c>
      <c r="M25" s="817">
        <f>L25*0.4</f>
        <v>0</v>
      </c>
      <c r="N25" s="817">
        <f>L25*0.05</f>
        <v>0</v>
      </c>
      <c r="O25" s="963">
        <f ca="1">E25*J25</f>
        <v>1091.3890909090908</v>
      </c>
      <c r="P25" s="806">
        <f ca="1">O25*0.5</f>
        <v>545.69454545454539</v>
      </c>
      <c r="Q25" s="806">
        <f ca="1">(O25+P25)*0.22</f>
        <v>360.15839999999997</v>
      </c>
      <c r="R25" s="117">
        <f ca="1">O25+P25+Q25</f>
        <v>1997.2420363636363</v>
      </c>
      <c r="T25" s="897">
        <f t="shared" ca="1" si="1"/>
        <v>1091.3889999999999</v>
      </c>
      <c r="U25" s="893">
        <f t="shared" ca="1" si="0"/>
        <v>1326.0376349999999</v>
      </c>
      <c r="V25" s="895">
        <f t="shared" si="2"/>
        <v>7</v>
      </c>
      <c r="W25" s="3">
        <f t="shared" ca="1" si="3"/>
        <v>8.1854174999999998</v>
      </c>
      <c r="X25" s="882">
        <f t="shared" ca="1" si="4"/>
        <v>1091.3889999999999</v>
      </c>
      <c r="Y25" s="882">
        <f t="shared" ca="1" si="5"/>
        <v>0</v>
      </c>
      <c r="AA25" t="s">
        <v>5089</v>
      </c>
      <c r="AD25" s="3" t="str">
        <f>g&amp;Param&amp;REGPLACE(REGPLACE(Join_Range(AA25:AC25), "_{1,3}","_"), "_$","")</f>
        <v>gСуммСпил</v>
      </c>
      <c r="AE25" s="882">
        <f t="shared" si="6"/>
        <v>-15</v>
      </c>
    </row>
    <row r="26" spans="1:198" ht="13.5" thickBot="1">
      <c r="A26" s="858" t="s">
        <v>5007</v>
      </c>
      <c r="B26" s="777"/>
      <c r="C26" s="776"/>
      <c r="D26" s="40"/>
      <c r="E26" s="40"/>
      <c r="F26" s="776"/>
      <c r="G26" s="777"/>
      <c r="H26" s="38"/>
      <c r="I26" s="36"/>
      <c r="J26" s="38"/>
      <c r="K26" s="783"/>
      <c r="L26" s="38"/>
      <c r="M26" s="38"/>
      <c r="N26" s="38"/>
      <c r="O26" s="964"/>
      <c r="P26" s="106"/>
      <c r="Q26" s="106"/>
      <c r="R26" s="115"/>
      <c r="T26" s="897">
        <f t="shared" si="1"/>
        <v>0</v>
      </c>
      <c r="U26" s="893">
        <f t="shared" si="0"/>
        <v>0</v>
      </c>
      <c r="V26" s="895">
        <f t="shared" si="2"/>
        <v>4</v>
      </c>
      <c r="X26" s="882">
        <f t="shared" si="4"/>
        <v>0</v>
      </c>
      <c r="Y26" s="882">
        <f t="shared" si="5"/>
        <v>0</v>
      </c>
      <c r="AE26" s="882">
        <f t="shared" si="6"/>
        <v>-15</v>
      </c>
      <c r="GP26" s="3">
        <v>45</v>
      </c>
    </row>
    <row r="27" spans="1:198" ht="15.75" thickBot="1">
      <c r="A27" s="102" t="s">
        <v>74</v>
      </c>
      <c r="B27" s="35" t="s">
        <v>39</v>
      </c>
      <c r="C27" s="234">
        <f>C29*0.88</f>
        <v>138.16</v>
      </c>
      <c r="D27" s="37" t="s">
        <v>38</v>
      </c>
      <c r="E27" s="238">
        <f ca="1">ROUNDUP((INDIRECT(ADDRESS(MATCH(gумДатаТарифы,Тарифи[№],0)+1,LEFT(D27,1)+2,1,1,"Тарифи"))+INDIRECT(ADDRESS(MATCH(gумДатаТарифы,Тарифи[№],0)+1,RIGHT(D27,1)+2,1,1,"Тарифи")))/2,2)</f>
        <v>36.03</v>
      </c>
      <c r="F27" s="237">
        <f>gДерГраб</f>
        <v>1</v>
      </c>
      <c r="G27" s="36">
        <f>C27*gKZ</f>
        <v>151.976</v>
      </c>
      <c r="H27" s="38">
        <f>16/G27</f>
        <v>0.10527978101805548</v>
      </c>
      <c r="I27" s="36">
        <f>J27/2</f>
        <v>5.2639890509027738E-2</v>
      </c>
      <c r="J27" s="38">
        <f>F27/G27*16</f>
        <v>0.10527978101805548</v>
      </c>
      <c r="K27" s="783"/>
      <c r="L27" s="38">
        <f>(F27*K27/1000)/0.73</f>
        <v>0</v>
      </c>
      <c r="M27" s="38">
        <f>L27*0.4</f>
        <v>0</v>
      </c>
      <c r="N27" s="38">
        <f>L27*0.05</f>
        <v>0</v>
      </c>
      <c r="O27" s="965">
        <f ca="1">E27*J27</f>
        <v>3.793230510080539</v>
      </c>
      <c r="P27" s="106">
        <f ca="1">O27*0.5</f>
        <v>1.8966152550402695</v>
      </c>
      <c r="Q27" s="106">
        <f t="shared" ref="Q27:Q62" ca="1" si="7">(O27+P27)*0.22</f>
        <v>1.2517660683265779</v>
      </c>
      <c r="R27" s="115">
        <f t="shared" ref="R27:R57" ca="1" si="8">O27+P27+Q27</f>
        <v>6.9416118334473866</v>
      </c>
      <c r="T27" s="897">
        <f t="shared" ca="1" si="1"/>
        <v>3.7930000000000001</v>
      </c>
      <c r="U27" s="893">
        <f t="shared" ca="1" si="0"/>
        <v>4.6085000000000003</v>
      </c>
      <c r="V27" s="895">
        <f t="shared" si="2"/>
        <v>5</v>
      </c>
      <c r="W27" s="3">
        <f t="shared" ca="1" si="3"/>
        <v>4.6085000000000003</v>
      </c>
      <c r="X27" s="882">
        <f t="shared" ca="1" si="4"/>
        <v>3.7930000000000001</v>
      </c>
      <c r="Y27" s="882">
        <f t="shared" ca="1" si="5"/>
        <v>0</v>
      </c>
      <c r="AA27" t="s">
        <v>5091</v>
      </c>
      <c r="AC27" t="s">
        <v>41</v>
      </c>
      <c r="AD27" s="3" t="str">
        <f>g&amp;Param&amp;REGPLACE(REGPLACE(Join_Range(AA27:AC27), "_{1,3}","_"), "_$","")</f>
        <v>gСуммЗвал_Граб</v>
      </c>
      <c r="AE27" s="882">
        <f t="shared" si="6"/>
        <v>-15</v>
      </c>
    </row>
    <row r="28" spans="1:198" ht="15">
      <c r="A28" s="39" t="s">
        <v>71</v>
      </c>
      <c r="B28" s="35" t="s">
        <v>39</v>
      </c>
      <c r="C28" s="234">
        <f t="array" ref="C28">INDEX(ZVZP,MATCH(MIN(IF(ZVZP_HL&gt;=gCrHl,ZVZP_HL)),ZVZP_HL,0),MATCH(MIN(IF(ZVZP_VM&gt;=gMas1Ga,ZVZP_VM)),ZVZP_VM,0)+IF(gUmRab="Важкі",2,0)+IF(A28="Твердолистяні породи",1,0)+1)</f>
        <v>190</v>
      </c>
      <c r="D28" s="777"/>
      <c r="E28" s="40"/>
      <c r="F28" s="237">
        <f>gДерМЛ</f>
        <v>2</v>
      </c>
      <c r="G28" s="36">
        <f>C28*gKZ</f>
        <v>209.00000000000003</v>
      </c>
      <c r="H28" s="38">
        <f>16/G28</f>
        <v>7.6555023923444959E-2</v>
      </c>
      <c r="I28" s="36">
        <f>J28/2</f>
        <v>7.6555023923444959E-2</v>
      </c>
      <c r="J28" s="38">
        <f>F28/G28*16</f>
        <v>0.15311004784688992</v>
      </c>
      <c r="K28" s="783"/>
      <c r="L28" s="38">
        <f>(F28*K28/1000)/0.73</f>
        <v>0</v>
      </c>
      <c r="M28" s="38">
        <f>L28*0.4</f>
        <v>0</v>
      </c>
      <c r="N28" s="38">
        <f>L28*0.05</f>
        <v>0</v>
      </c>
      <c r="O28" s="965">
        <f ca="1">E27*J28</f>
        <v>5.516555023923444</v>
      </c>
      <c r="P28" s="106">
        <f ca="1">O28*0.5</f>
        <v>2.758277511961722</v>
      </c>
      <c r="Q28" s="106">
        <f ca="1">(O28+P28)*0.22</f>
        <v>1.8204631578947363</v>
      </c>
      <c r="R28" s="115">
        <f t="shared" ca="1" si="8"/>
        <v>10.095295693779901</v>
      </c>
      <c r="T28" s="897">
        <f t="shared" ca="1" si="1"/>
        <v>5.5170000000000003</v>
      </c>
      <c r="U28" s="893">
        <f t="shared" ca="1" si="0"/>
        <v>6.7031599999999996</v>
      </c>
      <c r="V28" s="895">
        <f t="shared" si="2"/>
        <v>5</v>
      </c>
      <c r="W28" s="3">
        <f t="shared" ca="1" si="3"/>
        <v>3.3515799999999998</v>
      </c>
      <c r="X28" s="882">
        <f t="shared" ca="1" si="4"/>
        <v>5.5170000000000003</v>
      </c>
      <c r="Y28" s="882">
        <f t="shared" ca="1" si="5"/>
        <v>0</v>
      </c>
      <c r="AA28" t="s">
        <v>5091</v>
      </c>
      <c r="AC28" t="s">
        <v>5106</v>
      </c>
      <c r="AD28" s="3" t="str">
        <f>g&amp;Param&amp;REGPLACE(REGPLACE(Join_Range(AA28:AC28), "_{1,3}","_"), "_$","")</f>
        <v>gСуммЗвал_МЛ</v>
      </c>
      <c r="AE28" s="882">
        <f t="shared" si="6"/>
        <v>-15</v>
      </c>
    </row>
    <row r="29" spans="1:198" ht="15.75" thickBot="1">
      <c r="A29" s="807" t="s">
        <v>72</v>
      </c>
      <c r="B29" s="808" t="s">
        <v>39</v>
      </c>
      <c r="C29" s="809">
        <f t="array" ref="C29">INDEX(ZVZP,MATCH(MIN(IF(ZVZP_HL&gt;=gCrHl,ZVZP_HL)),ZVZP_HL,0),MATCH(MIN(IF(ZVZP_VM&gt;=gMas1Ga,ZVZP_VM)),ZVZP_VM,0)+IF(gUmRab="Важкі",2,0)+IF(A29="Твердолистяні породи",1,0)+1)</f>
        <v>157</v>
      </c>
      <c r="D29" s="825"/>
      <c r="E29" s="827"/>
      <c r="F29" s="811">
        <f>gДерТВ</f>
        <v>80</v>
      </c>
      <c r="G29" s="810">
        <f>C29*gKZ</f>
        <v>172.70000000000002</v>
      </c>
      <c r="H29" s="812">
        <f>16/G29</f>
        <v>9.2646207295888822E-2</v>
      </c>
      <c r="I29" s="810">
        <f>J29/2</f>
        <v>3.7058482918355526</v>
      </c>
      <c r="J29" s="812">
        <f>F29/G29*16</f>
        <v>7.4116965836711053</v>
      </c>
      <c r="K29" s="813"/>
      <c r="L29" s="812">
        <f>(F29*K29/1000)/0.73</f>
        <v>0</v>
      </c>
      <c r="M29" s="812">
        <f>L29*0.4</f>
        <v>0</v>
      </c>
      <c r="N29" s="812">
        <f>L29*0.05</f>
        <v>0</v>
      </c>
      <c r="O29" s="966">
        <f ca="1">E27*J29</f>
        <v>267.04342790966996</v>
      </c>
      <c r="P29" s="814">
        <f ca="1">O29*0.5</f>
        <v>133.52171395483498</v>
      </c>
      <c r="Q29" s="814">
        <f ca="1">(O29+P29)*0.22</f>
        <v>88.124331210191087</v>
      </c>
      <c r="R29" s="815">
        <f t="shared" ca="1" si="8"/>
        <v>488.68947307469602</v>
      </c>
      <c r="T29" s="897">
        <f t="shared" ca="1" si="1"/>
        <v>267.04300000000001</v>
      </c>
      <c r="U29" s="893">
        <f t="shared" ca="1" si="0"/>
        <v>324.457245</v>
      </c>
      <c r="V29" s="895">
        <f t="shared" si="2"/>
        <v>6</v>
      </c>
      <c r="W29" s="3">
        <f t="shared" ca="1" si="3"/>
        <v>4.0557155624999996</v>
      </c>
      <c r="X29" s="882">
        <f t="shared" ca="1" si="4"/>
        <v>267.04300000000001</v>
      </c>
      <c r="Y29" s="882">
        <f t="shared" ca="1" si="5"/>
        <v>0</v>
      </c>
      <c r="AA29" t="s">
        <v>5091</v>
      </c>
      <c r="AC29" t="s">
        <v>5107</v>
      </c>
      <c r="AD29" s="3" t="str">
        <f>g&amp;Param&amp;REGPLACE(REGPLACE(Join_Range(AA29:AC29), "_{1,3}","_"), "_$","")</f>
        <v>gСуммЗвал_ТВ</v>
      </c>
      <c r="AE29" s="882">
        <f t="shared" si="6"/>
        <v>-15</v>
      </c>
    </row>
    <row r="30" spans="1:198" ht="14.25" thickTop="1" thickBot="1">
      <c r="A30" s="816" t="s">
        <v>5008</v>
      </c>
      <c r="B30" s="801"/>
      <c r="C30" s="802"/>
      <c r="D30" s="774"/>
      <c r="E30" s="801"/>
      <c r="F30" s="803"/>
      <c r="G30" s="802"/>
      <c r="H30" s="804"/>
      <c r="I30" s="802"/>
      <c r="J30" s="804"/>
      <c r="K30" s="805"/>
      <c r="L30" s="804"/>
      <c r="M30" s="804"/>
      <c r="N30" s="804"/>
      <c r="O30" s="963"/>
      <c r="P30" s="806"/>
      <c r="Q30" s="806"/>
      <c r="R30" s="117"/>
      <c r="T30" s="897">
        <f t="shared" si="1"/>
        <v>0</v>
      </c>
      <c r="U30" s="893">
        <f t="shared" si="0"/>
        <v>0</v>
      </c>
      <c r="V30" s="895">
        <f t="shared" si="2"/>
        <v>4</v>
      </c>
      <c r="X30" s="882">
        <f t="shared" si="4"/>
        <v>0</v>
      </c>
      <c r="Y30" s="882">
        <f t="shared" si="5"/>
        <v>0</v>
      </c>
      <c r="AD30" s="3" t="str">
        <f>g&amp;Param&amp;REGPLACE(REGPLACE(Join_Range(AA30:AC30), "_{1,3}","_"), "_$","")</f>
        <v>gСумм</v>
      </c>
      <c r="AE30" s="882">
        <f t="shared" si="6"/>
        <v>-15</v>
      </c>
    </row>
    <row r="31" spans="1:198" ht="15.75" thickBot="1">
      <c r="A31" s="39" t="s">
        <v>41</v>
      </c>
      <c r="B31" s="35" t="s">
        <v>39</v>
      </c>
      <c r="C31" s="234">
        <f>C33*0.88</f>
        <v>45.583999999999996</v>
      </c>
      <c r="D31" s="777">
        <v>4</v>
      </c>
      <c r="E31" s="238">
        <f ca="1">ROUNDUP((INDIRECT(ADDRESS(MATCH(gумДатаТарифы,Тарифи[№],0)+1,LEFT(D31,1)+2,1,1,"Тарифи"))+INDIRECT(ADDRESS(MATCH(gумДатаТарифы,Тарифи[№],0)+1,RIGHT(D31,1)+2,1,1,"Тарифи")))/2,2)</f>
        <v>30.88</v>
      </c>
      <c r="F31" s="237">
        <f>gДерГраб</f>
        <v>1</v>
      </c>
      <c r="G31" s="36">
        <f>C31*gKZ</f>
        <v>50.142400000000002</v>
      </c>
      <c r="H31" s="38">
        <f>8/G31</f>
        <v>0.15954561409106863</v>
      </c>
      <c r="I31" s="36">
        <f>J31</f>
        <v>0.15954561409106863</v>
      </c>
      <c r="J31" s="38">
        <f>F31/G31*8</f>
        <v>0.15954561409106863</v>
      </c>
      <c r="K31" s="783"/>
      <c r="L31" s="38">
        <f>(F31*K31/1000)/0.73</f>
        <v>0</v>
      </c>
      <c r="M31" s="38">
        <f>L31*0.4</f>
        <v>0</v>
      </c>
      <c r="N31" s="38">
        <f>L31*0.05</f>
        <v>0</v>
      </c>
      <c r="O31" s="965">
        <f ca="1">E31*J31</f>
        <v>4.9267685631321987</v>
      </c>
      <c r="P31" s="106">
        <f ca="1">O31*0.5</f>
        <v>2.4633842815660993</v>
      </c>
      <c r="Q31" s="106">
        <f t="shared" ca="1" si="7"/>
        <v>1.6258336258336255</v>
      </c>
      <c r="R31" s="115">
        <f t="shared" ca="1" si="8"/>
        <v>9.0159864705319226</v>
      </c>
      <c r="T31" s="897">
        <f t="shared" ca="1" si="1"/>
        <v>4.9269999999999996</v>
      </c>
      <c r="U31" s="893">
        <f t="shared" ca="1" si="0"/>
        <v>5.9863</v>
      </c>
      <c r="V31" s="895">
        <f t="shared" si="2"/>
        <v>5</v>
      </c>
      <c r="W31" s="3">
        <f t="shared" ca="1" si="3"/>
        <v>5.9863</v>
      </c>
      <c r="X31" s="882">
        <f t="shared" ca="1" si="4"/>
        <v>4.9269999999999996</v>
      </c>
      <c r="Y31" s="882">
        <f t="shared" ca="1" si="5"/>
        <v>0</v>
      </c>
      <c r="AA31" t="s">
        <v>5092</v>
      </c>
      <c r="AC31" t="s">
        <v>41</v>
      </c>
      <c r="AD31" s="3" t="str">
        <f>g&amp;Param&amp;REGPLACE(REGPLACE(Join_Range(AA31:AC31), "_{1,3}","_"), "_$","")</f>
        <v>gСуммЗріз_Граб</v>
      </c>
      <c r="AE31" s="882">
        <f t="shared" si="6"/>
        <v>-15</v>
      </c>
    </row>
    <row r="32" spans="1:198" ht="15">
      <c r="A32" s="39" t="s">
        <v>71</v>
      </c>
      <c r="B32" s="35" t="s">
        <v>39</v>
      </c>
      <c r="C32" s="234">
        <f t="array" ref="C32">INDEX(OBR,MATCH(MIN(IF(OBR_HL&gt;=gCrHl,OBR_HL)),OBR_HL,0),MATCH(MIN(IF(ZVZP_VM&gt;=gMas1Ga,ZVZP_VM)),ZVZP_VM,0)+IF(gUmRab="Важкі",2,0)+IF(A32="Твердолистяні породи",1,0)+1)</f>
        <v>63.7</v>
      </c>
      <c r="D32" s="40"/>
      <c r="E32" s="777"/>
      <c r="F32" s="237">
        <f>gДерМЛ</f>
        <v>2</v>
      </c>
      <c r="G32" s="36">
        <f>C32*gKZ</f>
        <v>70.070000000000007</v>
      </c>
      <c r="H32" s="38">
        <f>8/G32</f>
        <v>0.1141715427429713</v>
      </c>
      <c r="I32" s="36">
        <f>J32</f>
        <v>0.22834308548594259</v>
      </c>
      <c r="J32" s="38">
        <f>F32/G32*8</f>
        <v>0.22834308548594259</v>
      </c>
      <c r="K32" s="783"/>
      <c r="L32" s="38">
        <f>(F32*K32/1000)/0.73</f>
        <v>0</v>
      </c>
      <c r="M32" s="38">
        <f>L32*0.4</f>
        <v>0</v>
      </c>
      <c r="N32" s="38">
        <f>L32*0.05</f>
        <v>0</v>
      </c>
      <c r="O32" s="965">
        <f ca="1">E31*J32</f>
        <v>7.051234479805907</v>
      </c>
      <c r="P32" s="106">
        <f ca="1">O32*0.5</f>
        <v>3.5256172399029535</v>
      </c>
      <c r="Q32" s="106">
        <f t="shared" ca="1" si="7"/>
        <v>2.3269073783359495</v>
      </c>
      <c r="R32" s="115">
        <f t="shared" ca="1" si="8"/>
        <v>12.90375909804481</v>
      </c>
      <c r="T32" s="897">
        <f t="shared" ca="1" si="1"/>
        <v>7.0510000000000002</v>
      </c>
      <c r="U32" s="893">
        <f t="shared" ca="1" si="0"/>
        <v>8.5669699999999995</v>
      </c>
      <c r="V32" s="895">
        <f t="shared" si="2"/>
        <v>5</v>
      </c>
      <c r="W32" s="3">
        <f t="shared" ca="1" si="3"/>
        <v>4.2834849999999998</v>
      </c>
      <c r="X32" s="882">
        <f t="shared" ca="1" si="4"/>
        <v>7.0510000000000002</v>
      </c>
      <c r="Y32" s="882">
        <f t="shared" ca="1" si="5"/>
        <v>0</v>
      </c>
      <c r="AA32" t="s">
        <v>5092</v>
      </c>
      <c r="AC32" t="s">
        <v>5106</v>
      </c>
      <c r="AD32" s="3" t="str">
        <f>g&amp;Param&amp;REGPLACE(REGPLACE(Join_Range(AA32:AC32), "_{1,3}","_"), "_$","")</f>
        <v>gСуммЗріз_МЛ</v>
      </c>
      <c r="AE32" s="882">
        <f t="shared" si="6"/>
        <v>-15</v>
      </c>
    </row>
    <row r="33" spans="1:31" ht="15.75" thickBot="1">
      <c r="A33" s="807" t="s">
        <v>72</v>
      </c>
      <c r="B33" s="808" t="s">
        <v>39</v>
      </c>
      <c r="C33" s="809">
        <f t="array" ref="C33">INDEX(OBR,MATCH(MIN(IF(OBR_HL&gt;=gCrHl,OBR_HL)),OBR_HL,0),MATCH(MIN(IF(ZVZP_VM&gt;=gMas1Ga,ZVZP_VM)),ZVZP_VM,0)+IF(gUmRab="Важкі",2,0)+IF(A33="Твердолистяні породи",1,0)+1)</f>
        <v>51.8</v>
      </c>
      <c r="D33" s="825"/>
      <c r="E33" s="825"/>
      <c r="F33" s="811">
        <f>gДерТВ</f>
        <v>80</v>
      </c>
      <c r="G33" s="810">
        <f>C33*gKZ</f>
        <v>56.980000000000004</v>
      </c>
      <c r="H33" s="812">
        <f>8/G33</f>
        <v>0.1404001404001404</v>
      </c>
      <c r="I33" s="810">
        <f>J33</f>
        <v>11.232011232011232</v>
      </c>
      <c r="J33" s="812">
        <f>F33/G33*8</f>
        <v>11.232011232011232</v>
      </c>
      <c r="K33" s="813"/>
      <c r="L33" s="812">
        <f>(F33*K33/1000)/0.73</f>
        <v>0</v>
      </c>
      <c r="M33" s="812">
        <f>L33*0.4</f>
        <v>0</v>
      </c>
      <c r="N33" s="812">
        <f>L33*0.05</f>
        <v>0</v>
      </c>
      <c r="O33" s="966">
        <f ca="1">E31*J33</f>
        <v>346.84450684450684</v>
      </c>
      <c r="P33" s="814">
        <f ca="1">O33*0.5</f>
        <v>173.42225342225342</v>
      </c>
      <c r="Q33" s="814">
        <f t="shared" ca="1" si="7"/>
        <v>114.45868725868725</v>
      </c>
      <c r="R33" s="815">
        <f t="shared" ca="1" si="8"/>
        <v>634.72544752544752</v>
      </c>
      <c r="T33" s="897">
        <f t="shared" ca="1" si="1"/>
        <v>346.84500000000003</v>
      </c>
      <c r="U33" s="893">
        <f t="shared" ca="1" si="0"/>
        <v>421.416675</v>
      </c>
      <c r="V33" s="895">
        <f t="shared" si="2"/>
        <v>6</v>
      </c>
      <c r="W33" s="3">
        <f t="shared" ca="1" si="3"/>
        <v>5.2677084374999996</v>
      </c>
      <c r="X33" s="882">
        <f t="shared" ca="1" si="4"/>
        <v>346.84500000000003</v>
      </c>
      <c r="Y33" s="882">
        <f t="shared" ca="1" si="5"/>
        <v>0</v>
      </c>
      <c r="AA33" t="s">
        <v>5092</v>
      </c>
      <c r="AC33" t="s">
        <v>5107</v>
      </c>
      <c r="AD33" s="3" t="str">
        <f>g&amp;Param&amp;REGPLACE(REGPLACE(Join_Range(AA33:AC33), "_{1,3}","_"), "_$","")</f>
        <v>gСуммЗріз_ТВ</v>
      </c>
      <c r="AE33" s="882">
        <f t="shared" si="6"/>
        <v>-15</v>
      </c>
    </row>
    <row r="34" spans="1:31" ht="14.25" thickTop="1" thickBot="1">
      <c r="A34" s="816" t="s">
        <v>5009</v>
      </c>
      <c r="B34" s="801"/>
      <c r="C34" s="802"/>
      <c r="D34" s="774"/>
      <c r="E34" s="801"/>
      <c r="F34" s="803"/>
      <c r="G34" s="802"/>
      <c r="H34" s="804"/>
      <c r="I34" s="802"/>
      <c r="J34" s="804"/>
      <c r="K34" s="805"/>
      <c r="L34" s="804"/>
      <c r="M34" s="804"/>
      <c r="N34" s="804"/>
      <c r="O34" s="963"/>
      <c r="P34" s="806"/>
      <c r="Q34" s="806">
        <f t="shared" si="7"/>
        <v>0</v>
      </c>
      <c r="R34" s="117">
        <f t="shared" si="8"/>
        <v>0</v>
      </c>
      <c r="T34" s="897">
        <f t="shared" si="1"/>
        <v>0</v>
      </c>
      <c r="U34" s="893">
        <f t="shared" si="0"/>
        <v>0</v>
      </c>
      <c r="V34" s="895">
        <f t="shared" si="2"/>
        <v>4</v>
      </c>
      <c r="X34" s="882">
        <f t="shared" si="4"/>
        <v>0</v>
      </c>
      <c r="Y34" s="882">
        <f t="shared" si="5"/>
        <v>0</v>
      </c>
      <c r="AD34" s="3" t="str">
        <f>g&amp;Param&amp;REGPLACE(REGPLACE(Join_Range(AA34:AC34), "_{1,3}","_"), "_$","")</f>
        <v>gСумм</v>
      </c>
      <c r="AE34" s="882">
        <f t="shared" si="6"/>
        <v>-15</v>
      </c>
    </row>
    <row r="35" spans="1:31" ht="15.75" thickBot="1">
      <c r="A35" s="39" t="s">
        <v>41</v>
      </c>
      <c r="B35" s="35" t="s">
        <v>39</v>
      </c>
      <c r="C35" s="234">
        <f>C37*0.88</f>
        <v>48.048000000000002</v>
      </c>
      <c r="D35" s="777">
        <v>4</v>
      </c>
      <c r="E35" s="238">
        <f ca="1">ROUNDUP((INDIRECT(ADDRESS(MATCH(gумДатаТарифы,Тарифи[№],0)+1,LEFT(D35,1)+2,1,1,"Тарифи"))+INDIRECT(ADDRESS(MATCH(gумДатаТарифы,Тарифи[№],0)+1,RIGHT(D35,1)+2,1,1,"Тарифи")))/2,2)</f>
        <v>30.88</v>
      </c>
      <c r="F35" s="237">
        <f>gДерГраб</f>
        <v>1</v>
      </c>
      <c r="G35" s="36">
        <f>C35*gKZ</f>
        <v>52.852800000000009</v>
      </c>
      <c r="H35" s="38">
        <f>8/G35</f>
        <v>0.15136378772742407</v>
      </c>
      <c r="I35" s="36">
        <f>J35</f>
        <v>0.15136378772742407</v>
      </c>
      <c r="J35" s="38">
        <f>F35/G35*8</f>
        <v>0.15136378772742407</v>
      </c>
      <c r="K35" s="783"/>
      <c r="L35" s="38"/>
      <c r="M35" s="38"/>
      <c r="N35" s="38"/>
      <c r="O35" s="965">
        <f ca="1">E35*J35</f>
        <v>4.674113765022855</v>
      </c>
      <c r="P35" s="106">
        <f ca="1">O35*0.5</f>
        <v>2.3370568825114275</v>
      </c>
      <c r="Q35" s="106">
        <f t="shared" ca="1" si="7"/>
        <v>1.542457542457542</v>
      </c>
      <c r="R35" s="115">
        <f t="shared" ca="1" si="8"/>
        <v>8.5536281899918247</v>
      </c>
      <c r="T35" s="897">
        <f t="shared" ca="1" si="1"/>
        <v>4.6740000000000004</v>
      </c>
      <c r="U35" s="893">
        <f t="shared" ca="1" si="0"/>
        <v>5.6789100000000001</v>
      </c>
      <c r="V35" s="895">
        <f t="shared" si="2"/>
        <v>5</v>
      </c>
      <c r="W35" s="3">
        <f t="shared" ca="1" si="3"/>
        <v>5.6789100000000001</v>
      </c>
      <c r="X35" s="882">
        <f t="shared" ca="1" si="4"/>
        <v>4.6740000000000004</v>
      </c>
      <c r="Y35" s="882">
        <f t="shared" ca="1" si="5"/>
        <v>0</v>
      </c>
      <c r="AA35" t="s">
        <v>5093</v>
      </c>
      <c r="AC35" t="s">
        <v>41</v>
      </c>
      <c r="AD35" s="3" t="str">
        <f>g&amp;Param&amp;REGPLACE(REGPLACE(Join_Range(AA35:AC35), "_{1,3}","_"), "_$","")</f>
        <v>gСуммЗбир_Граб</v>
      </c>
      <c r="AE35" s="882">
        <f t="shared" si="6"/>
        <v>-15</v>
      </c>
    </row>
    <row r="36" spans="1:31" ht="15">
      <c r="A36" s="39" t="s">
        <v>71</v>
      </c>
      <c r="B36" s="35" t="s">
        <v>39</v>
      </c>
      <c r="C36" s="234">
        <f t="array" ref="C36">INDEX(OBRU,MATCH(MIN(IF(OBRU_HL&gt;=gCrHl,OBRU_HL)),OBRU_HL,0),MATCH(MIN(IF(ZVZP_VM&gt;=gMas1Ga,ZVZP_VM)),ZVZP_VM,0)+IF(gUmRab="Важкі",2,0)+IF(A36="Твердолистяні породи",1,0)+1)</f>
        <v>81.900000000000006</v>
      </c>
      <c r="D36" s="40"/>
      <c r="E36" s="777"/>
      <c r="F36" s="237">
        <f>gДерМЛ</f>
        <v>2</v>
      </c>
      <c r="G36" s="36">
        <f>C36*gKZ</f>
        <v>90.090000000000018</v>
      </c>
      <c r="H36" s="38">
        <f>8/G36</f>
        <v>8.8800088800088786E-2</v>
      </c>
      <c r="I36" s="36">
        <f>J36</f>
        <v>0.17760017760017757</v>
      </c>
      <c r="J36" s="38">
        <f>F36/G36*8</f>
        <v>0.17760017760017757</v>
      </c>
      <c r="K36" s="783"/>
      <c r="L36" s="38"/>
      <c r="M36" s="38"/>
      <c r="N36" s="38"/>
      <c r="O36" s="965">
        <f ca="1">E35*J36</f>
        <v>5.4842934842934836</v>
      </c>
      <c r="P36" s="106">
        <f ca="1">O36*0.5</f>
        <v>2.7421467421467418</v>
      </c>
      <c r="Q36" s="106">
        <f t="shared" ca="1" si="7"/>
        <v>1.8098168498168494</v>
      </c>
      <c r="R36" s="115">
        <f t="shared" ca="1" si="8"/>
        <v>10.036257076257074</v>
      </c>
      <c r="T36" s="897">
        <f t="shared" ca="1" si="1"/>
        <v>5.484</v>
      </c>
      <c r="U36" s="893">
        <f t="shared" ca="1" si="0"/>
        <v>6.6630599999999998</v>
      </c>
      <c r="V36" s="895">
        <f t="shared" si="2"/>
        <v>5</v>
      </c>
      <c r="W36" s="3">
        <f t="shared" ca="1" si="3"/>
        <v>3.3315299999999999</v>
      </c>
      <c r="X36" s="882">
        <f t="shared" ca="1" si="4"/>
        <v>5.484</v>
      </c>
      <c r="Y36" s="882">
        <f t="shared" ca="1" si="5"/>
        <v>0</v>
      </c>
      <c r="AA36" t="s">
        <v>5093</v>
      </c>
      <c r="AC36" t="s">
        <v>5106</v>
      </c>
      <c r="AD36" s="3" t="str">
        <f>g&amp;Param&amp;REGPLACE(REGPLACE(Join_Range(AA36:AC36), "_{1,3}","_"), "_$","")</f>
        <v>gСуммЗбир_МЛ</v>
      </c>
      <c r="AE36" s="882">
        <f t="shared" si="6"/>
        <v>-15</v>
      </c>
    </row>
    <row r="37" spans="1:31" ht="15.75" thickBot="1">
      <c r="A37" s="807" t="s">
        <v>72</v>
      </c>
      <c r="B37" s="808" t="s">
        <v>39</v>
      </c>
      <c r="C37" s="809">
        <f t="array" ref="C37">INDEX(OBRU,MATCH(MIN(IF(OBRU_HL&gt;=gCrHl,OBRU_HL)),OBRU_HL,0),MATCH(MIN(IF(ZVZP_VM&gt;=gMas1Ga,ZVZP_VM)),ZVZP_VM,0)+IF(gUmRab="Важкі",2,0)+IF(A37="Твердолистяні породи",1,0)+1)</f>
        <v>54.6</v>
      </c>
      <c r="D37" s="825"/>
      <c r="E37" s="825"/>
      <c r="F37" s="811">
        <f>gДерТВ</f>
        <v>80</v>
      </c>
      <c r="G37" s="810">
        <f>C37*gKZ</f>
        <v>60.060000000000009</v>
      </c>
      <c r="H37" s="812">
        <f>8/G37</f>
        <v>0.13320013320013319</v>
      </c>
      <c r="I37" s="810">
        <f>J37</f>
        <v>10.656010656010654</v>
      </c>
      <c r="J37" s="812">
        <f>F37/G37*8</f>
        <v>10.656010656010654</v>
      </c>
      <c r="K37" s="813"/>
      <c r="L37" s="812"/>
      <c r="M37" s="812"/>
      <c r="N37" s="812"/>
      <c r="O37" s="966">
        <f ca="1">E35*J37</f>
        <v>329.057609057609</v>
      </c>
      <c r="P37" s="814">
        <f ca="1">O37*0.5</f>
        <v>164.5288045288045</v>
      </c>
      <c r="Q37" s="814">
        <f t="shared" ca="1" si="7"/>
        <v>108.58901098901097</v>
      </c>
      <c r="R37" s="815">
        <f t="shared" ca="1" si="8"/>
        <v>602.17542457542447</v>
      </c>
      <c r="T37" s="897">
        <f t="shared" ca="1" si="1"/>
        <v>329.05799999999999</v>
      </c>
      <c r="U37" s="893">
        <f t="shared" ca="1" si="0"/>
        <v>399.80547000000001</v>
      </c>
      <c r="V37" s="895">
        <f t="shared" si="2"/>
        <v>6</v>
      </c>
      <c r="W37" s="3">
        <f t="shared" ca="1" si="3"/>
        <v>4.9975683750000002</v>
      </c>
      <c r="X37" s="882">
        <f t="shared" ca="1" si="4"/>
        <v>329.05799999999999</v>
      </c>
      <c r="Y37" s="882">
        <f t="shared" ca="1" si="5"/>
        <v>0</v>
      </c>
      <c r="AA37" t="s">
        <v>5093</v>
      </c>
      <c r="AC37" t="s">
        <v>5107</v>
      </c>
      <c r="AD37" s="3" t="str">
        <f>g&amp;Param&amp;REGPLACE(REGPLACE(Join_Range(AA37:AC37), "_{1,3}","_"), "_$","")</f>
        <v>gСуммЗбир_ТВ</v>
      </c>
      <c r="AE37" s="882">
        <f t="shared" si="6"/>
        <v>-15</v>
      </c>
    </row>
    <row r="38" spans="1:31" ht="14.25" thickTop="1" thickBot="1">
      <c r="A38" s="816" t="s">
        <v>5010</v>
      </c>
      <c r="B38" s="69"/>
      <c r="C38" s="774"/>
      <c r="D38" s="826"/>
      <c r="E38" s="826"/>
      <c r="F38" s="822"/>
      <c r="G38" s="60"/>
      <c r="H38" s="817"/>
      <c r="I38" s="60"/>
      <c r="J38" s="817"/>
      <c r="K38" s="824"/>
      <c r="L38" s="817"/>
      <c r="M38" s="817"/>
      <c r="N38" s="817"/>
      <c r="O38" s="963"/>
      <c r="P38" s="806"/>
      <c r="Q38" s="806"/>
      <c r="R38" s="117"/>
      <c r="T38" s="897">
        <f t="shared" si="1"/>
        <v>0</v>
      </c>
      <c r="U38" s="893">
        <f t="shared" si="0"/>
        <v>0</v>
      </c>
      <c r="V38" s="895">
        <f t="shared" si="2"/>
        <v>4</v>
      </c>
      <c r="X38" s="882">
        <f t="shared" si="4"/>
        <v>0</v>
      </c>
      <c r="Y38" s="882">
        <f t="shared" si="5"/>
        <v>0</v>
      </c>
      <c r="AE38" s="882">
        <f t="shared" si="6"/>
        <v>-15</v>
      </c>
    </row>
    <row r="39" spans="1:31" ht="15.75" thickBot="1">
      <c r="A39" s="785" t="s">
        <v>5011</v>
      </c>
      <c r="B39" s="35" t="s">
        <v>39</v>
      </c>
      <c r="C39" s="234">
        <f>C41*0.88</f>
        <v>53.68</v>
      </c>
      <c r="D39" s="37" t="s">
        <v>42</v>
      </c>
      <c r="E39" s="238">
        <f ca="1">ROUNDUP((INDIRECT(ADDRESS(MATCH(gумДатаТарифы,Тарифи[№],0)+1,LEFT(D39,1)+2,1,1,"Тарифи"))+INDIRECT(ADDRESS(MATCH(gумДатаТарифы,Тарифи[№],0)+1,RIGHT(D39,1)+2,1,1,"Тарифи")))/2,2)</f>
        <v>35.22</v>
      </c>
      <c r="F39" s="846">
        <v>0</v>
      </c>
      <c r="G39" s="56">
        <f t="shared" ref="G39:G50" si="9">C39*gKZ</f>
        <v>59.048000000000002</v>
      </c>
      <c r="H39" s="38">
        <f t="shared" ref="H39:H50" si="10">16/G39</f>
        <v>0.27096599376778213</v>
      </c>
      <c r="I39" s="36">
        <f t="shared" ref="I39:I50" si="11">J39/2</f>
        <v>0</v>
      </c>
      <c r="J39" s="38">
        <f t="shared" ref="J39:J50" si="12">F39/G39*16</f>
        <v>0</v>
      </c>
      <c r="K39" s="783"/>
      <c r="L39" s="38">
        <f t="shared" ref="L39:L50" si="13">(F39*K39/1000)/0.73</f>
        <v>0</v>
      </c>
      <c r="M39" s="38">
        <f t="shared" ref="M39:M50" si="14">L39*0.4</f>
        <v>0</v>
      </c>
      <c r="N39" s="38">
        <f t="shared" ref="N39:N50" si="15">L39*0.05</f>
        <v>0</v>
      </c>
      <c r="O39" s="965">
        <f ca="1">E39*J39</f>
        <v>0</v>
      </c>
      <c r="P39" s="106">
        <f t="shared" ref="P39:P50" ca="1" si="16">O39*0.5</f>
        <v>0</v>
      </c>
      <c r="Q39" s="106">
        <f t="shared" ca="1" si="7"/>
        <v>0</v>
      </c>
      <c r="R39" s="115">
        <f t="shared" ca="1" si="8"/>
        <v>0</v>
      </c>
      <c r="T39" s="897">
        <f t="shared" ca="1" si="1"/>
        <v>0</v>
      </c>
      <c r="U39" s="893">
        <f t="shared" ca="1" si="0"/>
        <v>0</v>
      </c>
      <c r="V39" s="895">
        <f t="shared" si="2"/>
        <v>5</v>
      </c>
      <c r="X39" s="882">
        <f t="shared" ca="1" si="4"/>
        <v>0</v>
      </c>
      <c r="Y39" s="882">
        <f t="shared" ca="1" si="5"/>
        <v>0</v>
      </c>
      <c r="AA39" t="s">
        <v>5096</v>
      </c>
      <c r="AB39" t="s">
        <v>5108</v>
      </c>
      <c r="AC39" t="s">
        <v>41</v>
      </c>
      <c r="AD39" s="3" t="str">
        <f>g&amp;Param&amp;REGPLACE(REGPLACE(Join_Range(AA39:AC39), "_{1,3}","_"), "_$","")</f>
        <v>gСуммРозкр_КлBCD_Граб</v>
      </c>
      <c r="AE39" s="882">
        <f t="shared" si="6"/>
        <v>-15</v>
      </c>
    </row>
    <row r="40" spans="1:31" ht="15">
      <c r="A40" s="39" t="s">
        <v>71</v>
      </c>
      <c r="B40" s="35" t="s">
        <v>39</v>
      </c>
      <c r="C40" s="234">
        <f t="array" ref="C40">INDEX(PIL,MATCH(MIN(IF(PIL_HL&gt;=gCrHl,PIL_HL)),PIL_HL,0),MATCH(MIN(IF(ZVZP_VM&gt;=gMas1Ga,ZVZP_VM)),ZVZP_VM,0)+IF(gUmRab="Важкі",2,0)+IF(A40="Твердолистяні породи",1,0)+1)</f>
        <v>75</v>
      </c>
      <c r="D40" s="777"/>
      <c r="E40" s="777"/>
      <c r="F40" s="847">
        <v>0</v>
      </c>
      <c r="G40" s="56">
        <f t="shared" si="9"/>
        <v>82.5</v>
      </c>
      <c r="H40" s="38">
        <f t="shared" si="10"/>
        <v>0.19393939393939394</v>
      </c>
      <c r="I40" s="36">
        <f t="shared" si="11"/>
        <v>0</v>
      </c>
      <c r="J40" s="38">
        <f t="shared" si="12"/>
        <v>0</v>
      </c>
      <c r="K40" s="783"/>
      <c r="L40" s="38">
        <f t="shared" si="13"/>
        <v>0</v>
      </c>
      <c r="M40" s="38">
        <f t="shared" si="14"/>
        <v>0</v>
      </c>
      <c r="N40" s="38">
        <f t="shared" si="15"/>
        <v>0</v>
      </c>
      <c r="O40" s="965">
        <f ca="1">E39*J40</f>
        <v>0</v>
      </c>
      <c r="P40" s="106">
        <f t="shared" ca="1" si="16"/>
        <v>0</v>
      </c>
      <c r="Q40" s="106">
        <f t="shared" ca="1" si="7"/>
        <v>0</v>
      </c>
      <c r="R40" s="115">
        <f t="shared" ca="1" si="8"/>
        <v>0</v>
      </c>
      <c r="T40" s="897">
        <f t="shared" ca="1" si="1"/>
        <v>0</v>
      </c>
      <c r="U40" s="893">
        <f t="shared" ca="1" si="0"/>
        <v>0</v>
      </c>
      <c r="V40" s="895">
        <f t="shared" si="2"/>
        <v>5</v>
      </c>
      <c r="W40" s="3" t="e">
        <f t="shared" ca="1" si="3"/>
        <v>#DIV/0!</v>
      </c>
      <c r="X40" s="882">
        <f t="shared" ca="1" si="4"/>
        <v>0</v>
      </c>
      <c r="Y40" s="882">
        <f t="shared" ca="1" si="5"/>
        <v>0</v>
      </c>
      <c r="AA40" t="s">
        <v>5096</v>
      </c>
      <c r="AB40" t="s">
        <v>5108</v>
      </c>
      <c r="AC40" t="s">
        <v>5106</v>
      </c>
      <c r="AD40" s="3" t="str">
        <f>g&amp;Param&amp;REGPLACE(REGPLACE(Join_Range(AA40:AC40), "_{1,3}","_"), "_$","")</f>
        <v>gСуммРозкр_КлBCD_МЛ</v>
      </c>
      <c r="AE40" s="882">
        <f t="shared" si="6"/>
        <v>-15</v>
      </c>
    </row>
    <row r="41" spans="1:31" ht="15.75" thickBot="1">
      <c r="A41" s="39" t="s">
        <v>72</v>
      </c>
      <c r="B41" s="35" t="s">
        <v>39</v>
      </c>
      <c r="C41" s="234">
        <f t="array" ref="C41">INDEX(PIL,MATCH(MIN(IF(PIL_HL&gt;=gCrHl,PIL_HL)),PIL_HL,0),MATCH(MIN(IF(ZVZP_VM&gt;=gMas1Ga,ZVZP_VM)),ZVZP_VM,0)+IF(gUmRab="Важкі",2,0)+IF(A41="Твердолистяні породи",1,0)+1)</f>
        <v>61</v>
      </c>
      <c r="D41" s="777"/>
      <c r="E41" s="777"/>
      <c r="F41" s="848">
        <v>36</v>
      </c>
      <c r="G41" s="56">
        <f t="shared" si="9"/>
        <v>67.100000000000009</v>
      </c>
      <c r="H41" s="38">
        <f t="shared" si="10"/>
        <v>0.23845007451564826</v>
      </c>
      <c r="I41" s="36">
        <f t="shared" si="11"/>
        <v>4.2921013412816684</v>
      </c>
      <c r="J41" s="38">
        <f t="shared" si="12"/>
        <v>8.5842026825633369</v>
      </c>
      <c r="K41" s="783"/>
      <c r="L41" s="38">
        <f t="shared" si="13"/>
        <v>0</v>
      </c>
      <c r="M41" s="38">
        <f t="shared" si="14"/>
        <v>0</v>
      </c>
      <c r="N41" s="38">
        <f t="shared" si="15"/>
        <v>0</v>
      </c>
      <c r="O41" s="965">
        <f ca="1">E39*J41</f>
        <v>302.33561847988074</v>
      </c>
      <c r="P41" s="106">
        <f t="shared" ca="1" si="16"/>
        <v>151.16780923994037</v>
      </c>
      <c r="Q41" s="106">
        <f t="shared" ca="1" si="7"/>
        <v>99.770754098360641</v>
      </c>
      <c r="R41" s="115">
        <f t="shared" ca="1" si="8"/>
        <v>553.27418181818177</v>
      </c>
      <c r="T41" s="897">
        <f t="shared" ca="1" si="1"/>
        <v>302.33600000000001</v>
      </c>
      <c r="U41" s="893">
        <f t="shared" ca="1" si="0"/>
        <v>367.33823999999998</v>
      </c>
      <c r="V41" s="895">
        <f t="shared" si="2"/>
        <v>6</v>
      </c>
      <c r="W41" s="3">
        <f t="shared" ca="1" si="3"/>
        <v>10.20384</v>
      </c>
      <c r="X41" s="882">
        <f t="shared" ca="1" si="4"/>
        <v>302.33600000000001</v>
      </c>
      <c r="Y41" s="882">
        <f t="shared" ca="1" si="5"/>
        <v>0</v>
      </c>
      <c r="AA41" t="s">
        <v>5096</v>
      </c>
      <c r="AB41" t="s">
        <v>5108</v>
      </c>
      <c r="AC41" t="s">
        <v>5107</v>
      </c>
      <c r="AD41" s="3" t="str">
        <f>g&amp;Param&amp;REGPLACE(REGPLACE(Join_Range(AA41:AC41), "_{1,3}","_"), "_$","")</f>
        <v>gСуммРозкр_КлBCD_ТВ</v>
      </c>
      <c r="AE41" s="882">
        <f t="shared" si="6"/>
        <v>-15</v>
      </c>
    </row>
    <row r="42" spans="1:31" ht="15.75" thickBot="1">
      <c r="A42" s="785" t="s">
        <v>5012</v>
      </c>
      <c r="B42" s="35" t="s">
        <v>39</v>
      </c>
      <c r="C42" s="234">
        <f>C44*0.88</f>
        <v>40.479999999999997</v>
      </c>
      <c r="D42" s="37" t="s">
        <v>42</v>
      </c>
      <c r="E42" s="238">
        <f ca="1">ROUNDUP((INDIRECT(ADDRESS(MATCH(gумДатаТарифы,Тарифи[№],0)+1,LEFT(D42,1)+2,1,1,"Тарифи"))+INDIRECT(ADDRESS(MATCH(gумДатаТарифы,Тарифи[№],0)+1,RIGHT(D42,1)+2,1,1,"Тарифи")))/2,2)</f>
        <v>35.22</v>
      </c>
      <c r="F42" s="847">
        <v>0</v>
      </c>
      <c r="G42" s="36">
        <f t="shared" si="9"/>
        <v>44.527999999999999</v>
      </c>
      <c r="H42" s="38">
        <f t="shared" si="10"/>
        <v>0.35932446999640677</v>
      </c>
      <c r="I42" s="36">
        <f t="shared" si="11"/>
        <v>0</v>
      </c>
      <c r="J42" s="38">
        <f t="shared" si="12"/>
        <v>0</v>
      </c>
      <c r="K42" s="783"/>
      <c r="L42" s="38">
        <f t="shared" si="13"/>
        <v>0</v>
      </c>
      <c r="M42" s="38">
        <f t="shared" si="14"/>
        <v>0</v>
      </c>
      <c r="N42" s="38">
        <f t="shared" si="15"/>
        <v>0</v>
      </c>
      <c r="O42" s="965">
        <f ca="1">E42*J42</f>
        <v>0</v>
      </c>
      <c r="P42" s="106">
        <f t="shared" ca="1" si="16"/>
        <v>0</v>
      </c>
      <c r="Q42" s="106">
        <f t="shared" ca="1" si="7"/>
        <v>0</v>
      </c>
      <c r="R42" s="115">
        <f t="shared" ca="1" si="8"/>
        <v>0</v>
      </c>
      <c r="T42" s="897">
        <f t="shared" ca="1" si="1"/>
        <v>0</v>
      </c>
      <c r="U42" s="893">
        <f t="shared" ca="1" si="0"/>
        <v>0</v>
      </c>
      <c r="V42" s="895">
        <f t="shared" si="2"/>
        <v>5</v>
      </c>
      <c r="X42" s="882">
        <f t="shared" ca="1" si="4"/>
        <v>0</v>
      </c>
      <c r="Y42" s="882">
        <f t="shared" ca="1" si="5"/>
        <v>0</v>
      </c>
      <c r="AA42" t="s">
        <v>5096</v>
      </c>
      <c r="AB42" t="s">
        <v>5109</v>
      </c>
      <c r="AC42" t="s">
        <v>41</v>
      </c>
      <c r="AD42" s="3" t="str">
        <f>g&amp;Param&amp;REGPLACE(REGPLACE(Join_Range(AA42:AC42), "_{1,3}","_"), "_$","")</f>
        <v>gСуммРозкр_КлA_Граб</v>
      </c>
      <c r="AE42" s="882">
        <f t="shared" si="6"/>
        <v>-15</v>
      </c>
    </row>
    <row r="43" spans="1:31" ht="15">
      <c r="A43" s="39" t="s">
        <v>71</v>
      </c>
      <c r="B43" s="35" t="s">
        <v>39</v>
      </c>
      <c r="C43" s="234">
        <f t="array" ref="C43">INDEX(FAN,MATCH(MIN(IF(FAN_HL&gt;=gCrHl,FAN_HL)),FAN_HL,0),MATCH(MIN(IF(ZVZP_VM&gt;=gMas1Ga,ZVZP_VM)),ZVZP_VM,0)+IF(gUmRab="Важкі",2,0)+IF(A43="Твердолистяні породи",1,0)+1)</f>
        <v>58</v>
      </c>
      <c r="D43" s="57"/>
      <c r="E43" s="777"/>
      <c r="F43" s="847">
        <v>0</v>
      </c>
      <c r="G43" s="36">
        <f t="shared" si="9"/>
        <v>63.800000000000004</v>
      </c>
      <c r="H43" s="38">
        <f t="shared" si="10"/>
        <v>0.2507836990595611</v>
      </c>
      <c r="I43" s="36">
        <f t="shared" si="11"/>
        <v>0</v>
      </c>
      <c r="J43" s="38">
        <f t="shared" si="12"/>
        <v>0</v>
      </c>
      <c r="K43" s="783"/>
      <c r="L43" s="38">
        <f t="shared" si="13"/>
        <v>0</v>
      </c>
      <c r="M43" s="38">
        <f t="shared" si="14"/>
        <v>0</v>
      </c>
      <c r="N43" s="38">
        <f t="shared" si="15"/>
        <v>0</v>
      </c>
      <c r="O43" s="965">
        <f ca="1">E42*J43</f>
        <v>0</v>
      </c>
      <c r="P43" s="106">
        <f t="shared" ca="1" si="16"/>
        <v>0</v>
      </c>
      <c r="Q43" s="106">
        <f t="shared" ca="1" si="7"/>
        <v>0</v>
      </c>
      <c r="R43" s="115">
        <f t="shared" ca="1" si="8"/>
        <v>0</v>
      </c>
      <c r="T43" s="897">
        <f t="shared" ca="1" si="1"/>
        <v>0</v>
      </c>
      <c r="U43" s="893">
        <f t="shared" ca="1" si="0"/>
        <v>0</v>
      </c>
      <c r="V43" s="895">
        <f t="shared" si="2"/>
        <v>5</v>
      </c>
      <c r="X43" s="882">
        <f t="shared" ca="1" si="4"/>
        <v>0</v>
      </c>
      <c r="Y43" s="882">
        <f t="shared" ca="1" si="5"/>
        <v>0</v>
      </c>
      <c r="AA43" t="s">
        <v>5096</v>
      </c>
      <c r="AB43" t="s">
        <v>5109</v>
      </c>
      <c r="AC43" t="s">
        <v>5106</v>
      </c>
      <c r="AD43" s="3" t="str">
        <f>g&amp;Param&amp;REGPLACE(REGPLACE(Join_Range(AA43:AC43), "_{1,3}","_"), "_$","")</f>
        <v>gСуммРозкр_КлA_МЛ</v>
      </c>
      <c r="AE43" s="882">
        <f t="shared" si="6"/>
        <v>-15</v>
      </c>
    </row>
    <row r="44" spans="1:31" ht="15.75" thickBot="1">
      <c r="A44" s="39" t="s">
        <v>72</v>
      </c>
      <c r="B44" s="35" t="s">
        <v>39</v>
      </c>
      <c r="C44" s="234">
        <f t="array" ref="C44">INDEX(FAN,MATCH(MIN(IF(FAN_HL&gt;=gCrHl,FAN_HL)),FAN_HL,0),MATCH(MIN(IF(ZVZP_VM&gt;=gMas1Ga,ZVZP_VM)),ZVZP_VM,0)+IF(gUmRab="Важкі",2,0)+IF(A44="Твердолистяні породи",1,0)+1)</f>
        <v>46</v>
      </c>
      <c r="D44" s="777"/>
      <c r="E44" s="777"/>
      <c r="F44" s="848">
        <v>0</v>
      </c>
      <c r="G44" s="36">
        <f t="shared" si="9"/>
        <v>50.6</v>
      </c>
      <c r="H44" s="38">
        <f t="shared" si="10"/>
        <v>0.31620553359683795</v>
      </c>
      <c r="I44" s="36">
        <f t="shared" si="11"/>
        <v>0</v>
      </c>
      <c r="J44" s="38">
        <f t="shared" si="12"/>
        <v>0</v>
      </c>
      <c r="K44" s="783"/>
      <c r="L44" s="38">
        <f t="shared" si="13"/>
        <v>0</v>
      </c>
      <c r="M44" s="38">
        <f t="shared" si="14"/>
        <v>0</v>
      </c>
      <c r="N44" s="38">
        <f t="shared" si="15"/>
        <v>0</v>
      </c>
      <c r="O44" s="965">
        <f ca="1">E42*J44</f>
        <v>0</v>
      </c>
      <c r="P44" s="106">
        <f t="shared" ca="1" si="16"/>
        <v>0</v>
      </c>
      <c r="Q44" s="106">
        <f t="shared" ca="1" si="7"/>
        <v>0</v>
      </c>
      <c r="R44" s="115">
        <f t="shared" ca="1" si="8"/>
        <v>0</v>
      </c>
      <c r="T44" s="897">
        <f t="shared" ca="1" si="1"/>
        <v>0</v>
      </c>
      <c r="U44" s="893">
        <f t="shared" ca="1" si="0"/>
        <v>0</v>
      </c>
      <c r="V44" s="895">
        <f t="shared" si="2"/>
        <v>5</v>
      </c>
      <c r="W44" s="3" t="e">
        <f t="shared" ca="1" si="3"/>
        <v>#DIV/0!</v>
      </c>
      <c r="X44" s="882">
        <f t="shared" ca="1" si="4"/>
        <v>0</v>
      </c>
      <c r="Y44" s="882">
        <f t="shared" ca="1" si="5"/>
        <v>0</v>
      </c>
      <c r="AA44" t="s">
        <v>5096</v>
      </c>
      <c r="AB44" t="s">
        <v>5109</v>
      </c>
      <c r="AC44" t="s">
        <v>5107</v>
      </c>
      <c r="AD44" s="3" t="str">
        <f>g&amp;Param&amp;REGPLACE(REGPLACE(Join_Range(AA44:AC44), "_{1,3}","_"), "_$","")</f>
        <v>gСуммРозкр_КлA_ТВ</v>
      </c>
      <c r="AE44" s="882">
        <f t="shared" si="6"/>
        <v>-15</v>
      </c>
    </row>
    <row r="45" spans="1:31" ht="15.75" thickBot="1">
      <c r="A45" s="55" t="s">
        <v>5013</v>
      </c>
      <c r="B45" s="35" t="s">
        <v>39</v>
      </c>
      <c r="C45" s="234">
        <f>C47*0.88</f>
        <v>76.56</v>
      </c>
      <c r="D45" s="37" t="s">
        <v>42</v>
      </c>
      <c r="E45" s="238">
        <f ca="1">ROUNDUP((INDIRECT(ADDRESS(MATCH(gумДатаТарифы,Тарифи[№],0)+1,LEFT(D45,1)+2,1,1,"Тарифи"))+INDIRECT(ADDRESS(MATCH(gумДатаТарифы,Тарифи[№],0)+1,RIGHT(D45,1)+2,1,1,"Тарифи")))/2,2)</f>
        <v>35.22</v>
      </c>
      <c r="F45" s="847">
        <v>1</v>
      </c>
      <c r="G45" s="36">
        <f t="shared" si="9"/>
        <v>84.216000000000008</v>
      </c>
      <c r="H45" s="38">
        <f t="shared" si="10"/>
        <v>0.18998765080269781</v>
      </c>
      <c r="I45" s="36">
        <f t="shared" si="11"/>
        <v>9.4993825401348903E-2</v>
      </c>
      <c r="J45" s="38">
        <f t="shared" si="12"/>
        <v>0.18998765080269781</v>
      </c>
      <c r="K45" s="783"/>
      <c r="L45" s="38">
        <f t="shared" si="13"/>
        <v>0</v>
      </c>
      <c r="M45" s="38">
        <f t="shared" si="14"/>
        <v>0</v>
      </c>
      <c r="N45" s="38">
        <f t="shared" si="15"/>
        <v>0</v>
      </c>
      <c r="O45" s="965">
        <f ca="1">E45*J45</f>
        <v>6.691365061271016</v>
      </c>
      <c r="P45" s="106">
        <f t="shared" ca="1" si="16"/>
        <v>3.345682530635508</v>
      </c>
      <c r="Q45" s="106">
        <f t="shared" ca="1" si="7"/>
        <v>2.2081504702194357</v>
      </c>
      <c r="R45" s="115">
        <f t="shared" ca="1" si="8"/>
        <v>12.245198062125962</v>
      </c>
      <c r="T45" s="897">
        <f t="shared" ca="1" si="1"/>
        <v>6.6909999999999998</v>
      </c>
      <c r="U45" s="893">
        <f t="shared" ca="1" si="0"/>
        <v>8.1295599999999997</v>
      </c>
      <c r="V45" s="895">
        <f t="shared" si="2"/>
        <v>5</v>
      </c>
      <c r="W45" s="3">
        <f t="shared" ca="1" si="3"/>
        <v>8.1295599999999997</v>
      </c>
      <c r="X45" s="882">
        <f t="shared" ca="1" si="4"/>
        <v>6.6909999999999998</v>
      </c>
      <c r="Y45" s="882">
        <f t="shared" ca="1" si="5"/>
        <v>0</v>
      </c>
      <c r="AA45" t="s">
        <v>5096</v>
      </c>
      <c r="AB45" t="s">
        <v>5110</v>
      </c>
      <c r="AC45" t="s">
        <v>41</v>
      </c>
      <c r="AD45" s="3" t="str">
        <f>g&amp;Param&amp;REGPLACE(REGPLACE(Join_Range(AA45:AC45), "_{1,3}","_"), "_$","")</f>
        <v>gСуммРозкр_ПрПр_Граб</v>
      </c>
      <c r="AE45" s="882">
        <f t="shared" si="6"/>
        <v>-15</v>
      </c>
    </row>
    <row r="46" spans="1:31" ht="15">
      <c r="A46" s="39" t="s">
        <v>71</v>
      </c>
      <c r="B46" s="35" t="s">
        <v>39</v>
      </c>
      <c r="C46" s="234">
        <f t="array" ref="C46">INDEX(TEX,MATCH(MIN(IF(TEX_HL&gt;=gCrHl,TEX_HL)),TEX_HL,0),MATCH(MIN(IF(ZVZP_VM&gt;=gMas1Ga,ZVZP_VM)),ZVZP_VM,0)+IF(gUmRab="Важкі",2,0)+IF(A46="Твердолистяні породи",1,0)+1)</f>
        <v>107</v>
      </c>
      <c r="D46" s="777"/>
      <c r="E46" s="777"/>
      <c r="F46" s="847">
        <v>1</v>
      </c>
      <c r="G46" s="36">
        <f t="shared" si="9"/>
        <v>117.7</v>
      </c>
      <c r="H46" s="38">
        <f t="shared" si="10"/>
        <v>0.13593882752761258</v>
      </c>
      <c r="I46" s="36">
        <f t="shared" si="11"/>
        <v>6.7969413763806288E-2</v>
      </c>
      <c r="J46" s="38">
        <f t="shared" si="12"/>
        <v>0.13593882752761258</v>
      </c>
      <c r="K46" s="783"/>
      <c r="L46" s="38">
        <f t="shared" si="13"/>
        <v>0</v>
      </c>
      <c r="M46" s="38">
        <f t="shared" si="14"/>
        <v>0</v>
      </c>
      <c r="N46" s="38">
        <f t="shared" si="15"/>
        <v>0</v>
      </c>
      <c r="O46" s="965">
        <f ca="1">E45*J46</f>
        <v>4.7877655055225148</v>
      </c>
      <c r="P46" s="106">
        <f t="shared" ca="1" si="16"/>
        <v>2.3938827527612574</v>
      </c>
      <c r="Q46" s="106">
        <f t="shared" ca="1" si="7"/>
        <v>1.5799626168224299</v>
      </c>
      <c r="R46" s="115">
        <f t="shared" ca="1" si="8"/>
        <v>8.7616108751062018</v>
      </c>
      <c r="T46" s="897">
        <f t="shared" ca="1" si="1"/>
        <v>4.7880000000000003</v>
      </c>
      <c r="U46" s="893">
        <f t="shared" ca="1" si="0"/>
        <v>5.8174200000000003</v>
      </c>
      <c r="V46" s="895">
        <f t="shared" si="2"/>
        <v>5</v>
      </c>
      <c r="W46" s="3">
        <f t="shared" ca="1" si="3"/>
        <v>5.8174200000000003</v>
      </c>
      <c r="X46" s="882">
        <f t="shared" ca="1" si="4"/>
        <v>4.7880000000000003</v>
      </c>
      <c r="Y46" s="882">
        <f t="shared" ca="1" si="5"/>
        <v>0</v>
      </c>
      <c r="AA46" t="s">
        <v>5096</v>
      </c>
      <c r="AB46" t="s">
        <v>5110</v>
      </c>
      <c r="AC46" t="s">
        <v>5106</v>
      </c>
      <c r="AD46" s="3" t="str">
        <f>g&amp;Param&amp;REGPLACE(REGPLACE(Join_Range(AA46:AC46), "_{1,3}","_"), "_$","")</f>
        <v>gСуммРозкр_ПрПр_МЛ</v>
      </c>
      <c r="AE46" s="882">
        <f t="shared" si="6"/>
        <v>-15</v>
      </c>
    </row>
    <row r="47" spans="1:31" ht="15.75" thickBot="1">
      <c r="A47" s="39" t="s">
        <v>72</v>
      </c>
      <c r="B47" s="35" t="s">
        <v>39</v>
      </c>
      <c r="C47" s="234">
        <f t="array" ref="C47">INDEX(TEX,MATCH(MIN(IF(TEX_HL&gt;=gCrHl,TEX_HL)),TEX_HL,0),MATCH(MIN(IF(ZVZP_VM&gt;=gMas1Ga,ZVZP_VM)),ZVZP_VM,0)+IF(gUmRab="Важкі",2,0)+IF(A47="Твердолистяні породи",1,0)+1)</f>
        <v>87</v>
      </c>
      <c r="D47" s="777"/>
      <c r="E47" s="777"/>
      <c r="F47" s="848">
        <v>26</v>
      </c>
      <c r="G47" s="36">
        <f t="shared" si="9"/>
        <v>95.7</v>
      </c>
      <c r="H47" s="38">
        <f>16/G47</f>
        <v>0.16718913270637409</v>
      </c>
      <c r="I47" s="36">
        <f>J47/2</f>
        <v>2.1734587251828632</v>
      </c>
      <c r="J47" s="38">
        <f t="shared" si="12"/>
        <v>4.3469174503657264</v>
      </c>
      <c r="K47" s="783"/>
      <c r="L47" s="38">
        <f t="shared" si="13"/>
        <v>0</v>
      </c>
      <c r="M47" s="38">
        <f t="shared" si="14"/>
        <v>0</v>
      </c>
      <c r="N47" s="38">
        <f t="shared" si="15"/>
        <v>0</v>
      </c>
      <c r="O47" s="965">
        <f ca="1">E45*J47</f>
        <v>153.09843260188089</v>
      </c>
      <c r="P47" s="106">
        <f t="shared" ca="1" si="16"/>
        <v>76.549216300940444</v>
      </c>
      <c r="Q47" s="106">
        <f t="shared" ca="1" si="7"/>
        <v>50.522482758620697</v>
      </c>
      <c r="R47" s="115">
        <f t="shared" ca="1" si="8"/>
        <v>280.17013166144204</v>
      </c>
      <c r="T47" s="897">
        <f t="shared" ca="1" si="1"/>
        <v>153.09800000000001</v>
      </c>
      <c r="U47" s="893">
        <f t="shared" ca="1" si="0"/>
        <v>186.01407</v>
      </c>
      <c r="V47" s="895">
        <f t="shared" si="2"/>
        <v>6</v>
      </c>
      <c r="W47" s="3">
        <f t="shared" ca="1" si="3"/>
        <v>7.1543873076923079</v>
      </c>
      <c r="X47" s="882">
        <f t="shared" ca="1" si="4"/>
        <v>153.09800000000001</v>
      </c>
      <c r="Y47" s="882">
        <f t="shared" ca="1" si="5"/>
        <v>0</v>
      </c>
      <c r="AA47" t="s">
        <v>5096</v>
      </c>
      <c r="AB47" t="s">
        <v>5110</v>
      </c>
      <c r="AC47" t="s">
        <v>5107</v>
      </c>
      <c r="AD47" s="3" t="str">
        <f>g&amp;Param&amp;REGPLACE(REGPLACE(Join_Range(AA47:AC47), "_{1,3}","_"), "_$","")</f>
        <v>gСуммРозкр_ПрПр_ТВ</v>
      </c>
      <c r="AE47" s="882">
        <f t="shared" si="6"/>
        <v>-15</v>
      </c>
    </row>
    <row r="48" spans="1:31" ht="15.75" thickBot="1">
      <c r="A48" s="55" t="s">
        <v>5014</v>
      </c>
      <c r="B48" s="35" t="s">
        <v>39</v>
      </c>
      <c r="C48" s="234">
        <f>C50*0.88</f>
        <v>9.5920000000000005</v>
      </c>
      <c r="D48" s="37" t="s">
        <v>42</v>
      </c>
      <c r="E48" s="238">
        <f ca="1">ROUNDUP((INDIRECT(ADDRESS(MATCH(gумДатаТарифы,Тарифи[№],0)+1,LEFT(D48,1)+2,1,1,"Тарифи"))+INDIRECT(ADDRESS(MATCH(gумДатаТарифы,Тарифи[№],0)+1,RIGHT(D48,1)+2,1,1,"Тарифи")))/2,2)</f>
        <v>35.22</v>
      </c>
      <c r="F48" s="847">
        <v>0</v>
      </c>
      <c r="G48" s="36">
        <f t="shared" si="9"/>
        <v>10.551200000000001</v>
      </c>
      <c r="H48" s="38">
        <f t="shared" si="10"/>
        <v>1.5164151944802484</v>
      </c>
      <c r="I48" s="36">
        <f t="shared" si="11"/>
        <v>0</v>
      </c>
      <c r="J48" s="38">
        <f t="shared" si="12"/>
        <v>0</v>
      </c>
      <c r="K48" s="783"/>
      <c r="L48" s="38">
        <f t="shared" si="13"/>
        <v>0</v>
      </c>
      <c r="M48" s="38">
        <f t="shared" si="14"/>
        <v>0</v>
      </c>
      <c r="N48" s="38">
        <f t="shared" si="15"/>
        <v>0</v>
      </c>
      <c r="O48" s="965">
        <f ca="1">E48*J48</f>
        <v>0</v>
      </c>
      <c r="P48" s="106">
        <f t="shared" ca="1" si="16"/>
        <v>0</v>
      </c>
      <c r="Q48" s="106">
        <f t="shared" ca="1" si="7"/>
        <v>0</v>
      </c>
      <c r="R48" s="115">
        <f t="shared" ca="1" si="8"/>
        <v>0</v>
      </c>
      <c r="T48" s="897">
        <f t="shared" ca="1" si="1"/>
        <v>0</v>
      </c>
      <c r="U48" s="893">
        <f t="shared" ca="1" si="0"/>
        <v>0</v>
      </c>
      <c r="V48" s="895">
        <f t="shared" si="2"/>
        <v>5</v>
      </c>
      <c r="W48" s="3" t="e">
        <f t="shared" ca="1" si="3"/>
        <v>#DIV/0!</v>
      </c>
      <c r="X48" s="882">
        <f t="shared" ca="1" si="4"/>
        <v>0</v>
      </c>
      <c r="Y48" s="882">
        <f t="shared" ca="1" si="5"/>
        <v>0</v>
      </c>
      <c r="AA48" t="s">
        <v>5096</v>
      </c>
      <c r="AB48" t="s">
        <v>5111</v>
      </c>
      <c r="AC48" t="s">
        <v>41</v>
      </c>
      <c r="AD48" s="3" t="str">
        <f>g&amp;Param&amp;REGPLACE(REGPLACE(Join_Range(AA48:AC48), "_{1,3}","_"), "_$","")</f>
        <v>gСуммРозкр_Пал_Граб</v>
      </c>
      <c r="AE48" s="882">
        <f t="shared" si="6"/>
        <v>-15</v>
      </c>
    </row>
    <row r="49" spans="1:31" ht="15">
      <c r="A49" s="39" t="s">
        <v>71</v>
      </c>
      <c r="B49" s="35" t="s">
        <v>39</v>
      </c>
      <c r="C49" s="234">
        <f t="array" ref="C49">INDEX(DROV,MATCH(MIN(IF(DROV_HL&gt;=gCrHl,DROV_HL)),DROV_HL,0),MATCH(MIN(IF(ZVZP_VM&gt;=gMas1Ga,ZVZP_VM)),ZVZP_VM,0)+IF(gUmRab="Важкі",2,0)+IF(A49="Твердолистяні породи",1,0)+1)</f>
        <v>13.8</v>
      </c>
      <c r="D49" s="777"/>
      <c r="E49" s="777"/>
      <c r="F49" s="847">
        <v>1</v>
      </c>
      <c r="G49" s="36">
        <f t="shared" si="9"/>
        <v>15.180000000000001</v>
      </c>
      <c r="H49" s="38">
        <f t="shared" si="10"/>
        <v>1.054018445322793</v>
      </c>
      <c r="I49" s="36">
        <f t="shared" si="11"/>
        <v>0.52700922266139649</v>
      </c>
      <c r="J49" s="38">
        <f t="shared" si="12"/>
        <v>1.054018445322793</v>
      </c>
      <c r="K49" s="783"/>
      <c r="L49" s="38">
        <f t="shared" si="13"/>
        <v>0</v>
      </c>
      <c r="M49" s="38">
        <f t="shared" si="14"/>
        <v>0</v>
      </c>
      <c r="N49" s="38">
        <f t="shared" si="15"/>
        <v>0</v>
      </c>
      <c r="O49" s="965">
        <f ca="1">E48*J49</f>
        <v>37.122529644268766</v>
      </c>
      <c r="P49" s="106">
        <f t="shared" ca="1" si="16"/>
        <v>18.561264822134383</v>
      </c>
      <c r="Q49" s="106">
        <f t="shared" ca="1" si="7"/>
        <v>12.250434782608693</v>
      </c>
      <c r="R49" s="115">
        <f t="shared" ca="1" si="8"/>
        <v>67.93422924901185</v>
      </c>
      <c r="T49" s="897">
        <f t="shared" ca="1" si="1"/>
        <v>37.122999999999998</v>
      </c>
      <c r="U49" s="893">
        <f t="shared" ca="1" si="0"/>
        <v>45.104439999999997</v>
      </c>
      <c r="V49" s="895">
        <f t="shared" si="2"/>
        <v>5</v>
      </c>
      <c r="W49" s="3">
        <f t="shared" ca="1" si="3"/>
        <v>45.104439999999997</v>
      </c>
      <c r="X49" s="882">
        <f t="shared" ca="1" si="4"/>
        <v>37.122999999999998</v>
      </c>
      <c r="Y49" s="882">
        <f t="shared" ca="1" si="5"/>
        <v>0</v>
      </c>
      <c r="AA49" t="s">
        <v>5096</v>
      </c>
      <c r="AB49" t="s">
        <v>5111</v>
      </c>
      <c r="AC49" t="s">
        <v>5106</v>
      </c>
      <c r="AD49" s="3" t="str">
        <f>g&amp;Param&amp;REGPLACE(REGPLACE(Join_Range(AA49:AC49), "_{1,3}","_"), "_$","")</f>
        <v>gСуммРозкр_Пал_МЛ</v>
      </c>
      <c r="AE49" s="882">
        <f t="shared" si="6"/>
        <v>-15</v>
      </c>
    </row>
    <row r="50" spans="1:31" ht="15.75" thickBot="1">
      <c r="A50" s="807" t="s">
        <v>72</v>
      </c>
      <c r="B50" s="808" t="s">
        <v>39</v>
      </c>
      <c r="C50" s="809">
        <f t="array" ref="C50">INDEX(DROV,MATCH(MIN(IF(DROV_HL&gt;=gCrHl,DROV_HL)),DROV_HL,0),MATCH(MIN(IF(ZVZP_VM&gt;=gMas1Ga,ZVZP_VM)),ZVZP_VM,0)+IF(gUmRab="Важкі",2,0)+IF(A50="Твердолистяні породи",1,0)+1)</f>
        <v>10.9</v>
      </c>
      <c r="D50" s="825"/>
      <c r="E50" s="825"/>
      <c r="F50" s="849">
        <v>18</v>
      </c>
      <c r="G50" s="810">
        <f t="shared" si="9"/>
        <v>11.990000000000002</v>
      </c>
      <c r="H50" s="812">
        <f t="shared" si="10"/>
        <v>1.3344453711426185</v>
      </c>
      <c r="I50" s="810">
        <f t="shared" si="11"/>
        <v>12.010008340283568</v>
      </c>
      <c r="J50" s="812">
        <f t="shared" si="12"/>
        <v>24.020016680567135</v>
      </c>
      <c r="K50" s="813"/>
      <c r="L50" s="812">
        <f t="shared" si="13"/>
        <v>0</v>
      </c>
      <c r="M50" s="812">
        <f t="shared" si="14"/>
        <v>0</v>
      </c>
      <c r="N50" s="812">
        <f t="shared" si="15"/>
        <v>0</v>
      </c>
      <c r="O50" s="966">
        <f ca="1">E48*J50</f>
        <v>845.98498748957445</v>
      </c>
      <c r="P50" s="814">
        <f t="shared" ca="1" si="16"/>
        <v>422.99249374478723</v>
      </c>
      <c r="Q50" s="814">
        <f t="shared" ca="1" si="7"/>
        <v>279.17504587155958</v>
      </c>
      <c r="R50" s="815">
        <f t="shared" ca="1" si="8"/>
        <v>1548.1525271059213</v>
      </c>
      <c r="T50" s="897">
        <f t="shared" ca="1" si="1"/>
        <v>845.98500000000001</v>
      </c>
      <c r="U50" s="893">
        <f t="shared" ca="1" si="0"/>
        <v>1027.8717750000001</v>
      </c>
      <c r="V50" s="895">
        <f t="shared" si="2"/>
        <v>6</v>
      </c>
      <c r="W50" s="3">
        <f t="shared" ca="1" si="3"/>
        <v>57.103987500000002</v>
      </c>
      <c r="X50" s="882">
        <f t="shared" ca="1" si="4"/>
        <v>845.98500000000001</v>
      </c>
      <c r="Y50" s="882">
        <f t="shared" ca="1" si="5"/>
        <v>0</v>
      </c>
      <c r="AA50" t="s">
        <v>5096</v>
      </c>
      <c r="AB50" t="s">
        <v>5111</v>
      </c>
      <c r="AC50" t="s">
        <v>5107</v>
      </c>
      <c r="AD50" s="3" t="str">
        <f>g&amp;Param&amp;REGPLACE(REGPLACE(Join_Range(AA50:AC50), "_{1,3}","_"), "_$","")</f>
        <v>gСуммРозкр_Пал_ТВ</v>
      </c>
      <c r="AE50" s="882">
        <f t="shared" si="6"/>
        <v>-15</v>
      </c>
    </row>
    <row r="51" spans="1:31" ht="13.5" thickTop="1">
      <c r="A51" s="816" t="s">
        <v>43</v>
      </c>
      <c r="B51" s="69"/>
      <c r="C51" s="774"/>
      <c r="D51" s="70"/>
      <c r="E51" s="23"/>
      <c r="F51" s="845"/>
      <c r="G51" s="823"/>
      <c r="H51" s="817"/>
      <c r="I51" s="60"/>
      <c r="J51" s="817"/>
      <c r="K51" s="824"/>
      <c r="L51" s="817"/>
      <c r="M51" s="817"/>
      <c r="N51" s="817"/>
      <c r="O51" s="963"/>
      <c r="P51" s="806"/>
      <c r="Q51" s="806"/>
      <c r="R51" s="117"/>
      <c r="T51" s="897">
        <f t="shared" si="1"/>
        <v>0</v>
      </c>
      <c r="U51" s="893">
        <f t="shared" si="0"/>
        <v>0</v>
      </c>
      <c r="V51" s="895">
        <f t="shared" si="2"/>
        <v>4</v>
      </c>
      <c r="X51" s="882">
        <f t="shared" si="4"/>
        <v>0</v>
      </c>
      <c r="Y51" s="882">
        <f t="shared" si="5"/>
        <v>0</v>
      </c>
      <c r="AE51" s="882">
        <f t="shared" si="6"/>
        <v>-15</v>
      </c>
    </row>
    <row r="52" spans="1:31" ht="15">
      <c r="A52" s="39" t="s">
        <v>41</v>
      </c>
      <c r="B52" s="35" t="s">
        <v>39</v>
      </c>
      <c r="C52" s="234">
        <f>C54*0.88</f>
        <v>40.479999999999997</v>
      </c>
      <c r="D52" s="59">
        <v>3</v>
      </c>
      <c r="E52" s="844">
        <f ca="1">ROUNDUP((INDIRECT(ADDRESS(MATCH(gумДатаТарифы,Тарифи[№],0)+1,LEFT(D52,1)+2,1,1,"Тарифи"))+INDIRECT(ADDRESS(MATCH(gумДатаТарифы,Тарифи[№],0)+1,RIGHT(D52,1)+2,1,1,"Тарифи")))/2,2)</f>
        <v>27.45</v>
      </c>
      <c r="F52" s="237">
        <f>gДерГраб</f>
        <v>1</v>
      </c>
      <c r="G52" s="56">
        <f>C52*gKZ</f>
        <v>44.527999999999999</v>
      </c>
      <c r="H52" s="38">
        <f>8/G52</f>
        <v>0.17966223499820339</v>
      </c>
      <c r="I52" s="36"/>
      <c r="J52" s="38">
        <f>F52/G52*8</f>
        <v>0.17966223499820339</v>
      </c>
      <c r="K52" s="783"/>
      <c r="L52" s="38"/>
      <c r="M52" s="38"/>
      <c r="N52" s="38"/>
      <c r="O52" s="965">
        <f ca="1">E52*J52</f>
        <v>4.9317283507006824</v>
      </c>
      <c r="P52" s="106">
        <f ca="1">O52*0.5</f>
        <v>2.4658641753503412</v>
      </c>
      <c r="Q52" s="106">
        <f t="shared" ca="1" si="7"/>
        <v>1.6274703557312251</v>
      </c>
      <c r="R52" s="115">
        <f t="shared" ca="1" si="8"/>
        <v>9.0250628817822491</v>
      </c>
      <c r="T52" s="897">
        <f t="shared" ca="1" si="1"/>
        <v>4.9320000000000004</v>
      </c>
      <c r="U52" s="893">
        <f t="shared" ca="1" si="0"/>
        <v>5.9923799999999998</v>
      </c>
      <c r="V52" s="895">
        <f t="shared" si="2"/>
        <v>5</v>
      </c>
      <c r="W52" s="3">
        <f t="shared" ca="1" si="3"/>
        <v>5.9923799999999998</v>
      </c>
      <c r="X52" s="882">
        <f t="shared" ca="1" si="4"/>
        <v>4.9320000000000004</v>
      </c>
      <c r="Y52" s="882">
        <f t="shared" ca="1" si="5"/>
        <v>0</v>
      </c>
      <c r="AA52" t="s">
        <v>5094</v>
      </c>
      <c r="AC52" t="s">
        <v>41</v>
      </c>
      <c r="AD52" s="3" t="str">
        <f>g&amp;Param&amp;REGPLACE(REGPLACE(Join_Range(AA52:AC52), "_{1,3}","_"), "_$","")</f>
        <v>gСуммЗачищ_Граб</v>
      </c>
      <c r="AE52" s="882">
        <f t="shared" si="6"/>
        <v>-15</v>
      </c>
    </row>
    <row r="53" spans="1:31" ht="15">
      <c r="A53" s="39" t="s">
        <v>71</v>
      </c>
      <c r="B53" s="35" t="s">
        <v>39</v>
      </c>
      <c r="C53" s="234">
        <f t="array" ref="C53">INDEX(ZACH,MATCH(MIN(IF(ZACH_HL&gt;=gCrHl,ZACH_HL)),ZACH_HL,0),IF(gUmRab="Важкі",3,1)+IF($A57="Твердолистяні породи",1,0)+1)</f>
        <v>88</v>
      </c>
      <c r="D53" s="36"/>
      <c r="E53" s="36"/>
      <c r="F53" s="237">
        <f>gДерМЛ</f>
        <v>2</v>
      </c>
      <c r="G53" s="36">
        <f>C53*gKZ</f>
        <v>96.800000000000011</v>
      </c>
      <c r="H53" s="38">
        <f>8/G53</f>
        <v>8.2644628099173542E-2</v>
      </c>
      <c r="I53" s="36"/>
      <c r="J53" s="38">
        <f>F53/G53*8</f>
        <v>0.16528925619834708</v>
      </c>
      <c r="K53" s="783"/>
      <c r="L53" s="38"/>
      <c r="M53" s="38"/>
      <c r="N53" s="38"/>
      <c r="O53" s="965">
        <f ca="1">E52*J53</f>
        <v>4.537190082644627</v>
      </c>
      <c r="P53" s="106">
        <f ca="1">O53*0.5</f>
        <v>2.2685950413223135</v>
      </c>
      <c r="Q53" s="106">
        <f t="shared" ca="1" si="7"/>
        <v>1.4972727272727269</v>
      </c>
      <c r="R53" s="115">
        <f t="shared" ca="1" si="8"/>
        <v>8.3030578512396662</v>
      </c>
      <c r="T53" s="897">
        <f t="shared" ca="1" si="1"/>
        <v>4.5369999999999999</v>
      </c>
      <c r="U53" s="893">
        <f t="shared" ca="1" si="0"/>
        <v>5.5124599999999999</v>
      </c>
      <c r="V53" s="895">
        <f t="shared" si="2"/>
        <v>5</v>
      </c>
      <c r="W53" s="3">
        <f t="shared" ca="1" si="3"/>
        <v>2.75623</v>
      </c>
      <c r="X53" s="882">
        <f t="shared" ca="1" si="4"/>
        <v>4.5369999999999999</v>
      </c>
      <c r="Y53" s="882">
        <f t="shared" ca="1" si="5"/>
        <v>0</v>
      </c>
      <c r="AA53" t="s">
        <v>5094</v>
      </c>
      <c r="AC53" t="s">
        <v>5106</v>
      </c>
      <c r="AD53" s="3" t="str">
        <f>g&amp;Param&amp;REGPLACE(REGPLACE(Join_Range(AA53:AC53), "_{1,3}","_"), "_$","")</f>
        <v>gСуммЗачищ_МЛ</v>
      </c>
      <c r="AE53" s="882">
        <f t="shared" si="6"/>
        <v>-15</v>
      </c>
    </row>
    <row r="54" spans="1:31" ht="15.75" thickBot="1">
      <c r="A54" s="807" t="s">
        <v>72</v>
      </c>
      <c r="B54" s="808" t="s">
        <v>39</v>
      </c>
      <c r="C54" s="809">
        <f t="array" ref="C54">INDEX(ZACH,MATCH(MIN(IF(ZACH_HL&gt;=gCrHl,ZACH_HL)),ZACH_HL,0),IF(gUmRab="Важкі",3,1)+IF($A54="Твердолистяні породи",1,0)+1)</f>
        <v>46</v>
      </c>
      <c r="D54" s="810"/>
      <c r="E54" s="810"/>
      <c r="F54" s="811">
        <f>gДерТВ</f>
        <v>80</v>
      </c>
      <c r="G54" s="810">
        <f>C54*gKZ</f>
        <v>50.6</v>
      </c>
      <c r="H54" s="812">
        <f>8/G54</f>
        <v>0.15810276679841898</v>
      </c>
      <c r="I54" s="821"/>
      <c r="J54" s="812">
        <f>F54/G54*8</f>
        <v>12.648221343873518</v>
      </c>
      <c r="K54" s="813"/>
      <c r="L54" s="812"/>
      <c r="M54" s="812"/>
      <c r="N54" s="812"/>
      <c r="O54" s="966">
        <f ca="1">E52*J54</f>
        <v>347.19367588932806</v>
      </c>
      <c r="P54" s="814">
        <f ca="1">O54*0.5</f>
        <v>173.59683794466403</v>
      </c>
      <c r="Q54" s="814">
        <f t="shared" ca="1" si="7"/>
        <v>114.57391304347827</v>
      </c>
      <c r="R54" s="815">
        <f t="shared" ca="1" si="8"/>
        <v>635.36442687747035</v>
      </c>
      <c r="T54" s="897">
        <f t="shared" ca="1" si="1"/>
        <v>347.19400000000002</v>
      </c>
      <c r="U54" s="893">
        <f t="shared" ca="1" si="0"/>
        <v>421.84071</v>
      </c>
      <c r="V54" s="895">
        <f t="shared" si="2"/>
        <v>6</v>
      </c>
      <c r="W54" s="3">
        <f t="shared" ca="1" si="3"/>
        <v>5.2730088750000004</v>
      </c>
      <c r="X54" s="882">
        <f t="shared" ca="1" si="4"/>
        <v>347.19400000000002</v>
      </c>
      <c r="Y54" s="882">
        <f t="shared" ca="1" si="5"/>
        <v>0</v>
      </c>
      <c r="AA54" t="s">
        <v>5094</v>
      </c>
      <c r="AC54" t="s">
        <v>5107</v>
      </c>
      <c r="AD54" s="3" t="str">
        <f>g&amp;Param&amp;REGPLACE(REGPLACE(Join_Range(AA54:AC54), "_{1,3}","_"), "_$","")</f>
        <v>gСуммЗачищ_ТВ</v>
      </c>
      <c r="AE54" s="882">
        <f t="shared" si="6"/>
        <v>-15</v>
      </c>
    </row>
    <row r="55" spans="1:31" ht="13.5" thickTop="1">
      <c r="A55" s="816" t="s">
        <v>44</v>
      </c>
      <c r="B55" s="69"/>
      <c r="C55" s="802"/>
      <c r="D55" s="142"/>
      <c r="E55" s="86"/>
      <c r="F55" s="843"/>
      <c r="G55" s="60"/>
      <c r="H55" s="817"/>
      <c r="I55" s="818"/>
      <c r="J55" s="819"/>
      <c r="K55" s="820"/>
      <c r="L55" s="819"/>
      <c r="M55" s="819"/>
      <c r="N55" s="819"/>
      <c r="O55" s="963"/>
      <c r="P55" s="806"/>
      <c r="Q55" s="806"/>
      <c r="R55" s="117"/>
      <c r="T55" s="897">
        <f t="shared" si="1"/>
        <v>0</v>
      </c>
      <c r="U55" s="893">
        <f t="shared" si="0"/>
        <v>0</v>
      </c>
      <c r="V55" s="895">
        <f t="shared" si="2"/>
        <v>4</v>
      </c>
      <c r="X55" s="882">
        <f t="shared" si="4"/>
        <v>0</v>
      </c>
      <c r="Y55" s="882">
        <f t="shared" si="5"/>
        <v>0</v>
      </c>
      <c r="AE55" s="882">
        <f t="shared" si="6"/>
        <v>-15</v>
      </c>
    </row>
    <row r="56" spans="1:31" ht="15">
      <c r="A56" s="39" t="s">
        <v>41</v>
      </c>
      <c r="B56" s="35" t="s">
        <v>39</v>
      </c>
      <c r="C56" s="234">
        <v>5.7</v>
      </c>
      <c r="D56" s="59">
        <v>3</v>
      </c>
      <c r="E56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56" s="237">
        <f>F48</f>
        <v>0</v>
      </c>
      <c r="G56" s="56">
        <f>C56*0.9</f>
        <v>5.13</v>
      </c>
      <c r="H56" s="38">
        <f>8/G56</f>
        <v>1.5594541910331385</v>
      </c>
      <c r="I56" s="36"/>
      <c r="J56" s="38">
        <f>F56/G56*8</f>
        <v>0</v>
      </c>
      <c r="K56" s="783"/>
      <c r="L56" s="38"/>
      <c r="M56" s="38"/>
      <c r="N56" s="38"/>
      <c r="O56" s="965">
        <f ca="1">E56*J56</f>
        <v>0</v>
      </c>
      <c r="P56" s="106">
        <f ca="1">O56*0.5</f>
        <v>0</v>
      </c>
      <c r="Q56" s="106">
        <f t="shared" ca="1" si="7"/>
        <v>0</v>
      </c>
      <c r="R56" s="115">
        <f t="shared" ca="1" si="8"/>
        <v>0</v>
      </c>
      <c r="T56" s="897">
        <f t="shared" ca="1" si="1"/>
        <v>0</v>
      </c>
      <c r="U56" s="893">
        <f t="shared" ca="1" si="0"/>
        <v>0</v>
      </c>
      <c r="V56" s="895">
        <f t="shared" si="2"/>
        <v>5</v>
      </c>
      <c r="W56" s="3" t="e">
        <f t="shared" ca="1" si="3"/>
        <v>#DIV/0!</v>
      </c>
      <c r="X56" s="882">
        <f t="shared" ca="1" si="4"/>
        <v>0</v>
      </c>
      <c r="Y56" s="882">
        <f t="shared" ca="1" si="5"/>
        <v>0</v>
      </c>
      <c r="AA56" t="s">
        <v>5095</v>
      </c>
      <c r="AC56" t="s">
        <v>41</v>
      </c>
      <c r="AD56" s="3" t="str">
        <f>g&amp;Param&amp;REGPLACE(REGPLACE(Join_Range(AA56:AC56), "_{1,3}","_"), "_$","")</f>
        <v>gСуммУклад_Граб</v>
      </c>
      <c r="AE56" s="882">
        <f t="shared" si="6"/>
        <v>-15</v>
      </c>
    </row>
    <row r="57" spans="1:31" ht="15">
      <c r="A57" s="39" t="s">
        <v>71</v>
      </c>
      <c r="B57" s="35" t="s">
        <v>39</v>
      </c>
      <c r="C57" s="234">
        <f>INDEX(KOL,1,IF(gUmRab="Важкі",3,1)+IF($A57="Твердолистяні породи",1,0)+1)</f>
        <v>7.1</v>
      </c>
      <c r="D57" s="36"/>
      <c r="E57" s="36"/>
      <c r="F57" s="237">
        <f>F49</f>
        <v>1</v>
      </c>
      <c r="G57" s="36">
        <f>C57*0.9</f>
        <v>6.39</v>
      </c>
      <c r="H57" s="38">
        <f>8/G57</f>
        <v>1.2519561815336464</v>
      </c>
      <c r="I57" s="36"/>
      <c r="J57" s="38">
        <f>F57/G57*8</f>
        <v>1.2519561815336464</v>
      </c>
      <c r="K57" s="783"/>
      <c r="L57" s="38"/>
      <c r="M57" s="38"/>
      <c r="N57" s="38"/>
      <c r="O57" s="965">
        <f ca="1">E56*J57</f>
        <v>34.366197183098592</v>
      </c>
      <c r="P57" s="106">
        <f ca="1">O57*0.5</f>
        <v>17.183098591549296</v>
      </c>
      <c r="Q57" s="106">
        <f t="shared" ca="1" si="7"/>
        <v>11.340845070422535</v>
      </c>
      <c r="R57" s="115">
        <f t="shared" ca="1" si="8"/>
        <v>62.89014084507042</v>
      </c>
      <c r="T57" s="897">
        <f t="shared" ca="1" si="1"/>
        <v>34.366</v>
      </c>
      <c r="U57" s="893">
        <f t="shared" ca="1" si="0"/>
        <v>41.754689999999997</v>
      </c>
      <c r="V57" s="895">
        <f t="shared" si="2"/>
        <v>5</v>
      </c>
      <c r="W57" s="3">
        <f t="shared" ca="1" si="3"/>
        <v>41.754689999999997</v>
      </c>
      <c r="X57" s="882">
        <f t="shared" ca="1" si="4"/>
        <v>34.366</v>
      </c>
      <c r="Y57" s="882">
        <f t="shared" ca="1" si="5"/>
        <v>0</v>
      </c>
      <c r="AA57" t="s">
        <v>5095</v>
      </c>
      <c r="AC57" t="s">
        <v>5106</v>
      </c>
      <c r="AD57" s="3" t="str">
        <f>g&amp;Param&amp;REGPLACE(REGPLACE(Join_Range(AA57:AC57), "_{1,3}","_"), "_$","")</f>
        <v>gСуммУклад_МЛ</v>
      </c>
      <c r="AE57" s="882">
        <f t="shared" si="6"/>
        <v>-15</v>
      </c>
    </row>
    <row r="58" spans="1:31" ht="15.75" thickBot="1">
      <c r="A58" s="807" t="s">
        <v>72</v>
      </c>
      <c r="B58" s="808" t="s">
        <v>39</v>
      </c>
      <c r="C58" s="809">
        <f>INDEX(KOL,1,IF(gUmRab="Важкі",3,1)+IF($A58="Твердолистяні породи",1,0)+1)</f>
        <v>5.7</v>
      </c>
      <c r="D58" s="810"/>
      <c r="E58" s="810"/>
      <c r="F58" s="811">
        <f>F50</f>
        <v>18</v>
      </c>
      <c r="G58" s="810">
        <f>C58*0.9</f>
        <v>5.13</v>
      </c>
      <c r="H58" s="812">
        <f>8/G58</f>
        <v>1.5594541910331385</v>
      </c>
      <c r="I58" s="810"/>
      <c r="J58" s="812">
        <f>F58/G58*8</f>
        <v>28.070175438596493</v>
      </c>
      <c r="K58" s="813"/>
      <c r="L58" s="812"/>
      <c r="M58" s="812"/>
      <c r="N58" s="812"/>
      <c r="O58" s="966">
        <f ca="1">E56*J58</f>
        <v>770.52631578947376</v>
      </c>
      <c r="P58" s="814">
        <f ca="1">O58*0.5</f>
        <v>385.26315789473688</v>
      </c>
      <c r="Q58" s="814">
        <f t="shared" ca="1" si="7"/>
        <v>254.27368421052634</v>
      </c>
      <c r="R58" s="815">
        <f ca="1">O58+P58+Q58</f>
        <v>1410.0631578947371</v>
      </c>
      <c r="T58" s="897">
        <f t="shared" ca="1" si="1"/>
        <v>770.52599999999995</v>
      </c>
      <c r="U58" s="893">
        <f t="shared" ca="1" si="0"/>
        <v>936.18908999999996</v>
      </c>
      <c r="V58" s="895">
        <f t="shared" si="2"/>
        <v>6</v>
      </c>
      <c r="W58" s="3">
        <f t="shared" ca="1" si="3"/>
        <v>52.010504999999995</v>
      </c>
      <c r="X58" s="882">
        <f t="shared" ca="1" si="4"/>
        <v>770.52599999999995</v>
      </c>
      <c r="Y58" s="882">
        <f t="shared" ca="1" si="5"/>
        <v>0</v>
      </c>
      <c r="AA58" t="s">
        <v>5095</v>
      </c>
      <c r="AC58" t="s">
        <v>5107</v>
      </c>
      <c r="AD58" s="3" t="str">
        <f>g&amp;Param&amp;REGPLACE(REGPLACE(Join_Range(AA58:AC58), "_{1,3}","_"), "_$","")</f>
        <v>gСуммУклад_ТВ</v>
      </c>
      <c r="AE58" s="882">
        <f t="shared" si="6"/>
        <v>-15</v>
      </c>
    </row>
    <row r="59" spans="1:31" ht="15.75" thickTop="1">
      <c r="A59" s="800" t="s">
        <v>5015</v>
      </c>
      <c r="B59" s="801"/>
      <c r="C59" s="802"/>
      <c r="D59" s="774"/>
      <c r="E59" s="801"/>
      <c r="F59" s="803"/>
      <c r="G59" s="802"/>
      <c r="H59" s="804"/>
      <c r="I59" s="802"/>
      <c r="J59" s="804"/>
      <c r="K59" s="805"/>
      <c r="L59" s="804"/>
      <c r="M59" s="804"/>
      <c r="N59" s="804"/>
      <c r="O59" s="963"/>
      <c r="P59" s="806"/>
      <c r="Q59" s="806"/>
      <c r="R59" s="117"/>
      <c r="T59" s="897">
        <f t="shared" si="1"/>
        <v>0</v>
      </c>
      <c r="U59" s="893">
        <f t="shared" si="0"/>
        <v>0</v>
      </c>
      <c r="V59" s="895">
        <f t="shared" si="2"/>
        <v>4</v>
      </c>
      <c r="X59" s="882">
        <f t="shared" si="4"/>
        <v>0</v>
      </c>
      <c r="Y59" s="882">
        <f t="shared" si="5"/>
        <v>0</v>
      </c>
      <c r="AA59"/>
      <c r="AD59" s="3" t="str">
        <f>g&amp;Param&amp;REGPLACE(REGPLACE(Join_Range(AA59:AC59), "_{1,3}","_"), "_$","")</f>
        <v>gСумм</v>
      </c>
      <c r="AE59" s="882">
        <f t="shared" si="6"/>
        <v>-15</v>
      </c>
    </row>
    <row r="60" spans="1:31" ht="15">
      <c r="A60" s="786" t="s">
        <v>41</v>
      </c>
      <c r="B60" s="35" t="s">
        <v>39</v>
      </c>
      <c r="C60" s="234">
        <f>SUMPRODUCT((СпалюванняВЗУ[Группа порід]=A60)*(СпалюванняВЗУ[[норма вироботку ]]))</f>
        <v>2.4</v>
      </c>
      <c r="D60" s="777">
        <v>3</v>
      </c>
      <c r="E60" s="844">
        <f ca="1">ROUNDUP((INDIRECT(ADDRESS(MATCH(gумДатаТарифы,Тарифи[№],0)+1,LEFT(D56,1)+2,1,1,"Тарифи"))+INDIRECT(ADDRESS(MATCH(gумДатаТарифы,Тарифи[№],0)+1,RIGHT(D56,1)+2,1,1,"Тарифи")))/2,2)</f>
        <v>27.45</v>
      </c>
      <c r="F60" s="961"/>
      <c r="G60" s="36">
        <f>C60</f>
        <v>2.4</v>
      </c>
      <c r="H60" s="38">
        <f>8/G60</f>
        <v>3.3333333333333335</v>
      </c>
      <c r="I60" s="36"/>
      <c r="J60" s="38">
        <f>F60/G60*8</f>
        <v>0</v>
      </c>
      <c r="K60" s="783"/>
      <c r="L60" s="38"/>
      <c r="M60" s="38"/>
      <c r="N60" s="38"/>
      <c r="O60" s="965">
        <f ca="1">E60*J60</f>
        <v>0</v>
      </c>
      <c r="P60" s="106">
        <f t="shared" ref="P60:P65" ca="1" si="17">O60*0.5</f>
        <v>0</v>
      </c>
      <c r="Q60" s="106">
        <f t="shared" ca="1" si="7"/>
        <v>0</v>
      </c>
      <c r="R60" s="115">
        <f ca="1">O60+P60+Q60</f>
        <v>0</v>
      </c>
      <c r="T60" s="897">
        <f t="shared" ca="1" si="1"/>
        <v>0</v>
      </c>
      <c r="U60" s="893">
        <f t="shared" ca="1" si="0"/>
        <v>0</v>
      </c>
      <c r="V60" s="895">
        <f t="shared" si="2"/>
        <v>4</v>
      </c>
      <c r="W60" s="3" t="e">
        <f t="shared" ca="1" si="3"/>
        <v>#DIV/0!</v>
      </c>
      <c r="X60" s="882">
        <f t="shared" ca="1" si="4"/>
        <v>0</v>
      </c>
      <c r="Y60" s="882">
        <f t="shared" ca="1" si="5"/>
        <v>0</v>
      </c>
      <c r="AA60" t="s">
        <v>5090</v>
      </c>
      <c r="AC60" t="s">
        <v>41</v>
      </c>
      <c r="AD60" s="3" t="str">
        <f>g&amp;Param&amp;REGPLACE(REGPLACE(Join_Range(AA60:AC60), "_{1,3}","_"), "_$","")</f>
        <v>gСуммСпал_Граб</v>
      </c>
      <c r="AE60" s="882">
        <f t="shared" si="6"/>
        <v>-15</v>
      </c>
    </row>
    <row r="61" spans="1:31" ht="15">
      <c r="A61" s="786" t="s">
        <v>71</v>
      </c>
      <c r="B61" s="35" t="s">
        <v>39</v>
      </c>
      <c r="C61" s="234">
        <f>SUMPRODUCT((СпалюванняВЗУ[Группа порід]=A61)*(СпалюванняВЗУ[[норма вироботку ]]))</f>
        <v>3.4</v>
      </c>
      <c r="D61" s="40"/>
      <c r="E61" s="777"/>
      <c r="F61" s="961"/>
      <c r="G61" s="36">
        <f>C61</f>
        <v>3.4</v>
      </c>
      <c r="H61" s="38">
        <f>8/G61</f>
        <v>2.3529411764705883</v>
      </c>
      <c r="I61" s="36"/>
      <c r="J61" s="38">
        <f>F61/G61*8</f>
        <v>0</v>
      </c>
      <c r="K61" s="783"/>
      <c r="L61" s="38"/>
      <c r="M61" s="38"/>
      <c r="N61" s="38"/>
      <c r="O61" s="965">
        <f ca="1">E60*J61</f>
        <v>0</v>
      </c>
      <c r="P61" s="106">
        <f t="shared" ca="1" si="17"/>
        <v>0</v>
      </c>
      <c r="Q61" s="106">
        <f t="shared" ca="1" si="7"/>
        <v>0</v>
      </c>
      <c r="R61" s="115">
        <f ca="1">O61+P61+Q61</f>
        <v>0</v>
      </c>
      <c r="T61" s="897">
        <f t="shared" ca="1" si="1"/>
        <v>0</v>
      </c>
      <c r="U61" s="893">
        <f t="shared" ca="1" si="0"/>
        <v>0</v>
      </c>
      <c r="V61" s="895">
        <f t="shared" si="2"/>
        <v>4</v>
      </c>
      <c r="W61" s="3" t="e">
        <f t="shared" ca="1" si="3"/>
        <v>#DIV/0!</v>
      </c>
      <c r="X61" s="882">
        <f t="shared" ca="1" si="4"/>
        <v>0</v>
      </c>
      <c r="Y61" s="882">
        <f t="shared" ca="1" si="5"/>
        <v>0</v>
      </c>
      <c r="AA61" t="s">
        <v>5090</v>
      </c>
      <c r="AC61" t="s">
        <v>5106</v>
      </c>
      <c r="AD61" s="3" t="str">
        <f>g&amp;Param&amp;REGPLACE(REGPLACE(Join_Range(AA61:AC61), "_{1,3}","_"), "_$","")</f>
        <v>gСуммСпал_МЛ</v>
      </c>
      <c r="AE61" s="882">
        <f t="shared" si="6"/>
        <v>-15</v>
      </c>
    </row>
    <row r="62" spans="1:31" ht="15">
      <c r="A62" s="786" t="s">
        <v>72</v>
      </c>
      <c r="B62" s="35" t="s">
        <v>39</v>
      </c>
      <c r="C62" s="234">
        <f>SUMPRODUCT((СпалюванняВЗУ[Группа порід]=A62)*(СпалюванняВЗУ[[норма вироботку ]]))</f>
        <v>2.4</v>
      </c>
      <c r="D62" s="777"/>
      <c r="E62" s="777"/>
      <c r="F62" s="961">
        <v>8</v>
      </c>
      <c r="G62" s="36">
        <f>C62</f>
        <v>2.4</v>
      </c>
      <c r="H62" s="38">
        <f>8/G62</f>
        <v>3.3333333333333335</v>
      </c>
      <c r="I62" s="36"/>
      <c r="J62" s="38">
        <f>F62/G62*8</f>
        <v>26.666666666666668</v>
      </c>
      <c r="K62" s="783"/>
      <c r="L62" s="38"/>
      <c r="M62" s="38"/>
      <c r="N62" s="38"/>
      <c r="O62" s="965">
        <f ca="1">E60*J62</f>
        <v>732</v>
      </c>
      <c r="P62" s="106">
        <f t="shared" ca="1" si="17"/>
        <v>366</v>
      </c>
      <c r="Q62" s="106">
        <f t="shared" ca="1" si="7"/>
        <v>241.56</v>
      </c>
      <c r="R62" s="115">
        <f ca="1">O62+P62+Q62</f>
        <v>1339.56</v>
      </c>
      <c r="T62" s="897">
        <f t="shared" ca="1" si="1"/>
        <v>732</v>
      </c>
      <c r="U62" s="893">
        <f t="shared" ca="1" si="0"/>
        <v>889.38</v>
      </c>
      <c r="V62" s="895">
        <f t="shared" si="2"/>
        <v>5</v>
      </c>
      <c r="W62" s="3">
        <f t="shared" ca="1" si="3"/>
        <v>111.1725</v>
      </c>
      <c r="X62" s="882">
        <f t="shared" ca="1" si="4"/>
        <v>732</v>
      </c>
      <c r="Y62" s="882">
        <f t="shared" ca="1" si="5"/>
        <v>0</v>
      </c>
      <c r="AA62" t="s">
        <v>5090</v>
      </c>
      <c r="AC62" t="s">
        <v>5107</v>
      </c>
      <c r="AD62" s="3" t="str">
        <f>g&amp;Param&amp;REGPLACE(REGPLACE(Join_Range(AA62:AC62), "_{1,3}","_"), "_$","")</f>
        <v>gСуммСпал_ТВ</v>
      </c>
      <c r="AE62" s="882">
        <f t="shared" si="6"/>
        <v>-15</v>
      </c>
    </row>
    <row r="63" spans="1:31">
      <c r="A63" s="775" t="s">
        <v>45</v>
      </c>
      <c r="B63" s="40"/>
      <c r="C63" s="40"/>
      <c r="D63" s="777"/>
      <c r="E63" s="777"/>
      <c r="F63" s="107">
        <f>F39+F40+F41+F42+F43+F44+F45+F46+F47+F48+F49+F50</f>
        <v>83</v>
      </c>
      <c r="G63" s="777"/>
      <c r="H63" s="777"/>
      <c r="I63" s="36">
        <f>SUM(I23:I62)</f>
        <v>67.225293338512969</v>
      </c>
      <c r="J63" s="36">
        <f>SUM(J23:J62)</f>
        <v>189.91859233687541</v>
      </c>
      <c r="K63" s="787"/>
      <c r="L63" s="234">
        <f>SUM(L23:L62)</f>
        <v>0</v>
      </c>
      <c r="M63" s="234">
        <f>SUM(M23:M62)</f>
        <v>0</v>
      </c>
      <c r="N63" s="234">
        <f>SUM(N23:N62)</f>
        <v>0</v>
      </c>
      <c r="O63" s="965">
        <f ca="1">SUM(O23:O62)</f>
        <v>5701.831016790069</v>
      </c>
      <c r="P63" s="106">
        <f t="shared" ca="1" si="17"/>
        <v>2850.9155083950345</v>
      </c>
      <c r="Q63" s="106">
        <f ca="1">SUM(Q23:Q62)</f>
        <v>1881.6042355407226</v>
      </c>
      <c r="R63" s="115">
        <f ca="1">SUM(R23:R62)</f>
        <v>10434.350760725827</v>
      </c>
      <c r="T63" s="884">
        <f ca="1">SUM(T23:T62)</f>
        <v>5701.8309999999992</v>
      </c>
      <c r="U63" s="892">
        <f ca="1">SUM(U23:U62)</f>
        <v>6927.7246699999987</v>
      </c>
      <c r="V63" s="894"/>
      <c r="X63" s="882">
        <f ca="1">SUM(X23:X62)*gККЗ</f>
        <v>6927.7246649999997</v>
      </c>
      <c r="Y63" s="882"/>
    </row>
    <row r="64" spans="1:31">
      <c r="A64" s="788" t="s">
        <v>46</v>
      </c>
      <c r="B64" s="40"/>
      <c r="C64" s="40"/>
      <c r="D64" s="777"/>
      <c r="E64" s="777"/>
      <c r="F64" s="777"/>
      <c r="G64" s="777"/>
      <c r="H64" s="777"/>
      <c r="I64" s="777"/>
      <c r="J64" s="777"/>
      <c r="K64" s="787"/>
      <c r="L64" s="777">
        <v>23.33</v>
      </c>
      <c r="M64" s="777">
        <v>26</v>
      </c>
      <c r="N64" s="777">
        <v>100</v>
      </c>
      <c r="O64" s="892"/>
      <c r="P64" s="106">
        <f t="shared" si="17"/>
        <v>0</v>
      </c>
      <c r="Q64" s="106"/>
      <c r="R64" s="115"/>
      <c r="T64" s="882">
        <f>BankersRound(O64,3)</f>
        <v>0</v>
      </c>
      <c r="U64" s="883">
        <f ca="1">U63-gSumDog</f>
        <v>-3.6330000001726148E-2</v>
      </c>
    </row>
    <row r="65" spans="1:24" ht="13.9" customHeight="1">
      <c r="A65" s="788" t="s">
        <v>47</v>
      </c>
      <c r="B65" s="40"/>
      <c r="C65" s="40"/>
      <c r="D65" s="777"/>
      <c r="E65" s="777"/>
      <c r="F65" s="777"/>
      <c r="G65" s="777"/>
      <c r="H65" s="777"/>
      <c r="I65" s="777"/>
      <c r="J65" s="777"/>
      <c r="K65" s="787"/>
      <c r="L65" s="36">
        <f>L63*L64</f>
        <v>0</v>
      </c>
      <c r="M65" s="36">
        <f>M63*M64</f>
        <v>0</v>
      </c>
      <c r="N65" s="36">
        <f>N63*N64</f>
        <v>0</v>
      </c>
      <c r="O65" s="892"/>
      <c r="P65" s="106">
        <f t="shared" si="17"/>
        <v>0</v>
      </c>
      <c r="Q65" s="106"/>
      <c r="R65" s="115">
        <f>L65+M65+N65</f>
        <v>0</v>
      </c>
      <c r="T65" s="882">
        <f>BankersRound(O65,3)</f>
        <v>0</v>
      </c>
      <c r="U65" s="883">
        <f ca="1">U63/C69</f>
        <v>83.466562289156613</v>
      </c>
    </row>
    <row r="66" spans="1:24" ht="13.5" thickBot="1">
      <c r="A66" s="789" t="s">
        <v>48</v>
      </c>
      <c r="B66" s="44"/>
      <c r="C66" s="44"/>
      <c r="D66" s="43"/>
      <c r="E66" s="43"/>
      <c r="F66" s="43"/>
      <c r="G66" s="43"/>
      <c r="H66" s="43"/>
      <c r="I66" s="43"/>
      <c r="J66" s="43"/>
      <c r="K66" s="790"/>
      <c r="L66" s="43"/>
      <c r="M66" s="43"/>
      <c r="N66" s="43"/>
      <c r="O66" s="896">
        <f ca="1">O63+O65</f>
        <v>5701.831016790069</v>
      </c>
      <c r="P66" s="791">
        <f ca="1">P63+P65</f>
        <v>2850.9155083950345</v>
      </c>
      <c r="Q66" s="791">
        <f ca="1">Q63+Q65</f>
        <v>1881.6042355407226</v>
      </c>
      <c r="R66" s="116">
        <f ca="1">R63+R65</f>
        <v>10434.350760725827</v>
      </c>
      <c r="T66" s="882"/>
      <c r="U66" s="882">
        <f ca="1">O63*gККЗ</f>
        <v>6927.7246853999341</v>
      </c>
      <c r="W66" s="898">
        <f ca="1">O63*gККЗ</f>
        <v>6927.7246853999341</v>
      </c>
      <c r="X66" s="898">
        <f ca="1">O63*gККЗ</f>
        <v>6927.7246853999341</v>
      </c>
    </row>
    <row r="67" spans="1:24" ht="14.45" customHeight="1" thickBot="1">
      <c r="A67" s="75"/>
      <c r="B67" s="73"/>
      <c r="C67" s="73"/>
      <c r="D67" s="76"/>
      <c r="E67" s="76"/>
      <c r="F67" s="77"/>
      <c r="G67" s="76"/>
      <c r="H67" s="76"/>
      <c r="I67" s="76"/>
      <c r="J67" s="78"/>
      <c r="K67" s="792"/>
      <c r="L67" s="78"/>
      <c r="M67" s="78"/>
      <c r="N67" s="78"/>
      <c r="O67" s="76"/>
      <c r="P67" s="76"/>
      <c r="Q67" s="76"/>
      <c r="R67" s="76"/>
      <c r="U67" s="883">
        <f ca="1">U66-U63</f>
        <v>1.5399935364257544E-5</v>
      </c>
      <c r="V67" s="883">
        <f>V66-V63</f>
        <v>0</v>
      </c>
      <c r="W67" s="883">
        <f ca="1">W66-W63</f>
        <v>6927.7246853999341</v>
      </c>
      <c r="X67" s="883">
        <f ca="1">X66-X63</f>
        <v>2.0399934328452218E-5</v>
      </c>
    </row>
    <row r="68" spans="1:24" ht="30" customHeight="1">
      <c r="A68" s="79"/>
      <c r="B68" s="2"/>
      <c r="C68" s="2"/>
      <c r="D68" s="1175" t="s">
        <v>50</v>
      </c>
      <c r="E68" s="1176"/>
      <c r="F68" s="1177" t="s">
        <v>51</v>
      </c>
      <c r="G68" s="1178"/>
      <c r="H68" s="1177" t="s">
        <v>52</v>
      </c>
      <c r="I68" s="1179"/>
      <c r="J68" s="1180"/>
      <c r="K68" s="793"/>
      <c r="L68" s="94"/>
      <c r="M68" s="94"/>
      <c r="N68" s="94"/>
      <c r="O68" s="76"/>
      <c r="P68" s="76"/>
      <c r="Q68" s="76"/>
      <c r="R68" s="76"/>
    </row>
    <row r="69" spans="1:24" ht="15.75">
      <c r="A69" s="80" t="s">
        <v>88</v>
      </c>
      <c r="C69" s="859">
        <f>F63</f>
        <v>83</v>
      </c>
      <c r="D69" s="1181">
        <f ca="1">(R63)/C69</f>
        <v>125.71506940633526</v>
      </c>
      <c r="E69" s="1182"/>
      <c r="F69" s="1183">
        <f ca="1">РГК_кошторис!I17</f>
        <v>83.466999999999999</v>
      </c>
      <c r="G69" s="1182"/>
      <c r="H69" s="1184">
        <f ca="1">D69-F69</f>
        <v>42.248069406335262</v>
      </c>
      <c r="I69" s="1185"/>
      <c r="J69" s="1186"/>
      <c r="K69" s="794"/>
      <c r="L69" s="795"/>
      <c r="M69" s="795"/>
      <c r="N69" s="795"/>
      <c r="O69" s="76"/>
      <c r="P69" s="76"/>
      <c r="Q69" s="76"/>
      <c r="R69" s="76"/>
    </row>
    <row r="70" spans="1:24" ht="15.75">
      <c r="A70" s="82"/>
      <c r="B70" s="2"/>
      <c r="C70" s="770"/>
      <c r="D70" s="1181"/>
      <c r="E70" s="1182"/>
      <c r="F70" s="1183"/>
      <c r="G70" s="1182"/>
      <c r="H70" s="1184"/>
      <c r="I70" s="1185"/>
      <c r="J70" s="1186"/>
      <c r="K70" s="794"/>
      <c r="L70" s="795"/>
      <c r="M70" s="795"/>
      <c r="N70" s="795"/>
      <c r="O70" s="76"/>
      <c r="P70" s="76"/>
      <c r="Q70" s="76"/>
      <c r="R70" s="76"/>
    </row>
    <row r="71" spans="1:24" ht="15.75">
      <c r="A71" s="80" t="s">
        <v>103</v>
      </c>
      <c r="C71" s="859">
        <f>C69</f>
        <v>83</v>
      </c>
      <c r="D71" s="1181">
        <f ca="1">(R23+R27+R28+R29+R31+R32+R33+R35+R36+R37+R60+R61+R62+R25)/C71</f>
        <v>64.837335587777758</v>
      </c>
      <c r="E71" s="1182"/>
      <c r="F71" s="1183">
        <f ca="1">BankersRound(((O23+O27+O28+O29+O31+O32+O33+O35+O36+O37+O60+O61+O62+O25)*1.215)/C71,3)</f>
        <v>43.048000000000002</v>
      </c>
      <c r="G71" s="1182"/>
      <c r="H71" s="1184">
        <f ca="1">D71-F71</f>
        <v>21.789335587777757</v>
      </c>
      <c r="I71" s="1185"/>
      <c r="J71" s="1186"/>
      <c r="K71" s="794"/>
      <c r="L71" s="795"/>
      <c r="M71" s="795"/>
      <c r="N71" s="795"/>
      <c r="O71" s="76"/>
      <c r="P71" s="76"/>
      <c r="Q71" s="76"/>
      <c r="R71" s="76"/>
    </row>
    <row r="72" spans="1:24" ht="15.75">
      <c r="A72" s="83"/>
      <c r="B72" s="73"/>
      <c r="C72" s="73"/>
      <c r="D72" s="84"/>
      <c r="E72" s="85"/>
      <c r="F72" s="85"/>
      <c r="G72" s="86"/>
      <c r="H72" s="76"/>
      <c r="I72" s="76"/>
      <c r="J72" s="74"/>
      <c r="K72" s="796"/>
      <c r="L72" s="74"/>
      <c r="M72" s="74"/>
      <c r="N72" s="74"/>
      <c r="O72" s="770"/>
      <c r="P72" s="770"/>
      <c r="Q72" s="88"/>
      <c r="R72" s="76"/>
    </row>
    <row r="73" spans="1:24">
      <c r="A73" s="89"/>
      <c r="B73" s="90"/>
      <c r="C73" s="90"/>
      <c r="D73" s="91"/>
      <c r="E73" s="91"/>
      <c r="F73" s="73"/>
      <c r="H73" s="92"/>
      <c r="I73" s="86"/>
      <c r="J73" s="92"/>
      <c r="K73" s="797"/>
      <c r="L73" s="92"/>
      <c r="M73" s="92"/>
      <c r="N73" s="92"/>
      <c r="O73" s="93"/>
    </row>
    <row r="74" spans="1:24">
      <c r="A74" s="83"/>
      <c r="B74" s="73"/>
      <c r="C74" s="73"/>
      <c r="D74" s="771"/>
      <c r="E74" s="771"/>
      <c r="F74" s="94"/>
      <c r="G74" s="94"/>
      <c r="H74" s="94"/>
      <c r="I74" s="94"/>
      <c r="J74" s="94"/>
      <c r="K74" s="793"/>
      <c r="L74" s="94"/>
      <c r="M74" s="94"/>
      <c r="N74" s="94"/>
      <c r="O74" s="95"/>
      <c r="P74" s="76"/>
      <c r="Q74" s="76"/>
      <c r="R74" s="76" t="s">
        <v>5342</v>
      </c>
    </row>
    <row r="75" spans="1:24">
      <c r="O75" s="3">
        <f ca="1">BankersRound(C69*F69,4)</f>
        <v>6927.7610000000004</v>
      </c>
    </row>
    <row r="76" spans="1:24">
      <c r="G76" s="3">
        <f ca="1">gVitratuSort/2</f>
        <v>41.733499999999999</v>
      </c>
    </row>
  </sheetData>
  <dataConsolidate/>
  <mergeCells count="53">
    <mergeCell ref="G18:H18"/>
    <mergeCell ref="D68:E68"/>
    <mergeCell ref="F68:G68"/>
    <mergeCell ref="H68:J68"/>
    <mergeCell ref="D71:E71"/>
    <mergeCell ref="F71:G71"/>
    <mergeCell ref="H71:J71"/>
    <mergeCell ref="D69:E69"/>
    <mergeCell ref="F69:G69"/>
    <mergeCell ref="H69:J69"/>
    <mergeCell ref="D70:E70"/>
    <mergeCell ref="F70:G70"/>
    <mergeCell ref="H70:J70"/>
    <mergeCell ref="B11:F11"/>
    <mergeCell ref="G11:H11"/>
    <mergeCell ref="I11:J11"/>
    <mergeCell ref="B13:F13"/>
    <mergeCell ref="B12:F12"/>
    <mergeCell ref="G14:H14"/>
    <mergeCell ref="G12:H12"/>
    <mergeCell ref="I8:J8"/>
    <mergeCell ref="I9:J9"/>
    <mergeCell ref="I10:J10"/>
    <mergeCell ref="I12:J12"/>
    <mergeCell ref="G13:H13"/>
    <mergeCell ref="I13:J13"/>
    <mergeCell ref="A1:F1"/>
    <mergeCell ref="B6:F6"/>
    <mergeCell ref="G2:H2"/>
    <mergeCell ref="I2:J2"/>
    <mergeCell ref="B2:F2"/>
    <mergeCell ref="P2:R2"/>
    <mergeCell ref="G5:H5"/>
    <mergeCell ref="G6:H6"/>
    <mergeCell ref="G7:H7"/>
    <mergeCell ref="B3:F3"/>
    <mergeCell ref="B4:F4"/>
    <mergeCell ref="B5:F5"/>
    <mergeCell ref="I7:J7"/>
    <mergeCell ref="B7:F7"/>
    <mergeCell ref="I3:J3"/>
    <mergeCell ref="I4:J4"/>
    <mergeCell ref="I5:J5"/>
    <mergeCell ref="I6:J6"/>
    <mergeCell ref="G3:H3"/>
    <mergeCell ref="G4:H4"/>
    <mergeCell ref="P5:R5"/>
    <mergeCell ref="B8:F8"/>
    <mergeCell ref="B9:F9"/>
    <mergeCell ref="G8:H8"/>
    <mergeCell ref="G9:H9"/>
    <mergeCell ref="G10:H10"/>
    <mergeCell ref="B10:F10"/>
  </mergeCells>
  <dataValidations count="16">
    <dataValidation type="list" allowBlank="1" showInputMessage="1" showErrorMessage="1" sqref="G5:G7">
      <formula1>Зона</formula1>
    </dataValidation>
    <dataValidation type="list" allowBlank="1" showInputMessage="1" showErrorMessage="1" sqref="A2">
      <formula1>ЛісВа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qref="J1">
      <formula1>INDIRECT("Месяца[Месяц]")</formula1>
    </dataValidation>
    <dataValidation type="list" allowBlank="1" showInputMessage="1" showErrorMessage="1" sqref="P6:P8">
      <formula1>INDIRECT("Логика[Текст]")</formula1>
    </dataValidation>
    <dataValidation type="custom" allowBlank="1" showInputMessage="1" showErrorMessage="1" errorTitle="ОШИБКА!" error="В ячейке формула!_x000d__x000a_Ввод данных запрещён!" sqref="G1:H1 O1 E31 Z6 F56:F58 T6:T8 B8:F9 Z8:Z9 T10 E56 P12 Q13 E35 E52 E39 E42 E45 E48 E27 E23:E25">
      <formula1>""</formula1>
    </dataValidation>
    <dataValidation allowBlank="1" showInputMessage="1" showErrorMessage="1" errorTitle="ОШИБКА!" error="В ячейке формула!_x000d__x000a_Ввод данных запрещён!" sqref="Z2:Z3 I5:J7 I11:J11 I3:J3 C22:C62"/>
    <dataValidation showInputMessage="1" showErrorMessage="1" errorTitle="ОШИБКА!" error="В ячейке формула!_x000d__x000a_Ввод данных запрещён!" sqref="F31:F33 F27:F29 F35:F37 F52:F54"/>
    <dataValidation type="list" allowBlank="1" showInputMessage="1" showErrorMessage="1" sqref="P13">
      <formula1>INDIRECT("ЗахаращеністьЛісосіки[ЗахаращеністьЛісосіки]")</formula1>
    </dataValidation>
    <dataValidation type="list" allowBlank="1" showInputMessage="1" showErrorMessage="1" sqref="B12:F12">
      <formula1>Підріст</formula1>
    </dataValidation>
    <dataValidation type="list" allowBlank="1" showInputMessage="1" showErrorMessage="1" sqref="P10">
      <formula1>Вирубування</formula1>
    </dataValidation>
  </dataValidations>
  <pageMargins left="0.25" right="0.25" top="0.75" bottom="0.75" header="0.3" footer="0.3"/>
  <pageSetup paperSize="9" scale="10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A1:BK61"/>
  <sheetViews>
    <sheetView tabSelected="1" workbookViewId="0">
      <selection activeCell="I6" sqref="I6:I17"/>
    </sheetView>
  </sheetViews>
  <sheetFormatPr defaultRowHeight="15"/>
  <cols>
    <col min="1" max="1" width="9.140625" style="929"/>
    <col min="3" max="5" width="8.85546875" customWidth="1"/>
    <col min="6" max="6" width="13.85546875" customWidth="1"/>
    <col min="7" max="7" width="13.140625" customWidth="1"/>
    <col min="8" max="8" width="11" customWidth="1"/>
    <col min="9" max="9" width="14.140625" customWidth="1"/>
    <col min="10" max="11" width="13.42578125" customWidth="1"/>
    <col min="12" max="12" width="24.5703125" bestFit="1" customWidth="1"/>
    <col min="13" max="13" width="62.28515625" bestFit="1" customWidth="1"/>
    <col min="14" max="19" width="13.42578125" customWidth="1"/>
    <col min="20" max="20" width="70" bestFit="1" customWidth="1"/>
    <col min="21" max="21" width="11" customWidth="1"/>
    <col min="22" max="22" width="9.7109375" customWidth="1"/>
    <col min="24" max="24" width="15.28515625" customWidth="1"/>
    <col min="25" max="25" width="10.5703125" customWidth="1"/>
    <col min="26" max="26" width="24" bestFit="1" customWidth="1"/>
    <col min="27" max="30" width="24" customWidth="1"/>
    <col min="31" max="31" width="25.28515625" customWidth="1"/>
    <col min="32" max="32" width="20.85546875" bestFit="1" customWidth="1"/>
    <col min="33" max="33" width="24" bestFit="1" customWidth="1"/>
    <col min="34" max="37" width="12.85546875" customWidth="1"/>
    <col min="38" max="38" width="19.85546875" bestFit="1" customWidth="1"/>
    <col min="39" max="47" width="12.85546875" customWidth="1"/>
    <col min="52" max="52" width="13.85546875" customWidth="1"/>
    <col min="55" max="55" width="28.5703125" customWidth="1"/>
    <col min="56" max="56" width="11" bestFit="1" customWidth="1"/>
  </cols>
  <sheetData>
    <row r="1" spans="1:63">
      <c r="A1" s="942" t="s">
        <v>5016</v>
      </c>
      <c r="B1" s="942"/>
      <c r="C1" s="942"/>
      <c r="D1" s="942"/>
      <c r="E1" s="942"/>
      <c r="F1" s="942"/>
      <c r="G1" s="942"/>
      <c r="H1" s="942" t="s">
        <v>104</v>
      </c>
      <c r="I1" s="942" t="str">
        <f>LeterSheetShablon(H1)</f>
        <v>g</v>
      </c>
      <c r="J1" s="860"/>
      <c r="K1" s="942"/>
      <c r="L1" s="942"/>
      <c r="M1" s="942"/>
      <c r="N1" s="942"/>
      <c r="O1" s="942"/>
      <c r="P1" s="942"/>
      <c r="Q1" s="942"/>
      <c r="R1" s="904"/>
      <c r="S1" s="904"/>
      <c r="T1" s="860"/>
      <c r="U1" s="881" t="s">
        <v>2172</v>
      </c>
      <c r="V1" s="881"/>
      <c r="W1" s="881"/>
      <c r="X1" s="881"/>
      <c r="Y1" s="860" t="s">
        <v>5084</v>
      </c>
      <c r="Z1" s="860"/>
      <c r="AA1" s="904"/>
      <c r="AB1" s="904"/>
      <c r="AC1" s="904"/>
      <c r="AD1" s="904"/>
      <c r="AE1" s="872"/>
      <c r="AF1" s="872"/>
      <c r="AG1" s="878"/>
      <c r="AH1" s="878"/>
      <c r="AI1" s="878"/>
      <c r="AJ1" s="878"/>
      <c r="AK1" s="878"/>
      <c r="AL1" s="878"/>
      <c r="AM1" s="878"/>
      <c r="AN1" s="878"/>
      <c r="AO1" s="878"/>
      <c r="AP1" s="878"/>
      <c r="AQ1" s="878"/>
      <c r="AR1" s="878"/>
      <c r="AS1" s="878"/>
      <c r="AT1" s="878"/>
      <c r="AU1" s="878"/>
      <c r="AV1" s="860"/>
      <c r="AW1" s="860"/>
      <c r="AX1" s="860"/>
      <c r="AY1" s="860"/>
      <c r="AZ1" s="860"/>
      <c r="BA1" s="860"/>
      <c r="BB1" s="860" t="s">
        <v>5081</v>
      </c>
      <c r="BC1" s="860"/>
      <c r="BD1" s="860"/>
      <c r="BE1" s="860"/>
      <c r="BF1" s="860"/>
      <c r="BG1" s="860"/>
      <c r="BH1" s="860"/>
      <c r="BI1" s="860"/>
      <c r="BJ1" s="860"/>
      <c r="BK1" s="860"/>
    </row>
    <row r="2" spans="1:63">
      <c r="A2" s="942" t="s">
        <v>5017</v>
      </c>
      <c r="B2" s="942"/>
      <c r="C2" s="942"/>
      <c r="D2" s="942"/>
      <c r="E2" s="942"/>
      <c r="F2" s="942"/>
      <c r="G2" s="942"/>
      <c r="H2" s="942"/>
      <c r="I2" s="942"/>
      <c r="J2" s="860"/>
      <c r="K2" s="942"/>
      <c r="L2" s="970">
        <f ca="1">(J17-J14-J15)/H13</f>
        <v>58.483180722891568</v>
      </c>
      <c r="M2" s="942">
        <f ca="1">gVitratuXlist</f>
        <v>43.048000000000002</v>
      </c>
      <c r="N2" s="942"/>
      <c r="O2" s="942"/>
      <c r="P2" s="942"/>
      <c r="Q2" s="942"/>
      <c r="R2" s="904"/>
      <c r="S2" s="904"/>
      <c r="T2" s="860"/>
      <c r="U2" s="881"/>
      <c r="V2" s="881"/>
      <c r="W2" s="881"/>
      <c r="X2" s="881"/>
      <c r="Y2" s="860"/>
      <c r="Z2" s="860" t="s">
        <v>5082</v>
      </c>
      <c r="AA2" s="904"/>
      <c r="AB2" s="904"/>
      <c r="AC2" s="904"/>
      <c r="AD2" s="904"/>
      <c r="AE2" s="860" t="s">
        <v>5083</v>
      </c>
      <c r="AF2" s="872"/>
      <c r="AG2" s="878"/>
      <c r="AH2" s="878"/>
      <c r="AI2" s="878"/>
      <c r="AJ2" s="878"/>
      <c r="AK2" s="878"/>
      <c r="AL2" s="878"/>
      <c r="AM2" s="878"/>
      <c r="AN2" s="878"/>
      <c r="AO2" s="878"/>
      <c r="AP2" s="878"/>
      <c r="AQ2" s="878"/>
      <c r="AR2" s="878"/>
      <c r="AS2" s="878"/>
      <c r="AT2" s="878"/>
      <c r="AU2" s="878"/>
      <c r="AW2" s="860"/>
      <c r="AX2" t="str">
        <f>getFormula(Y2)</f>
        <v/>
      </c>
      <c r="AY2" s="860"/>
      <c r="AZ2" s="860"/>
      <c r="BA2" s="860"/>
      <c r="BB2" s="860"/>
      <c r="BC2" s="860"/>
      <c r="BD2" s="860"/>
      <c r="BE2" s="860"/>
      <c r="BF2" s="860"/>
      <c r="BG2" s="860"/>
      <c r="BH2" s="860"/>
      <c r="BI2" s="860"/>
      <c r="BJ2" s="860"/>
      <c r="BK2" s="860"/>
    </row>
    <row r="3" spans="1:63">
      <c r="AZ3" t="str">
        <f>AQ4&amp;$Y$2</f>
        <v>g</v>
      </c>
      <c r="BA3" t="str">
        <f>AR4&amp;$Y$2</f>
        <v>m</v>
      </c>
      <c r="BB3" t="str">
        <f>AS4&amp;$Y$2</f>
        <v>d</v>
      </c>
      <c r="BD3" t="s">
        <v>5085</v>
      </c>
    </row>
    <row r="4" spans="1:63" ht="25.15" customHeight="1">
      <c r="A4" s="921" t="s">
        <v>5338</v>
      </c>
      <c r="B4" s="952" t="s">
        <v>5062</v>
      </c>
      <c r="C4" s="952"/>
      <c r="D4" s="952"/>
      <c r="E4" s="952"/>
      <c r="F4" s="952"/>
      <c r="G4" s="921" t="s">
        <v>5019</v>
      </c>
      <c r="H4" s="921" t="s">
        <v>5020</v>
      </c>
      <c r="I4" s="921" t="s">
        <v>5021</v>
      </c>
      <c r="J4" s="861" t="s">
        <v>5343</v>
      </c>
      <c r="K4" s="910"/>
      <c r="P4" s="862" t="s">
        <v>5023</v>
      </c>
      <c r="Q4" s="862" t="s">
        <v>5024</v>
      </c>
      <c r="R4" s="862"/>
      <c r="S4" s="862"/>
      <c r="T4" s="862"/>
      <c r="U4" s="862"/>
      <c r="V4" s="862"/>
      <c r="W4" s="862"/>
      <c r="X4" s="862"/>
      <c r="Y4" s="862"/>
      <c r="Z4" s="862"/>
      <c r="AA4" s="862"/>
      <c r="AB4" s="862"/>
      <c r="AC4" s="862"/>
      <c r="AD4" s="862"/>
      <c r="AE4" s="862"/>
      <c r="AF4" s="862"/>
      <c r="AG4" s="862"/>
      <c r="AH4" s="862"/>
      <c r="AI4" s="862"/>
      <c r="AJ4" s="862"/>
      <c r="AK4" s="862"/>
      <c r="AL4" s="862"/>
      <c r="AM4" s="862" t="s">
        <v>2176</v>
      </c>
      <c r="AQ4" t="s">
        <v>2172</v>
      </c>
      <c r="AR4" t="s">
        <v>2175</v>
      </c>
      <c r="AS4" t="s">
        <v>2174</v>
      </c>
      <c r="AT4" t="s">
        <v>4703</v>
      </c>
      <c r="AU4" t="str">
        <f>getReferToNamedRangeByName(AT4)</f>
        <v>=РГК!$B$3</v>
      </c>
      <c r="AV4" t="e">
        <f>Intersect_Name(AW4)</f>
        <v>#VALUE!</v>
      </c>
      <c r="AW4" t="str">
        <f>RIGHT(AU4,LEN(AU4)-1)</f>
        <v>РГК!$B$3</v>
      </c>
    </row>
    <row r="5" spans="1:63">
      <c r="A5" s="922" t="s">
        <v>5025</v>
      </c>
      <c r="B5" s="953" t="s">
        <v>5026</v>
      </c>
      <c r="C5" s="953"/>
      <c r="D5" s="953"/>
      <c r="E5" s="953"/>
      <c r="F5" s="953"/>
      <c r="G5" s="920"/>
      <c r="H5" s="920"/>
      <c r="I5" s="920"/>
      <c r="J5" s="907">
        <f ca="1">BankersRound(J6+J7+J8+J9,3)</f>
        <v>2692.2750000000001</v>
      </c>
      <c r="K5" s="913"/>
      <c r="R5" t="str">
        <f>RIGHT(getFormula(Q6),LEN(getFormula(Q6))-1)</f>
        <v>РГК!O23*gККЗ</v>
      </c>
      <c r="AQ5" s="861" t="s">
        <v>5020</v>
      </c>
      <c r="AR5" t="s">
        <v>5024</v>
      </c>
      <c r="AU5">
        <f>ROW(gCZ)</f>
        <v>8</v>
      </c>
    </row>
    <row r="6" spans="1:63" ht="27" customHeight="1">
      <c r="A6" s="920" t="s">
        <v>5027</v>
      </c>
      <c r="B6" s="954" t="s">
        <v>5028</v>
      </c>
      <c r="C6" s="954"/>
      <c r="D6" s="954"/>
      <c r="E6" s="954"/>
      <c r="F6" s="954"/>
      <c r="G6" s="920" t="s">
        <v>37</v>
      </c>
      <c r="H6" s="865">
        <f>РГК!F23</f>
        <v>0.3</v>
      </c>
      <c r="I6" s="1039">
        <f ca="1">J6/H6</f>
        <v>578.86333333333334</v>
      </c>
      <c r="J6" s="907">
        <f ca="1">BankersRound(РГК!O23*gККЗ,3)</f>
        <v>173.65899999999999</v>
      </c>
      <c r="K6" s="913"/>
      <c r="L6" t="s">
        <v>5087</v>
      </c>
      <c r="M6">
        <f t="shared" ref="M6:M16" ca="1" si="0">H6*N6</f>
        <v>173.65806500000056</v>
      </c>
      <c r="N6" s="879">
        <f ca="1">O6/H6</f>
        <v>578.86021666666852</v>
      </c>
      <c r="O6" s="879">
        <f ca="1">O17-SUM(O7:O16)</f>
        <v>173.65806500000053</v>
      </c>
      <c r="P6" s="879">
        <f ca="1">Q6/H6</f>
        <v>578.86214876033068</v>
      </c>
      <c r="Q6" s="890">
        <f ca="1">РГК!O23*gККЗ</f>
        <v>173.65864462809918</v>
      </c>
      <c r="R6" s="890" t="str">
        <f>RIGHT(getFormula(Q6),LEN(getFormula(Q6))-1)</f>
        <v>РГК!O23*gККЗ</v>
      </c>
      <c r="S6" s="890">
        <f ca="1">BankersRound(Q6,4)</f>
        <v>173.65860000000001</v>
      </c>
      <c r="T6" s="890">
        <f ca="1">BankersRound(Q6,3)</f>
        <v>173.65899999999999</v>
      </c>
      <c r="U6" s="890">
        <f ca="1">BankersRound(S6-T6,4)</f>
        <v>-4.0000000000000002E-4</v>
      </c>
      <c r="V6" s="890">
        <f ca="1">РГК!U23</f>
        <v>173.65873500000001</v>
      </c>
      <c r="W6" s="890">
        <f ca="1">V6/H6</f>
        <v>578.86245000000008</v>
      </c>
      <c r="X6" s="890">
        <f ca="1">BankersRound(H6*W6,3)</f>
        <v>173.65899999999999</v>
      </c>
      <c r="Y6" s="886">
        <f ca="1">X6-V6</f>
        <v>2.6499999998463863E-4</v>
      </c>
      <c r="Z6" s="886">
        <v>4</v>
      </c>
      <c r="AA6" s="888">
        <f t="shared" ref="AA6:AA16" si="1">LEN(TRUNC(H6))+4</f>
        <v>5</v>
      </c>
      <c r="AB6" s="888">
        <f ca="1">LEN(regex(V6/H6-TRUNC(V6/H6),".+0*$"))</f>
        <v>17</v>
      </c>
      <c r="AC6" s="889">
        <f ca="1">V6/H6-TRUNC(V6/H6)</f>
        <v>0.86245000000008076</v>
      </c>
      <c r="AD6" s="888" t="str">
        <f ca="1">regex(V6/H6-TRUNC(V6/H6),".+0*$")</f>
        <v>0,862450000000081</v>
      </c>
      <c r="AE6" s="888"/>
      <c r="AF6" s="888"/>
      <c r="AG6" s="888"/>
      <c r="AH6" s="888"/>
      <c r="AI6" s="888"/>
      <c r="AJ6" s="886">
        <f t="shared" ref="AJ6:AJ16" ca="1" si="2">V6/H6-TRUNC(V6/H6)</f>
        <v>0.86245000000008076</v>
      </c>
      <c r="AK6" s="886"/>
      <c r="AL6" s="886"/>
      <c r="AM6" t="str">
        <f>"g_K_1_1"</f>
        <v>g_K_1_1</v>
      </c>
      <c r="AN6" t="str">
        <f t="shared" ref="AN6:AN16" si="3">REPLACE(A6,2,1,"_")</f>
        <v>1_1.</v>
      </c>
      <c r="AO6" t="str">
        <f>REPLACE(AN6,4,1,"")</f>
        <v>1_1</v>
      </c>
      <c r="AQ6" t="str">
        <f t="shared" ref="AQ6:AQ16" si="4">getFormula(H6)</f>
        <v>=РГК!F23</v>
      </c>
      <c r="AR6" t="str">
        <f>getFormula(V6)</f>
        <v>=РГК!U23</v>
      </c>
      <c r="AT6" t="str">
        <f>REGPLACE(AR6,"1.215","gККЗ")</f>
        <v>=РГК!U23</v>
      </c>
      <c r="AV6" t="str">
        <f>CellReflist(V6)</f>
        <v>U23</v>
      </c>
      <c r="AW6">
        <v>84</v>
      </c>
      <c r="AX6">
        <f>19+65</f>
        <v>84</v>
      </c>
      <c r="AY6">
        <f>regex(AV6,"\d+")+65</f>
        <v>88</v>
      </c>
      <c r="AZ6" t="str">
        <f>REGPLACE(AR6,regex(AV6,"\d+"),regex(AV6,"\d+")+65)</f>
        <v>=РГК!U88</v>
      </c>
      <c r="BA6" t="str">
        <f>REGPLACE(getFormula(V6),"gКК3","1")</f>
        <v>=РГК!U23</v>
      </c>
    </row>
    <row r="7" spans="1:63" ht="24.6" customHeight="1">
      <c r="A7" s="920" t="s">
        <v>5029</v>
      </c>
      <c r="B7" s="954" t="s">
        <v>5030</v>
      </c>
      <c r="C7" s="954"/>
      <c r="D7" s="954"/>
      <c r="E7" s="954"/>
      <c r="F7" s="954"/>
      <c r="G7" s="920" t="s">
        <v>37</v>
      </c>
      <c r="H7" s="909">
        <f>РГК!F24</f>
        <v>0.3</v>
      </c>
      <c r="I7" s="1039">
        <f ca="1">J7/H7</f>
        <v>1010.66</v>
      </c>
      <c r="J7" s="907">
        <f ca="1">BankersRound(РГК!O24*gККЗ,3)</f>
        <v>303.19799999999998</v>
      </c>
      <c r="K7" s="913"/>
      <c r="L7" t="s">
        <v>5088</v>
      </c>
      <c r="M7">
        <f t="shared" ca="1" si="0"/>
        <v>303.19717500000002</v>
      </c>
      <c r="N7" s="879">
        <f ca="1">O7/H7</f>
        <v>1010.6572500000001</v>
      </c>
      <c r="O7" s="879">
        <f t="shared" ref="O7:O15" ca="1" si="5">V7</f>
        <v>303.19717500000002</v>
      </c>
      <c r="P7" s="879">
        <f ca="1">Q7/H7</f>
        <v>1010.6590909090909</v>
      </c>
      <c r="Q7" s="890">
        <f ca="1">РГК!O24*gККЗ</f>
        <v>303.19772727272726</v>
      </c>
      <c r="R7" s="890" t="str">
        <f>RIGHT(getFormula(Q7),LEN(getFormula(Q7))-1)</f>
        <v>РГК!O24*gККЗ</v>
      </c>
      <c r="S7" s="890">
        <f ca="1">BankersRound(Q7,4)</f>
        <v>303.1977</v>
      </c>
      <c r="T7" s="890">
        <f ca="1">BankersRound(Q7,3)</f>
        <v>303.19799999999998</v>
      </c>
      <c r="U7" s="890">
        <f ca="1">BankersRound(S7-T7,4)</f>
        <v>-2.9999999999999997E-4</v>
      </c>
      <c r="V7" s="890">
        <f ca="1">РГК!U24</f>
        <v>303.19717500000002</v>
      </c>
      <c r="W7" s="890">
        <f ca="1">V7/H7</f>
        <v>1010.6572500000001</v>
      </c>
      <c r="X7" s="890">
        <f ca="1">BankersRound(H7*W7,3)</f>
        <v>303.197</v>
      </c>
      <c r="Y7" s="886">
        <f ca="1">X7-V7</f>
        <v>-1.7500000001291482E-4</v>
      </c>
      <c r="Z7" s="886">
        <v>6</v>
      </c>
      <c r="AA7" s="888">
        <f t="shared" si="1"/>
        <v>5</v>
      </c>
      <c r="AB7" s="888">
        <f ca="1">LEN(V7/H7-TRUNC(V7/H7))</f>
        <v>16</v>
      </c>
      <c r="AC7" s="888"/>
      <c r="AD7" s="888"/>
      <c r="AE7" s="888"/>
      <c r="AF7" s="888"/>
      <c r="AG7" s="888"/>
      <c r="AH7" s="888"/>
      <c r="AI7" s="888"/>
      <c r="AJ7" s="886">
        <f t="shared" ca="1" si="2"/>
        <v>0.65725000000009004</v>
      </c>
      <c r="AK7" s="886"/>
      <c r="AL7" s="886"/>
      <c r="AN7" t="str">
        <f t="shared" si="3"/>
        <v>1_2.</v>
      </c>
      <c r="AO7" t="str">
        <f t="shared" ref="AO7:AO16" si="6">REPLACE(AN7,4,1,"")</f>
        <v>1_2</v>
      </c>
      <c r="AQ7" t="str">
        <f t="shared" si="4"/>
        <v>=РГК!F24</v>
      </c>
      <c r="AR7" t="str">
        <f t="shared" ref="AR7:AR16" si="7">getFormula(V7)</f>
        <v>=РГК!U24</v>
      </c>
      <c r="AT7" t="str">
        <f t="shared" ref="AT7:AT16" si="8">REGPLACE(AR7,"1.215","gККЗ")</f>
        <v>=РГК!U24</v>
      </c>
      <c r="AV7" t="str">
        <f t="shared" ref="AV7:AV16" si="9">CellReflist(V7)</f>
        <v>U24</v>
      </c>
      <c r="AY7" t="str">
        <f t="shared" ref="AY7:AY16" si="10">regex(AV7,"\d+")</f>
        <v>24</v>
      </c>
      <c r="AZ7" t="str">
        <f t="shared" ref="AZ7:AZ16" si="11">REGPLACE(AR7,regex(AV7,"\d+"),regex(AV7,"\d+")+65)</f>
        <v>=РГК!U89</v>
      </c>
    </row>
    <row r="8" spans="1:63" ht="19.149999999999999" customHeight="1">
      <c r="A8" s="920" t="s">
        <v>5031</v>
      </c>
      <c r="B8" s="954" t="s">
        <v>5032</v>
      </c>
      <c r="C8" s="954"/>
      <c r="D8" s="954"/>
      <c r="E8" s="954"/>
      <c r="F8" s="954"/>
      <c r="G8" s="920" t="s">
        <v>5033</v>
      </c>
      <c r="H8" s="1035">
        <f>РГК!F25</f>
        <v>162</v>
      </c>
      <c r="I8" s="1039">
        <f ca="1">J8/H8</f>
        <v>8.1854197530864194</v>
      </c>
      <c r="J8" s="907">
        <f ca="1">BankersRound(РГК!O25*gККЗ,3)</f>
        <v>1326.038</v>
      </c>
      <c r="K8" s="913"/>
      <c r="L8" t="s">
        <v>5089</v>
      </c>
      <c r="M8">
        <f t="shared" ca="1" si="0"/>
        <v>1326.0376349999999</v>
      </c>
      <c r="N8" s="879">
        <f ca="1">O8/H8</f>
        <v>8.1854174999999998</v>
      </c>
      <c r="O8" s="879">
        <f t="shared" ca="1" si="5"/>
        <v>1326.0376349999999</v>
      </c>
      <c r="P8" s="879">
        <f ca="1">Q8/H8</f>
        <v>8.1854181818181804</v>
      </c>
      <c r="Q8" s="890">
        <f ca="1">РГК!O25*gККЗ</f>
        <v>1326.0377454545453</v>
      </c>
      <c r="R8" s="890" t="str">
        <f>RIGHT(getFormula(Q8),LEN(getFormula(Q8))-1)</f>
        <v>РГК!O25*gККЗ</v>
      </c>
      <c r="S8" s="890">
        <f ca="1">BankersRound(Q8,4)</f>
        <v>1326.0377000000001</v>
      </c>
      <c r="T8" s="890">
        <f ca="1">BankersRound(Q8,3)</f>
        <v>1326.038</v>
      </c>
      <c r="U8" s="890">
        <f ca="1">BankersRound(S8-T8,4)</f>
        <v>-2.9999999999999997E-4</v>
      </c>
      <c r="V8" s="890">
        <f ca="1">РГК!U25</f>
        <v>1326.0376349999999</v>
      </c>
      <c r="W8" s="890">
        <f ca="1">V8/H8</f>
        <v>8.1854174999999998</v>
      </c>
      <c r="X8" s="890">
        <f ca="1">BankersRound(H8*W8,3)</f>
        <v>1326.038</v>
      </c>
      <c r="Y8" s="886">
        <f ca="1">X8-V8</f>
        <v>3.6500000010164513E-4</v>
      </c>
      <c r="Z8" s="886">
        <v>7</v>
      </c>
      <c r="AA8" s="888">
        <f t="shared" si="1"/>
        <v>7</v>
      </c>
      <c r="AB8" s="888">
        <f ca="1">LEN(V8/H8-TRUNC(V8/H8))</f>
        <v>9</v>
      </c>
      <c r="AC8" s="888"/>
      <c r="AD8" s="888"/>
      <c r="AE8" s="888"/>
      <c r="AF8" s="888"/>
      <c r="AG8" s="888"/>
      <c r="AH8" s="888"/>
      <c r="AI8" s="888"/>
      <c r="AJ8" s="886">
        <f t="shared" ca="1" si="2"/>
        <v>0.18541749999999979</v>
      </c>
      <c r="AK8" s="886"/>
      <c r="AL8" s="886"/>
      <c r="AM8">
        <v>1.865</v>
      </c>
      <c r="AN8" t="str">
        <f t="shared" si="3"/>
        <v>1_3.</v>
      </c>
      <c r="AO8" t="str">
        <f t="shared" si="6"/>
        <v>1_3</v>
      </c>
      <c r="AQ8" t="str">
        <f t="shared" si="4"/>
        <v>=РГК!F25</v>
      </c>
      <c r="AR8" t="str">
        <f t="shared" si="7"/>
        <v>=РГК!U25</v>
      </c>
      <c r="AT8" t="str">
        <f t="shared" si="8"/>
        <v>=РГК!U25</v>
      </c>
      <c r="AV8" t="str">
        <f t="shared" si="9"/>
        <v>U25</v>
      </c>
      <c r="AY8" t="str">
        <f t="shared" si="10"/>
        <v>25</v>
      </c>
      <c r="AZ8" t="str">
        <f t="shared" si="11"/>
        <v>=РГК!U90</v>
      </c>
    </row>
    <row r="9" spans="1:63" ht="18" customHeight="1">
      <c r="A9" s="920" t="s">
        <v>5034</v>
      </c>
      <c r="B9" s="954" t="s">
        <v>5035</v>
      </c>
      <c r="C9" s="954"/>
      <c r="D9" s="954"/>
      <c r="E9" s="954"/>
      <c r="F9" s="954"/>
      <c r="G9" s="920" t="s">
        <v>39</v>
      </c>
      <c r="H9" s="1035">
        <f>РГК!F60+РГК!F61+РГК!F62</f>
        <v>8</v>
      </c>
      <c r="I9" s="1039">
        <f ca="1">J9/H9</f>
        <v>111.1725</v>
      </c>
      <c r="J9" s="907">
        <f ca="1">BankersRound((РГК!O60+РГК!O61+РГК!O62)*gККЗ,3)</f>
        <v>889.38</v>
      </c>
      <c r="K9" s="913"/>
      <c r="L9" t="s">
        <v>5090</v>
      </c>
      <c r="M9">
        <f t="shared" ca="1" si="0"/>
        <v>889.38</v>
      </c>
      <c r="N9" s="879">
        <f ca="1">O9/H9</f>
        <v>111.1725</v>
      </c>
      <c r="O9" s="879">
        <f t="shared" ca="1" si="5"/>
        <v>889.38</v>
      </c>
      <c r="P9" s="879">
        <f ca="1">Q9/H9</f>
        <v>111.17250000000001</v>
      </c>
      <c r="Q9" s="890">
        <f ca="1">(РГК!O60+РГК!O61+РГК!O62)*gККЗ</f>
        <v>889.38000000000011</v>
      </c>
      <c r="R9" s="890" t="str">
        <f>RIGHT(getFormula(Q9),LEN(getFormula(Q9))-1)</f>
        <v>(РГК!O60+РГК!O61+РГК!O62)*gККЗ</v>
      </c>
      <c r="S9" s="890">
        <f ca="1">BankersRound(Q9,4)</f>
        <v>889.38</v>
      </c>
      <c r="T9" s="890">
        <f ca="1">BankersRound(Q9,3)</f>
        <v>889.38</v>
      </c>
      <c r="U9" s="890">
        <f ca="1">BankersRound(S9-T9,4)</f>
        <v>0</v>
      </c>
      <c r="V9" s="890">
        <f ca="1">(РГК!U60+РГК!U61+РГК!U62)</f>
        <v>889.38</v>
      </c>
      <c r="W9" s="890">
        <f ca="1">V9/H9</f>
        <v>111.1725</v>
      </c>
      <c r="X9" s="890">
        <f ca="1">BankersRound(H9*W9,3)</f>
        <v>889.38</v>
      </c>
      <c r="Y9" s="886">
        <f ca="1">X9-V9</f>
        <v>0</v>
      </c>
      <c r="Z9" s="886">
        <v>6</v>
      </c>
      <c r="AA9" s="888">
        <f t="shared" si="1"/>
        <v>5</v>
      </c>
      <c r="AB9" s="888">
        <f ca="1">LEN(V9/H9-TRUNC(V9/H9))</f>
        <v>17</v>
      </c>
      <c r="AC9" s="888"/>
      <c r="AD9" s="888"/>
      <c r="AE9" s="888"/>
      <c r="AF9" s="888"/>
      <c r="AG9" s="888"/>
      <c r="AH9" s="888"/>
      <c r="AI9" s="888"/>
      <c r="AJ9" s="886">
        <f t="shared" ca="1" si="2"/>
        <v>0.17249999999999943</v>
      </c>
      <c r="AK9" s="886"/>
      <c r="AL9" s="886"/>
      <c r="AN9" t="str">
        <f t="shared" si="3"/>
        <v>1_4.</v>
      </c>
      <c r="AO9" t="str">
        <f t="shared" si="6"/>
        <v>1_4</v>
      </c>
      <c r="AQ9" t="str">
        <f t="shared" si="4"/>
        <v>=РГК!F60+РГК!F61+РГК!F62</v>
      </c>
      <c r="AR9" t="str">
        <f t="shared" si="7"/>
        <v>=(РГК!U60+РГК!U61+РГК!U62)</v>
      </c>
      <c r="AT9" t="str">
        <f t="shared" si="8"/>
        <v>=(РГК!U60+РГК!U61+РГК!U62)</v>
      </c>
      <c r="AV9" t="str">
        <f t="shared" si="9"/>
        <v>U60,U61,U62</v>
      </c>
      <c r="AY9" t="str">
        <f t="shared" si="10"/>
        <v>60</v>
      </c>
      <c r="AZ9" t="str">
        <f t="shared" si="11"/>
        <v>=(РГК!U125+РГК!U61+РГК!U62)</v>
      </c>
    </row>
    <row r="10" spans="1:63" ht="15" customHeight="1">
      <c r="A10" s="922" t="s">
        <v>5036</v>
      </c>
      <c r="B10" s="955" t="s">
        <v>5037</v>
      </c>
      <c r="C10" s="955"/>
      <c r="D10" s="955"/>
      <c r="E10" s="955"/>
      <c r="F10" s="955"/>
      <c r="G10" s="1036"/>
      <c r="H10" s="1037"/>
      <c r="I10" s="1040"/>
      <c r="J10" s="907">
        <f ca="1">BankersRound(J11+J12+J13+J14+J15+J16,3)</f>
        <v>4235.4489999999996</v>
      </c>
      <c r="K10" s="913"/>
      <c r="M10">
        <f t="shared" si="0"/>
        <v>0</v>
      </c>
      <c r="N10" s="879"/>
      <c r="O10" s="879">
        <f t="shared" si="5"/>
        <v>0</v>
      </c>
      <c r="P10" s="879"/>
      <c r="Q10" s="890"/>
      <c r="R10" s="890"/>
      <c r="S10" s="890"/>
      <c r="T10" s="890"/>
      <c r="U10" s="890">
        <f ca="1">SUM(U6:U9)</f>
        <v>-1E-3</v>
      </c>
      <c r="V10" s="890"/>
      <c r="W10" s="890"/>
      <c r="X10" s="890"/>
      <c r="Y10" s="886"/>
      <c r="Z10" s="886"/>
      <c r="AA10" s="888">
        <f t="shared" si="1"/>
        <v>5</v>
      </c>
      <c r="AB10" s="888"/>
      <c r="AC10" s="888"/>
      <c r="AD10" s="888"/>
      <c r="AE10" s="888"/>
      <c r="AF10" s="888"/>
      <c r="AG10" s="888"/>
      <c r="AH10" s="888"/>
      <c r="AI10" s="888"/>
      <c r="AJ10" s="886" t="e">
        <f t="shared" si="2"/>
        <v>#DIV/0!</v>
      </c>
      <c r="AK10" s="886"/>
      <c r="AL10" s="886"/>
      <c r="AN10" t="str">
        <f t="shared" si="3"/>
        <v>2_</v>
      </c>
      <c r="AO10" t="str">
        <f t="shared" si="6"/>
        <v>2_</v>
      </c>
      <c r="AQ10" t="str">
        <f t="shared" si="4"/>
        <v/>
      </c>
      <c r="AR10" t="str">
        <f t="shared" si="7"/>
        <v/>
      </c>
      <c r="AT10" t="str">
        <f t="shared" si="8"/>
        <v/>
      </c>
      <c r="AV10">
        <f t="shared" si="9"/>
        <v>0</v>
      </c>
      <c r="AY10" t="str">
        <f t="shared" si="10"/>
        <v>0</v>
      </c>
      <c r="AZ10" t="str">
        <f t="shared" si="11"/>
        <v/>
      </c>
    </row>
    <row r="11" spans="1:63" ht="22.9" customHeight="1">
      <c r="A11" s="920" t="s">
        <v>5038</v>
      </c>
      <c r="B11" s="954" t="s">
        <v>5039</v>
      </c>
      <c r="C11" s="954"/>
      <c r="D11" s="954"/>
      <c r="E11" s="954"/>
      <c r="F11" s="954"/>
      <c r="G11" s="920" t="s">
        <v>39</v>
      </c>
      <c r="H11" s="1035">
        <f>РГК!F27+РГК!F28+РГК!F29</f>
        <v>83</v>
      </c>
      <c r="I11" s="1039">
        <f t="shared" ref="I11:I16" ca="1" si="12">J11/H11</f>
        <v>4.0454096385542169</v>
      </c>
      <c r="J11" s="907">
        <f ca="1">BankersRound((РГК!O27+РГК!O28+РГК!O29)*gККЗ,3)</f>
        <v>335.76900000000001</v>
      </c>
      <c r="K11" s="913"/>
      <c r="L11" t="s">
        <v>5091</v>
      </c>
      <c r="M11">
        <f t="shared" ca="1" si="0"/>
        <v>335.76890500000002</v>
      </c>
      <c r="N11" s="879">
        <f t="shared" ref="N11:N16" ca="1" si="13">O11/H11</f>
        <v>4.0454084939759039</v>
      </c>
      <c r="O11" s="879">
        <f t="shared" ca="1" si="5"/>
        <v>335.76890500000002</v>
      </c>
      <c r="P11" s="879">
        <f t="shared" ref="P11:P16" ca="1" si="14">Q11/H11</f>
        <v>4.04541149800077</v>
      </c>
      <c r="Q11" s="890">
        <f ca="1">(РГК!O27+РГК!O28+РГК!O29)*gККЗ</f>
        <v>335.7691543340639</v>
      </c>
      <c r="R11" s="890" t="str">
        <f t="shared" ref="R11:R16" si="15">RIGHT(getFormula(Q11),LEN(getFormula(Q11))-1)</f>
        <v>(РГК!O27+РГК!O28+РГК!O29)*gККЗ</v>
      </c>
      <c r="S11" s="890">
        <f t="shared" ref="S11:S16" ca="1" si="16">BankersRound(Q11,4)</f>
        <v>335.76920000000001</v>
      </c>
      <c r="T11" s="890">
        <f t="shared" ref="T11:T16" ca="1" si="17">BankersRound(Q11,3)</f>
        <v>335.76900000000001</v>
      </c>
      <c r="U11" s="890">
        <f t="shared" ref="U11:U16" ca="1" si="18">BankersRound(S11-T11,4)</f>
        <v>2.0000000000000001E-4</v>
      </c>
      <c r="V11" s="890">
        <f ca="1">(РГК!U27+РГК!U28+РГК!U29)</f>
        <v>335.76890500000002</v>
      </c>
      <c r="W11" s="890">
        <f t="shared" ref="W11:W16" ca="1" si="19">V11/H11</f>
        <v>4.0454084939759039</v>
      </c>
      <c r="X11" s="890">
        <f t="shared" ref="X11:X16" ca="1" si="20">BankersRound(H11*W11,3)</f>
        <v>335.76900000000001</v>
      </c>
      <c r="Y11" s="886">
        <f t="shared" ref="Y11:Y16" ca="1" si="21">X11-V11</f>
        <v>9.4999999987521733E-5</v>
      </c>
      <c r="Z11" s="886">
        <v>5</v>
      </c>
      <c r="AA11" s="888">
        <f t="shared" si="1"/>
        <v>6</v>
      </c>
      <c r="AB11" s="888">
        <f t="shared" ref="AB11:AB16" ca="1" si="22">LEN(V11/H11-TRUNC(V11/H11))</f>
        <v>18</v>
      </c>
      <c r="AC11" s="888"/>
      <c r="AD11" s="888"/>
      <c r="AE11" s="888"/>
      <c r="AF11" s="888"/>
      <c r="AG11" s="888"/>
      <c r="AH11" s="888"/>
      <c r="AI11" s="888"/>
      <c r="AJ11" s="886">
        <f t="shared" ca="1" si="2"/>
        <v>4.5408493975903852E-2</v>
      </c>
      <c r="AK11" s="886"/>
      <c r="AL11" s="886"/>
      <c r="AN11" t="str">
        <f t="shared" si="3"/>
        <v>2_1.</v>
      </c>
      <c r="AO11" t="str">
        <f t="shared" si="6"/>
        <v>2_1</v>
      </c>
      <c r="AQ11" t="str">
        <f t="shared" si="4"/>
        <v>=РГК!F27+РГК!F28+РГК!F29</v>
      </c>
      <c r="AR11" t="str">
        <f t="shared" si="7"/>
        <v>=(РГК!U27+РГК!U28+РГК!U29)</v>
      </c>
      <c r="AT11" t="str">
        <f t="shared" si="8"/>
        <v>=(РГК!U27+РГК!U28+РГК!U29)</v>
      </c>
      <c r="AV11" t="str">
        <f t="shared" si="9"/>
        <v>U27,U28,U29</v>
      </c>
      <c r="AY11" t="str">
        <f t="shared" si="10"/>
        <v>27</v>
      </c>
      <c r="AZ11" t="str">
        <f t="shared" si="11"/>
        <v>=(РГК!U92+РГК!U28+РГК!U29)</v>
      </c>
    </row>
    <row r="12" spans="1:63" ht="30" customHeight="1">
      <c r="A12" s="920" t="s">
        <v>5040</v>
      </c>
      <c r="B12" s="954" t="s">
        <v>5041</v>
      </c>
      <c r="C12" s="954"/>
      <c r="D12" s="954"/>
      <c r="E12" s="954"/>
      <c r="F12" s="954"/>
      <c r="G12" s="920" t="s">
        <v>39</v>
      </c>
      <c r="H12" s="1035">
        <f>РГК!F31+РГК!F32+РГК!F33</f>
        <v>83</v>
      </c>
      <c r="I12" s="1039">
        <f t="shared" ca="1" si="12"/>
        <v>5.2526385542168672</v>
      </c>
      <c r="J12" s="907">
        <f ca="1">BankersRound((РГК!O31+РГК!O32+РГК!O33)*gККЗ,3)</f>
        <v>435.96899999999999</v>
      </c>
      <c r="K12" s="913"/>
      <c r="L12" t="s">
        <v>5092</v>
      </c>
      <c r="M12">
        <f t="shared" ca="1" si="0"/>
        <v>435.969945</v>
      </c>
      <c r="N12" s="879">
        <f t="shared" ca="1" si="13"/>
        <v>5.2526499397590358</v>
      </c>
      <c r="O12" s="879">
        <f t="shared" ca="1" si="5"/>
        <v>435.969945</v>
      </c>
      <c r="P12" s="879">
        <f t="shared" ca="1" si="14"/>
        <v>5.2526427652198269</v>
      </c>
      <c r="Q12" s="890">
        <f ca="1">(РГК!O31+РГК!O32+РГК!O33)*gККЗ</f>
        <v>435.96934951324562</v>
      </c>
      <c r="R12" s="890" t="str">
        <f t="shared" si="15"/>
        <v>(РГК!O31+РГК!O32+РГК!O33)*gККЗ</v>
      </c>
      <c r="S12" s="890">
        <f t="shared" ca="1" si="16"/>
        <v>435.96929999999998</v>
      </c>
      <c r="T12" s="890">
        <f t="shared" ca="1" si="17"/>
        <v>435.96899999999999</v>
      </c>
      <c r="U12" s="890">
        <f t="shared" ca="1" si="18"/>
        <v>2.9999999999999997E-4</v>
      </c>
      <c r="V12" s="890">
        <f ca="1">(РГК!U31+РГК!U32+РГК!U33)</f>
        <v>435.969945</v>
      </c>
      <c r="W12" s="890">
        <f t="shared" ca="1" si="19"/>
        <v>5.2526499397590358</v>
      </c>
      <c r="X12" s="890">
        <f t="shared" ca="1" si="20"/>
        <v>435.97</v>
      </c>
      <c r="Y12" s="886">
        <f t="shared" ca="1" si="21"/>
        <v>5.5000000031668606E-5</v>
      </c>
      <c r="Z12" s="886">
        <v>7</v>
      </c>
      <c r="AA12" s="888">
        <f t="shared" si="1"/>
        <v>6</v>
      </c>
      <c r="AB12" s="888">
        <f t="shared" ca="1" si="22"/>
        <v>17</v>
      </c>
      <c r="AC12" s="888"/>
      <c r="AD12" s="888"/>
      <c r="AE12" s="888"/>
      <c r="AF12" s="888"/>
      <c r="AG12" s="888"/>
      <c r="AH12" s="888"/>
      <c r="AI12" s="888"/>
      <c r="AJ12" s="886">
        <f t="shared" ca="1" si="2"/>
        <v>0.25264993975903582</v>
      </c>
      <c r="AK12" s="886"/>
      <c r="AL12" s="886"/>
      <c r="AN12" t="str">
        <f t="shared" si="3"/>
        <v>2_2.</v>
      </c>
      <c r="AO12" t="str">
        <f t="shared" si="6"/>
        <v>2_2</v>
      </c>
      <c r="AQ12" t="str">
        <f t="shared" si="4"/>
        <v>=РГК!F31+РГК!F32+РГК!F33</v>
      </c>
      <c r="AR12" t="str">
        <f t="shared" si="7"/>
        <v>=(РГК!U31+РГК!U32+РГК!U33)</v>
      </c>
      <c r="AT12" t="str">
        <f t="shared" si="8"/>
        <v>=(РГК!U31+РГК!U32+РГК!U33)</v>
      </c>
      <c r="AV12" t="str">
        <f t="shared" si="9"/>
        <v>U31,U32,U33</v>
      </c>
      <c r="AY12" t="str">
        <f t="shared" si="10"/>
        <v>31</v>
      </c>
      <c r="AZ12" t="str">
        <f t="shared" si="11"/>
        <v>=(РГК!U96+РГК!U32+РГК!U33)</v>
      </c>
    </row>
    <row r="13" spans="1:63" ht="31.9" customHeight="1">
      <c r="A13" s="920" t="s">
        <v>5042</v>
      </c>
      <c r="B13" s="954" t="s">
        <v>5043</v>
      </c>
      <c r="C13" s="954"/>
      <c r="D13" s="954"/>
      <c r="E13" s="954"/>
      <c r="F13" s="954"/>
      <c r="G13" s="920" t="s">
        <v>39</v>
      </c>
      <c r="H13" s="1035">
        <f>РГК!F35+РГК!F36+РГК!F37</f>
        <v>83</v>
      </c>
      <c r="I13" s="1039">
        <f t="shared" ca="1" si="12"/>
        <v>4.9656265060240967</v>
      </c>
      <c r="J13" s="907">
        <f ca="1">BankersRound((РГК!O35+РГК!O36+РГК!O37)*gККЗ,3)</f>
        <v>412.14699999999999</v>
      </c>
      <c r="K13" s="913"/>
      <c r="L13" t="s">
        <v>5093</v>
      </c>
      <c r="M13">
        <f t="shared" ca="1" si="0"/>
        <v>412.14744000000002</v>
      </c>
      <c r="N13" s="879">
        <f t="shared" ca="1" si="13"/>
        <v>4.9656318072289158</v>
      </c>
      <c r="O13" s="879">
        <f t="shared" ca="1" si="5"/>
        <v>412.14744000000002</v>
      </c>
      <c r="P13" s="879">
        <f t="shared" ca="1" si="14"/>
        <v>4.965632045938726</v>
      </c>
      <c r="Q13" s="890">
        <f ca="1">(РГК!O35+РГК!O36+РГК!O37)*gККЗ</f>
        <v>412.14745981291429</v>
      </c>
      <c r="R13" s="890" t="str">
        <f t="shared" si="15"/>
        <v>(РГК!O35+РГК!O36+РГК!O37)*gККЗ</v>
      </c>
      <c r="S13" s="890">
        <f t="shared" ca="1" si="16"/>
        <v>412.14749999999998</v>
      </c>
      <c r="T13" s="890">
        <f t="shared" ca="1" si="17"/>
        <v>412.14699999999999</v>
      </c>
      <c r="U13" s="890">
        <f t="shared" ca="1" si="18"/>
        <v>5.0000000000000001E-4</v>
      </c>
      <c r="V13" s="890">
        <f ca="1">(РГК!U35+РГК!U36+РГК!U37)</f>
        <v>412.14744000000002</v>
      </c>
      <c r="W13" s="890">
        <f t="shared" ca="1" si="19"/>
        <v>4.9656318072289158</v>
      </c>
      <c r="X13" s="890">
        <f t="shared" ca="1" si="20"/>
        <v>412.14699999999999</v>
      </c>
      <c r="Y13" s="886">
        <f t="shared" ca="1" si="21"/>
        <v>-4.4000000002597517E-4</v>
      </c>
      <c r="Z13" s="886">
        <v>7</v>
      </c>
      <c r="AA13" s="888">
        <f t="shared" si="1"/>
        <v>6</v>
      </c>
      <c r="AB13" s="888">
        <f t="shared" ca="1" si="22"/>
        <v>17</v>
      </c>
      <c r="AC13" s="888"/>
      <c r="AD13" s="888"/>
      <c r="AE13" s="888"/>
      <c r="AF13" s="888"/>
      <c r="AG13" s="888"/>
      <c r="AH13" s="888"/>
      <c r="AI13" s="888"/>
      <c r="AJ13" s="886">
        <f t="shared" ca="1" si="2"/>
        <v>0.96563180722891584</v>
      </c>
      <c r="AK13" s="886"/>
      <c r="AL13" s="886"/>
      <c r="AN13" t="str">
        <f t="shared" si="3"/>
        <v>2_3.</v>
      </c>
      <c r="AO13" t="str">
        <f t="shared" si="6"/>
        <v>2_3</v>
      </c>
      <c r="AQ13" t="str">
        <f t="shared" si="4"/>
        <v>=РГК!F35+РГК!F36+РГК!F37</v>
      </c>
      <c r="AR13" t="str">
        <f t="shared" si="7"/>
        <v>=(РГК!U35+РГК!U36+РГК!U37)</v>
      </c>
      <c r="AT13" t="str">
        <f t="shared" si="8"/>
        <v>=(РГК!U35+РГК!U36+РГК!U37)</v>
      </c>
      <c r="AV13" t="str">
        <f t="shared" si="9"/>
        <v>U35,U36,U37</v>
      </c>
      <c r="AY13" t="str">
        <f t="shared" si="10"/>
        <v>35</v>
      </c>
      <c r="AZ13" t="str">
        <f t="shared" si="11"/>
        <v>=(РГК!U100+РГК!U36+РГК!U37)</v>
      </c>
    </row>
    <row r="14" spans="1:63" ht="28.15" customHeight="1">
      <c r="A14" s="920" t="s">
        <v>5044</v>
      </c>
      <c r="B14" s="954" t="s">
        <v>5045</v>
      </c>
      <c r="C14" s="954"/>
      <c r="D14" s="954"/>
      <c r="E14" s="954"/>
      <c r="F14" s="954"/>
      <c r="G14" s="920" t="s">
        <v>39</v>
      </c>
      <c r="H14" s="1035">
        <f>РГК!F39+РГК!F40+РГК!F41+РГК!F42+РГК!F43+РГК!F44+РГК!F45+РГК!F46+РГК!F47+РГК!F48+РГК!F49+РГК!F50</f>
        <v>83</v>
      </c>
      <c r="I14" s="1039">
        <f t="shared" ca="1" si="12"/>
        <v>19.762349397590363</v>
      </c>
      <c r="J14" s="907">
        <f ca="1">BankersRound((РГК!O39+РГК!O40+РГК!O41+РГК!O42+РГК!O43+РГК!O44+РГК!O45+РГК!O46+РГК!O47+РГК!O48+РГК!O49+РГК!O50)*gККЗ,3)</f>
        <v>1640.2750000000001</v>
      </c>
      <c r="K14" s="913"/>
      <c r="L14" t="s">
        <v>5096</v>
      </c>
      <c r="M14">
        <f t="shared" ca="1" si="0"/>
        <v>1640.2755050000003</v>
      </c>
      <c r="N14" s="879">
        <f t="shared" ca="1" si="13"/>
        <v>19.762355481927713</v>
      </c>
      <c r="O14" s="879">
        <f t="shared" ca="1" si="5"/>
        <v>1640.2755050000001</v>
      </c>
      <c r="P14" s="879">
        <f t="shared" ca="1" si="14"/>
        <v>19.762351193019445</v>
      </c>
      <c r="Q14" s="890">
        <f ca="1">(РГК!O39+РГК!O40+РГК!O41+РГК!O42+РГК!O43+РГК!O44+РГК!O45+РГК!O46+РГК!O47+РГК!O48+РГК!O49+РГК!O50)*gККЗ</f>
        <v>1640.275149020614</v>
      </c>
      <c r="R14" s="890" t="str">
        <f t="shared" si="15"/>
        <v>(РГК!O39+РГК!O40+РГК!O41+РГК!O42+РГК!O43+РГК!O44+РГК!O45+РГК!O46+РГК!O47+РГК!O48+РГК!O49+РГК!O50)*gККЗ</v>
      </c>
      <c r="S14" s="890">
        <f t="shared" ca="1" si="16"/>
        <v>1640.2751000000001</v>
      </c>
      <c r="T14" s="890">
        <f t="shared" ca="1" si="17"/>
        <v>1640.2750000000001</v>
      </c>
      <c r="U14" s="890">
        <f t="shared" ca="1" si="18"/>
        <v>1E-4</v>
      </c>
      <c r="V14" s="890">
        <f ca="1">(РГК!U39+РГК!U40+РГК!U41+РГК!U42+РГК!U43+РГК!U44+РГК!U45+РГК!U46+РГК!U47+РГК!U48+РГК!U49+РГК!U50)</f>
        <v>1640.2755050000001</v>
      </c>
      <c r="W14" s="890">
        <f t="shared" ca="1" si="19"/>
        <v>19.762355481927713</v>
      </c>
      <c r="X14" s="890">
        <f t="shared" ca="1" si="20"/>
        <v>1640.2760000000001</v>
      </c>
      <c r="Y14" s="886">
        <f t="shared" ca="1" si="21"/>
        <v>4.9500000000080036E-4</v>
      </c>
      <c r="Z14" s="886">
        <v>7</v>
      </c>
      <c r="AA14" s="888">
        <f t="shared" si="1"/>
        <v>6</v>
      </c>
      <c r="AB14" s="888">
        <f t="shared" ca="1" si="22"/>
        <v>17</v>
      </c>
      <c r="AC14" s="888"/>
      <c r="AD14" s="888"/>
      <c r="AE14" s="888"/>
      <c r="AF14" s="888"/>
      <c r="AG14" s="888"/>
      <c r="AH14" s="888"/>
      <c r="AI14" s="888"/>
      <c r="AJ14" s="886">
        <f t="shared" ca="1" si="2"/>
        <v>0.76235548192771319</v>
      </c>
      <c r="AK14" s="886"/>
      <c r="AL14" s="886"/>
      <c r="AN14" t="str">
        <f t="shared" si="3"/>
        <v>2_4.</v>
      </c>
      <c r="AO14" t="str">
        <f t="shared" si="6"/>
        <v>2_4</v>
      </c>
      <c r="AQ14" t="str">
        <f t="shared" si="4"/>
        <v>=РГК!F39+РГК!F40+РГК!F41+РГК!F42+РГК!F43+РГК!F44+РГК!F45+РГК!F46+РГК!F47+РГК!F48+РГК!F49+РГК!F50</v>
      </c>
      <c r="AR14" t="str">
        <f t="shared" si="7"/>
        <v>=(РГК!U39+РГК!U40+РГК!U41+РГК!U42+РГК!U43+РГК!U44+РГК!U45+РГК!U46+РГК!U47+РГК!U48+РГК!U49+РГК!U50)</v>
      </c>
      <c r="AT14" t="str">
        <f t="shared" si="8"/>
        <v>=(РГК!U39+РГК!U40+РГК!U41+РГК!U42+РГК!U43+РГК!U44+РГК!U45+РГК!U46+РГК!U47+РГК!U48+РГК!U49+РГК!U50)</v>
      </c>
      <c r="AV14" t="str">
        <f t="shared" si="9"/>
        <v>U39,U40,U41,U42,U43,U44,U45,U46,U47,U48,U49,U50</v>
      </c>
      <c r="AY14" t="str">
        <f t="shared" si="10"/>
        <v>39</v>
      </c>
      <c r="AZ14" t="str">
        <f t="shared" si="11"/>
        <v>=(РГК!U104+РГК!U40+РГК!U41+РГК!U42+РГК!U43+РГК!U44+РГК!U45+РГК!U46+РГК!U47+РГК!U48+РГК!U49+РГК!U50)</v>
      </c>
    </row>
    <row r="15" spans="1:63" ht="22.15" customHeight="1">
      <c r="A15" s="920" t="s">
        <v>5046</v>
      </c>
      <c r="B15" s="954" t="s">
        <v>5047</v>
      </c>
      <c r="C15" s="954"/>
      <c r="D15" s="954"/>
      <c r="E15" s="954"/>
      <c r="F15" s="954"/>
      <c r="G15" s="920" t="s">
        <v>39</v>
      </c>
      <c r="H15" s="1035">
        <f>РГК!F52+РГК!F53+РГК!F54</f>
        <v>83</v>
      </c>
      <c r="I15" s="1039">
        <f t="shared" ca="1" si="12"/>
        <v>5.2210240963855421</v>
      </c>
      <c r="J15" s="907">
        <f ca="1">BankersRound((РГК!O52+РГК!O53+РГК!O54)*gККЗ,3)</f>
        <v>433.34500000000003</v>
      </c>
      <c r="K15" s="913"/>
      <c r="L15" t="s">
        <v>5094</v>
      </c>
      <c r="M15">
        <f t="shared" ca="1" si="0"/>
        <v>433.34555</v>
      </c>
      <c r="N15" s="879">
        <f t="shared" ca="1" si="13"/>
        <v>5.221030722891566</v>
      </c>
      <c r="O15" s="879">
        <f t="shared" ca="1" si="5"/>
        <v>433.34555</v>
      </c>
      <c r="P15" s="879">
        <f t="shared" ca="1" si="14"/>
        <v>5.2210247241210626</v>
      </c>
      <c r="Q15" s="890">
        <f ca="1">(РГК!O52+РГК!O53+РГК!O54)*gККЗ</f>
        <v>433.34505210204821</v>
      </c>
      <c r="R15" s="890" t="str">
        <f t="shared" si="15"/>
        <v>(РГК!O52+РГК!O53+РГК!O54)*gККЗ</v>
      </c>
      <c r="S15" s="890">
        <f t="shared" ca="1" si="16"/>
        <v>433.3451</v>
      </c>
      <c r="T15" s="890">
        <f t="shared" ca="1" si="17"/>
        <v>433.34500000000003</v>
      </c>
      <c r="U15" s="890">
        <f t="shared" ca="1" si="18"/>
        <v>1E-4</v>
      </c>
      <c r="V15" s="890">
        <f ca="1">(РГК!U52+РГК!U53+РГК!U54)</f>
        <v>433.34555</v>
      </c>
      <c r="W15" s="890">
        <f t="shared" ca="1" si="19"/>
        <v>5.221030722891566</v>
      </c>
      <c r="X15" s="890">
        <f t="shared" ca="1" si="20"/>
        <v>433.346</v>
      </c>
      <c r="Y15" s="886">
        <f t="shared" ca="1" si="21"/>
        <v>4.500000000007276E-4</v>
      </c>
      <c r="Z15" s="886">
        <v>7</v>
      </c>
      <c r="AA15" s="888">
        <f t="shared" si="1"/>
        <v>6</v>
      </c>
      <c r="AB15" s="888">
        <f t="shared" ca="1" si="22"/>
        <v>17</v>
      </c>
      <c r="AC15" s="888"/>
      <c r="AD15" s="888"/>
      <c r="AE15" s="888"/>
      <c r="AF15" s="888"/>
      <c r="AG15" s="888"/>
      <c r="AH15" s="888"/>
      <c r="AI15" s="888"/>
      <c r="AJ15" s="886">
        <f t="shared" ca="1" si="2"/>
        <v>0.221030722891566</v>
      </c>
      <c r="AK15" s="886"/>
      <c r="AL15" s="886"/>
      <c r="AN15" t="str">
        <f t="shared" si="3"/>
        <v>2_5.</v>
      </c>
      <c r="AO15" t="str">
        <f t="shared" si="6"/>
        <v>2_5</v>
      </c>
      <c r="AQ15" t="str">
        <f t="shared" si="4"/>
        <v>=РГК!F52+РГК!F53+РГК!F54</v>
      </c>
      <c r="AR15" t="str">
        <f t="shared" si="7"/>
        <v>=(РГК!U52+РГК!U53+РГК!U54)</v>
      </c>
      <c r="AT15" t="str">
        <f t="shared" si="8"/>
        <v>=(РГК!U52+РГК!U53+РГК!U54)</v>
      </c>
      <c r="AV15" t="str">
        <f t="shared" si="9"/>
        <v>U52,U53,U54</v>
      </c>
      <c r="AY15" t="str">
        <f t="shared" si="10"/>
        <v>52</v>
      </c>
      <c r="AZ15" t="str">
        <f t="shared" si="11"/>
        <v>=(РГК!U117+РГК!U53+РГК!U54)</v>
      </c>
    </row>
    <row r="16" spans="1:63" ht="19.149999999999999" customHeight="1">
      <c r="A16" s="920" t="s">
        <v>5048</v>
      </c>
      <c r="B16" s="954" t="s">
        <v>5049</v>
      </c>
      <c r="C16" s="954"/>
      <c r="D16" s="954"/>
      <c r="E16" s="954"/>
      <c r="F16" s="954"/>
      <c r="G16" s="920" t="s">
        <v>39</v>
      </c>
      <c r="H16" s="1035">
        <f>РГК!F56+РГК!F57+РГК!F58</f>
        <v>19</v>
      </c>
      <c r="I16" s="1039">
        <f t="shared" ca="1" si="12"/>
        <v>51.470736842105261</v>
      </c>
      <c r="J16" s="907">
        <f ca="1">BankersRound((РГК!O56+РГК!O57+РГК!O58)*gККЗ,3)</f>
        <v>977.94399999999996</v>
      </c>
      <c r="K16" s="913"/>
      <c r="L16" t="s">
        <v>5095</v>
      </c>
      <c r="M16">
        <f t="shared" ca="1" si="0"/>
        <v>977.94378000000006</v>
      </c>
      <c r="N16" s="879">
        <f t="shared" ca="1" si="13"/>
        <v>51.470725263157895</v>
      </c>
      <c r="O16" s="879">
        <f ca="1">V16</f>
        <v>977.94377999999995</v>
      </c>
      <c r="P16" s="879">
        <f t="shared" ca="1" si="14"/>
        <v>51.470758066403974</v>
      </c>
      <c r="Q16" s="890">
        <f ca="1">(РГК!O56+РГК!O57+РГК!O58)*gККЗ</f>
        <v>977.94440326167546</v>
      </c>
      <c r="R16" s="890" t="str">
        <f t="shared" si="15"/>
        <v>(РГК!O56+РГК!O57+РГК!O58)*gККЗ</v>
      </c>
      <c r="S16" s="890">
        <f t="shared" ca="1" si="16"/>
        <v>977.94439999999997</v>
      </c>
      <c r="T16" s="890">
        <f t="shared" ca="1" si="17"/>
        <v>977.94399999999996</v>
      </c>
      <c r="U16" s="890">
        <f t="shared" ca="1" si="18"/>
        <v>4.0000000000000002E-4</v>
      </c>
      <c r="V16" s="890">
        <f ca="1">(РГК!U56+РГК!U57+РГК!U58)</f>
        <v>977.94377999999995</v>
      </c>
      <c r="W16" s="890">
        <f t="shared" ca="1" si="19"/>
        <v>51.470725263157895</v>
      </c>
      <c r="X16" s="890">
        <f t="shared" ca="1" si="20"/>
        <v>977.94399999999996</v>
      </c>
      <c r="Y16" s="886">
        <f t="shared" ca="1" si="21"/>
        <v>2.2000000001298758E-4</v>
      </c>
      <c r="Z16" s="886">
        <v>6</v>
      </c>
      <c r="AA16" s="888">
        <f t="shared" si="1"/>
        <v>6</v>
      </c>
      <c r="AB16" s="888">
        <f t="shared" ca="1" si="22"/>
        <v>17</v>
      </c>
      <c r="AC16" s="888"/>
      <c r="AD16" s="888"/>
      <c r="AE16" s="888"/>
      <c r="AF16" s="888"/>
      <c r="AG16" s="888"/>
      <c r="AH16" s="888"/>
      <c r="AI16" s="888"/>
      <c r="AJ16" s="886">
        <f t="shared" ca="1" si="2"/>
        <v>0.47072526315789531</v>
      </c>
      <c r="AK16" s="886"/>
      <c r="AL16" s="886"/>
      <c r="AN16" t="str">
        <f t="shared" si="3"/>
        <v>2_6.</v>
      </c>
      <c r="AO16" t="str">
        <f t="shared" si="6"/>
        <v>2_6</v>
      </c>
      <c r="AQ16" t="str">
        <f t="shared" si="4"/>
        <v>=РГК!F56+РГК!F57+РГК!F58</v>
      </c>
      <c r="AR16" t="str">
        <f t="shared" si="7"/>
        <v>=(РГК!U56+РГК!U57+РГК!U58)</v>
      </c>
      <c r="AT16" t="str">
        <f t="shared" si="8"/>
        <v>=(РГК!U56+РГК!U57+РГК!U58)</v>
      </c>
      <c r="AV16" t="str">
        <f t="shared" si="9"/>
        <v>U56,U57,U58</v>
      </c>
      <c r="AY16" t="str">
        <f t="shared" si="10"/>
        <v>56</v>
      </c>
      <c r="AZ16" t="str">
        <f t="shared" si="11"/>
        <v>=(РГК!U121+РГК!U57+РГК!U58)</v>
      </c>
    </row>
    <row r="17" spans="1:56" ht="25.5" customHeight="1">
      <c r="A17" s="956" t="s">
        <v>5050</v>
      </c>
      <c r="B17" s="957"/>
      <c r="C17" s="957"/>
      <c r="D17" s="957"/>
      <c r="E17" s="957"/>
      <c r="F17" s="957"/>
      <c r="G17" s="957"/>
      <c r="H17" s="957"/>
      <c r="I17" s="1041">
        <f ca="1">BankersRound(J17/H11,3)</f>
        <v>83.466999999999999</v>
      </c>
      <c r="J17" s="908">
        <f ca="1">BankersRound(J10+J5,3)</f>
        <v>6927.7240000000002</v>
      </c>
      <c r="K17" s="950"/>
      <c r="N17" s="879">
        <f ca="1">O17/H15</f>
        <v>83.466554216867465</v>
      </c>
      <c r="O17" s="885">
        <f ca="1">Q19</f>
        <v>6927.7240000000002</v>
      </c>
      <c r="Q17" s="890">
        <f ca="1">Q6+Q7+Q8+Q9+Q11+Q12+Q13+Q14+Q15+Q16</f>
        <v>6927.7246853999341</v>
      </c>
      <c r="R17" s="890"/>
      <c r="S17" s="890"/>
      <c r="T17" s="890"/>
      <c r="U17" s="890">
        <f ca="1">SUM(U11:U16)</f>
        <v>1.6000000000000001E-3</v>
      </c>
      <c r="V17" s="890">
        <f ca="1">V6+V7+V8+V9+V11+V12+V13+V14+V15+V16</f>
        <v>6927.7246699999996</v>
      </c>
      <c r="W17" s="890">
        <f ca="1">X17/H11</f>
        <v>83.466578313252995</v>
      </c>
      <c r="X17" s="890">
        <f ca="1">X6+X7+X8+X9+X11+X12+X13+X14+X15+X16</f>
        <v>6927.7259999999987</v>
      </c>
      <c r="Y17" s="885"/>
      <c r="Z17" s="885"/>
      <c r="AA17" s="885"/>
      <c r="AB17" s="885"/>
      <c r="AC17" s="885"/>
      <c r="AD17" s="885"/>
      <c r="AE17" s="885"/>
      <c r="AF17" s="885"/>
      <c r="AG17" s="885"/>
      <c r="AH17" s="885"/>
      <c r="AI17" s="885"/>
      <c r="AJ17" s="885"/>
      <c r="AK17" s="885"/>
      <c r="AL17" s="885"/>
    </row>
    <row r="18" spans="1:56">
      <c r="A18" s="956" t="s">
        <v>5051</v>
      </c>
      <c r="B18" s="957"/>
      <c r="C18" s="957"/>
      <c r="D18" s="957"/>
      <c r="E18" s="957"/>
      <c r="F18" s="957"/>
      <c r="G18" s="957"/>
      <c r="H18" s="957"/>
      <c r="I18" s="923"/>
      <c r="J18" s="908">
        <v>0</v>
      </c>
      <c r="K18" s="951"/>
      <c r="Q18" s="886">
        <f ca="1">РГК!O66*gККЗ</f>
        <v>6927.7246853999341</v>
      </c>
      <c r="R18" s="886"/>
      <c r="S18" s="886"/>
      <c r="T18" s="886"/>
      <c r="U18" s="886"/>
      <c r="V18" s="887">
        <f ca="1">РГК!U63</f>
        <v>6927.7246699999987</v>
      </c>
      <c r="W18" s="887"/>
      <c r="X18" s="891">
        <f ca="1">РГК!U63</f>
        <v>6927.7246699999987</v>
      </c>
      <c r="Y18" s="885"/>
      <c r="Z18" s="885"/>
      <c r="AA18" s="885"/>
      <c r="AB18" s="885"/>
      <c r="AC18" s="885"/>
      <c r="AD18" s="885"/>
      <c r="AE18" s="885"/>
      <c r="AF18" s="885"/>
      <c r="AG18" s="885"/>
      <c r="AH18" s="885"/>
      <c r="AI18" s="885"/>
      <c r="AJ18" s="885"/>
      <c r="AK18" s="885"/>
      <c r="AL18" s="885"/>
      <c r="AS18">
        <f ca="1">(РГК!O60+РГК!O61+РГК!O62+РГК!O62)*1.215</f>
        <v>1778.7600000000002</v>
      </c>
      <c r="AT18">
        <f ca="1">РГК!O23*1.215</f>
        <v>173.65864462809918</v>
      </c>
      <c r="AU18" t="e">
        <f>(РГК!#REF!+РГК!#REF!+РГК!#REF!)*1.215</f>
        <v>#REF!</v>
      </c>
    </row>
    <row r="19" spans="1:56">
      <c r="A19" s="956" t="s">
        <v>5052</v>
      </c>
      <c r="B19" s="957"/>
      <c r="C19" s="957"/>
      <c r="D19" s="957"/>
      <c r="E19" s="957"/>
      <c r="F19" s="957"/>
      <c r="G19" s="957"/>
      <c r="H19" s="957"/>
      <c r="I19" s="923"/>
      <c r="J19" s="908">
        <f ca="1">J17+J18</f>
        <v>6927.7240000000002</v>
      </c>
      <c r="K19" s="951"/>
      <c r="O19">
        <v>103605.16</v>
      </c>
      <c r="Q19" s="885">
        <f ca="1">J19</f>
        <v>6927.7240000000002</v>
      </c>
      <c r="R19" s="885"/>
      <c r="S19" s="885"/>
      <c r="T19" s="885"/>
      <c r="U19" s="885"/>
      <c r="V19" s="891">
        <f ca="1">J19</f>
        <v>6927.7240000000002</v>
      </c>
      <c r="W19" s="891">
        <f>P19</f>
        <v>0</v>
      </c>
      <c r="X19" s="891">
        <f ca="1">Q19</f>
        <v>6927.7240000000002</v>
      </c>
      <c r="Y19" s="885"/>
      <c r="Z19" s="885"/>
      <c r="AA19" s="885"/>
      <c r="AB19" s="885"/>
      <c r="AC19" s="885"/>
      <c r="AD19" s="885"/>
      <c r="AE19" s="885"/>
      <c r="AF19" s="885"/>
      <c r="AG19" s="885"/>
      <c r="AH19" s="885"/>
      <c r="AI19" s="885"/>
      <c r="AJ19" s="885"/>
      <c r="AK19" s="885"/>
      <c r="AL19" s="885"/>
    </row>
    <row r="20" spans="1:56" ht="25.9" customHeight="1">
      <c r="A20" s="924" t="s">
        <v>5053</v>
      </c>
      <c r="B20" s="958" t="s">
        <v>5054</v>
      </c>
      <c r="C20" s="958"/>
      <c r="D20" s="958"/>
      <c r="E20" s="958"/>
      <c r="F20" s="958"/>
      <c r="G20" s="1038"/>
      <c r="H20" s="958"/>
      <c r="I20" s="864"/>
      <c r="J20" s="865" t="s">
        <v>5055</v>
      </c>
      <c r="K20" s="911"/>
      <c r="Q20" s="886">
        <f ca="1">Q17-Q18</f>
        <v>0</v>
      </c>
      <c r="R20" s="886"/>
      <c r="S20" s="886"/>
      <c r="T20" s="886"/>
      <c r="U20" s="886"/>
      <c r="V20" s="886">
        <f ca="1">V17-V18</f>
        <v>0</v>
      </c>
      <c r="W20" s="887">
        <f ca="1">W17-W18</f>
        <v>83.466578313252995</v>
      </c>
      <c r="X20" s="887">
        <f ca="1">X17-X18</f>
        <v>1.3300000000526779E-3</v>
      </c>
      <c r="AM20" t="str">
        <f>getNamedRangeByAddress(Z22)</f>
        <v>'[Техкарта 2019 20181218_v.xlsm]РГК'!$B$3</v>
      </c>
      <c r="AQ20" t="str">
        <f>Intersect_Name(Z22)</f>
        <v>gHeader</v>
      </c>
      <c r="AU20" s="474" t="e">
        <f>РГК!#REF!*1.215</f>
        <v>#REF!</v>
      </c>
    </row>
    <row r="21" spans="1:56">
      <c r="A21" s="959" t="s">
        <v>5056</v>
      </c>
      <c r="B21" s="960"/>
      <c r="C21" s="960"/>
      <c r="D21" s="960"/>
      <c r="E21" s="960"/>
      <c r="F21" s="960"/>
      <c r="G21" s="960"/>
      <c r="H21" s="960"/>
      <c r="I21" s="866"/>
      <c r="J21" s="866" t="s">
        <v>5055</v>
      </c>
      <c r="K21" s="912"/>
      <c r="Q21" s="886">
        <f ca="1">Q18-Q19</f>
        <v>6.8539993390004383E-4</v>
      </c>
      <c r="R21" s="886"/>
      <c r="S21" s="886"/>
      <c r="T21" s="886"/>
      <c r="U21" s="886"/>
      <c r="V21" s="886">
        <f ca="1">V18-V19</f>
        <v>6.6999999853578629E-4</v>
      </c>
      <c r="W21" s="886">
        <f>W18-W19</f>
        <v>0</v>
      </c>
      <c r="X21" s="886">
        <f ca="1">X17-X19</f>
        <v>1.9999999985884642E-3</v>
      </c>
      <c r="AM21" t="str">
        <f>CellParentName()</f>
        <v>РГК_кошторис</v>
      </c>
      <c r="AS21" t="e">
        <f>(РГК!#REF!+РГК!#REF!+РГК!#REF!)*1.215</f>
        <v>#REF!</v>
      </c>
      <c r="AU21" s="474" t="e">
        <f>РГК!#REF!*1.215</f>
        <v>#REF!</v>
      </c>
    </row>
    <row r="22" spans="1:56">
      <c r="A22" s="959" t="s">
        <v>5051</v>
      </c>
      <c r="B22" s="960"/>
      <c r="C22" s="960"/>
      <c r="D22" s="960"/>
      <c r="E22" s="960"/>
      <c r="F22" s="960"/>
      <c r="G22" s="960"/>
      <c r="H22" s="960"/>
      <c r="I22" s="866"/>
      <c r="J22" s="866" t="s">
        <v>5055</v>
      </c>
      <c r="K22" s="912"/>
      <c r="L22" s="910" t="str">
        <f t="shared" ref="L22:L23" si="23">A22</f>
        <v>ПДВ</v>
      </c>
      <c r="M22" s="912"/>
      <c r="N22" s="912"/>
      <c r="O22" s="912"/>
      <c r="P22" s="912"/>
      <c r="Q22" s="912"/>
      <c r="R22" s="912"/>
      <c r="S22" s="912"/>
      <c r="Z22" t="s">
        <v>5086</v>
      </c>
      <c r="BD22" s="474" t="e">
        <f>РГК!#REF!*1.215</f>
        <v>#REF!</v>
      </c>
    </row>
    <row r="23" spans="1:56">
      <c r="A23" s="959" t="s">
        <v>5057</v>
      </c>
      <c r="B23" s="960"/>
      <c r="C23" s="960"/>
      <c r="D23" s="960"/>
      <c r="E23" s="960"/>
      <c r="F23" s="960"/>
      <c r="G23" s="960"/>
      <c r="H23" s="960"/>
      <c r="I23" s="866"/>
      <c r="J23" s="866" t="s">
        <v>5055</v>
      </c>
      <c r="K23" s="912"/>
      <c r="L23" s="910" t="str">
        <f t="shared" si="23"/>
        <v>Всього з ПДВ трелювання</v>
      </c>
      <c r="M23" s="912"/>
      <c r="N23" s="912"/>
      <c r="O23" s="912"/>
      <c r="P23" s="912"/>
      <c r="Q23" s="912"/>
      <c r="R23" s="912"/>
      <c r="S23" s="912"/>
      <c r="Z23" t="str">
        <f>CellAddress()</f>
        <v>$Z$23</v>
      </c>
      <c r="AH23" s="880"/>
      <c r="AI23" s="880"/>
      <c r="AJ23" s="880"/>
      <c r="AK23" s="880"/>
      <c r="AL23" s="880"/>
      <c r="AM23" s="880"/>
      <c r="AN23" s="880"/>
      <c r="AO23" s="880"/>
      <c r="AP23" s="880"/>
      <c r="AQ23" s="880"/>
      <c r="AR23" s="880"/>
      <c r="AS23" s="880"/>
      <c r="AT23" s="880"/>
      <c r="AU23" s="880"/>
      <c r="BD23" s="474">
        <f>(РГК!AA74+РГК!AA75+РГК!AA76)*1.215</f>
        <v>0</v>
      </c>
    </row>
    <row r="24" spans="1:56">
      <c r="AH24" s="880"/>
      <c r="AI24" s="880"/>
      <c r="AJ24" s="880"/>
      <c r="AK24" s="880"/>
      <c r="AL24" s="880"/>
      <c r="AM24" s="880"/>
      <c r="AN24" s="880"/>
      <c r="AO24" s="880"/>
      <c r="AP24" s="880"/>
      <c r="AQ24" s="880"/>
      <c r="AR24" s="880"/>
      <c r="AS24" s="880"/>
      <c r="AT24" s="880"/>
      <c r="AU24" s="880"/>
    </row>
    <row r="25" spans="1:56">
      <c r="Z25" s="863"/>
      <c r="AA25" s="880"/>
      <c r="AB25" s="880"/>
      <c r="AC25" s="880"/>
      <c r="AD25" s="880"/>
      <c r="AE25" s="880"/>
      <c r="AF25" s="880"/>
      <c r="AG25" s="880"/>
      <c r="AH25" s="880"/>
      <c r="AI25" s="880"/>
      <c r="AJ25" s="880"/>
      <c r="AK25" s="880"/>
      <c r="AL25" s="880"/>
      <c r="AM25" s="880"/>
      <c r="AN25" s="880"/>
      <c r="AO25" s="880"/>
      <c r="AP25" s="880"/>
      <c r="AQ25" s="880"/>
      <c r="AR25" s="880"/>
      <c r="AS25" s="880"/>
      <c r="AT25" s="880"/>
      <c r="AU25" s="880"/>
    </row>
    <row r="26" spans="1:56" ht="15.75">
      <c r="A26" s="926" t="s">
        <v>5058</v>
      </c>
      <c r="B26" s="926"/>
      <c r="C26" s="926"/>
      <c r="D26" s="926"/>
      <c r="E26" s="926"/>
      <c r="F26" s="926"/>
      <c r="G26" s="926"/>
      <c r="H26" s="926"/>
      <c r="Z26" s="863"/>
      <c r="AA26" s="880"/>
      <c r="AB26" s="880"/>
      <c r="AC26" s="880"/>
      <c r="AD26" s="880"/>
      <c r="AE26" s="880"/>
      <c r="AF26" s="880"/>
      <c r="AG26" s="880"/>
      <c r="AH26" s="880"/>
      <c r="AI26" s="880"/>
      <c r="AJ26" s="880"/>
      <c r="AK26" s="880"/>
      <c r="AL26" s="880"/>
      <c r="AM26" s="880"/>
      <c r="AN26" s="880"/>
      <c r="AO26" s="880"/>
      <c r="AP26" s="880"/>
      <c r="AQ26" s="880"/>
      <c r="AR26" s="880"/>
      <c r="AS26" s="880"/>
      <c r="AT26" s="880"/>
      <c r="AU26" s="880"/>
    </row>
    <row r="27" spans="1:56">
      <c r="A27" s="927" t="s">
        <v>5059</v>
      </c>
      <c r="B27" s="927"/>
      <c r="C27" s="927"/>
      <c r="D27" s="927"/>
      <c r="E27" s="927"/>
      <c r="F27" s="927"/>
      <c r="G27" s="927"/>
      <c r="H27" s="927"/>
      <c r="Z27" s="863"/>
      <c r="AA27" s="880"/>
      <c r="AB27" s="880"/>
      <c r="AC27" s="880"/>
      <c r="AD27" s="880"/>
      <c r="AE27" s="880"/>
      <c r="AF27" s="880"/>
      <c r="AG27" s="880"/>
    </row>
    <row r="28" spans="1:56">
      <c r="A28" s="928"/>
      <c r="B28" s="928"/>
      <c r="C28" s="928"/>
      <c r="D28" s="928"/>
      <c r="E28" s="928"/>
      <c r="F28" s="928"/>
      <c r="G28" s="928"/>
      <c r="H28" s="928"/>
      <c r="Z28" s="863"/>
      <c r="AA28" s="880"/>
      <c r="AB28" s="880"/>
      <c r="AC28" s="880"/>
      <c r="AD28" s="880"/>
      <c r="AE28" s="880"/>
      <c r="AF28" s="880"/>
      <c r="AG28" s="880"/>
    </row>
    <row r="29" spans="1:56">
      <c r="A29" s="928" t="s">
        <v>54</v>
      </c>
      <c r="B29" s="929"/>
      <c r="C29" s="929"/>
      <c r="D29" s="929"/>
      <c r="E29" s="930"/>
      <c r="F29" s="930"/>
      <c r="G29" s="930"/>
      <c r="H29" s="930"/>
    </row>
    <row r="30" spans="1:56">
      <c r="A30" s="928" t="s">
        <v>5060</v>
      </c>
      <c r="B30" s="928"/>
      <c r="C30" s="930">
        <v>0</v>
      </c>
      <c r="D30" s="930"/>
      <c r="E30" s="931"/>
      <c r="F30" s="931"/>
      <c r="G30" s="867"/>
      <c r="H30" s="930"/>
    </row>
    <row r="31" spans="1:56">
      <c r="A31" s="928" t="s">
        <v>5061</v>
      </c>
      <c r="B31" s="928"/>
      <c r="C31" s="928"/>
      <c r="D31" s="928"/>
      <c r="E31" s="867"/>
      <c r="F31" s="930"/>
      <c r="G31" s="930"/>
      <c r="H31" s="868"/>
    </row>
    <row r="32" spans="1:56">
      <c r="A32" s="928"/>
      <c r="B32" s="928"/>
      <c r="C32" s="928"/>
      <c r="D32" s="928"/>
      <c r="E32" s="928"/>
      <c r="F32" s="928"/>
      <c r="G32" s="928"/>
      <c r="H32" s="928"/>
    </row>
    <row r="33" spans="1:22" ht="25.5">
      <c r="A33" s="925" t="s">
        <v>5018</v>
      </c>
      <c r="B33" s="975" t="s">
        <v>5062</v>
      </c>
      <c r="C33" s="975"/>
      <c r="D33" s="975"/>
      <c r="E33" s="925" t="s">
        <v>5019</v>
      </c>
      <c r="F33" s="925" t="s">
        <v>5020</v>
      </c>
      <c r="G33" s="925" t="s">
        <v>5021</v>
      </c>
      <c r="H33" s="925" t="s">
        <v>5022</v>
      </c>
    </row>
    <row r="34" spans="1:22" ht="32.450000000000003" customHeight="1">
      <c r="A34" s="932" t="s">
        <v>5025</v>
      </c>
      <c r="B34" s="979" t="s">
        <v>5026</v>
      </c>
      <c r="C34" s="979"/>
      <c r="D34" s="979"/>
      <c r="E34" s="933" t="s">
        <v>39</v>
      </c>
      <c r="F34" s="935">
        <f>H11</f>
        <v>83</v>
      </c>
      <c r="G34" s="936">
        <f ca="1">+(H34+H35)/F34</f>
        <v>83.466554216867465</v>
      </c>
      <c r="H34" s="915">
        <f ca="1">J5</f>
        <v>2692.2750000000001</v>
      </c>
    </row>
    <row r="35" spans="1:22">
      <c r="A35" s="938" t="s">
        <v>5036</v>
      </c>
      <c r="B35" s="978" t="s">
        <v>5037</v>
      </c>
      <c r="C35" s="978"/>
      <c r="D35" s="978"/>
      <c r="E35" s="934"/>
      <c r="F35" s="934"/>
      <c r="G35" s="937"/>
      <c r="H35" s="915">
        <f ca="1">J10</f>
        <v>4235.4489999999996</v>
      </c>
    </row>
    <row r="36" spans="1:22">
      <c r="A36" s="976" t="s">
        <v>5050</v>
      </c>
      <c r="B36" s="977"/>
      <c r="C36" s="977"/>
      <c r="D36" s="977"/>
      <c r="E36" s="977"/>
      <c r="F36" s="977"/>
      <c r="G36" s="870">
        <f ca="1">+H36/F34</f>
        <v>83.466554216867465</v>
      </c>
      <c r="H36" s="914">
        <f ca="1">+H34+H35</f>
        <v>6927.7240000000002</v>
      </c>
    </row>
    <row r="37" spans="1:22">
      <c r="A37" s="976" t="s">
        <v>5051</v>
      </c>
      <c r="B37" s="977"/>
      <c r="C37" s="977"/>
      <c r="D37" s="977"/>
      <c r="E37" s="977"/>
      <c r="F37" s="977"/>
      <c r="G37" s="870"/>
      <c r="H37" s="870"/>
    </row>
    <row r="38" spans="1:22">
      <c r="A38" s="976" t="s">
        <v>5052</v>
      </c>
      <c r="B38" s="977"/>
      <c r="C38" s="977"/>
      <c r="D38" s="977"/>
      <c r="E38" s="977"/>
      <c r="F38" s="977"/>
      <c r="G38" s="870">
        <f ca="1">+G37+G36</f>
        <v>83.466554216867465</v>
      </c>
      <c r="H38" s="914">
        <f ca="1">+H37+H36</f>
        <v>6927.7240000000002</v>
      </c>
    </row>
    <row r="39" spans="1:22" ht="31.15" customHeight="1">
      <c r="A39" s="938" t="s">
        <v>5053</v>
      </c>
      <c r="B39" s="978" t="s">
        <v>5063</v>
      </c>
      <c r="C39" s="978"/>
      <c r="D39" s="978"/>
      <c r="E39" s="871" t="s">
        <v>39</v>
      </c>
      <c r="F39" s="871"/>
      <c r="G39" s="869">
        <v>0</v>
      </c>
      <c r="H39" s="869">
        <v>0</v>
      </c>
    </row>
    <row r="40" spans="1:22">
      <c r="A40" s="976" t="s">
        <v>5056</v>
      </c>
      <c r="B40" s="977"/>
      <c r="C40" s="977"/>
      <c r="D40" s="977"/>
      <c r="E40" s="977"/>
      <c r="F40" s="977"/>
      <c r="G40" s="870"/>
      <c r="H40" s="870">
        <f>+H39</f>
        <v>0</v>
      </c>
    </row>
    <row r="41" spans="1:22">
      <c r="A41" s="940" t="s">
        <v>5051</v>
      </c>
      <c r="B41" s="941"/>
      <c r="C41" s="941"/>
      <c r="D41" s="941"/>
      <c r="E41" s="941"/>
      <c r="F41" s="941"/>
      <c r="G41" s="870"/>
      <c r="H41" s="870"/>
    </row>
    <row r="42" spans="1:22" ht="54">
      <c r="A42" s="940" t="s">
        <v>5057</v>
      </c>
      <c r="B42" s="941"/>
      <c r="C42" s="941"/>
      <c r="D42" s="941"/>
      <c r="E42" s="941"/>
      <c r="F42" s="941"/>
      <c r="G42" s="870">
        <f>+G41+G40</f>
        <v>0</v>
      </c>
      <c r="H42" s="870">
        <f>+H41+H40</f>
        <v>0</v>
      </c>
    </row>
    <row r="45" spans="1:22" ht="15.75">
      <c r="A45" s="926" t="s">
        <v>5064</v>
      </c>
      <c r="B45" s="926"/>
      <c r="C45" s="926"/>
      <c r="D45" s="926"/>
      <c r="E45" s="926"/>
      <c r="F45" s="926"/>
      <c r="G45" s="926"/>
      <c r="H45" s="926"/>
    </row>
    <row r="46" spans="1:22">
      <c r="A46" s="927"/>
      <c r="B46" s="927"/>
      <c r="C46" s="927"/>
      <c r="D46" s="927"/>
      <c r="E46" s="927"/>
      <c r="F46" s="927"/>
      <c r="G46" s="927"/>
      <c r="H46" s="927"/>
    </row>
    <row r="47" spans="1:22">
      <c r="A47" s="942" t="s">
        <v>5065</v>
      </c>
      <c r="B47" s="929"/>
      <c r="C47" s="929"/>
      <c r="D47" s="929"/>
      <c r="E47" s="929"/>
      <c r="F47" s="929"/>
      <c r="G47" s="929"/>
      <c r="H47" s="929"/>
      <c r="S47" t="s">
        <v>5339</v>
      </c>
    </row>
    <row r="48" spans="1:22" ht="15" customHeight="1">
      <c r="A48" s="921" t="s">
        <v>5338</v>
      </c>
      <c r="B48" s="975" t="s">
        <v>5062</v>
      </c>
      <c r="C48" s="975"/>
      <c r="D48" s="975"/>
      <c r="E48" s="980"/>
      <c r="F48" s="980"/>
      <c r="G48" s="916" t="s">
        <v>5336</v>
      </c>
      <c r="H48" s="916" t="s">
        <v>5337</v>
      </c>
      <c r="S48" t="s">
        <v>5338</v>
      </c>
      <c r="T48" t="s">
        <v>5062</v>
      </c>
      <c r="U48" t="s">
        <v>5336</v>
      </c>
      <c r="V48" t="s">
        <v>5337</v>
      </c>
    </row>
    <row r="49" spans="1:22">
      <c r="A49" s="939" t="s">
        <v>5025</v>
      </c>
      <c r="B49" s="981" t="s">
        <v>5026</v>
      </c>
      <c r="C49" s="982"/>
      <c r="D49" s="982"/>
      <c r="E49" s="982"/>
      <c r="F49" s="982"/>
      <c r="G49" s="671"/>
      <c r="J49">
        <f t="shared" ref="J49:J61" si="24">LEN(REGPLACE(A49,"\d",""))</f>
        <v>1</v>
      </c>
      <c r="S49" t="str">
        <f t="shared" ref="S49:S61" si="25">A49</f>
        <v>1.</v>
      </c>
      <c r="T49" t="str">
        <f t="shared" ref="T49:T61" si="26">B49</f>
        <v>Підготовчі роботи та допоміжні роботи на лісосіці.</v>
      </c>
      <c r="V49" s="918">
        <f t="shared" ref="V49:V61" si="27">H49</f>
        <v>0</v>
      </c>
    </row>
    <row r="50" spans="1:22">
      <c r="A50" s="943" t="s">
        <v>5027</v>
      </c>
      <c r="B50" s="944" t="s">
        <v>5028</v>
      </c>
      <c r="C50" s="945"/>
      <c r="D50" s="945"/>
      <c r="E50" s="945"/>
      <c r="F50" s="946"/>
      <c r="G50" s="905" t="s">
        <v>37</v>
      </c>
      <c r="H50" s="873">
        <f>H6</f>
        <v>0.3</v>
      </c>
      <c r="J50">
        <f t="shared" si="24"/>
        <v>2</v>
      </c>
      <c r="S50" t="str">
        <f t="shared" si="25"/>
        <v>1.1.</v>
      </c>
      <c r="T50" t="str">
        <f t="shared" si="26"/>
        <v>Прибирання небезпечних дерев.</v>
      </c>
      <c r="U50" t="str">
        <f t="shared" ref="U50:U60" si="28">G50</f>
        <v>га</v>
      </c>
      <c r="V50" s="918">
        <f t="shared" si="27"/>
        <v>0.3</v>
      </c>
    </row>
    <row r="51" spans="1:22">
      <c r="A51" s="943" t="s">
        <v>5029</v>
      </c>
      <c r="B51" s="944" t="s">
        <v>5030</v>
      </c>
      <c r="C51" s="945"/>
      <c r="D51" s="945"/>
      <c r="E51" s="945"/>
      <c r="F51" s="946"/>
      <c r="G51" s="905" t="s">
        <v>37</v>
      </c>
      <c r="H51" s="873">
        <f>H7</f>
        <v>0.3</v>
      </c>
      <c r="J51">
        <f t="shared" si="24"/>
        <v>2</v>
      </c>
      <c r="S51" t="str">
        <f t="shared" si="25"/>
        <v>1.2.</v>
      </c>
      <c r="T51" t="str">
        <f t="shared" si="26"/>
        <v>Вирубування кущів і підросту, прибирання волоку, що заважає валці лісу.</v>
      </c>
      <c r="U51" t="str">
        <f t="shared" si="28"/>
        <v>га</v>
      </c>
      <c r="V51" s="918">
        <f t="shared" si="27"/>
        <v>0.3</v>
      </c>
    </row>
    <row r="52" spans="1:22">
      <c r="A52" s="943" t="s">
        <v>5031</v>
      </c>
      <c r="B52" s="944" t="s">
        <v>5032</v>
      </c>
      <c r="C52" s="945"/>
      <c r="D52" s="945"/>
      <c r="E52" s="945"/>
      <c r="F52" s="946"/>
      <c r="G52" s="905" t="s">
        <v>5033</v>
      </c>
      <c r="H52" s="874">
        <f>H8</f>
        <v>162</v>
      </c>
      <c r="J52">
        <f t="shared" si="24"/>
        <v>2</v>
      </c>
      <c r="S52" t="str">
        <f t="shared" si="25"/>
        <v>1.3.</v>
      </c>
      <c r="T52" t="str">
        <f t="shared" si="26"/>
        <v>Спилювання пнів бензиномоторними пилами.</v>
      </c>
      <c r="U52" t="str">
        <f t="shared" si="28"/>
        <v>шт.</v>
      </c>
      <c r="V52" s="919">
        <f t="shared" si="27"/>
        <v>162</v>
      </c>
    </row>
    <row r="53" spans="1:22">
      <c r="A53" s="943" t="s">
        <v>5034</v>
      </c>
      <c r="B53" s="944" t="s">
        <v>5066</v>
      </c>
      <c r="C53" s="945"/>
      <c r="D53" s="945"/>
      <c r="E53" s="945"/>
      <c r="F53" s="946"/>
      <c r="G53" s="905" t="s">
        <v>39</v>
      </c>
      <c r="H53" s="874">
        <f>H9</f>
        <v>8</v>
      </c>
      <c r="J53">
        <f t="shared" si="24"/>
        <v>2</v>
      </c>
      <c r="S53" t="str">
        <f t="shared" si="25"/>
        <v>1.4.</v>
      </c>
      <c r="T53" t="str">
        <f t="shared" si="26"/>
        <v>Спалювання гілля.</v>
      </c>
      <c r="U53" t="str">
        <f t="shared" si="28"/>
        <v>кбм</v>
      </c>
      <c r="V53" s="917">
        <f t="shared" si="27"/>
        <v>8</v>
      </c>
    </row>
    <row r="54" spans="1:22">
      <c r="A54" s="939" t="s">
        <v>5036</v>
      </c>
      <c r="B54" s="981" t="s">
        <v>5037</v>
      </c>
      <c r="C54" s="982"/>
      <c r="D54" s="981"/>
      <c r="E54" s="982"/>
      <c r="F54" s="982"/>
      <c r="G54" s="906"/>
      <c r="H54" s="906"/>
      <c r="J54">
        <f t="shared" si="24"/>
        <v>1</v>
      </c>
      <c r="S54" t="str">
        <f t="shared" si="25"/>
        <v>2.</v>
      </c>
      <c r="T54" t="str">
        <f t="shared" si="26"/>
        <v>Лісосічні роботи.</v>
      </c>
      <c r="V54" s="917"/>
    </row>
    <row r="55" spans="1:22">
      <c r="A55" s="943" t="s">
        <v>5038</v>
      </c>
      <c r="B55" s="944" t="s">
        <v>5039</v>
      </c>
      <c r="C55" s="945"/>
      <c r="D55" s="945"/>
      <c r="E55" s="945"/>
      <c r="F55" s="946"/>
      <c r="G55" s="905" t="s">
        <v>39</v>
      </c>
      <c r="H55" s="875">
        <f t="shared" ref="H55:H60" si="29">H11</f>
        <v>83</v>
      </c>
      <c r="J55">
        <f t="shared" si="24"/>
        <v>2</v>
      </c>
      <c r="S55" t="str">
        <f t="shared" si="25"/>
        <v>2.1.</v>
      </c>
      <c r="T55" t="str">
        <f t="shared" si="26"/>
        <v>Звалювання дерев бензиномоторними пилками.</v>
      </c>
      <c r="U55" t="str">
        <f t="shared" si="28"/>
        <v>кбм</v>
      </c>
      <c r="V55" s="917">
        <f t="shared" si="27"/>
        <v>83</v>
      </c>
    </row>
    <row r="56" spans="1:22">
      <c r="A56" s="943" t="s">
        <v>5040</v>
      </c>
      <c r="B56" s="944" t="s">
        <v>5041</v>
      </c>
      <c r="C56" s="945"/>
      <c r="D56" s="945"/>
      <c r="E56" s="945"/>
      <c r="F56" s="946"/>
      <c r="G56" s="905" t="s">
        <v>39</v>
      </c>
      <c r="H56" s="875">
        <f t="shared" si="29"/>
        <v>83</v>
      </c>
      <c r="J56">
        <f t="shared" si="24"/>
        <v>2</v>
      </c>
      <c r="S56" t="str">
        <f t="shared" si="25"/>
        <v>2.2.</v>
      </c>
      <c r="T56" t="str">
        <f t="shared" si="26"/>
        <v>Зрізування гілок та сучків бензиномоторними пилками.</v>
      </c>
      <c r="U56" t="str">
        <f t="shared" si="28"/>
        <v>кбм</v>
      </c>
      <c r="V56" s="917">
        <f t="shared" si="27"/>
        <v>83</v>
      </c>
    </row>
    <row r="57" spans="1:22">
      <c r="A57" s="943" t="s">
        <v>5042</v>
      </c>
      <c r="B57" s="944" t="s">
        <v>5043</v>
      </c>
      <c r="C57" s="945"/>
      <c r="D57" s="945"/>
      <c r="E57" s="945"/>
      <c r="F57" s="946"/>
      <c r="G57" s="905" t="s">
        <v>39</v>
      </c>
      <c r="H57" s="875">
        <f t="shared" si="29"/>
        <v>83</v>
      </c>
      <c r="J57">
        <f t="shared" si="24"/>
        <v>2</v>
      </c>
      <c r="S57" t="str">
        <f t="shared" si="25"/>
        <v>2.3.</v>
      </c>
      <c r="T57" t="str">
        <f t="shared" si="26"/>
        <v>Збирання, складання в купи гілок, сучків та інше.</v>
      </c>
      <c r="U57" t="str">
        <f t="shared" si="28"/>
        <v>кбм</v>
      </c>
      <c r="V57" s="917">
        <f t="shared" si="27"/>
        <v>83</v>
      </c>
    </row>
    <row r="58" spans="1:22">
      <c r="A58" s="943" t="s">
        <v>5044</v>
      </c>
      <c r="B58" s="944" t="s">
        <v>5045</v>
      </c>
      <c r="C58" s="945"/>
      <c r="D58" s="945"/>
      <c r="E58" s="945"/>
      <c r="F58" s="946"/>
      <c r="G58" s="905" t="s">
        <v>39</v>
      </c>
      <c r="H58" s="875">
        <f t="shared" si="29"/>
        <v>83</v>
      </c>
      <c r="J58">
        <f t="shared" si="24"/>
        <v>2</v>
      </c>
      <c r="S58" t="str">
        <f t="shared" si="25"/>
        <v>2.4.</v>
      </c>
      <c r="T58" t="str">
        <f t="shared" si="26"/>
        <v>Розкряжування хлистів бензиномоторними пилами.</v>
      </c>
      <c r="U58" t="str">
        <f t="shared" si="28"/>
        <v>кбм</v>
      </c>
      <c r="V58" s="917">
        <f t="shared" si="27"/>
        <v>83</v>
      </c>
    </row>
    <row r="59" spans="1:22">
      <c r="A59" s="943" t="s">
        <v>5046</v>
      </c>
      <c r="B59" s="944" t="s">
        <v>5047</v>
      </c>
      <c r="C59" s="945"/>
      <c r="D59" s="945"/>
      <c r="E59" s="945"/>
      <c r="F59" s="946"/>
      <c r="G59" s="905" t="s">
        <v>39</v>
      </c>
      <c r="H59" s="875">
        <f t="shared" si="29"/>
        <v>83</v>
      </c>
      <c r="J59">
        <f t="shared" si="24"/>
        <v>2</v>
      </c>
      <c r="S59" t="str">
        <f t="shared" si="25"/>
        <v>2.5.</v>
      </c>
      <c r="T59" t="str">
        <f t="shared" si="26"/>
        <v>Зачищення сучків після розкряжування.</v>
      </c>
      <c r="U59" t="str">
        <f t="shared" si="28"/>
        <v>кбм</v>
      </c>
      <c r="V59" s="917">
        <f t="shared" si="27"/>
        <v>83</v>
      </c>
    </row>
    <row r="60" spans="1:22">
      <c r="A60" s="943" t="s">
        <v>5048</v>
      </c>
      <c r="B60" s="944" t="s">
        <v>5049</v>
      </c>
      <c r="C60" s="945"/>
      <c r="D60" s="945"/>
      <c r="E60" s="945"/>
      <c r="F60" s="946"/>
      <c r="G60" s="905" t="s">
        <v>39</v>
      </c>
      <c r="H60" s="875">
        <f t="shared" si="29"/>
        <v>19</v>
      </c>
      <c r="J60">
        <f t="shared" si="24"/>
        <v>2</v>
      </c>
      <c r="S60" t="str">
        <f t="shared" si="25"/>
        <v>2.6.</v>
      </c>
      <c r="T60" t="str">
        <f t="shared" si="26"/>
        <v>Укладання дров у стоси вручну.</v>
      </c>
      <c r="U60" t="str">
        <f t="shared" si="28"/>
        <v>кбм</v>
      </c>
      <c r="V60" s="917">
        <f t="shared" si="27"/>
        <v>19</v>
      </c>
    </row>
    <row r="61" spans="1:22">
      <c r="A61" s="939" t="s">
        <v>5053</v>
      </c>
      <c r="B61" s="947" t="s">
        <v>5067</v>
      </c>
      <c r="C61" s="948"/>
      <c r="D61" s="948"/>
      <c r="E61" s="948"/>
      <c r="F61" s="949"/>
      <c r="G61" s="905" t="s">
        <v>39</v>
      </c>
      <c r="H61" s="876"/>
      <c r="J61">
        <f t="shared" si="24"/>
        <v>1</v>
      </c>
      <c r="S61" t="str">
        <f t="shared" si="25"/>
        <v>3.</v>
      </c>
      <c r="T61" t="str">
        <f t="shared" si="26"/>
        <v>Трелювання деревини сортиментами з сортуванням.</v>
      </c>
      <c r="U61" t="str">
        <f>G61</f>
        <v>кбм</v>
      </c>
      <c r="V61" s="917">
        <f t="shared" si="27"/>
        <v>0</v>
      </c>
    </row>
  </sheetData>
  <conditionalFormatting sqref="G48:H48 A26:H42 A50:H61 A49:F49 A45:H47">
    <cfRule type="cellIs" dxfId="136" priority="9" operator="equal">
      <formula>0</formula>
    </cfRule>
  </conditionalFormatting>
  <conditionalFormatting sqref="G37:H37 G41:H41 AW2 A1:G1 A2:AU2 J1:BK1">
    <cfRule type="cellIs" dxfId="135" priority="7" operator="equal">
      <formula>#DIV/0!</formula>
    </cfRule>
    <cfRule type="cellIs" dxfId="134" priority="8" operator="equal">
      <formula>0</formula>
    </cfRule>
  </conditionalFormatting>
  <conditionalFormatting sqref="E48:F48">
    <cfRule type="cellIs" dxfId="133" priority="6" operator="equal">
      <formula>0</formula>
    </cfRule>
  </conditionalFormatting>
  <conditionalFormatting sqref="AY2:BK2">
    <cfRule type="cellIs" dxfId="132" priority="4" operator="equal">
      <formula>#DIV/0!</formula>
    </cfRule>
    <cfRule type="cellIs" dxfId="131" priority="5" operator="equal">
      <formula>0</formula>
    </cfRule>
  </conditionalFormatting>
  <conditionalFormatting sqref="B48:D48">
    <cfRule type="cellIs" dxfId="130" priority="3" operator="equal">
      <formula>0</formula>
    </cfRule>
  </conditionalFormatting>
  <conditionalFormatting sqref="H1:I1">
    <cfRule type="cellIs" dxfId="129" priority="1" operator="equal">
      <formula>#DIV/0!</formula>
    </cfRule>
    <cfRule type="cellIs" dxfId="128" priority="2" operator="equal">
      <formula>0</formula>
    </cfRule>
  </conditionalFormatting>
  <pageMargins left="0.7" right="0.7" top="0.75" bottom="0.75" header="0.3" footer="0.3"/>
  <pageSetup paperSize="9" orientation="portrait" verticalDpi="300" r:id="rId1"/>
  <drawing r:id="rId2"/>
  <legacyDrawing r:id="rId3"/>
  <tableParts count="1">
    <tablePart r:id="rId4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tabColor rgb="FFFF0000"/>
    <pageSetUpPr fitToPage="1"/>
  </sheetPr>
  <dimension ref="A1:Z188"/>
  <sheetViews>
    <sheetView zoomScale="73" zoomScaleNormal="73" zoomScaleSheetLayoutView="84" workbookViewId="0">
      <pane xSplit="1" ySplit="17" topLeftCell="B51" activePane="bottomRight" state="frozen"/>
      <selection pane="topRight" activeCell="B1" sqref="B1"/>
      <selection pane="bottomLeft" activeCell="A18" sqref="A18"/>
      <selection pane="bottomRight" activeCell="A8" sqref="A8"/>
    </sheetView>
  </sheetViews>
  <sheetFormatPr defaultColWidth="9.140625" defaultRowHeight="12.75" outlineLevelRow="1" outlineLevelCol="1"/>
  <cols>
    <col min="1" max="1" width="71.85546875" style="3" customWidth="1"/>
    <col min="2" max="4" width="11.140625" style="3" customWidth="1"/>
    <col min="5" max="5" width="9.140625" style="3"/>
    <col min="6" max="6" width="13.140625" style="3" customWidth="1"/>
    <col min="7" max="7" width="13" style="3" customWidth="1"/>
    <col min="8" max="8" width="13.28515625" style="3" customWidth="1"/>
    <col min="9" max="9" width="10.5703125" style="3" customWidth="1"/>
    <col min="10" max="10" width="13.42578125" style="3" bestFit="1" customWidth="1"/>
    <col min="11" max="11" width="24.140625" style="3" hidden="1" customWidth="1" outlineLevel="1"/>
    <col min="12" max="12" width="17.42578125" style="3" hidden="1" customWidth="1" outlineLevel="1"/>
    <col min="13" max="13" width="14.85546875" style="3" hidden="1" customWidth="1" outlineLevel="1"/>
    <col min="14" max="14" width="23.7109375" style="3" hidden="1" customWidth="1" outlineLevel="1"/>
    <col min="15" max="15" width="9.42578125" style="3" customWidth="1" collapsed="1"/>
    <col min="16" max="16" width="12.28515625" style="3" customWidth="1"/>
    <col min="17" max="17" width="14.85546875" style="3" customWidth="1"/>
    <col min="18" max="18" width="18.85546875" style="3" customWidth="1"/>
    <col min="19" max="19" width="18.5703125" style="3" customWidth="1"/>
    <col min="20" max="20" width="13.5703125" style="3" customWidth="1"/>
    <col min="21" max="21" width="9" style="308" customWidth="1"/>
    <col min="22" max="22" width="12.7109375" style="3" customWidth="1"/>
    <col min="23" max="23" width="11" style="3" customWidth="1"/>
    <col min="24" max="16384" width="9.140625" style="3"/>
  </cols>
  <sheetData>
    <row r="1" spans="1:26" ht="24" customHeight="1" outlineLevel="1" thickBot="1">
      <c r="A1" s="1154" t="s">
        <v>108</v>
      </c>
      <c r="B1" s="1154"/>
      <c r="C1" s="1154"/>
      <c r="D1" s="1154"/>
      <c r="E1" s="1154"/>
      <c r="F1" s="1154"/>
      <c r="G1" s="639">
        <f>MONTH(dDataS)</f>
        <v>5</v>
      </c>
      <c r="H1" s="638" t="str">
        <f>VLOOKUP(dLisVo,Лісництва[[Підрозділ]:[01.фев]],3,FALSE)</f>
        <v>Шп</v>
      </c>
      <c r="I1" s="666">
        <v>12</v>
      </c>
      <c r="J1" s="411">
        <f>MONTH(dDataDog)</f>
        <v>1</v>
      </c>
      <c r="O1" s="669" t="str">
        <f>VLOOKUP(dLisVo,Лісництва[[Підрозділ]:[ВиконавецДоговор]],15,FALSE)</f>
        <v>СТЛ-18</v>
      </c>
      <c r="P1" s="414"/>
      <c r="Q1" s="404"/>
      <c r="R1" s="413" t="s">
        <v>0</v>
      </c>
      <c r="U1" s="285" t="s">
        <v>2171</v>
      </c>
      <c r="X1" s="3" t="s">
        <v>105</v>
      </c>
      <c r="Z1" s="290"/>
    </row>
    <row r="2" spans="1:26" ht="21" customHeight="1" outlineLevel="1" thickTop="1" thickBot="1">
      <c r="A2" s="4" t="s">
        <v>54</v>
      </c>
      <c r="B2" s="1190" t="s">
        <v>115</v>
      </c>
      <c r="C2" s="1191"/>
      <c r="D2" s="1191"/>
      <c r="E2" s="1191"/>
      <c r="F2" s="1192"/>
      <c r="G2" s="1132" t="s">
        <v>59</v>
      </c>
      <c r="H2" s="1133"/>
      <c r="I2" s="1193">
        <v>311</v>
      </c>
      <c r="J2" s="1194"/>
      <c r="O2" s="4"/>
      <c r="P2" s="1131" t="s">
        <v>1</v>
      </c>
      <c r="Q2" s="1131"/>
      <c r="R2" s="1131"/>
      <c r="U2" s="286" t="s">
        <v>867</v>
      </c>
      <c r="X2" s="3" t="str">
        <f>CONCATENATE(MONTH(dDataS),"\",VLOOKUP(dLisVo,Лісництва[[Підрозділ]:[01.фев]],3,FALSE),"\",dPND,"_",MONTH(dDataDog),"_",VLOOKUP(dLisVo,Лісництва[[Підрозділ]:[ВиконавецДоговор]],15,FALSE))</f>
        <v>5\Шп\12_1_СТЛ-18</v>
      </c>
      <c r="Z2" s="291"/>
    </row>
    <row r="3" spans="1:26" ht="21" customHeight="1" outlineLevel="1" thickBot="1">
      <c r="A3" s="96" t="s">
        <v>55</v>
      </c>
      <c r="B3" s="1128">
        <v>82</v>
      </c>
      <c r="C3" s="1129"/>
      <c r="D3" s="1129"/>
      <c r="E3" s="1129"/>
      <c r="F3" s="1130"/>
      <c r="G3" s="1132" t="s">
        <v>61</v>
      </c>
      <c r="H3" s="1133"/>
      <c r="I3" s="1149">
        <f>dMas+dNel</f>
        <v>47</v>
      </c>
      <c r="J3" s="1150"/>
      <c r="P3" s="1152" t="s">
        <v>2</v>
      </c>
      <c r="Q3" s="1152"/>
      <c r="R3" s="1152"/>
      <c r="U3" s="285" t="s">
        <v>868</v>
      </c>
      <c r="X3" s="3" t="str">
        <f>dDil &amp;" "&amp;dNLK&amp;" "&amp;dNr</f>
        <v>82 кв (4 вид) 0 діл. 556628 РД</v>
      </c>
      <c r="Z3" s="292"/>
    </row>
    <row r="4" spans="1:26" ht="19.899999999999999" customHeight="1" outlineLevel="1" thickBot="1">
      <c r="A4" s="96" t="s">
        <v>56</v>
      </c>
      <c r="B4" s="1128" t="s">
        <v>3831</v>
      </c>
      <c r="C4" s="1129"/>
      <c r="D4" s="1129"/>
      <c r="E4" s="1129"/>
      <c r="F4" s="1130"/>
      <c r="G4" s="1132" t="s">
        <v>62</v>
      </c>
      <c r="H4" s="1133"/>
      <c r="I4" s="1165">
        <v>1</v>
      </c>
      <c r="J4" s="1166"/>
      <c r="P4" s="5"/>
      <c r="Q4" s="6"/>
      <c r="R4" s="7"/>
      <c r="U4" s="617" t="s">
        <v>3407</v>
      </c>
      <c r="Z4" s="293"/>
    </row>
    <row r="5" spans="1:26" ht="17.45" customHeight="1" outlineLevel="1" thickBot="1">
      <c r="A5" s="96" t="s">
        <v>57</v>
      </c>
      <c r="B5" s="1128">
        <v>4.2</v>
      </c>
      <c r="C5" s="1129"/>
      <c r="D5" s="1129"/>
      <c r="E5" s="1129"/>
      <c r="F5" s="1130"/>
      <c r="G5" s="1132" t="s">
        <v>60</v>
      </c>
      <c r="H5" s="1133"/>
      <c r="I5" s="1149">
        <f>B59</f>
        <v>46</v>
      </c>
      <c r="J5" s="1150"/>
      <c r="O5" s="667" t="s">
        <v>124</v>
      </c>
      <c r="P5" s="1196" t="s">
        <v>5</v>
      </c>
      <c r="Q5" s="1196"/>
      <c r="R5" s="1196"/>
      <c r="U5" s="618" t="s">
        <v>3408</v>
      </c>
      <c r="Z5" s="294"/>
    </row>
    <row r="6" spans="1:26" ht="18" customHeight="1" outlineLevel="1" thickBot="1">
      <c r="A6" s="1" t="s">
        <v>58</v>
      </c>
      <c r="B6" s="1145" t="str">
        <f>"РД"</f>
        <v>РД</v>
      </c>
      <c r="C6" s="1195"/>
      <c r="D6" s="1195"/>
      <c r="E6" s="1195"/>
      <c r="F6" s="1146"/>
      <c r="G6" s="1132" t="s">
        <v>89</v>
      </c>
      <c r="H6" s="1133"/>
      <c r="I6" s="1149">
        <f>dZzap/dPl</f>
        <v>11.19047619047619</v>
      </c>
      <c r="J6" s="1151"/>
      <c r="P6" s="3" t="s">
        <v>3784</v>
      </c>
      <c r="U6" s="3"/>
      <c r="Z6" s="295"/>
    </row>
    <row r="7" spans="1:26" ht="16.899999999999999" customHeight="1" outlineLevel="1" thickBot="1">
      <c r="A7" s="97" t="s">
        <v>6</v>
      </c>
      <c r="B7" s="1142" t="s">
        <v>2238</v>
      </c>
      <c r="C7" s="1143"/>
      <c r="D7" s="1143"/>
      <c r="E7" s="1143"/>
      <c r="F7" s="1144"/>
      <c r="G7" s="1132" t="s">
        <v>63</v>
      </c>
      <c r="H7" s="1133"/>
      <c r="I7" s="1140">
        <f>dMas/dKd</f>
        <v>0.14790996784565916</v>
      </c>
      <c r="J7" s="1141"/>
      <c r="P7" s="3" t="s">
        <v>3784</v>
      </c>
      <c r="U7" s="3"/>
      <c r="Z7" s="295"/>
    </row>
    <row r="8" spans="1:26" ht="16.899999999999999" customHeight="1" outlineLevel="1" thickBot="1">
      <c r="A8" s="97" t="s">
        <v>67</v>
      </c>
      <c r="B8" s="1125">
        <f ca="1">MAX(INDIRECT("Тарифи[№]"))</f>
        <v>43101</v>
      </c>
      <c r="C8" s="1126"/>
      <c r="D8" s="1126"/>
      <c r="E8" s="1126"/>
      <c r="F8" s="1127"/>
      <c r="G8" s="1089" t="s">
        <v>4</v>
      </c>
      <c r="H8" s="1088"/>
      <c r="I8" s="1167">
        <v>0</v>
      </c>
      <c r="J8" s="1168"/>
      <c r="P8" s="3" t="s">
        <v>3784</v>
      </c>
      <c r="U8" s="3"/>
      <c r="Z8" s="295"/>
    </row>
    <row r="9" spans="1:26" ht="16.899999999999999" customHeight="1" outlineLevel="1" thickBot="1">
      <c r="A9" s="97" t="s">
        <v>68</v>
      </c>
      <c r="B9" s="1078" t="str">
        <f>VLOOKUP(dLisVo,Лісництва!B2:O7,7,FALSE)</f>
        <v>Степовий</v>
      </c>
      <c r="C9" s="1079"/>
      <c r="D9" s="1079"/>
      <c r="E9" s="1079"/>
      <c r="F9" s="1080"/>
      <c r="G9" s="1089" t="s">
        <v>65</v>
      </c>
      <c r="H9" s="1088"/>
      <c r="I9" s="1167">
        <v>1</v>
      </c>
      <c r="J9" s="1168"/>
      <c r="O9" s="650" t="s">
        <v>3487</v>
      </c>
      <c r="P9" s="668">
        <v>43222</v>
      </c>
      <c r="U9" s="3"/>
      <c r="Z9" s="296"/>
    </row>
    <row r="10" spans="1:26" ht="16.899999999999999" customHeight="1" outlineLevel="1" thickBot="1">
      <c r="A10" s="97"/>
      <c r="B10" s="1128">
        <v>0</v>
      </c>
      <c r="C10" s="1129"/>
      <c r="D10" s="1129"/>
      <c r="E10" s="1129"/>
      <c r="F10" s="1130"/>
      <c r="G10" s="1089" t="s">
        <v>3</v>
      </c>
      <c r="H10" s="1088"/>
      <c r="I10" s="1167">
        <v>3</v>
      </c>
      <c r="J10" s="1168"/>
      <c r="R10" s="748"/>
      <c r="U10" s="3"/>
      <c r="Z10" s="297"/>
    </row>
    <row r="11" spans="1:26" ht="16.899999999999999" customHeight="1" outlineLevel="1" thickBot="1">
      <c r="A11" s="97"/>
      <c r="B11" s="1128">
        <v>0</v>
      </c>
      <c r="C11" s="1129"/>
      <c r="D11" s="1129"/>
      <c r="E11" s="1129"/>
      <c r="F11" s="1130"/>
      <c r="G11" s="1088" t="s">
        <v>66</v>
      </c>
      <c r="H11" s="1088"/>
      <c r="I11" s="1171">
        <f ca="1">VLOOKUP(dCZ,INDIRECT("табКоефЧерн"),2,FALSE)*SUMPRODUCT((INDIRECT("тРозрядВысот[РозрядВысот]")=dRV)*(INDIRECT("тРозрядВысот[Рубка]")=dNr)*(INDIRECT("тРозрядВысот[Коэфициент]")))</f>
        <v>1</v>
      </c>
      <c r="J11" s="1150"/>
      <c r="O11" s="651" t="s">
        <v>3432</v>
      </c>
      <c r="P11" s="670" t="s">
        <v>3461</v>
      </c>
      <c r="U11" s="3"/>
      <c r="Z11" s="86"/>
    </row>
    <row r="12" spans="1:26" ht="16.899999999999999" customHeight="1" outlineLevel="1" thickBot="1">
      <c r="A12" s="97"/>
      <c r="B12" s="1128" t="s">
        <v>78</v>
      </c>
      <c r="C12" s="1129"/>
      <c r="D12" s="1129"/>
      <c r="E12" s="1129"/>
      <c r="F12" s="1130"/>
      <c r="G12" s="1088" t="s">
        <v>87</v>
      </c>
      <c r="H12" s="1088"/>
      <c r="I12" s="1165">
        <v>556628</v>
      </c>
      <c r="J12" s="1166"/>
      <c r="O12" s="439" t="s">
        <v>117</v>
      </c>
      <c r="P12" s="652" t="str">
        <f>dKV&amp;" кв ("&amp;Substring(dV,"_",1)&amp;" вид) "&amp;Substring(dV,"_",2)&amp;" діл."</f>
        <v>82 кв (4 вид) 0 діл.</v>
      </c>
      <c r="U12" s="86"/>
    </row>
    <row r="13" spans="1:26" ht="16.899999999999999" customHeight="1" outlineLevel="1" thickBot="1">
      <c r="A13" s="97" t="s">
        <v>110</v>
      </c>
      <c r="B13" s="1142" t="s">
        <v>2305</v>
      </c>
      <c r="C13" s="1143"/>
      <c r="D13" s="1143"/>
      <c r="E13" s="1143"/>
      <c r="F13" s="1143"/>
      <c r="G13" s="1088" t="s">
        <v>109</v>
      </c>
      <c r="H13" s="1088"/>
      <c r="I13" s="1188">
        <v>43102</v>
      </c>
      <c r="J13" s="1189"/>
    </row>
    <row r="14" spans="1:26" ht="15" customHeight="1" thickBot="1">
      <c r="A14" s="8"/>
      <c r="B14" s="8" t="s">
        <v>7</v>
      </c>
      <c r="C14" s="8"/>
      <c r="D14" s="8"/>
      <c r="E14" s="8"/>
      <c r="F14" s="9"/>
      <c r="G14" s="1187" t="s">
        <v>8</v>
      </c>
      <c r="H14" s="1187"/>
      <c r="I14" s="10"/>
      <c r="J14" s="11"/>
      <c r="K14" s="781"/>
      <c r="L14" s="781"/>
      <c r="M14" s="781"/>
      <c r="N14" s="781"/>
      <c r="O14" s="12" t="s">
        <v>9</v>
      </c>
      <c r="P14" s="12" t="s">
        <v>10</v>
      </c>
      <c r="Q14" s="12" t="s">
        <v>11</v>
      </c>
      <c r="R14" s="12" t="s">
        <v>12</v>
      </c>
    </row>
    <row r="15" spans="1:26" ht="15">
      <c r="A15" s="13"/>
      <c r="B15" s="13"/>
      <c r="C15" s="13" t="s">
        <v>13</v>
      </c>
      <c r="D15" s="14" t="s">
        <v>14</v>
      </c>
      <c r="E15" s="13" t="s">
        <v>15</v>
      </c>
      <c r="F15" s="13" t="s">
        <v>16</v>
      </c>
      <c r="G15" s="15" t="s">
        <v>17</v>
      </c>
      <c r="H15" s="16" t="s">
        <v>18</v>
      </c>
      <c r="I15" s="17" t="s">
        <v>19</v>
      </c>
      <c r="J15" s="13" t="s">
        <v>20</v>
      </c>
      <c r="K15" s="13" t="s">
        <v>4998</v>
      </c>
      <c r="L15" s="13" t="s">
        <v>4999</v>
      </c>
      <c r="M15" s="13" t="s">
        <v>4999</v>
      </c>
      <c r="N15" s="13" t="s">
        <v>4999</v>
      </c>
      <c r="O15" s="17" t="s">
        <v>21</v>
      </c>
      <c r="P15" s="17" t="s">
        <v>22</v>
      </c>
      <c r="Q15" s="17" t="s">
        <v>23</v>
      </c>
      <c r="R15" s="17" t="s">
        <v>24</v>
      </c>
    </row>
    <row r="16" spans="1:26">
      <c r="A16" s="13"/>
      <c r="B16" s="13"/>
      <c r="C16" s="13" t="s">
        <v>25</v>
      </c>
      <c r="D16" s="13" t="s">
        <v>26</v>
      </c>
      <c r="E16" s="13" t="s">
        <v>27</v>
      </c>
      <c r="F16" s="13" t="s">
        <v>28</v>
      </c>
      <c r="G16" s="15"/>
      <c r="H16" s="16"/>
      <c r="I16" s="17" t="s">
        <v>29</v>
      </c>
      <c r="J16" s="13" t="s">
        <v>29</v>
      </c>
      <c r="K16" s="13" t="s">
        <v>5000</v>
      </c>
      <c r="L16" s="13" t="s">
        <v>5001</v>
      </c>
      <c r="M16" s="13" t="s">
        <v>5002</v>
      </c>
      <c r="N16" s="13" t="s">
        <v>5003</v>
      </c>
      <c r="O16" s="17" t="s">
        <v>30</v>
      </c>
      <c r="P16" s="17" t="s">
        <v>31</v>
      </c>
      <c r="Q16" s="17" t="s">
        <v>32</v>
      </c>
      <c r="R16" s="17" t="s">
        <v>33</v>
      </c>
    </row>
    <row r="17" spans="1:23" ht="13.5" thickBot="1">
      <c r="A17" s="18"/>
      <c r="B17" s="18"/>
      <c r="C17" s="18"/>
      <c r="D17" s="18"/>
      <c r="E17" s="18" t="s">
        <v>34</v>
      </c>
      <c r="F17" s="18"/>
      <c r="G17" s="19"/>
      <c r="H17" s="20"/>
      <c r="I17" s="18"/>
      <c r="J17" s="18"/>
      <c r="K17" s="18" t="s">
        <v>5001</v>
      </c>
      <c r="L17" s="18" t="s">
        <v>5004</v>
      </c>
      <c r="M17" s="18" t="s">
        <v>5004</v>
      </c>
      <c r="N17" s="18" t="s">
        <v>5004</v>
      </c>
      <c r="O17" s="21"/>
      <c r="P17" s="21"/>
      <c r="Q17" s="21"/>
      <c r="R17" s="21"/>
    </row>
    <row r="18" spans="1:23" ht="13.5" thickBot="1">
      <c r="A18" s="22" t="s">
        <v>35</v>
      </c>
      <c r="B18" s="23"/>
      <c r="C18" s="23"/>
      <c r="D18" s="23"/>
      <c r="E18" s="23"/>
      <c r="F18" s="23"/>
      <c r="G18" s="24">
        <f ca="1">I11</f>
        <v>1</v>
      </c>
      <c r="H18" s="25"/>
      <c r="I18" s="25"/>
      <c r="J18" s="25"/>
      <c r="K18" s="987"/>
      <c r="L18" s="987"/>
      <c r="M18" s="987"/>
      <c r="N18" s="987"/>
      <c r="O18" s="26"/>
      <c r="P18" s="26"/>
      <c r="Q18" s="26"/>
      <c r="R18" s="26"/>
    </row>
    <row r="19" spans="1:23" ht="13.5" hidden="1" thickBot="1">
      <c r="A19" s="98"/>
      <c r="B19" s="103"/>
      <c r="C19" s="105"/>
      <c r="D19" s="100"/>
      <c r="E19" s="99"/>
      <c r="F19" s="104"/>
      <c r="G19" s="99"/>
      <c r="H19" s="101"/>
      <c r="I19" s="101"/>
      <c r="J19" s="118"/>
      <c r="K19" s="988"/>
      <c r="L19" s="988"/>
      <c r="M19" s="988"/>
      <c r="N19" s="988"/>
      <c r="O19" s="113"/>
      <c r="P19" s="112"/>
      <c r="Q19" s="112"/>
      <c r="R19" s="112"/>
    </row>
    <row r="20" spans="1:23" ht="13.5" thickBot="1">
      <c r="A20" s="30" t="s">
        <v>75</v>
      </c>
      <c r="B20" s="31"/>
      <c r="C20" s="50"/>
      <c r="D20" s="32"/>
      <c r="E20" s="32"/>
      <c r="F20" s="50"/>
      <c r="G20" s="31"/>
      <c r="H20" s="33"/>
      <c r="I20" s="34"/>
      <c r="J20" s="54"/>
      <c r="K20" s="989"/>
      <c r="L20" s="989"/>
      <c r="M20" s="989"/>
      <c r="N20" s="989"/>
      <c r="O20" s="114"/>
      <c r="P20" s="112"/>
      <c r="Q20" s="112"/>
      <c r="R20" s="112"/>
    </row>
    <row r="21" spans="1:23" ht="15.75" thickBot="1">
      <c r="A21" s="102" t="s">
        <v>74</v>
      </c>
      <c r="B21" s="35" t="s">
        <v>39</v>
      </c>
      <c r="C21" s="234">
        <f ca="1">C23*0.88</f>
        <v>28.863999999999997</v>
      </c>
      <c r="D21" s="37" t="s">
        <v>38</v>
      </c>
      <c r="E21" s="238">
        <f ca="1">ROUNDUP((INDIRECT(ADDRESS(MATCH(dумДатаТарифы,Тарифи[№],0)+1,LEFT(D21,1)+2,1,1,"Тарифи"))+INDIRECT(ADDRESS(MATCH(dумДатаТарифы,Тарифи[№],0)+1,RIGHT(D21,1)+2,1,1,"Тарифи")))/2,2)</f>
        <v>36.03</v>
      </c>
      <c r="F21" s="237">
        <f>dT_11+dT_21+dT_31+dT_41</f>
        <v>0</v>
      </c>
      <c r="G21" s="36">
        <f ca="1">C21*G18</f>
        <v>28.863999999999997</v>
      </c>
      <c r="H21" s="36">
        <f ca="1">16/G21</f>
        <v>0.55432372505543248</v>
      </c>
      <c r="I21" s="36">
        <f ca="1">J21/2</f>
        <v>0</v>
      </c>
      <c r="J21" s="38">
        <f ca="1">F21/G21*16</f>
        <v>0</v>
      </c>
      <c r="K21" s="990"/>
      <c r="L21" s="38">
        <f t="shared" ref="L21:L23" si="0">(F21*K21/1000)/0.73</f>
        <v>0</v>
      </c>
      <c r="M21" s="38">
        <f>L21*0.4</f>
        <v>0</v>
      </c>
      <c r="N21" s="38">
        <f>L21*0.05</f>
        <v>0</v>
      </c>
      <c r="O21" s="115">
        <f ca="1">E21*J21</f>
        <v>0</v>
      </c>
      <c r="P21" s="112">
        <f ca="1">O21*0.5</f>
        <v>0</v>
      </c>
      <c r="Q21" s="112">
        <f t="shared" ref="Q21:Q44" ca="1" si="1">(O21+P21)*0.22</f>
        <v>0</v>
      </c>
      <c r="R21" s="112">
        <f t="shared" ref="R21:R44" ca="1" si="2">O21+P21+Q21</f>
        <v>0</v>
      </c>
      <c r="W21" s="3">
        <f t="shared" ref="W21:W52" ca="1" si="3">O21*dККЗ</f>
        <v>0</v>
      </c>
    </row>
    <row r="22" spans="1:23" ht="15.75" thickBot="1">
      <c r="A22" s="39" t="s">
        <v>71</v>
      </c>
      <c r="B22" s="35" t="s">
        <v>39</v>
      </c>
      <c r="C22" s="399">
        <f ca="1">INDEX(INDIRECT(IF(A22="Твердолистяні породи",U22&amp;"_ТП"&amp;V22,U22&amp;"_ХМ"&amp;V22)),MATCH(nearmax(dCrHl,INDIRECT(IF(A22="Твердолистяні породи",U22&amp;"_ТП"&amp;V22,U22&amp;"_ХМ"&amp;V22) &amp; "[Вибираема маса]")),INDIRECT(IF(A22="Твердолистяні породи",U22&amp;"_ТП"&amp;V22,U22&amp;"_ХМ"&amp;V22) &amp; "[Вибираема маса]"),0),MATCH(nearmax(nearmax(dMas1Ga,RDNAME),RDNAME),RDNAME,0)+1)</f>
        <v>40.4</v>
      </c>
      <c r="D22" s="310"/>
      <c r="E22" s="40"/>
      <c r="F22" s="237">
        <f>dT_12+dT_22+dT_32+dT_42</f>
        <v>0</v>
      </c>
      <c r="G22" s="36">
        <f ca="1">C22*G18</f>
        <v>40.4</v>
      </c>
      <c r="H22" s="36">
        <f ca="1">16/G22</f>
        <v>0.39603960396039606</v>
      </c>
      <c r="I22" s="36">
        <f ca="1">J22/2</f>
        <v>0</v>
      </c>
      <c r="J22" s="38">
        <f ca="1">F22/G22*16</f>
        <v>0</v>
      </c>
      <c r="K22" s="990"/>
      <c r="L22" s="38">
        <f t="shared" si="0"/>
        <v>0</v>
      </c>
      <c r="M22" s="38">
        <f t="shared" ref="M22:M23" si="4">L22*0.4</f>
        <v>0</v>
      </c>
      <c r="N22" s="38">
        <f t="shared" ref="N22:N23" si="5">L22*0.05</f>
        <v>0</v>
      </c>
      <c r="O22" s="115">
        <f ca="1">E21*J22</f>
        <v>0</v>
      </c>
      <c r="P22" s="112">
        <f t="shared" ref="P22:P23" ca="1" si="6">O22*0.5</f>
        <v>0</v>
      </c>
      <c r="Q22" s="112">
        <f ca="1">(O22+P22)*0.22</f>
        <v>0</v>
      </c>
      <c r="R22" s="112">
        <f t="shared" ca="1" si="2"/>
        <v>0</v>
      </c>
      <c r="T22" s="397" t="s">
        <v>75</v>
      </c>
      <c r="U22" s="298" t="s">
        <v>3279</v>
      </c>
      <c r="W22" s="3">
        <f t="shared" ca="1" si="3"/>
        <v>0</v>
      </c>
    </row>
    <row r="23" spans="1:23" ht="15.75" thickBot="1">
      <c r="A23" s="41" t="s">
        <v>72</v>
      </c>
      <c r="B23" s="42" t="s">
        <v>39</v>
      </c>
      <c r="C23" s="399">
        <f ca="1">INDEX(INDIRECT(IF(A23="Твердолистяні породи",U23&amp;"_ТП"&amp;V23,U23&amp;"_ХМ"&amp;V23)),MATCH(nearmax(dCrHl,INDIRECT(IF(A23="Твердолистяні породи",U23&amp;"_ТП"&amp;V23,U23&amp;"_ХМ"&amp;V23) &amp; "[Вибираема маса]")),INDIRECT(IF(A23="Твердолистяні породи",U23&amp;"_ТП"&amp;V23,U23&amp;"_ТП"&amp;V23) &amp; "[Вибираема маса]"),0),MATCH(nearmax(nearmax(dMas1Ga,RDNAME),RDNAME),RDNAME,0)+1)</f>
        <v>32.799999999999997</v>
      </c>
      <c r="D23" s="43"/>
      <c r="E23" s="44"/>
      <c r="F23" s="237">
        <f>dT_13+dT_23+dT_33+dT_43</f>
        <v>46</v>
      </c>
      <c r="G23" s="45">
        <f ca="1">C23*G18</f>
        <v>32.799999999999997</v>
      </c>
      <c r="H23" s="45">
        <f ca="1">16/G23</f>
        <v>0.48780487804878053</v>
      </c>
      <c r="I23" s="45">
        <f ca="1">J23/2</f>
        <v>11.219512195121952</v>
      </c>
      <c r="J23" s="46">
        <f ca="1">F23/G23*16</f>
        <v>22.439024390243905</v>
      </c>
      <c r="K23" s="991"/>
      <c r="L23" s="38">
        <f t="shared" si="0"/>
        <v>0</v>
      </c>
      <c r="M23" s="38">
        <f t="shared" si="4"/>
        <v>0</v>
      </c>
      <c r="N23" s="38">
        <f t="shared" si="5"/>
        <v>0</v>
      </c>
      <c r="O23" s="116">
        <f ca="1">E21*J23</f>
        <v>808.47804878048794</v>
      </c>
      <c r="P23" s="112">
        <f t="shared" ca="1" si="6"/>
        <v>404.23902439024397</v>
      </c>
      <c r="Q23" s="112">
        <f ca="1">(O23+P23)*0.22</f>
        <v>266.79775609756103</v>
      </c>
      <c r="R23" s="112">
        <f t="shared" ca="1" si="2"/>
        <v>1479.5148292682929</v>
      </c>
      <c r="T23" s="397" t="s">
        <v>75</v>
      </c>
      <c r="U23" s="298" t="s">
        <v>3279</v>
      </c>
      <c r="W23" s="3">
        <f t="shared" ca="1" si="3"/>
        <v>982.30082926829289</v>
      </c>
    </row>
    <row r="24" spans="1:23" ht="13.5" thickBot="1">
      <c r="A24" s="123" t="s">
        <v>5008</v>
      </c>
      <c r="B24" s="48"/>
      <c r="C24" s="398"/>
      <c r="D24" s="50"/>
      <c r="E24" s="48"/>
      <c r="F24" s="109"/>
      <c r="G24" s="49"/>
      <c r="H24" s="49"/>
      <c r="I24" s="49"/>
      <c r="J24" s="51"/>
      <c r="K24" s="992"/>
      <c r="L24" s="993"/>
      <c r="M24" s="993"/>
      <c r="N24" s="993"/>
      <c r="O24" s="52"/>
      <c r="P24" s="112"/>
      <c r="Q24" s="112"/>
      <c r="R24" s="112"/>
      <c r="W24" s="3">
        <f t="shared" si="3"/>
        <v>0</v>
      </c>
    </row>
    <row r="25" spans="1:23" ht="13.5" thickBot="1">
      <c r="A25" s="39" t="s">
        <v>41</v>
      </c>
      <c r="B25" s="35" t="s">
        <v>39</v>
      </c>
      <c r="C25" s="234">
        <f ca="1">C27*0.88</f>
        <v>13.112</v>
      </c>
      <c r="D25" s="121">
        <v>4</v>
      </c>
      <c r="E25" s="289">
        <f ca="1">ROUNDUP((INDIRECT(ADDRESS(MATCH(dумДатаТарифы,Тарифи[№],0)+1,LEFT(D25,1)+2,1,1,"Тарифи"))+INDIRECT(ADDRESS(MATCH(dумДатаТарифы,Тарифи[№],0)+1,RIGHT(D25,1)+2,1,1,"Тарифи")))/2,2)</f>
        <v>30.88</v>
      </c>
      <c r="F25" s="237">
        <f>dT_11+dT_21+dT_31+dT_41</f>
        <v>0</v>
      </c>
      <c r="G25" s="36">
        <f ca="1">C25*G18</f>
        <v>13.112</v>
      </c>
      <c r="H25" s="36">
        <f ca="1">8/G25</f>
        <v>0.61012812690665041</v>
      </c>
      <c r="I25" s="36">
        <f ca="1">J25</f>
        <v>0</v>
      </c>
      <c r="J25" s="38">
        <f ca="1">F25/G25*8</f>
        <v>0</v>
      </c>
      <c r="K25" s="990"/>
      <c r="L25" s="38">
        <f t="shared" ref="L25:L27" si="7">(F25*K25/1000)/0.73</f>
        <v>0</v>
      </c>
      <c r="M25" s="38">
        <f t="shared" ref="M25:M27" si="8">L25*0.4</f>
        <v>0</v>
      </c>
      <c r="N25" s="38">
        <f t="shared" ref="N25:N27" si="9">L25*0.05</f>
        <v>0</v>
      </c>
      <c r="O25" s="115">
        <f ca="1">E25*J25</f>
        <v>0</v>
      </c>
      <c r="P25" s="112">
        <f ca="1">O25*0.5</f>
        <v>0</v>
      </c>
      <c r="Q25" s="112">
        <f t="shared" ca="1" si="1"/>
        <v>0</v>
      </c>
      <c r="R25" s="112">
        <f t="shared" ca="1" si="2"/>
        <v>0</v>
      </c>
      <c r="W25" s="3">
        <f t="shared" ca="1" si="3"/>
        <v>0</v>
      </c>
    </row>
    <row r="26" spans="1:23" ht="15.75" thickBot="1">
      <c r="A26" s="39" t="s">
        <v>71</v>
      </c>
      <c r="B26" s="35" t="s">
        <v>39</v>
      </c>
      <c r="C26" s="399">
        <f ca="1">INDEX(INDIRECT(IF(A26="Твердолистяні породи",U26&amp;"_ТП"&amp;V26,U26&amp;"_ХМ"&amp;V26)),MATCH(nearmax(dCrHl,INDIRECT(IF(A26="Твердолистяні породи",U26&amp;"_ТП"&amp;V26,U26&amp;"_ХМ"&amp;V26) &amp; "[Вибираема маса]")),INDIRECT(IF(A26="Твердолистяні породи",U26&amp;"_ТП"&amp;V26,U26&amp;"_ТП"&amp;V26) &amp; "[Вибираема маса]"),0),MATCH(nearmax(nearmax(dMas1Ga,RDNAME),RDNAME),RDNAME,0)+1)</f>
        <v>18.399999999999999</v>
      </c>
      <c r="D26" s="40"/>
      <c r="E26" s="310"/>
      <c r="F26" s="237">
        <f>dT_12+dT_22+dT_32+dT_42</f>
        <v>0</v>
      </c>
      <c r="G26" s="36">
        <f ca="1">C26*G18</f>
        <v>18.399999999999999</v>
      </c>
      <c r="H26" s="36">
        <f ca="1">8/G26</f>
        <v>0.43478260869565222</v>
      </c>
      <c r="I26" s="36">
        <f ca="1">J26</f>
        <v>0</v>
      </c>
      <c r="J26" s="38">
        <f ca="1">F26/G26*8</f>
        <v>0</v>
      </c>
      <c r="K26" s="990"/>
      <c r="L26" s="38">
        <f t="shared" si="7"/>
        <v>0</v>
      </c>
      <c r="M26" s="38">
        <f t="shared" si="8"/>
        <v>0</v>
      </c>
      <c r="N26" s="38">
        <f t="shared" si="9"/>
        <v>0</v>
      </c>
      <c r="O26" s="115">
        <f ca="1">E25*J26</f>
        <v>0</v>
      </c>
      <c r="P26" s="112">
        <f t="shared" ref="P26:P27" ca="1" si="10">O26*0.5</f>
        <v>0</v>
      </c>
      <c r="Q26" s="112">
        <f t="shared" ca="1" si="1"/>
        <v>0</v>
      </c>
      <c r="R26" s="112">
        <f t="shared" ca="1" si="2"/>
        <v>0</v>
      </c>
      <c r="U26" s="298" t="s">
        <v>3250</v>
      </c>
      <c r="W26" s="3">
        <f t="shared" ca="1" si="3"/>
        <v>0</v>
      </c>
    </row>
    <row r="27" spans="1:23" ht="15.75" thickBot="1">
      <c r="A27" s="41" t="s">
        <v>72</v>
      </c>
      <c r="B27" s="42" t="s">
        <v>39</v>
      </c>
      <c r="C27" s="399">
        <f ca="1">INDEX(INDIRECT(IF(A27="Твердолистяні породи",U27&amp;"_ТП"&amp;V27,U27&amp;"_ХМ"&amp;V27)),MATCH(nearmax(dCrHl,INDIRECT(IF(A27="Твердолистяні породи",U27&amp;"_ТП"&amp;V27,U27&amp;"_ХМ"&amp;V27) &amp; "[Вибираема маса]")),INDIRECT(IF(A27="Твердолистяні породи",U27&amp;"_ТП"&amp;V27,U27&amp;"_ТП"&amp;V27) &amp; "[Вибираема маса]"),0),MATCH(nearmax(nearmax(dMas1Ga,RDNAME),RDNAME),RDNAME,0)+1)</f>
        <v>14.9</v>
      </c>
      <c r="D27" s="43"/>
      <c r="E27" s="43"/>
      <c r="F27" s="237">
        <f>dT_13+dT_23+dT_33+dT_43</f>
        <v>46</v>
      </c>
      <c r="G27" s="45">
        <f ca="1">C27*G18</f>
        <v>14.9</v>
      </c>
      <c r="H27" s="45">
        <f ca="1">8/G27</f>
        <v>0.53691275167785235</v>
      </c>
      <c r="I27" s="45">
        <f ca="1">J27</f>
        <v>24.697986577181208</v>
      </c>
      <c r="J27" s="46">
        <f ca="1">F27/G27*8</f>
        <v>24.697986577181208</v>
      </c>
      <c r="K27" s="991"/>
      <c r="L27" s="38">
        <f t="shared" si="7"/>
        <v>0</v>
      </c>
      <c r="M27" s="38">
        <f t="shared" si="8"/>
        <v>0</v>
      </c>
      <c r="N27" s="38">
        <f t="shared" si="9"/>
        <v>0</v>
      </c>
      <c r="O27" s="116">
        <f ca="1">E25*J27</f>
        <v>762.67382550335572</v>
      </c>
      <c r="P27" s="112">
        <f t="shared" ca="1" si="10"/>
        <v>381.33691275167786</v>
      </c>
      <c r="Q27" s="112">
        <f t="shared" ca="1" si="1"/>
        <v>251.6823624161074</v>
      </c>
      <c r="R27" s="112">
        <f t="shared" ca="1" si="2"/>
        <v>1395.6931006711411</v>
      </c>
      <c r="U27" s="298" t="s">
        <v>3250</v>
      </c>
      <c r="W27" s="3">
        <f t="shared" ca="1" si="3"/>
        <v>926.6486979865773</v>
      </c>
    </row>
    <row r="28" spans="1:23" ht="13.5" thickBot="1">
      <c r="A28" s="47" t="s">
        <v>5010</v>
      </c>
      <c r="B28" s="32"/>
      <c r="C28" s="309"/>
      <c r="D28" s="53"/>
      <c r="E28" s="53"/>
      <c r="F28" s="662"/>
      <c r="G28" s="34"/>
      <c r="H28" s="34"/>
      <c r="I28" s="34"/>
      <c r="J28" s="54"/>
      <c r="K28" s="994"/>
      <c r="L28" s="989"/>
      <c r="M28" s="989"/>
      <c r="N28" s="989"/>
      <c r="O28" s="52"/>
      <c r="P28" s="112"/>
      <c r="Q28" s="112"/>
      <c r="R28" s="112"/>
      <c r="W28" s="3">
        <f t="shared" si="3"/>
        <v>0</v>
      </c>
    </row>
    <row r="29" spans="1:23" ht="15.75" thickBot="1">
      <c r="A29" s="55" t="s">
        <v>5345</v>
      </c>
      <c r="B29" s="35" t="s">
        <v>39</v>
      </c>
      <c r="C29" s="234">
        <f ca="1">C31*0.88</f>
        <v>21.208000000000002</v>
      </c>
      <c r="D29" s="37" t="s">
        <v>42</v>
      </c>
      <c r="E29" s="656">
        <f ca="1">ROUNDUP((INDIRECT(ADDRESS(MATCH(dумДатаТарифы,Тарифи[№],0)+1,LEFT(D29,1)+2,1,1,"Тарифи"))+INDIRECT(ADDRESS(MATCH(dумДатаТарифы,Тарифи[№],0)+1,RIGHT(D29,1)+2,1,1,"Тарифи")))/2,2)</f>
        <v>35.22</v>
      </c>
      <c r="F29" s="663">
        <v>0</v>
      </c>
      <c r="G29" s="659">
        <f ca="1">C29*G18</f>
        <v>21.208000000000002</v>
      </c>
      <c r="H29" s="36">
        <f t="shared" ref="H29:H40" ca="1" si="11">16/G29</f>
        <v>0.75443228970199916</v>
      </c>
      <c r="I29" s="36">
        <f t="shared" ref="I29:I40" ca="1" si="12">J29/2</f>
        <v>0</v>
      </c>
      <c r="J29" s="38">
        <f ca="1">F29/G29*16</f>
        <v>0</v>
      </c>
      <c r="K29" s="990"/>
      <c r="L29" s="38">
        <f t="shared" ref="L29:L40" si="13">(F29*K29/1000)/0.73</f>
        <v>0</v>
      </c>
      <c r="M29" s="38">
        <f t="shared" ref="M29:M40" si="14">L29*0.4</f>
        <v>0</v>
      </c>
      <c r="N29" s="38">
        <f t="shared" ref="N29:N40" si="15">L29*0.05</f>
        <v>0</v>
      </c>
      <c r="O29" s="115">
        <f ca="1">E29*J29</f>
        <v>0</v>
      </c>
      <c r="P29" s="112">
        <f t="shared" ref="P29:P40" ca="1" si="16">O29*0.5</f>
        <v>0</v>
      </c>
      <c r="Q29" s="112">
        <f t="shared" ca="1" si="1"/>
        <v>0</v>
      </c>
      <c r="R29" s="112">
        <f t="shared" ca="1" si="2"/>
        <v>0</v>
      </c>
      <c r="W29" s="3">
        <f t="shared" ca="1" si="3"/>
        <v>0</v>
      </c>
    </row>
    <row r="30" spans="1:23" ht="13.5" thickBot="1">
      <c r="A30" s="39" t="s">
        <v>71</v>
      </c>
      <c r="B30" s="35" t="s">
        <v>39</v>
      </c>
      <c r="C30" s="399">
        <f ca="1">INDEX(INDIRECT(IF(A30="Твердолистяні породи",U30&amp;"_ТП"&amp;V30,U30&amp;"_ХМ"&amp;V30)),MATCH(nearmax(dCrHl,INDIRECT(IF(A30="Твердолистяні породи",U30&amp;"_ТП"&amp;V30,U30&amp;"_ХМ"&amp;V30) &amp; "[Вибираема маса]")),INDIRECT(IF(A30="Твердолистяні породи",U30&amp;"_ТП"&amp;V30,U30&amp;"_ТП"&amp;V30) &amp; "[Вибираема маса]"),0),MATCH(nearmax(nearmax(dMas1Ga,RDNAME),RDNAME),RDNAME,0)+1)</f>
        <v>28.9</v>
      </c>
      <c r="D30" s="310"/>
      <c r="E30" s="657"/>
      <c r="F30" s="664">
        <v>0</v>
      </c>
      <c r="G30" s="659">
        <f ca="1">C30*G18</f>
        <v>28.9</v>
      </c>
      <c r="H30" s="36">
        <f t="shared" ca="1" si="11"/>
        <v>0.55363321799307963</v>
      </c>
      <c r="I30" s="36">
        <f t="shared" ca="1" si="12"/>
        <v>0</v>
      </c>
      <c r="J30" s="38">
        <f ca="1">F30/G30*16</f>
        <v>0</v>
      </c>
      <c r="K30" s="990"/>
      <c r="L30" s="38">
        <f t="shared" si="13"/>
        <v>0</v>
      </c>
      <c r="M30" s="38">
        <f t="shared" si="14"/>
        <v>0</v>
      </c>
      <c r="N30" s="38">
        <f t="shared" si="15"/>
        <v>0</v>
      </c>
      <c r="O30" s="115">
        <f ca="1">E29*J30</f>
        <v>0</v>
      </c>
      <c r="P30" s="112">
        <f t="shared" ca="1" si="16"/>
        <v>0</v>
      </c>
      <c r="Q30" s="112">
        <f t="shared" ca="1" si="1"/>
        <v>0</v>
      </c>
      <c r="R30" s="112">
        <f t="shared" ca="1" si="2"/>
        <v>0</v>
      </c>
      <c r="U30" s="2" t="s">
        <v>3229</v>
      </c>
      <c r="V30" s="3" t="s">
        <v>3230</v>
      </c>
      <c r="W30" s="3">
        <f t="shared" ca="1" si="3"/>
        <v>0</v>
      </c>
    </row>
    <row r="31" spans="1:23" ht="13.5" thickBot="1">
      <c r="A31" s="41" t="s">
        <v>72</v>
      </c>
      <c r="B31" s="35" t="s">
        <v>39</v>
      </c>
      <c r="C31" s="399">
        <f ca="1">INDEX(INDIRECT(IF(A31="Твердолистяні породи",U31&amp;"_ТП"&amp;V31,U31&amp;"_ХМ"&amp;V31)),MATCH(nearmax(dCrHl,INDIRECT(IF(A31="Твердолистяні породи",U31&amp;"_ТП"&amp;V31,U31&amp;"_ХМ"&amp;V31) &amp; "[Вибираема маса]")),INDIRECT(IF(A31="Твердолистяні породи",U31&amp;"_ТП"&amp;V31,U31&amp;"_ТП"&amp;V31) &amp; "[Вибираема маса]"),0),MATCH(nearmax(nearmax(dMas1Ga,RDNAME),RDNAME),RDNAME,0)+1)</f>
        <v>24.1</v>
      </c>
      <c r="D31" s="310"/>
      <c r="E31" s="657"/>
      <c r="F31" s="664">
        <v>1</v>
      </c>
      <c r="G31" s="659">
        <f ca="1">C31*G18</f>
        <v>24.1</v>
      </c>
      <c r="H31" s="36">
        <f t="shared" ca="1" si="11"/>
        <v>0.66390041493775931</v>
      </c>
      <c r="I31" s="36">
        <f t="shared" ca="1" si="12"/>
        <v>0.33195020746887965</v>
      </c>
      <c r="J31" s="38">
        <f ca="1">F31/G31*16</f>
        <v>0.66390041493775931</v>
      </c>
      <c r="K31" s="990"/>
      <c r="L31" s="38">
        <f t="shared" si="13"/>
        <v>0</v>
      </c>
      <c r="M31" s="38">
        <f t="shared" si="14"/>
        <v>0</v>
      </c>
      <c r="N31" s="38">
        <f t="shared" si="15"/>
        <v>0</v>
      </c>
      <c r="O31" s="115">
        <f ca="1">E29*J31</f>
        <v>23.382572614107882</v>
      </c>
      <c r="P31" s="112">
        <f t="shared" ca="1" si="16"/>
        <v>11.691286307053941</v>
      </c>
      <c r="Q31" s="112">
        <f t="shared" ca="1" si="1"/>
        <v>7.7162489626556008</v>
      </c>
      <c r="R31" s="112">
        <f t="shared" ca="1" si="2"/>
        <v>42.79010788381742</v>
      </c>
      <c r="U31" s="2" t="s">
        <v>3229</v>
      </c>
      <c r="V31" s="3" t="s">
        <v>3230</v>
      </c>
      <c r="W31" s="3">
        <f t="shared" ca="1" si="3"/>
        <v>28.409825726141079</v>
      </c>
    </row>
    <row r="32" spans="1:23" ht="15.75" thickBot="1">
      <c r="A32" s="55" t="s">
        <v>5346</v>
      </c>
      <c r="B32" s="35" t="s">
        <v>39</v>
      </c>
      <c r="C32" s="234">
        <f ca="1">C34*0.88</f>
        <v>21.208000000000002</v>
      </c>
      <c r="D32" s="37" t="s">
        <v>42</v>
      </c>
      <c r="E32" s="656">
        <f ca="1">ROUNDUP((INDIRECT(ADDRESS(MATCH(dумДатаТарифы,Тарифи[№],0)+1,LEFT(D32,1)+2,1,1,"Тарифи"))+INDIRECT(ADDRESS(MATCH(dумДатаТарифы,Тарифи[№],0)+1,RIGHT(D32,1)+2,1,1,"Тарифи")))/2,2)</f>
        <v>35.22</v>
      </c>
      <c r="F32" s="664">
        <v>0</v>
      </c>
      <c r="G32" s="660">
        <f ca="1">C32*G18</f>
        <v>21.208000000000002</v>
      </c>
      <c r="H32" s="36">
        <f t="shared" ca="1" si="11"/>
        <v>0.75443228970199916</v>
      </c>
      <c r="I32" s="36">
        <f t="shared" ca="1" si="12"/>
        <v>0</v>
      </c>
      <c r="J32" s="38">
        <f t="shared" ref="J32:J40" ca="1" si="17">F32/G32*16</f>
        <v>0</v>
      </c>
      <c r="K32" s="990"/>
      <c r="L32" s="38">
        <f t="shared" si="13"/>
        <v>0</v>
      </c>
      <c r="M32" s="38">
        <f t="shared" si="14"/>
        <v>0</v>
      </c>
      <c r="N32" s="38">
        <f t="shared" si="15"/>
        <v>0</v>
      </c>
      <c r="O32" s="115">
        <f ca="1">E32*J32</f>
        <v>0</v>
      </c>
      <c r="P32" s="112">
        <f t="shared" ca="1" si="16"/>
        <v>0</v>
      </c>
      <c r="Q32" s="112">
        <f t="shared" ca="1" si="1"/>
        <v>0</v>
      </c>
      <c r="R32" s="112">
        <f t="shared" ca="1" si="2"/>
        <v>0</v>
      </c>
      <c r="U32" s="299"/>
      <c r="W32" s="3">
        <f t="shared" ca="1" si="3"/>
        <v>0</v>
      </c>
    </row>
    <row r="33" spans="1:23" ht="13.5" thickBot="1">
      <c r="A33" s="39" t="s">
        <v>71</v>
      </c>
      <c r="B33" s="35" t="s">
        <v>39</v>
      </c>
      <c r="C33" s="399">
        <f ca="1">INDEX(INDIRECT(IF(A33="Твердолистяні породи",U33&amp;"_ТП"&amp;V33,U33&amp;"_ХМ"&amp;V33)),MATCH(nearmax(dCrHl,INDIRECT(IF(A33="Твердолистяні породи",U33&amp;"_ТП"&amp;V33,U33&amp;"_ХМ"&amp;V33) &amp; "[Вибираема маса]")),INDIRECT(IF(A33="Твердолистяні породи",U33&amp;"_ТП"&amp;V33,U33&amp;"_ХМ"&amp;V33) &amp; "[Вибираема маса]"),0),MATCH(nearmax(nearmax(dMas1Ga,RDNAME),RDNAME),RDNAME,0)+1)</f>
        <v>28.9</v>
      </c>
      <c r="D33" s="57"/>
      <c r="E33" s="657"/>
      <c r="F33" s="664">
        <v>0</v>
      </c>
      <c r="G33" s="660">
        <f ca="1">C33*G18</f>
        <v>28.9</v>
      </c>
      <c r="H33" s="36">
        <f t="shared" ca="1" si="11"/>
        <v>0.55363321799307963</v>
      </c>
      <c r="I33" s="36">
        <f t="shared" ca="1" si="12"/>
        <v>0</v>
      </c>
      <c r="J33" s="38">
        <f t="shared" ca="1" si="17"/>
        <v>0</v>
      </c>
      <c r="K33" s="990"/>
      <c r="L33" s="38">
        <f t="shared" si="13"/>
        <v>0</v>
      </c>
      <c r="M33" s="38">
        <f t="shared" si="14"/>
        <v>0</v>
      </c>
      <c r="N33" s="38">
        <f t="shared" si="15"/>
        <v>0</v>
      </c>
      <c r="O33" s="115">
        <f ca="1">E32*J33</f>
        <v>0</v>
      </c>
      <c r="P33" s="112">
        <f t="shared" ca="1" si="16"/>
        <v>0</v>
      </c>
      <c r="Q33" s="112">
        <f t="shared" ca="1" si="1"/>
        <v>0</v>
      </c>
      <c r="R33" s="112">
        <f t="shared" ca="1" si="2"/>
        <v>0</v>
      </c>
      <c r="U33" s="2" t="s">
        <v>3229</v>
      </c>
      <c r="V33" s="3" t="s">
        <v>3230</v>
      </c>
      <c r="W33" s="3">
        <f t="shared" ca="1" si="3"/>
        <v>0</v>
      </c>
    </row>
    <row r="34" spans="1:23" ht="13.5" thickBot="1">
      <c r="A34" s="41" t="s">
        <v>72</v>
      </c>
      <c r="B34" s="35" t="s">
        <v>39</v>
      </c>
      <c r="C34" s="399">
        <f ca="1">INDEX(INDIRECT(IF(A34="Твердолистяні породи",U34&amp;"_ТП"&amp;V34,U34&amp;"_ХМ"&amp;V34)),MATCH(nearmax(dCrHl,INDIRECT(IF(A34="Твердолистяні породи",U34&amp;"_ТП"&amp;V34,U34&amp;"_ХМ"&amp;V34) &amp; "[Вибираема маса]")),INDIRECT(IF(A34="Твердолистяні породи",U34&amp;"_ТП"&amp;V34,U34&amp;"_ХМ"&amp;V34) &amp; "[Вибираема маса]"),0),MATCH(nearmax(nearmax(dMas1Ga,RDNAME),RDNAME),RDNAME,0)+1)</f>
        <v>24.1</v>
      </c>
      <c r="D34" s="310"/>
      <c r="E34" s="657"/>
      <c r="F34" s="664">
        <v>0</v>
      </c>
      <c r="G34" s="660">
        <f ca="1">C34*G18</f>
        <v>24.1</v>
      </c>
      <c r="H34" s="36">
        <f t="shared" ca="1" si="11"/>
        <v>0.66390041493775931</v>
      </c>
      <c r="I34" s="36">
        <f t="shared" ca="1" si="12"/>
        <v>0</v>
      </c>
      <c r="J34" s="38">
        <f t="shared" ca="1" si="17"/>
        <v>0</v>
      </c>
      <c r="K34" s="990"/>
      <c r="L34" s="38">
        <f t="shared" si="13"/>
        <v>0</v>
      </c>
      <c r="M34" s="38">
        <f t="shared" si="14"/>
        <v>0</v>
      </c>
      <c r="N34" s="38">
        <f t="shared" si="15"/>
        <v>0</v>
      </c>
      <c r="O34" s="115">
        <f ca="1">E32*J34</f>
        <v>0</v>
      </c>
      <c r="P34" s="112">
        <f t="shared" ca="1" si="16"/>
        <v>0</v>
      </c>
      <c r="Q34" s="112">
        <f t="shared" ca="1" si="1"/>
        <v>0</v>
      </c>
      <c r="R34" s="112">
        <f t="shared" ca="1" si="2"/>
        <v>0</v>
      </c>
      <c r="U34" s="2" t="s">
        <v>3229</v>
      </c>
      <c r="V34" s="3" t="s">
        <v>3230</v>
      </c>
      <c r="W34" s="3">
        <f t="shared" ca="1" si="3"/>
        <v>0</v>
      </c>
    </row>
    <row r="35" spans="1:23" ht="15.75" thickBot="1">
      <c r="A35" s="55" t="s">
        <v>5347</v>
      </c>
      <c r="B35" s="35" t="s">
        <v>39</v>
      </c>
      <c r="C35" s="234">
        <f ca="1">C37*0.88</f>
        <v>21.208000000000002</v>
      </c>
      <c r="D35" s="37" t="s">
        <v>42</v>
      </c>
      <c r="E35" s="656">
        <f ca="1">ROUNDUP((INDIRECT(ADDRESS(MATCH(dумДатаТарифы,Тарифи[№],0)+1,LEFT(D35,1)+2,1,1,"Тарифи"))+INDIRECT(ADDRESS(MATCH(dумДатаТарифы,Тарифи[№],0)+1,RIGHT(D35,1)+2,1,1,"Тарифи")))/2,2)</f>
        <v>35.22</v>
      </c>
      <c r="F35" s="664">
        <v>0</v>
      </c>
      <c r="G35" s="660">
        <f ca="1">C35*G18</f>
        <v>21.208000000000002</v>
      </c>
      <c r="H35" s="36">
        <f t="shared" ca="1" si="11"/>
        <v>0.75443228970199916</v>
      </c>
      <c r="I35" s="36">
        <f t="shared" ca="1" si="12"/>
        <v>0</v>
      </c>
      <c r="J35" s="38">
        <f t="shared" ca="1" si="17"/>
        <v>0</v>
      </c>
      <c r="K35" s="990"/>
      <c r="L35" s="38">
        <f t="shared" si="13"/>
        <v>0</v>
      </c>
      <c r="M35" s="38">
        <f t="shared" si="14"/>
        <v>0</v>
      </c>
      <c r="N35" s="38">
        <f t="shared" si="15"/>
        <v>0</v>
      </c>
      <c r="O35" s="115">
        <f ca="1">E35*J35</f>
        <v>0</v>
      </c>
      <c r="P35" s="112">
        <f t="shared" ca="1" si="16"/>
        <v>0</v>
      </c>
      <c r="Q35" s="112">
        <f t="shared" ca="1" si="1"/>
        <v>0</v>
      </c>
      <c r="R35" s="112">
        <f t="shared" ca="1" si="2"/>
        <v>0</v>
      </c>
      <c r="W35" s="3">
        <f t="shared" ca="1" si="3"/>
        <v>0</v>
      </c>
    </row>
    <row r="36" spans="1:23" ht="13.5" thickBot="1">
      <c r="A36" s="39" t="s">
        <v>71</v>
      </c>
      <c r="B36" s="35" t="s">
        <v>39</v>
      </c>
      <c r="C36" s="399">
        <f ca="1">INDEX(INDIRECT(IF(A36="Твердолистяні породи",U36&amp;"_ТП"&amp;V36,U36&amp;"_ХМ"&amp;V36)),MATCH(nearmax(dCrHl,INDIRECT(IF(A36="Твердолистяні породи",U36&amp;"_ТП"&amp;V36,U36&amp;"_ХМ"&amp;V36) &amp; "[Вибираема маса]")),INDIRECT(IF(A36="Твердолистяні породи",U36&amp;"_ТП"&amp;V36,U36&amp;"_ХМ"&amp;V36) &amp; "[Вибираема маса]"),0),MATCH(nearmax(nearmax(dMas1Ga,RDNAME),RDNAME),RDNAME,0)+1)</f>
        <v>28.9</v>
      </c>
      <c r="D36" s="310"/>
      <c r="E36" s="657"/>
      <c r="F36" s="664">
        <v>0</v>
      </c>
      <c r="G36" s="660">
        <f ca="1">C36*G18</f>
        <v>28.9</v>
      </c>
      <c r="H36" s="36">
        <f t="shared" ca="1" si="11"/>
        <v>0.55363321799307963</v>
      </c>
      <c r="I36" s="36">
        <f t="shared" ca="1" si="12"/>
        <v>0</v>
      </c>
      <c r="J36" s="38">
        <f t="shared" ca="1" si="17"/>
        <v>0</v>
      </c>
      <c r="K36" s="990"/>
      <c r="L36" s="38">
        <f t="shared" si="13"/>
        <v>0</v>
      </c>
      <c r="M36" s="38">
        <f t="shared" si="14"/>
        <v>0</v>
      </c>
      <c r="N36" s="38">
        <f t="shared" si="15"/>
        <v>0</v>
      </c>
      <c r="O36" s="115">
        <f ca="1">E35*J36</f>
        <v>0</v>
      </c>
      <c r="P36" s="112">
        <f t="shared" ca="1" si="16"/>
        <v>0</v>
      </c>
      <c r="Q36" s="112">
        <f t="shared" ca="1" si="1"/>
        <v>0</v>
      </c>
      <c r="R36" s="112">
        <f t="shared" ca="1" si="2"/>
        <v>0</v>
      </c>
      <c r="U36" s="2" t="s">
        <v>3229</v>
      </c>
      <c r="V36" s="3" t="s">
        <v>3230</v>
      </c>
      <c r="W36" s="3">
        <f t="shared" ca="1" si="3"/>
        <v>0</v>
      </c>
    </row>
    <row r="37" spans="1:23" ht="13.5" thickBot="1">
      <c r="A37" s="41" t="s">
        <v>72</v>
      </c>
      <c r="B37" s="35" t="s">
        <v>39</v>
      </c>
      <c r="C37" s="399">
        <f ca="1">INDEX(INDIRECT(IF(A37="Твердолистяні породи",U37&amp;"_ТП"&amp;V37,U37&amp;"_ХМ"&amp;V37)),MATCH(nearmax(dCrHl,INDIRECT(IF(A37="Твердолистяні породи",U37&amp;"_ТП"&amp;V37,U37&amp;"_ХМ"&amp;V37) &amp; "[Вибираема маса]")),INDIRECT(IF(A37="Твердолистяні породи",U37&amp;"_ТП"&amp;V37,U37&amp;"_ХМ"&amp;V37) &amp; "[Вибираема маса]"),0),MATCH(nearmax(nearmax(dMas1Ga,RDNAME),RDNAME),RDNAME,0)+1)</f>
        <v>24.1</v>
      </c>
      <c r="D37" s="310"/>
      <c r="E37" s="657"/>
      <c r="F37" s="664">
        <v>35</v>
      </c>
      <c r="G37" s="660">
        <f ca="1">C37*G18</f>
        <v>24.1</v>
      </c>
      <c r="H37" s="36">
        <f ca="1">16/G37</f>
        <v>0.66390041493775931</v>
      </c>
      <c r="I37" s="36">
        <f ca="1">J37/2</f>
        <v>11.618257261410788</v>
      </c>
      <c r="J37" s="38">
        <f ca="1">F37/G37*16</f>
        <v>23.236514522821576</v>
      </c>
      <c r="K37" s="990"/>
      <c r="L37" s="38">
        <f t="shared" si="13"/>
        <v>0</v>
      </c>
      <c r="M37" s="38">
        <f t="shared" si="14"/>
        <v>0</v>
      </c>
      <c r="N37" s="38">
        <f t="shared" si="15"/>
        <v>0</v>
      </c>
      <c r="O37" s="115">
        <f ca="1">E35*J37</f>
        <v>818.39004149377593</v>
      </c>
      <c r="P37" s="112">
        <f t="shared" ca="1" si="16"/>
        <v>409.19502074688796</v>
      </c>
      <c r="Q37" s="112">
        <f t="shared" ca="1" si="1"/>
        <v>270.06871369294601</v>
      </c>
      <c r="R37" s="112">
        <f t="shared" ca="1" si="2"/>
        <v>1497.6537759336097</v>
      </c>
      <c r="U37" s="2" t="s">
        <v>3229</v>
      </c>
      <c r="V37" s="3" t="s">
        <v>3230</v>
      </c>
      <c r="W37" s="3">
        <f t="shared" ca="1" si="3"/>
        <v>994.34390041493782</v>
      </c>
    </row>
    <row r="38" spans="1:23" ht="15.75" thickBot="1">
      <c r="A38" s="55" t="s">
        <v>5348</v>
      </c>
      <c r="B38" s="35" t="s">
        <v>39</v>
      </c>
      <c r="C38" s="234">
        <f ca="1">C40*0.88</f>
        <v>14.871999999999998</v>
      </c>
      <c r="D38" s="37" t="s">
        <v>42</v>
      </c>
      <c r="E38" s="656">
        <f ca="1">ROUNDUP((INDIRECT(ADDRESS(MATCH(dумДатаТарифы,Тарифи[№],0)+1,LEFT(D38,1)+2,1,1,"Тарифи"))+INDIRECT(ADDRESS(MATCH(dумДатаТарифы,Тарифи[№],0)+1,RIGHT(D38,1)+2,1,1,"Тарифи")))/2,2)</f>
        <v>35.22</v>
      </c>
      <c r="F38" s="664">
        <v>0</v>
      </c>
      <c r="G38" s="660">
        <f ca="1">C38*G18</f>
        <v>14.871999999999998</v>
      </c>
      <c r="H38" s="36">
        <f t="shared" ca="1" si="11"/>
        <v>1.0758472296933836</v>
      </c>
      <c r="I38" s="36">
        <f t="shared" ca="1" si="12"/>
        <v>0</v>
      </c>
      <c r="J38" s="38">
        <f t="shared" ca="1" si="17"/>
        <v>0</v>
      </c>
      <c r="K38" s="990"/>
      <c r="L38" s="38">
        <f t="shared" si="13"/>
        <v>0</v>
      </c>
      <c r="M38" s="38">
        <f t="shared" si="14"/>
        <v>0</v>
      </c>
      <c r="N38" s="38">
        <f t="shared" si="15"/>
        <v>0</v>
      </c>
      <c r="O38" s="115">
        <f ca="1">E38*J38</f>
        <v>0</v>
      </c>
      <c r="P38" s="112">
        <f t="shared" ca="1" si="16"/>
        <v>0</v>
      </c>
      <c r="Q38" s="112">
        <f t="shared" ca="1" si="1"/>
        <v>0</v>
      </c>
      <c r="R38" s="112">
        <f t="shared" ca="1" si="2"/>
        <v>0</v>
      </c>
      <c r="U38" s="86"/>
      <c r="W38" s="3">
        <f t="shared" ca="1" si="3"/>
        <v>0</v>
      </c>
    </row>
    <row r="39" spans="1:23" ht="13.5" thickBot="1">
      <c r="A39" s="39" t="s">
        <v>71</v>
      </c>
      <c r="B39" s="35" t="s">
        <v>39</v>
      </c>
      <c r="C39" s="399">
        <f ca="1">INDEX(INDIRECT(IF(A39="Твердолистяні породи",U39&amp;"_ТП"&amp;V39,U39&amp;"_ХМ"&amp;V39)),MATCH(nearmax(dCrHl,INDIRECT(IF(A39="Твердолистяні породи",U39&amp;"_ТП"&amp;V39,U39&amp;"_ХМ"&amp;V39) &amp; "[Вибираема маса]")),INDIRECT(IF(A39="Твердолистяні породи",U39&amp;"_ТП"&amp;V39,U39&amp;"_ХМ"&amp;V39) &amp; "[Вибираема маса]"),0),MATCH(nearmax(nearmax(dMas1Ga,RDNAME),RDNAME),RDNAME,0)+1)</f>
        <v>20.5</v>
      </c>
      <c r="D39" s="310"/>
      <c r="E39" s="657"/>
      <c r="F39" s="664">
        <v>0</v>
      </c>
      <c r="G39" s="660">
        <f ca="1">C39*G18</f>
        <v>20.5</v>
      </c>
      <c r="H39" s="36">
        <f t="shared" ca="1" si="11"/>
        <v>0.78048780487804881</v>
      </c>
      <c r="I39" s="36">
        <f t="shared" ca="1" si="12"/>
        <v>0</v>
      </c>
      <c r="J39" s="38">
        <f t="shared" ca="1" si="17"/>
        <v>0</v>
      </c>
      <c r="K39" s="990"/>
      <c r="L39" s="38">
        <f t="shared" si="13"/>
        <v>0</v>
      </c>
      <c r="M39" s="38">
        <f t="shared" si="14"/>
        <v>0</v>
      </c>
      <c r="N39" s="38">
        <f t="shared" si="15"/>
        <v>0</v>
      </c>
      <c r="O39" s="115">
        <f ca="1">E38*J39</f>
        <v>0</v>
      </c>
      <c r="P39" s="112">
        <f t="shared" ca="1" si="16"/>
        <v>0</v>
      </c>
      <c r="Q39" s="112">
        <f t="shared" ca="1" si="1"/>
        <v>0</v>
      </c>
      <c r="R39" s="112">
        <f t="shared" ca="1" si="2"/>
        <v>0</v>
      </c>
      <c r="U39" s="2" t="s">
        <v>3229</v>
      </c>
      <c r="V39" s="3" t="s">
        <v>3231</v>
      </c>
      <c r="W39" s="3">
        <f t="shared" ca="1" si="3"/>
        <v>0</v>
      </c>
    </row>
    <row r="40" spans="1:23" ht="13.5" thickBot="1">
      <c r="A40" s="41" t="s">
        <v>72</v>
      </c>
      <c r="B40" s="42" t="s">
        <v>39</v>
      </c>
      <c r="C40" s="399">
        <f ca="1">INDEX(INDIRECT(IF(A40="Твердолистяні породи",U40&amp;"_ТП"&amp;V40,U40&amp;"_ХМ"&amp;V40)),MATCH(nearmax(dCrHl,INDIRECT(IF(A40="Твердолистяні породи",U40&amp;"_ТП"&amp;V40,U40&amp;"_ХМ"&amp;V40) &amp; "[Вибираема маса]")),INDIRECT(IF(A40="Твердолистяні породи",U40&amp;"_ТП"&amp;V40,U40&amp;"_ХМ"&amp;V40) &amp; "[Вибираема маса]"),0),MATCH(nearmax(nearmax(dMas1Ga,RDNAME),RDNAME),RDNAME,0)+1)</f>
        <v>16.899999999999999</v>
      </c>
      <c r="D40" s="43"/>
      <c r="E40" s="658"/>
      <c r="F40" s="665">
        <v>10</v>
      </c>
      <c r="G40" s="661">
        <f ca="1">C40*G18</f>
        <v>16.899999999999999</v>
      </c>
      <c r="H40" s="45">
        <f t="shared" ca="1" si="11"/>
        <v>0.94674556213017758</v>
      </c>
      <c r="I40" s="45">
        <f t="shared" ca="1" si="12"/>
        <v>4.7337278106508878</v>
      </c>
      <c r="J40" s="46">
        <f t="shared" ca="1" si="17"/>
        <v>9.4674556213017755</v>
      </c>
      <c r="K40" s="991"/>
      <c r="L40" s="38">
        <f t="shared" si="13"/>
        <v>0</v>
      </c>
      <c r="M40" s="38">
        <f t="shared" si="14"/>
        <v>0</v>
      </c>
      <c r="N40" s="38">
        <f t="shared" si="15"/>
        <v>0</v>
      </c>
      <c r="O40" s="116">
        <f ca="1">E38*J40</f>
        <v>333.44378698224853</v>
      </c>
      <c r="P40" s="112">
        <f t="shared" ca="1" si="16"/>
        <v>166.72189349112426</v>
      </c>
      <c r="Q40" s="112">
        <f t="shared" ca="1" si="1"/>
        <v>110.03644970414202</v>
      </c>
      <c r="R40" s="112">
        <f t="shared" ca="1" si="2"/>
        <v>610.20213017751485</v>
      </c>
      <c r="U40" s="2" t="s">
        <v>3229</v>
      </c>
      <c r="V40" s="3" t="s">
        <v>3231</v>
      </c>
      <c r="W40" s="3">
        <f t="shared" ca="1" si="3"/>
        <v>405.13420118343197</v>
      </c>
    </row>
    <row r="41" spans="1:23" ht="13.5" thickBot="1">
      <c r="A41" s="47" t="s">
        <v>43</v>
      </c>
      <c r="B41" s="32"/>
      <c r="C41" s="309"/>
      <c r="D41" s="31"/>
      <c r="E41" s="31"/>
      <c r="F41" s="110"/>
      <c r="G41" s="33"/>
      <c r="H41" s="34"/>
      <c r="I41" s="34"/>
      <c r="J41" s="54"/>
      <c r="K41" s="994"/>
      <c r="L41" s="989"/>
      <c r="M41" s="989"/>
      <c r="N41" s="989"/>
      <c r="O41" s="52"/>
      <c r="P41" s="112"/>
      <c r="Q41" s="112"/>
      <c r="R41" s="112"/>
      <c r="U41" s="86"/>
      <c r="W41" s="3">
        <f t="shared" si="3"/>
        <v>0</v>
      </c>
    </row>
    <row r="42" spans="1:23" ht="13.5" thickBot="1">
      <c r="A42" s="39" t="s">
        <v>41</v>
      </c>
      <c r="B42" s="35" t="s">
        <v>39</v>
      </c>
      <c r="C42" s="234">
        <f ca="1">C44*0.88</f>
        <v>14.608000000000001</v>
      </c>
      <c r="D42" s="59">
        <v>3</v>
      </c>
      <c r="E42" s="238">
        <f ca="1">ROUNDUP((INDIRECT(ADDRESS(MATCH(dумДатаТарифы,Тарифи[№],0)+1,LEFT(D42,1)+2,1,1,"Тарифи"))+INDIRECT(ADDRESS(MATCH(dумДатаТарифы,Тарифи[№],0)+1,RIGHT(D42,1)+2,1,1,"Тарифи")))/2,2)</f>
        <v>27.45</v>
      </c>
      <c r="F42" s="237">
        <f>F21-F38</f>
        <v>0</v>
      </c>
      <c r="G42" s="56">
        <f ca="1">C42*G18</f>
        <v>14.608000000000001</v>
      </c>
      <c r="H42" s="36">
        <f ca="1">8/G42</f>
        <v>0.547645125958379</v>
      </c>
      <c r="I42" s="36"/>
      <c r="J42" s="38">
        <f ca="1">F42/G42*8</f>
        <v>0</v>
      </c>
      <c r="K42" s="990"/>
      <c r="L42" s="984"/>
      <c r="M42" s="984"/>
      <c r="N42" s="984"/>
      <c r="O42" s="115">
        <f ca="1">E42*J42</f>
        <v>0</v>
      </c>
      <c r="P42" s="112">
        <f ca="1">O42*0.5</f>
        <v>0</v>
      </c>
      <c r="Q42" s="112">
        <f t="shared" ca="1" si="1"/>
        <v>0</v>
      </c>
      <c r="R42" s="112">
        <f t="shared" ca="1" si="2"/>
        <v>0</v>
      </c>
      <c r="U42" s="86"/>
      <c r="W42" s="3">
        <f t="shared" ca="1" si="3"/>
        <v>0</v>
      </c>
    </row>
    <row r="43" spans="1:23" ht="13.5" thickBot="1">
      <c r="A43" s="39" t="s">
        <v>71</v>
      </c>
      <c r="B43" s="35" t="s">
        <v>39</v>
      </c>
      <c r="C43" s="399">
        <f ca="1">INDEX(INDIRECT(IF(A43="Твердолистяні породи",U43&amp;"_ТП"&amp;V43,U43&amp;"_ХМ"&amp;V43)),MATCH(nearmax(dCrHl,INDIRECT(IF(A43="Твердолистяні породи",U43&amp;"_ТП"&amp;V43,U43&amp;"_ХМ"&amp;V43) &amp; "[Вибираема маса]")),INDIRECT(IF(A43="Твердолистяні породи",U43&amp;"_ТП"&amp;V43,U43&amp;"_ХМ"&amp;V43) &amp; "[Вибираема маса]"),0),MATCH(nearmax(nearmax(dMas1Ga,RDNAME),RDNAME),RDNAME,0)+1)</f>
        <v>25</v>
      </c>
      <c r="D43" s="60"/>
      <c r="E43" s="60"/>
      <c r="F43" s="107">
        <f>F22-F39</f>
        <v>0</v>
      </c>
      <c r="G43" s="60">
        <f ca="1">C43*G18</f>
        <v>25</v>
      </c>
      <c r="H43" s="36">
        <f ca="1">8/G43</f>
        <v>0.32</v>
      </c>
      <c r="I43" s="60"/>
      <c r="J43" s="38">
        <f ca="1">F43/G43*8</f>
        <v>0</v>
      </c>
      <c r="K43" s="990"/>
      <c r="L43" s="984"/>
      <c r="M43" s="984"/>
      <c r="N43" s="984"/>
      <c r="O43" s="115">
        <f ca="1">E42*J43</f>
        <v>0</v>
      </c>
      <c r="P43" s="112">
        <f t="shared" ref="P43:P44" ca="1" si="18">O43*0.5</f>
        <v>0</v>
      </c>
      <c r="Q43" s="112">
        <f t="shared" ca="1" si="1"/>
        <v>0</v>
      </c>
      <c r="R43" s="112">
        <f t="shared" ca="1" si="2"/>
        <v>0</v>
      </c>
      <c r="U43" s="86" t="s">
        <v>3227</v>
      </c>
      <c r="W43" s="3">
        <f t="shared" ca="1" si="3"/>
        <v>0</v>
      </c>
    </row>
    <row r="44" spans="1:23" ht="13.5" thickBot="1">
      <c r="A44" s="41" t="s">
        <v>72</v>
      </c>
      <c r="B44" s="42" t="s">
        <v>39</v>
      </c>
      <c r="C44" s="399">
        <f ca="1">INDEX(INDIRECT(IF(A44="Твердолистяні породи",U44&amp;"_ТП"&amp;V44,U44&amp;"_ХМ"&amp;V44)),MATCH(nearmax(dCrHl,INDIRECT(IF(A44="Твердолистяні породи",U44&amp;"_ТП"&amp;V44,U44&amp;"_ХМ"&amp;V44) &amp; "[Вибираема маса]")),INDIRECT(IF(A44="Твердолистяні породи",U44&amp;"_ТП"&amp;V44,U44&amp;"_ХМ"&amp;V44) &amp; "[Вибираема маса]"),0),MATCH(nearmax(nearmax(dMas1Ga,RDNAME),RDNAME),RDNAME,0)+1)</f>
        <v>16.600000000000001</v>
      </c>
      <c r="D44" s="45"/>
      <c r="E44" s="45"/>
      <c r="F44" s="108">
        <f>F23-F40</f>
        <v>36</v>
      </c>
      <c r="G44" s="45">
        <f ca="1">C44*G18</f>
        <v>16.600000000000001</v>
      </c>
      <c r="H44" s="45">
        <f ca="1">8/G44</f>
        <v>0.48192771084337344</v>
      </c>
      <c r="I44" s="61"/>
      <c r="J44" s="46">
        <f ca="1">F44/G44*8</f>
        <v>17.349397590361445</v>
      </c>
      <c r="K44" s="991"/>
      <c r="L44" s="986"/>
      <c r="M44" s="986"/>
      <c r="N44" s="986"/>
      <c r="O44" s="116">
        <f ca="1">E42*J44</f>
        <v>476.24096385542163</v>
      </c>
      <c r="P44" s="112">
        <f t="shared" ca="1" si="18"/>
        <v>238.12048192771081</v>
      </c>
      <c r="Q44" s="112">
        <f t="shared" ca="1" si="1"/>
        <v>157.15951807228913</v>
      </c>
      <c r="R44" s="112">
        <f t="shared" ca="1" si="2"/>
        <v>871.52096385542154</v>
      </c>
      <c r="U44" s="86" t="s">
        <v>3227</v>
      </c>
      <c r="W44" s="3">
        <f t="shared" ca="1" si="3"/>
        <v>578.63277108433726</v>
      </c>
    </row>
    <row r="45" spans="1:23" ht="15.75" thickBot="1">
      <c r="A45" s="123" t="s">
        <v>85</v>
      </c>
      <c r="B45" s="32"/>
      <c r="C45" s="309"/>
      <c r="D45" s="31"/>
      <c r="E45" s="31"/>
      <c r="F45" s="110"/>
      <c r="G45" s="33"/>
      <c r="H45" s="34"/>
      <c r="I45" s="34"/>
      <c r="J45" s="54"/>
      <c r="K45" s="994"/>
      <c r="L45" s="989"/>
      <c r="M45" s="989"/>
      <c r="N45" s="989"/>
      <c r="O45" s="52"/>
      <c r="P45" s="112"/>
      <c r="Q45" s="112"/>
      <c r="R45" s="112"/>
      <c r="U45" s="298"/>
      <c r="W45" s="3">
        <f t="shared" si="3"/>
        <v>0</v>
      </c>
    </row>
    <row r="46" spans="1:23" ht="15.75" thickBot="1">
      <c r="A46" s="39" t="s">
        <v>41</v>
      </c>
      <c r="B46" s="35" t="s">
        <v>39</v>
      </c>
      <c r="C46" s="234">
        <f ca="1">C48*0.88</f>
        <v>15.84</v>
      </c>
      <c r="D46" s="59">
        <v>3</v>
      </c>
      <c r="E46" s="238">
        <f ca="1">ROUNDUP((INDIRECT(ADDRESS(MATCH(dумДатаТарифы,Тарифи[№],0)+1,LEFT(D46,1)+2,1,1,"Тарифи"))+INDIRECT(ADDRESS(MATCH(dумДатаТарифы,Тарифи[№],0)+1,RIGHT(D46,1)+2,1,1,"Тарифи")))/2,2)</f>
        <v>27.45</v>
      </c>
      <c r="F46" s="237">
        <f>F21</f>
        <v>0</v>
      </c>
      <c r="G46" s="56">
        <f ca="1">C46*G18</f>
        <v>15.84</v>
      </c>
      <c r="H46" s="36">
        <f ca="1">8/G46</f>
        <v>0.50505050505050508</v>
      </c>
      <c r="I46" s="36"/>
      <c r="J46" s="38">
        <f ca="1">F46/G46*8</f>
        <v>0</v>
      </c>
      <c r="K46" s="990"/>
      <c r="L46" s="984"/>
      <c r="M46" s="984"/>
      <c r="N46" s="984"/>
      <c r="O46" s="115">
        <f ca="1">E46*J46</f>
        <v>0</v>
      </c>
      <c r="P46" s="112">
        <f ca="1">O46*0.5</f>
        <v>0</v>
      </c>
      <c r="Q46" s="112">
        <f t="shared" ref="Q46:Q48" ca="1" si="19">(O46+P46)*0.22</f>
        <v>0</v>
      </c>
      <c r="R46" s="112">
        <f t="shared" ref="R46:R48" ca="1" si="20">O46+P46+Q46</f>
        <v>0</v>
      </c>
      <c r="U46" s="298"/>
      <c r="W46" s="3">
        <f t="shared" ca="1" si="3"/>
        <v>0</v>
      </c>
    </row>
    <row r="47" spans="1:23" ht="15.75" thickBot="1">
      <c r="A47" s="39" t="s">
        <v>71</v>
      </c>
      <c r="B47" s="35" t="s">
        <v>39</v>
      </c>
      <c r="C47" s="399">
        <f ca="1">INDEX(INDIRECT(IF(A47="Твердолистяні породи",U47&amp;"_ТП"&amp;V47,U47&amp;"_ХМ"&amp;V47)),MATCH(nearmax(dCrHl,INDIRECT(IF(A47="Твердолистяні породи",U47&amp;"_ТП"&amp;V47,U47&amp;"_ХМ"&amp;V47) &amp; "[Вибираема маса]")),INDIRECT(IF(A47="Твердолистяні породи",U47&amp;"_ТП"&amp;V47,U47&amp;"_ХМ"&amp;V47) &amp; "[Вибираема маса]"),0),MATCH(nearmax(nearmax(dMas1Ga,RDNAME),RDNAME),RDNAME,0)+1)</f>
        <v>27</v>
      </c>
      <c r="D47" s="60"/>
      <c r="E47" s="60"/>
      <c r="F47" s="107">
        <f>F22</f>
        <v>0</v>
      </c>
      <c r="G47" s="60">
        <f ca="1">C47*G18</f>
        <v>27</v>
      </c>
      <c r="H47" s="36">
        <f ca="1">8/G47</f>
        <v>0.29629629629629628</v>
      </c>
      <c r="I47" s="60"/>
      <c r="J47" s="38">
        <f ca="1">F47/G47*8</f>
        <v>0</v>
      </c>
      <c r="K47" s="990"/>
      <c r="L47" s="984"/>
      <c r="M47" s="984"/>
      <c r="N47" s="984"/>
      <c r="O47" s="115">
        <f ca="1">E46*J47</f>
        <v>0</v>
      </c>
      <c r="P47" s="112">
        <f t="shared" ref="P47:P48" ca="1" si="21">O47*0.5</f>
        <v>0</v>
      </c>
      <c r="Q47" s="112">
        <f t="shared" ca="1" si="19"/>
        <v>0</v>
      </c>
      <c r="R47" s="112">
        <f t="shared" ca="1" si="20"/>
        <v>0</v>
      </c>
      <c r="U47" s="298" t="s">
        <v>3232</v>
      </c>
      <c r="W47" s="3">
        <f t="shared" ca="1" si="3"/>
        <v>0</v>
      </c>
    </row>
    <row r="48" spans="1:23" ht="15.75" thickBot="1">
      <c r="A48" s="41" t="s">
        <v>72</v>
      </c>
      <c r="B48" s="42" t="s">
        <v>39</v>
      </c>
      <c r="C48" s="399">
        <f ca="1">INDEX(INDIRECT(IF(A48="Твердолистяні породи",U48&amp;"_ТП"&amp;V48,U48&amp;"_ХМ"&amp;V48)),MATCH(nearmax(dCrHl,INDIRECT(IF(A48="Твердолистяні породи",U48&amp;"_ТП"&amp;V48,U48&amp;"_ХМ"&amp;V48) &amp; "[Вибираема маса]")),INDIRECT(IF(A48="Твердолистяні породи",U48&amp;"_ТП"&amp;V48,U48&amp;"_ХМ"&amp;V48) &amp; "[Вибираема маса]"),0),MATCH(nearmax(nearmax(dMas1Ga,RDNAME),RDNAME),RDNAME,0)+1)</f>
        <v>18</v>
      </c>
      <c r="D48" s="45"/>
      <c r="E48" s="45"/>
      <c r="F48" s="108">
        <f>F23</f>
        <v>46</v>
      </c>
      <c r="G48" s="45">
        <f ca="1">C48*G18</f>
        <v>18</v>
      </c>
      <c r="H48" s="45">
        <f ca="1">8/G48</f>
        <v>0.44444444444444442</v>
      </c>
      <c r="I48" s="61"/>
      <c r="J48" s="46">
        <f ca="1">F48/G48*8</f>
        <v>20.444444444444443</v>
      </c>
      <c r="K48" s="991"/>
      <c r="L48" s="986"/>
      <c r="M48" s="986"/>
      <c r="N48" s="986"/>
      <c r="O48" s="116">
        <f ca="1">E46*J48</f>
        <v>561.19999999999993</v>
      </c>
      <c r="P48" s="112">
        <f t="shared" ca="1" si="21"/>
        <v>280.59999999999997</v>
      </c>
      <c r="Q48" s="112">
        <f t="shared" ca="1" si="19"/>
        <v>185.196</v>
      </c>
      <c r="R48" s="112">
        <f t="shared" ca="1" si="20"/>
        <v>1026.9959999999999</v>
      </c>
      <c r="U48" s="298" t="s">
        <v>3232</v>
      </c>
      <c r="W48" s="3">
        <f t="shared" ca="1" si="3"/>
        <v>681.85799999999995</v>
      </c>
    </row>
    <row r="49" spans="1:23" ht="13.5" thickBot="1">
      <c r="A49" s="123" t="s">
        <v>44</v>
      </c>
      <c r="B49" s="32"/>
      <c r="C49" s="398"/>
      <c r="D49" s="34"/>
      <c r="E49" s="34"/>
      <c r="F49" s="110"/>
      <c r="G49" s="34"/>
      <c r="H49" s="34"/>
      <c r="I49" s="62"/>
      <c r="J49" s="63"/>
      <c r="K49" s="983"/>
      <c r="L49" s="983"/>
      <c r="M49" s="983"/>
      <c r="N49" s="983"/>
      <c r="O49" s="52"/>
      <c r="P49" s="112"/>
      <c r="Q49" s="112"/>
      <c r="R49" s="112"/>
      <c r="U49" s="86"/>
      <c r="W49" s="3">
        <f t="shared" si="3"/>
        <v>0</v>
      </c>
    </row>
    <row r="50" spans="1:23" ht="13.5" thickBot="1">
      <c r="A50" s="39" t="s">
        <v>41</v>
      </c>
      <c r="B50" s="35" t="s">
        <v>39</v>
      </c>
      <c r="C50" s="234">
        <f>C52</f>
        <v>11.6</v>
      </c>
      <c r="D50" s="59">
        <v>3</v>
      </c>
      <c r="E50" s="238">
        <f ca="1">ROUNDUP((INDIRECT(ADDRESS(MATCH(dумДатаТарифы,Тарифи[№],0)+1,LEFT(D50,1)+2,1,1,"Тарифи"))+INDIRECT(ADDRESS(MATCH(dумДатаТарифы,Тарифи[№],0)+1,RIGHT(D50,1)+2,1,1,"Тарифи")))/2,2)</f>
        <v>27.45</v>
      </c>
      <c r="F50" s="237">
        <f>F38</f>
        <v>0</v>
      </c>
      <c r="G50" s="56">
        <f ca="1">C50*G18</f>
        <v>11.6</v>
      </c>
      <c r="H50" s="36">
        <f ca="1">8/G50</f>
        <v>0.68965517241379315</v>
      </c>
      <c r="I50" s="36"/>
      <c r="J50" s="38">
        <f ca="1">F50/G50*8</f>
        <v>0</v>
      </c>
      <c r="K50" s="984"/>
      <c r="L50" s="984"/>
      <c r="M50" s="984"/>
      <c r="N50" s="984"/>
      <c r="O50" s="115">
        <f ca="1">E50*J50</f>
        <v>0</v>
      </c>
      <c r="P50" s="112">
        <f ca="1">O50*0.5</f>
        <v>0</v>
      </c>
      <c r="Q50" s="112">
        <f t="shared" ref="Q50:Q52" ca="1" si="22">(O50+P50)*0.22</f>
        <v>0</v>
      </c>
      <c r="R50" s="112">
        <f t="shared" ref="R50:R51" ca="1" si="23">O50+P50+Q50</f>
        <v>0</v>
      </c>
      <c r="U50" s="86"/>
      <c r="W50" s="3">
        <f t="shared" ca="1" si="3"/>
        <v>0</v>
      </c>
    </row>
    <row r="51" spans="1:23" ht="15.75" thickBot="1">
      <c r="A51" s="39" t="s">
        <v>71</v>
      </c>
      <c r="B51" s="35" t="s">
        <v>39</v>
      </c>
      <c r="C51" s="784">
        <v>14.5</v>
      </c>
      <c r="D51" s="36"/>
      <c r="E51" s="36"/>
      <c r="F51" s="107">
        <f>F39</f>
        <v>0</v>
      </c>
      <c r="G51" s="36">
        <f ca="1">C51*G18</f>
        <v>14.5</v>
      </c>
      <c r="H51" s="36">
        <f ca="1">8/G51</f>
        <v>0.55172413793103448</v>
      </c>
      <c r="I51" s="36"/>
      <c r="J51" s="38">
        <f ca="1">F51/G51*8</f>
        <v>0</v>
      </c>
      <c r="K51" s="984"/>
      <c r="L51" s="984"/>
      <c r="M51" s="984"/>
      <c r="N51" s="984"/>
      <c r="O51" s="115">
        <f ca="1">E50*J51</f>
        <v>0</v>
      </c>
      <c r="P51" s="112">
        <f t="shared" ref="P51:P52" ca="1" si="24">O51*0.5</f>
        <v>0</v>
      </c>
      <c r="Q51" s="112">
        <f t="shared" ca="1" si="22"/>
        <v>0</v>
      </c>
      <c r="R51" s="112">
        <f t="shared" ca="1" si="23"/>
        <v>0</v>
      </c>
      <c r="U51" s="298"/>
      <c r="W51" s="3">
        <f t="shared" ca="1" si="3"/>
        <v>0</v>
      </c>
    </row>
    <row r="52" spans="1:23" ht="15.75" thickBot="1">
      <c r="A52" s="41" t="s">
        <v>72</v>
      </c>
      <c r="B52" s="42" t="s">
        <v>39</v>
      </c>
      <c r="C52" s="985">
        <v>11.6</v>
      </c>
      <c r="D52" s="45"/>
      <c r="E52" s="45"/>
      <c r="F52" s="108">
        <f>F40</f>
        <v>10</v>
      </c>
      <c r="G52" s="45">
        <f ca="1">C52*G18</f>
        <v>11.6</v>
      </c>
      <c r="H52" s="45">
        <f ca="1">8/G52</f>
        <v>0.68965517241379315</v>
      </c>
      <c r="I52" s="45"/>
      <c r="J52" s="46">
        <f ca="1">F52/G52*8</f>
        <v>6.8965517241379315</v>
      </c>
      <c r="K52" s="986"/>
      <c r="L52" s="986"/>
      <c r="M52" s="986"/>
      <c r="N52" s="986"/>
      <c r="O52" s="116">
        <f ca="1">E50*J52</f>
        <v>189.31034482758622</v>
      </c>
      <c r="P52" s="112">
        <f t="shared" ca="1" si="24"/>
        <v>94.65517241379311</v>
      </c>
      <c r="Q52" s="112">
        <f t="shared" ca="1" si="22"/>
        <v>62.472413793103449</v>
      </c>
      <c r="R52" s="112">
        <f ca="1">O52+P52+Q52</f>
        <v>346.43793103448274</v>
      </c>
      <c r="U52" s="298" t="s">
        <v>3216</v>
      </c>
      <c r="V52" s="3">
        <f ca="1">W53/B59</f>
        <v>104.94218031802686</v>
      </c>
      <c r="W52" s="3">
        <f t="shared" ca="1" si="3"/>
        <v>230.01206896551727</v>
      </c>
    </row>
    <row r="53" spans="1:23" ht="13.5" thickBot="1">
      <c r="A53" s="66" t="s">
        <v>45</v>
      </c>
      <c r="B53" s="67"/>
      <c r="C53" s="67"/>
      <c r="D53" s="27"/>
      <c r="E53" s="27"/>
      <c r="F53" s="111">
        <f>F29+F30+F31+F32+F33+F34+F35+F36+F37+F38+F39+F40</f>
        <v>46</v>
      </c>
      <c r="G53" s="27"/>
      <c r="H53" s="27"/>
      <c r="I53" s="29">
        <f ca="1">SUM(I27:I52)</f>
        <v>41.381921856711763</v>
      </c>
      <c r="J53" s="119">
        <f ca="1">SUM(J27:J52)</f>
        <v>102.75625089518614</v>
      </c>
      <c r="K53" s="995"/>
      <c r="L53" s="112">
        <f>SUM(L27:L52)</f>
        <v>0</v>
      </c>
      <c r="M53" s="112">
        <f>SUM(M27:M52)</f>
        <v>0</v>
      </c>
      <c r="N53" s="112">
        <f>SUM(N27:N52)</f>
        <v>0</v>
      </c>
      <c r="O53" s="112">
        <f ca="1">SUM(O21:O52)</f>
        <v>3973.1195840569835</v>
      </c>
      <c r="P53" s="112">
        <f ca="1">O53*0.5</f>
        <v>1986.5597920284918</v>
      </c>
      <c r="Q53" s="112">
        <f ca="1">SUM(Q27:Q52)</f>
        <v>1044.3317066412437</v>
      </c>
      <c r="R53" s="112">
        <f ca="1">SUM(R27:R52)</f>
        <v>5791.2940095559879</v>
      </c>
      <c r="U53" s="300"/>
      <c r="W53" s="3">
        <f ca="1">SUM(W21:W52)</f>
        <v>4827.3402946292354</v>
      </c>
    </row>
    <row r="54" spans="1:23" ht="15.75" thickBot="1">
      <c r="A54" s="68" t="s">
        <v>46</v>
      </c>
      <c r="B54" s="69"/>
      <c r="C54" s="69"/>
      <c r="D54" s="70"/>
      <c r="E54" s="70"/>
      <c r="F54" s="70"/>
      <c r="G54" s="70"/>
      <c r="H54" s="70"/>
      <c r="I54" s="70"/>
      <c r="J54" s="70"/>
      <c r="K54" s="996"/>
      <c r="L54" s="996">
        <v>23.33</v>
      </c>
      <c r="M54" s="996">
        <v>26</v>
      </c>
      <c r="N54" s="996">
        <v>100</v>
      </c>
      <c r="O54" s="117"/>
      <c r="P54" s="112"/>
      <c r="Q54" s="117"/>
      <c r="R54" s="117"/>
      <c r="U54" s="298"/>
    </row>
    <row r="55" spans="1:23" ht="13.5" thickBot="1">
      <c r="A55" s="71" t="s">
        <v>47</v>
      </c>
      <c r="B55" s="40"/>
      <c r="C55" s="40"/>
      <c r="D55" s="121"/>
      <c r="E55" s="121"/>
      <c r="F55" s="974"/>
      <c r="G55" s="974"/>
      <c r="H55" s="974"/>
      <c r="I55" s="974"/>
      <c r="J55" s="974"/>
      <c r="K55" s="974"/>
      <c r="L55" s="36">
        <f>L53*L54</f>
        <v>0</v>
      </c>
      <c r="M55" s="36">
        <f t="shared" ref="M55:N55" si="25">M53*M54</f>
        <v>0</v>
      </c>
      <c r="N55" s="36">
        <f t="shared" si="25"/>
        <v>0</v>
      </c>
      <c r="O55" s="106"/>
      <c r="P55" s="112"/>
      <c r="Q55" s="106"/>
      <c r="R55" s="106">
        <f>L55+M55+N55</f>
        <v>0</v>
      </c>
    </row>
    <row r="56" spans="1:23">
      <c r="A56" s="72" t="s">
        <v>48</v>
      </c>
      <c r="B56" s="73"/>
      <c r="C56" s="73"/>
      <c r="D56" s="74"/>
      <c r="E56" s="74"/>
      <c r="F56" s="74"/>
      <c r="G56" s="74"/>
      <c r="H56" s="74"/>
      <c r="I56" s="74"/>
      <c r="J56" s="74"/>
      <c r="K56" s="74"/>
      <c r="L56" s="74"/>
      <c r="M56" s="74"/>
      <c r="N56" s="74"/>
      <c r="O56" s="106">
        <f ca="1">O53+O55</f>
        <v>3973.1195840569835</v>
      </c>
      <c r="P56" s="106">
        <f ca="1">P53+P55</f>
        <v>1986.5597920284918</v>
      </c>
      <c r="Q56" s="106">
        <f ca="1">Q53+Q55</f>
        <v>1044.3317066412437</v>
      </c>
      <c r="R56" s="106">
        <f ca="1">R53+R55</f>
        <v>5791.2940095559879</v>
      </c>
    </row>
    <row r="57" spans="1:23" ht="13.5" thickBot="1">
      <c r="A57" s="75"/>
      <c r="B57" s="73"/>
      <c r="C57" s="73"/>
      <c r="D57" s="76"/>
      <c r="E57" s="76"/>
      <c r="F57" s="77"/>
      <c r="G57" s="76"/>
      <c r="H57" s="76"/>
      <c r="I57" s="76"/>
      <c r="J57" s="78"/>
      <c r="K57" s="76"/>
      <c r="L57" s="76"/>
      <c r="M57" s="76"/>
      <c r="N57" s="76"/>
      <c r="U57" s="301"/>
    </row>
    <row r="58" spans="1:23" ht="30" customHeight="1">
      <c r="A58" s="79" t="s">
        <v>49</v>
      </c>
      <c r="B58" s="2"/>
      <c r="C58" s="2"/>
      <c r="D58" s="1175" t="s">
        <v>50</v>
      </c>
      <c r="E58" s="1176"/>
      <c r="F58" s="1177" t="s">
        <v>51</v>
      </c>
      <c r="G58" s="1178"/>
      <c r="H58" s="1177" t="s">
        <v>52</v>
      </c>
      <c r="I58" s="1179"/>
      <c r="J58" s="1180"/>
      <c r="K58" s="674" t="s">
        <v>3839</v>
      </c>
      <c r="M58" s="3" t="s">
        <v>3848</v>
      </c>
      <c r="N58" s="674" t="str">
        <f>VLOOKUP(dLisVo,Лісництва!B2:O7,8,FALSE)</f>
        <v>Геращенко Б.І.</v>
      </c>
      <c r="U58" s="301"/>
    </row>
    <row r="59" spans="1:23" ht="15.75">
      <c r="A59" s="80" t="s">
        <v>53</v>
      </c>
      <c r="B59" s="81">
        <f>F53</f>
        <v>46</v>
      </c>
      <c r="C59" s="2"/>
      <c r="D59" s="1181">
        <f ca="1">(R53)/B59</f>
        <v>125.89769585991279</v>
      </c>
      <c r="E59" s="1182"/>
      <c r="F59" s="1183">
        <f ca="1">РД_кошторис!J12</f>
        <v>104.94219565217391</v>
      </c>
      <c r="G59" s="1182"/>
      <c r="H59" s="1184">
        <f ca="1">D59-F59</f>
        <v>20.955500207738879</v>
      </c>
      <c r="I59" s="1185"/>
      <c r="J59" s="1186"/>
      <c r="K59" s="674"/>
      <c r="M59" s="96"/>
      <c r="N59" s="76"/>
      <c r="U59" s="301"/>
    </row>
    <row r="60" spans="1:23" ht="15.75">
      <c r="A60" s="82"/>
      <c r="B60" s="2"/>
      <c r="C60" s="2"/>
      <c r="D60" s="1181"/>
      <c r="E60" s="1182"/>
      <c r="F60" s="1183"/>
      <c r="G60" s="1182"/>
      <c r="H60" s="1184"/>
      <c r="I60" s="1185"/>
      <c r="J60" s="1186"/>
      <c r="K60" s="76"/>
      <c r="L60" s="655">
        <f ca="1">B59*F59</f>
        <v>4827.3409999999994</v>
      </c>
      <c r="M60" s="76"/>
      <c r="N60" s="76"/>
      <c r="U60" s="301"/>
    </row>
    <row r="61" spans="1:23" ht="15.75">
      <c r="A61" s="82"/>
      <c r="B61" s="2"/>
      <c r="C61" s="73"/>
      <c r="D61" s="1181"/>
      <c r="E61" s="1182"/>
      <c r="F61" s="1183"/>
      <c r="G61" s="1182"/>
      <c r="H61" s="1184"/>
      <c r="I61" s="1185"/>
      <c r="J61" s="1186"/>
      <c r="K61" s="76" t="s">
        <v>3841</v>
      </c>
      <c r="L61" s="76"/>
      <c r="M61" s="3" t="s">
        <v>3849</v>
      </c>
      <c r="N61" s="76" t="s">
        <v>3840</v>
      </c>
      <c r="U61" s="302"/>
    </row>
    <row r="62" spans="1:23" ht="15.75">
      <c r="A62" s="83"/>
      <c r="B62" s="73"/>
      <c r="C62" s="73"/>
      <c r="D62" s="84"/>
      <c r="E62" s="85"/>
      <c r="F62" s="85"/>
      <c r="G62" s="86"/>
      <c r="H62" s="76"/>
      <c r="I62" s="76"/>
      <c r="J62" s="74"/>
      <c r="K62" s="87"/>
      <c r="L62" s="87"/>
      <c r="M62" s="88"/>
      <c r="N62" s="76"/>
      <c r="U62" s="302"/>
    </row>
    <row r="63" spans="1:23">
      <c r="A63" s="89"/>
      <c r="B63" s="90"/>
      <c r="C63" s="90"/>
      <c r="D63" s="91"/>
      <c r="E63" s="91"/>
      <c r="F63" s="73"/>
      <c r="H63" s="92"/>
      <c r="I63" s="86"/>
      <c r="J63" s="92"/>
      <c r="K63" s="93"/>
      <c r="U63" s="303"/>
    </row>
    <row r="64" spans="1:23">
      <c r="A64" s="83"/>
      <c r="B64" s="73"/>
      <c r="C64" s="73"/>
      <c r="D64" s="122"/>
      <c r="E64" s="122"/>
      <c r="F64" s="94"/>
      <c r="G64" s="94"/>
      <c r="H64" s="94"/>
      <c r="I64" s="94"/>
      <c r="J64" s="94"/>
      <c r="K64" s="95"/>
      <c r="L64" s="76"/>
      <c r="M64" s="76"/>
      <c r="N64" s="76"/>
      <c r="U64" s="302"/>
    </row>
    <row r="65" spans="1:21">
      <c r="A65" s="73"/>
      <c r="B65" s="74"/>
      <c r="C65" s="73"/>
      <c r="D65" s="86"/>
      <c r="E65" s="86"/>
      <c r="F65" s="86"/>
      <c r="G65" s="86"/>
      <c r="H65" s="2"/>
      <c r="I65" s="2"/>
      <c r="J65" s="76"/>
      <c r="K65" s="76"/>
      <c r="L65" s="76"/>
      <c r="M65" s="76"/>
      <c r="N65" s="76"/>
      <c r="U65" s="302"/>
    </row>
    <row r="66" spans="1:21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2"/>
      <c r="L66" s="2"/>
      <c r="M66" s="2"/>
      <c r="N66" s="2"/>
      <c r="U66" s="302"/>
    </row>
    <row r="67" spans="1:21">
      <c r="U67" s="304"/>
    </row>
    <row r="68" spans="1:21">
      <c r="F68" s="3">
        <v>29.978000000000002</v>
      </c>
      <c r="U68" s="304"/>
    </row>
    <row r="69" spans="1:21">
      <c r="U69" s="301"/>
    </row>
    <row r="70" spans="1:21">
      <c r="U70" s="301"/>
    </row>
    <row r="71" spans="1:21">
      <c r="U71" s="86"/>
    </row>
    <row r="72" spans="1:21">
      <c r="U72" s="73"/>
    </row>
    <row r="73" spans="1:21">
      <c r="U73" s="305"/>
    </row>
    <row r="74" spans="1:21">
      <c r="U74" s="306"/>
    </row>
    <row r="75" spans="1:21">
      <c r="U75" s="73"/>
    </row>
    <row r="76" spans="1:21">
      <c r="U76" s="73"/>
    </row>
    <row r="77" spans="1:21">
      <c r="U77" s="307"/>
    </row>
    <row r="78" spans="1:21">
      <c r="U78" s="307"/>
    </row>
    <row r="79" spans="1:21">
      <c r="U79" s="307"/>
    </row>
    <row r="80" spans="1:21">
      <c r="U80" s="73"/>
    </row>
    <row r="81" spans="21:21">
      <c r="U81" s="73"/>
    </row>
    <row r="82" spans="21:21">
      <c r="U82" s="86"/>
    </row>
    <row r="83" spans="21:21">
      <c r="U83" s="86"/>
    </row>
    <row r="84" spans="21:21">
      <c r="U84" s="86"/>
    </row>
    <row r="85" spans="21:21">
      <c r="U85" s="86"/>
    </row>
    <row r="86" spans="21:21">
      <c r="U86" s="86"/>
    </row>
    <row r="87" spans="21:21">
      <c r="U87" s="84"/>
    </row>
    <row r="88" spans="21:21">
      <c r="U88" s="86"/>
    </row>
    <row r="89" spans="21:21">
      <c r="U89" s="86"/>
    </row>
    <row r="90" spans="21:21">
      <c r="U90" s="86"/>
    </row>
    <row r="91" spans="21:21">
      <c r="U91" s="86"/>
    </row>
    <row r="92" spans="21:21">
      <c r="U92" s="86"/>
    </row>
    <row r="93" spans="21:21">
      <c r="U93" s="86"/>
    </row>
    <row r="94" spans="21:21">
      <c r="U94" s="86"/>
    </row>
    <row r="95" spans="21:21">
      <c r="U95" s="86"/>
    </row>
    <row r="96" spans="21:21">
      <c r="U96" s="86"/>
    </row>
    <row r="97" spans="21:21">
      <c r="U97" s="86"/>
    </row>
    <row r="98" spans="21:21">
      <c r="U98" s="86"/>
    </row>
    <row r="99" spans="21:21">
      <c r="U99" s="86"/>
    </row>
    <row r="100" spans="21:21">
      <c r="U100" s="86"/>
    </row>
    <row r="101" spans="21:21">
      <c r="U101" s="86"/>
    </row>
    <row r="102" spans="21:21">
      <c r="U102" s="86"/>
    </row>
    <row r="103" spans="21:21">
      <c r="U103" s="86"/>
    </row>
    <row r="104" spans="21:21">
      <c r="U104" s="86"/>
    </row>
    <row r="105" spans="21:21">
      <c r="U105" s="86"/>
    </row>
    <row r="106" spans="21:21">
      <c r="U106" s="86"/>
    </row>
    <row r="107" spans="21:21">
      <c r="U107" s="86"/>
    </row>
    <row r="108" spans="21:21">
      <c r="U108" s="86"/>
    </row>
    <row r="109" spans="21:21">
      <c r="U109" s="86"/>
    </row>
    <row r="110" spans="21:21">
      <c r="U110" s="86"/>
    </row>
    <row r="111" spans="21:21">
      <c r="U111" s="86"/>
    </row>
    <row r="112" spans="21:21">
      <c r="U112" s="86"/>
    </row>
    <row r="113" spans="21:21">
      <c r="U113" s="86"/>
    </row>
    <row r="114" spans="21:21">
      <c r="U114" s="86"/>
    </row>
    <row r="115" spans="21:21">
      <c r="U115" s="86"/>
    </row>
    <row r="116" spans="21:21">
      <c r="U116" s="86"/>
    </row>
    <row r="117" spans="21:21">
      <c r="U117" s="86"/>
    </row>
    <row r="118" spans="21:21">
      <c r="U118" s="86"/>
    </row>
    <row r="119" spans="21:21">
      <c r="U119" s="86"/>
    </row>
    <row r="120" spans="21:21">
      <c r="U120" s="86"/>
    </row>
    <row r="121" spans="21:21">
      <c r="U121" s="86"/>
    </row>
    <row r="122" spans="21:21">
      <c r="U122" s="86"/>
    </row>
    <row r="123" spans="21:21">
      <c r="U123" s="86"/>
    </row>
    <row r="124" spans="21:21">
      <c r="U124" s="86"/>
    </row>
    <row r="125" spans="21:21">
      <c r="U125" s="86"/>
    </row>
    <row r="126" spans="21:21">
      <c r="U126" s="86"/>
    </row>
    <row r="127" spans="21:21">
      <c r="U127" s="86"/>
    </row>
    <row r="128" spans="21:21">
      <c r="U128" s="86"/>
    </row>
    <row r="129" spans="21:21">
      <c r="U129" s="86"/>
    </row>
    <row r="130" spans="21:21">
      <c r="U130" s="86"/>
    </row>
    <row r="131" spans="21:21">
      <c r="U131" s="86"/>
    </row>
    <row r="132" spans="21:21">
      <c r="U132" s="86"/>
    </row>
    <row r="133" spans="21:21">
      <c r="U133" s="86"/>
    </row>
    <row r="134" spans="21:21">
      <c r="U134" s="86"/>
    </row>
    <row r="135" spans="21:21">
      <c r="U135" s="84"/>
    </row>
    <row r="136" spans="21:21">
      <c r="U136" s="86"/>
    </row>
    <row r="137" spans="21:21">
      <c r="U137" s="74"/>
    </row>
    <row r="138" spans="21:21">
      <c r="U138" s="74"/>
    </row>
    <row r="139" spans="21:21">
      <c r="U139" s="74"/>
    </row>
    <row r="140" spans="21:21">
      <c r="U140" s="74"/>
    </row>
    <row r="141" spans="21:21">
      <c r="U141" s="74"/>
    </row>
    <row r="142" spans="21:21">
      <c r="U142" s="74"/>
    </row>
    <row r="143" spans="21:21">
      <c r="U143" s="74"/>
    </row>
    <row r="144" spans="21:21">
      <c r="U144" s="74"/>
    </row>
    <row r="145" spans="21:21">
      <c r="U145" s="89"/>
    </row>
    <row r="146" spans="21:21">
      <c r="U146" s="73"/>
    </row>
    <row r="147" spans="21:21">
      <c r="U147" s="73"/>
    </row>
    <row r="148" spans="21:21">
      <c r="U148" s="73"/>
    </row>
    <row r="149" spans="21:21">
      <c r="U149" s="73"/>
    </row>
    <row r="150" spans="21:21">
      <c r="U150" s="73"/>
    </row>
    <row r="151" spans="21:21">
      <c r="U151" s="73"/>
    </row>
    <row r="152" spans="21:21">
      <c r="U152" s="73"/>
    </row>
    <row r="153" spans="21:21">
      <c r="U153" s="73"/>
    </row>
    <row r="154" spans="21:21">
      <c r="U154" s="73"/>
    </row>
    <row r="155" spans="21:21">
      <c r="U155" s="73"/>
    </row>
    <row r="156" spans="21:21">
      <c r="U156" s="73"/>
    </row>
    <row r="157" spans="21:21">
      <c r="U157" s="73"/>
    </row>
    <row r="158" spans="21:21">
      <c r="U158" s="73"/>
    </row>
    <row r="159" spans="21:21">
      <c r="U159" s="73"/>
    </row>
    <row r="160" spans="21:21">
      <c r="U160" s="73"/>
    </row>
    <row r="161" spans="21:21">
      <c r="U161" s="73"/>
    </row>
    <row r="162" spans="21:21">
      <c r="U162" s="73"/>
    </row>
    <row r="163" spans="21:21">
      <c r="U163" s="73"/>
    </row>
    <row r="164" spans="21:21">
      <c r="U164" s="73"/>
    </row>
    <row r="165" spans="21:21">
      <c r="U165" s="73"/>
    </row>
    <row r="166" spans="21:21">
      <c r="U166" s="73"/>
    </row>
    <row r="167" spans="21:21">
      <c r="U167" s="73"/>
    </row>
    <row r="168" spans="21:21">
      <c r="U168" s="73"/>
    </row>
    <row r="169" spans="21:21">
      <c r="U169" s="73"/>
    </row>
    <row r="170" spans="21:21">
      <c r="U170" s="73"/>
    </row>
    <row r="171" spans="21:21">
      <c r="U171" s="73"/>
    </row>
    <row r="172" spans="21:21">
      <c r="U172" s="73"/>
    </row>
    <row r="173" spans="21:21">
      <c r="U173" s="73"/>
    </row>
    <row r="174" spans="21:21">
      <c r="U174" s="73"/>
    </row>
    <row r="175" spans="21:21">
      <c r="U175" s="73"/>
    </row>
    <row r="176" spans="21:21">
      <c r="U176" s="73"/>
    </row>
    <row r="177" spans="21:21">
      <c r="U177" s="73"/>
    </row>
    <row r="178" spans="21:21">
      <c r="U178" s="73"/>
    </row>
    <row r="179" spans="21:21">
      <c r="U179" s="73"/>
    </row>
    <row r="180" spans="21:21">
      <c r="U180" s="73"/>
    </row>
    <row r="181" spans="21:21">
      <c r="U181" s="73"/>
    </row>
    <row r="182" spans="21:21">
      <c r="U182" s="73"/>
    </row>
    <row r="183" spans="21:21">
      <c r="U183" s="73"/>
    </row>
    <row r="184" spans="21:21">
      <c r="U184" s="73"/>
    </row>
    <row r="185" spans="21:21">
      <c r="U185" s="73"/>
    </row>
    <row r="186" spans="21:21">
      <c r="U186" s="2"/>
    </row>
    <row r="187" spans="21:21">
      <c r="U187" s="2"/>
    </row>
    <row r="188" spans="21:21">
      <c r="U188" s="2"/>
    </row>
  </sheetData>
  <mergeCells count="53">
    <mergeCell ref="P2:R2"/>
    <mergeCell ref="I3:J3"/>
    <mergeCell ref="P3:R3"/>
    <mergeCell ref="B4:F4"/>
    <mergeCell ref="P5:R5"/>
    <mergeCell ref="G4:H4"/>
    <mergeCell ref="I4:J4"/>
    <mergeCell ref="B3:F3"/>
    <mergeCell ref="G3:H3"/>
    <mergeCell ref="B5:F5"/>
    <mergeCell ref="G5:H5"/>
    <mergeCell ref="I5:J5"/>
    <mergeCell ref="A1:F1"/>
    <mergeCell ref="B2:F2"/>
    <mergeCell ref="G2:H2"/>
    <mergeCell ref="I2:J2"/>
    <mergeCell ref="B9:F9"/>
    <mergeCell ref="G9:H9"/>
    <mergeCell ref="I9:J9"/>
    <mergeCell ref="B6:F6"/>
    <mergeCell ref="G6:H6"/>
    <mergeCell ref="I6:J6"/>
    <mergeCell ref="B10:F10"/>
    <mergeCell ref="G10:H10"/>
    <mergeCell ref="I10:J10"/>
    <mergeCell ref="B7:F7"/>
    <mergeCell ref="G7:H7"/>
    <mergeCell ref="I7:J7"/>
    <mergeCell ref="B8:F8"/>
    <mergeCell ref="G8:H8"/>
    <mergeCell ref="I8:J8"/>
    <mergeCell ref="B11:F11"/>
    <mergeCell ref="G11:H11"/>
    <mergeCell ref="I11:J11"/>
    <mergeCell ref="G13:H13"/>
    <mergeCell ref="I13:J13"/>
    <mergeCell ref="B13:F13"/>
    <mergeCell ref="H60:J60"/>
    <mergeCell ref="H61:J61"/>
    <mergeCell ref="B12:F12"/>
    <mergeCell ref="G12:H12"/>
    <mergeCell ref="I12:J12"/>
    <mergeCell ref="G14:H14"/>
    <mergeCell ref="H58:J58"/>
    <mergeCell ref="H59:J59"/>
    <mergeCell ref="D61:E61"/>
    <mergeCell ref="F61:G61"/>
    <mergeCell ref="D59:E59"/>
    <mergeCell ref="F59:G59"/>
    <mergeCell ref="D60:E60"/>
    <mergeCell ref="F60:G60"/>
    <mergeCell ref="D58:E58"/>
    <mergeCell ref="F58:G58"/>
  </mergeCells>
  <dataValidations count="12">
    <dataValidation type="list" allowBlank="1" showInputMessage="1" showErrorMessage="1" sqref="A2">
      <formula1>ЛісВа</formula1>
    </dataValidation>
    <dataValidation type="list" allowBlank="1" showInputMessage="1" showErrorMessage="1" sqref="G5:G7">
      <formula1>Зона</formula1>
    </dataValidation>
    <dataValidation type="list" allowBlank="1" showInputMessage="1" showErrorMessage="1" sqref="B10:B12">
      <formula1>табУмовиРоботи</formula1>
    </dataValidation>
    <dataValidation type="list" allowBlank="1" showInputMessage="1" showErrorMessage="1" sqref="I10:J10">
      <formula1>INDIRECT("РозрядВысот[РозрядВысот]")</formula1>
    </dataValidation>
    <dataValidation type="list" allowBlank="1" showInputMessage="1" showErrorMessage="1" sqref="O5">
      <formula1>INDIRECT("ВідРубкиРД[6]")</formula1>
    </dataValidation>
    <dataValidation type="list" allowBlank="1" showInputMessage="1" showErrorMessage="1" sqref="B7:F7">
      <formula1>INDIRECT("Умови_Роботи[Умови_Роботи]")</formula1>
    </dataValidation>
    <dataValidation type="list" allowBlank="1" showInputMessage="1" showErrorMessage="1" sqref="I8:J8">
      <formula1>INDIRECT("тЧернобыльскийКоэф[ЧернобыльскаЗона]")</formula1>
    </dataValidation>
    <dataValidation type="list" allowBlank="1" showInputMessage="1" showErrorMessage="1" sqref="I9:J9">
      <formula1>INDIRECT("тКоэфициентСхилу[КоэфициентСхилу]")</formula1>
    </dataValidation>
    <dataValidation type="list" allowBlank="1" showInputMessage="1" showErrorMessage="1" sqref="B2:F2">
      <formula1>INDIRECT("Лісництва[Підрозділ]")</formula1>
    </dataValidation>
    <dataValidation type="list" allowBlank="1" showInputMessage="1" showErrorMessage="1" sqref="B13:F13">
      <formula1>INDIRECT("ПородиИГруппи[список без груп порід]")</formula1>
    </dataValidation>
    <dataValidation allowBlank="1" showInputMessage="1" showErrorMessage="1" errorTitle="ОШИБКА!" error="В ячейке формула!_x000d__x000a_Ввод данных запрещён!" sqref="L60 X3 C23 F50:F52 D59:G59 B59"/>
    <dataValidation type="custom" allowBlank="1" showInputMessage="1" showErrorMessage="1" errorTitle="ОШИБКА!" error="В ячейке формула!_x000d__x000a_Ввод данных запрещён!" sqref="G1:H1 I3:J3 C21:C22 I5:J7 B8:F9 I11:J11 P12 G18 E21 F25:J27 C50 E25 G29:J40 C25:C27 E29 J42:J44 E32 E35 E38 C29:C40 E42 F42:H44 J46:J48 C42:C44 E46 F46:H48 J50:J52 C46:C48 E50 J1 H59:J59 X2 G50:H52 F21:J23 O1">
      <formula1>""</formula1>
    </dataValidation>
  </dataValidations>
  <pageMargins left="0.70866141732283472" right="0.70866141732283472" top="0.74803149606299213" bottom="0.74803149606299213" header="0.31496062992125984" footer="0.31496062992125984"/>
  <pageSetup paperSize="9" scale="50" orientation="landscape" verticalDpi="0" r:id="rId1"/>
  <cellWatches>
    <cellWatch r="C23"/>
  </cellWatches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P11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3">
    <tabColor theme="4"/>
  </sheetPr>
  <dimension ref="A1:M15"/>
  <sheetViews>
    <sheetView workbookViewId="0">
      <selection activeCell="H34" sqref="H34"/>
    </sheetView>
  </sheetViews>
  <sheetFormatPr defaultRowHeight="12.75"/>
  <cols>
    <col min="1" max="1" width="10.140625" style="198" bestFit="1" customWidth="1"/>
    <col min="2" max="2" width="23.5703125" style="187" customWidth="1"/>
    <col min="3" max="10" width="9.140625" style="187"/>
    <col min="11" max="11" width="10.140625" style="187" bestFit="1" customWidth="1"/>
    <col min="12" max="16384" width="9.140625" style="187"/>
  </cols>
  <sheetData>
    <row r="1" spans="1:13">
      <c r="A1" s="184" t="s">
        <v>2166</v>
      </c>
      <c r="B1" s="185" t="s">
        <v>2225</v>
      </c>
      <c r="C1" s="185" t="s">
        <v>2226</v>
      </c>
      <c r="D1" s="185" t="s">
        <v>2227</v>
      </c>
      <c r="E1" s="185" t="s">
        <v>2228</v>
      </c>
      <c r="F1" s="185" t="s">
        <v>2229</v>
      </c>
      <c r="G1" s="185" t="s">
        <v>2230</v>
      </c>
      <c r="H1" s="186" t="s">
        <v>2231</v>
      </c>
    </row>
    <row r="2" spans="1:13">
      <c r="A2" s="188">
        <v>40909</v>
      </c>
      <c r="B2" s="189" t="s">
        <v>2232</v>
      </c>
      <c r="C2" s="189">
        <v>8.61</v>
      </c>
      <c r="D2" s="189">
        <v>9.3000000000000007</v>
      </c>
      <c r="E2" s="189">
        <v>10.33</v>
      </c>
      <c r="F2" s="189">
        <v>11.62</v>
      </c>
      <c r="G2" s="189">
        <v>13.25</v>
      </c>
      <c r="H2" s="190">
        <v>15.49</v>
      </c>
    </row>
    <row r="3" spans="1:13">
      <c r="A3" s="188">
        <v>41000</v>
      </c>
      <c r="B3" s="189" t="s">
        <v>2232</v>
      </c>
      <c r="C3" s="189">
        <v>8.76</v>
      </c>
      <c r="D3" s="189">
        <v>9.74</v>
      </c>
      <c r="E3" s="189">
        <v>10.52</v>
      </c>
      <c r="F3" s="189">
        <v>11.83</v>
      </c>
      <c r="G3" s="189">
        <v>13.5</v>
      </c>
      <c r="H3" s="190">
        <v>15.78</v>
      </c>
    </row>
    <row r="4" spans="1:13">
      <c r="A4" s="188">
        <v>41091</v>
      </c>
      <c r="B4" s="189" t="s">
        <v>2232</v>
      </c>
      <c r="C4" s="189">
        <v>8.9600000000000009</v>
      </c>
      <c r="D4" s="189">
        <v>9.68</v>
      </c>
      <c r="E4" s="189">
        <v>10.75</v>
      </c>
      <c r="F4" s="189">
        <v>12.1</v>
      </c>
      <c r="G4" s="189">
        <v>13.8</v>
      </c>
      <c r="H4" s="190">
        <v>16.13</v>
      </c>
    </row>
    <row r="5" spans="1:13" ht="13.5" thickBot="1">
      <c r="A5" s="188">
        <v>41275</v>
      </c>
      <c r="B5" s="189" t="s">
        <v>2232</v>
      </c>
      <c r="C5" s="191">
        <v>9.18</v>
      </c>
      <c r="D5" s="191">
        <v>9.92</v>
      </c>
      <c r="E5" s="191">
        <v>11.02</v>
      </c>
      <c r="F5" s="191">
        <v>12.4</v>
      </c>
      <c r="G5" s="191">
        <v>14.14</v>
      </c>
      <c r="H5" s="192">
        <v>16.53</v>
      </c>
    </row>
    <row r="6" spans="1:13" ht="13.5" thickBot="1">
      <c r="A6" s="193">
        <v>41609</v>
      </c>
      <c r="B6" s="194" t="s">
        <v>2232</v>
      </c>
      <c r="C6" s="195">
        <v>9.76</v>
      </c>
      <c r="D6" s="195">
        <v>10.54</v>
      </c>
      <c r="E6" s="195">
        <v>11.71</v>
      </c>
      <c r="F6" s="195">
        <v>13.18</v>
      </c>
      <c r="G6" s="195">
        <v>15.03</v>
      </c>
      <c r="H6" s="196">
        <v>17.57</v>
      </c>
      <c r="K6" s="28" t="s">
        <v>38</v>
      </c>
      <c r="M6" s="187" t="e">
        <v>#REF!</v>
      </c>
    </row>
    <row r="7" spans="1:13">
      <c r="A7" s="193">
        <v>42248</v>
      </c>
      <c r="B7" s="194" t="s">
        <v>2232</v>
      </c>
      <c r="C7" s="194">
        <v>11.08</v>
      </c>
      <c r="D7" s="194">
        <v>11.97</v>
      </c>
      <c r="E7" s="194">
        <v>13.3</v>
      </c>
      <c r="F7" s="194">
        <v>14.96</v>
      </c>
      <c r="G7" s="194">
        <v>17.07</v>
      </c>
      <c r="H7" s="197">
        <v>19.95</v>
      </c>
      <c r="K7" s="199">
        <f ca="1">MAX(INDIRECT("Тарифи[№]"))</f>
        <v>43101</v>
      </c>
    </row>
    <row r="8" spans="1:13">
      <c r="A8" s="193">
        <v>42491</v>
      </c>
      <c r="B8" s="194" t="s">
        <v>2232</v>
      </c>
      <c r="C8" s="194">
        <v>14.13</v>
      </c>
      <c r="D8" s="194">
        <v>15.27</v>
      </c>
      <c r="E8" s="194">
        <v>16.96</v>
      </c>
      <c r="F8" s="194">
        <v>19.079999999999998</v>
      </c>
      <c r="G8" s="194">
        <v>21.77</v>
      </c>
      <c r="H8" s="197">
        <v>25.44</v>
      </c>
      <c r="M8" s="198">
        <f ca="1">INDIRECT("Тарифи[№]")</f>
        <v>42491</v>
      </c>
    </row>
    <row r="9" spans="1:13">
      <c r="A9" s="193">
        <v>42644</v>
      </c>
      <c r="B9" s="194" t="s">
        <v>2232</v>
      </c>
      <c r="C9" s="194">
        <v>15.71</v>
      </c>
      <c r="D9" s="194">
        <v>16.96</v>
      </c>
      <c r="E9" s="194">
        <v>18.850000000000001</v>
      </c>
      <c r="F9" s="194">
        <v>21.2</v>
      </c>
      <c r="G9" s="194">
        <v>24.19</v>
      </c>
      <c r="H9" s="197">
        <v>28.27</v>
      </c>
      <c r="K9" s="187">
        <f ca="1">ROUNDUP((INDIRECT(ADDRESS(MATCH(K7,Тарифи[№],0)+1,LEFT(K6,1)+2,1,1,"Тарифи"))+INDIRECT(ADDRESS(MATCH(K7,Тарифи[№],0)+1,RIGHT(K6,1)+2,1,1,"Тарифи")))/2,2)</f>
        <v>36.03</v>
      </c>
    </row>
    <row r="10" spans="1:13">
      <c r="A10" s="193">
        <v>42736</v>
      </c>
      <c r="B10" s="194" t="s">
        <v>2232</v>
      </c>
      <c r="C10" s="194">
        <v>19.78</v>
      </c>
      <c r="D10" s="194">
        <v>21.36</v>
      </c>
      <c r="E10" s="194">
        <v>23.74</v>
      </c>
      <c r="F10" s="194">
        <v>26.7</v>
      </c>
      <c r="G10" s="194">
        <v>30.46</v>
      </c>
      <c r="H10" s="197">
        <v>35.61</v>
      </c>
      <c r="K10" s="187">
        <f ca="1">INDIRECT(ADDRESS(MATCH(K7,Тарифи[№],0)+1,LEFT(K6,1)+2,1,1,"Тарифи"))</f>
        <v>41.17</v>
      </c>
    </row>
    <row r="11" spans="1:13">
      <c r="A11" s="193">
        <v>43101</v>
      </c>
      <c r="B11" s="194" t="s">
        <v>2232</v>
      </c>
      <c r="C11" s="194">
        <v>22.87</v>
      </c>
      <c r="D11" s="194">
        <v>24.7</v>
      </c>
      <c r="E11" s="194">
        <v>27.45</v>
      </c>
      <c r="F11" s="194">
        <v>30.88</v>
      </c>
      <c r="G11" s="194">
        <v>35.22</v>
      </c>
      <c r="H11" s="197">
        <v>41.17</v>
      </c>
      <c r="K11" s="187">
        <f ca="1">INDIRECT(ADDRESS(MATCH(K7,Тарифи[№],0)+1,RIGHT(K6,1)+2,1,1,"Тарифи"))</f>
        <v>30.88</v>
      </c>
    </row>
    <row r="12" spans="1:13">
      <c r="K12" s="187">
        <f ca="1">ROUNDUP((K10+K11)/2,2)</f>
        <v>36.03</v>
      </c>
    </row>
    <row r="15" spans="1:13">
      <c r="K15" s="187" t="e">
        <f>Тарифи[№]</f>
        <v>#VALUE!</v>
      </c>
    </row>
  </sheetData>
  <pageMargins left="0.75" right="0.75" top="1" bottom="1" header="0.5" footer="0.5"/>
  <pageSetup paperSize="9" orientation="portrait" r:id="rId1"/>
  <headerFooter alignWithMargins="0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C2"/>
  <sheetViews>
    <sheetView workbookViewId="0">
      <selection activeCell="G15" sqref="G15"/>
    </sheetView>
  </sheetViews>
  <sheetFormatPr defaultRowHeight="15"/>
  <cols>
    <col min="1" max="1" width="16.28515625" customWidth="1"/>
    <col min="2" max="2" width="13" customWidth="1"/>
    <col min="3" max="3" width="15.5703125" customWidth="1"/>
  </cols>
  <sheetData>
    <row r="1" spans="1:3">
      <c r="A1" t="s">
        <v>3357</v>
      </c>
      <c r="B1" t="s">
        <v>2168</v>
      </c>
      <c r="C1" t="s">
        <v>3358</v>
      </c>
    </row>
    <row r="2" spans="1:3">
      <c r="B2" t="s">
        <v>3362</v>
      </c>
    </row>
  </sheetData>
  <dataValidations count="1">
    <dataValidation type="list" allowBlank="1" showInputMessage="1" showErrorMessage="1" sqref="B2">
      <formula1>INDIRECT("Виконавец[Сокр]")</formula1>
    </dataValidation>
  </dataValidations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5"/>
  <dimension ref="A1:U33"/>
  <sheetViews>
    <sheetView workbookViewId="0">
      <pane ySplit="1" topLeftCell="A2" activePane="bottomLeft" state="frozen"/>
      <selection activeCell="G15" sqref="G15"/>
      <selection pane="bottomLeft" activeCell="F8" sqref="F8"/>
    </sheetView>
  </sheetViews>
  <sheetFormatPr defaultRowHeight="12.75"/>
  <cols>
    <col min="1" max="1" width="20.42578125" style="172" customWidth="1"/>
    <col min="2" max="2" width="20.42578125" style="174" customWidth="1"/>
    <col min="3" max="3" width="18" style="174" customWidth="1"/>
    <col min="4" max="4" width="22.5703125" style="174" customWidth="1"/>
    <col min="5" max="5" width="18" style="174" customWidth="1"/>
    <col min="6" max="6" width="22.5703125" style="174" customWidth="1"/>
    <col min="7" max="7" width="9.140625" style="172"/>
    <col min="8" max="8" width="15.28515625" style="172" bestFit="1" customWidth="1"/>
    <col min="9" max="9" width="18.5703125" style="172" customWidth="1"/>
    <col min="10" max="10" width="22.140625" style="172" customWidth="1"/>
    <col min="11" max="11" width="23.140625" style="174" customWidth="1"/>
    <col min="12" max="12" width="47.28515625" style="174" customWidth="1"/>
    <col min="13" max="13" width="9.5703125" style="172" customWidth="1"/>
    <col min="14" max="14" width="58.42578125" style="172" customWidth="1"/>
    <col min="15" max="15" width="9.140625" style="172"/>
    <col min="16" max="16" width="14.85546875" style="172" customWidth="1"/>
    <col min="17" max="17" width="10.140625" style="172" customWidth="1"/>
    <col min="18" max="18" width="16.28515625" style="176" customWidth="1"/>
    <col min="19" max="19" width="13.140625" style="172" customWidth="1"/>
    <col min="20" max="20" width="19.42578125" style="172" customWidth="1"/>
    <col min="21" max="16384" width="9.140625" style="172"/>
  </cols>
  <sheetData>
    <row r="1" spans="1:21" ht="15">
      <c r="A1" s="174" t="s">
        <v>2183</v>
      </c>
      <c r="B1" s="174" t="s">
        <v>2184</v>
      </c>
      <c r="C1" s="174" t="s">
        <v>2185</v>
      </c>
      <c r="D1" s="174" t="s">
        <v>2186</v>
      </c>
      <c r="E1" s="174" t="s">
        <v>2187</v>
      </c>
      <c r="F1" s="174" t="s">
        <v>2188</v>
      </c>
      <c r="G1" s="172" t="s">
        <v>2189</v>
      </c>
      <c r="H1" s="172" t="s">
        <v>2190</v>
      </c>
      <c r="I1" s="175" t="s">
        <v>2191</v>
      </c>
      <c r="J1" s="172" t="s">
        <v>2192</v>
      </c>
      <c r="K1" s="174" t="s">
        <v>2193</v>
      </c>
      <c r="L1" s="174" t="s">
        <v>2194</v>
      </c>
      <c r="M1" s="172" t="s">
        <v>2195</v>
      </c>
      <c r="N1" s="172" t="s">
        <v>2196</v>
      </c>
      <c r="O1" s="172" t="s">
        <v>2197</v>
      </c>
      <c r="P1" s="172" t="s">
        <v>2198</v>
      </c>
      <c r="Q1" s="172" t="s">
        <v>2199</v>
      </c>
      <c r="R1" s="176" t="s">
        <v>2200</v>
      </c>
      <c r="S1" s="172" t="s">
        <v>2201</v>
      </c>
      <c r="T1" s="172" t="s">
        <v>2202</v>
      </c>
      <c r="U1" s="172" t="s">
        <v>2203</v>
      </c>
    </row>
    <row r="2" spans="1:21" ht="39">
      <c r="A2" s="177" t="s">
        <v>3362</v>
      </c>
      <c r="B2" s="177" t="s">
        <v>3362</v>
      </c>
      <c r="C2" s="177" t="s">
        <v>2205</v>
      </c>
      <c r="D2" s="177" t="s">
        <v>1</v>
      </c>
      <c r="E2" s="177" t="s">
        <v>2206</v>
      </c>
      <c r="F2" s="178" t="s">
        <v>2207</v>
      </c>
      <c r="G2" s="177"/>
      <c r="H2" s="176"/>
      <c r="I2" s="177" t="s">
        <v>2208</v>
      </c>
      <c r="J2" s="179" t="s">
        <v>2207</v>
      </c>
      <c r="K2" s="180" t="s">
        <v>2209</v>
      </c>
      <c r="L2" s="181" t="s">
        <v>3362</v>
      </c>
      <c r="M2" s="182" t="s">
        <v>2210</v>
      </c>
      <c r="N2" s="182" t="s">
        <v>2211</v>
      </c>
      <c r="O2" s="182" t="s">
        <v>2212</v>
      </c>
      <c r="P2" s="182" t="s">
        <v>2213</v>
      </c>
      <c r="Q2" s="179"/>
      <c r="S2" s="172">
        <v>1.2150000000000001</v>
      </c>
      <c r="U2" s="172" t="s">
        <v>1535</v>
      </c>
    </row>
    <row r="3" spans="1:21" ht="115.5">
      <c r="A3" s="183" t="s">
        <v>80</v>
      </c>
      <c r="B3" s="174" t="s">
        <v>2217</v>
      </c>
      <c r="C3" s="174" t="s">
        <v>2218</v>
      </c>
      <c r="D3" s="174" t="s">
        <v>1</v>
      </c>
      <c r="E3" s="174" t="s">
        <v>2219</v>
      </c>
      <c r="F3" s="174" t="s">
        <v>2207</v>
      </c>
      <c r="I3" s="174" t="s">
        <v>2218</v>
      </c>
      <c r="J3" s="174" t="s">
        <v>2216</v>
      </c>
      <c r="K3" s="174" t="s">
        <v>3592</v>
      </c>
      <c r="L3" s="174" t="s">
        <v>80</v>
      </c>
      <c r="M3" s="174" t="s">
        <v>2220</v>
      </c>
      <c r="N3" s="182" t="s">
        <v>2221</v>
      </c>
      <c r="O3" s="182" t="s">
        <v>2222</v>
      </c>
      <c r="S3" s="172">
        <v>1.2150000000000001</v>
      </c>
      <c r="U3" s="172" t="s">
        <v>870</v>
      </c>
    </row>
    <row r="4" spans="1:21" ht="23.25" customHeight="1">
      <c r="A4" s="172" t="s">
        <v>3424</v>
      </c>
      <c r="B4" s="174" t="s">
        <v>3425</v>
      </c>
      <c r="C4" s="172" t="s">
        <v>2223</v>
      </c>
      <c r="D4" s="174" t="s">
        <v>3426</v>
      </c>
      <c r="E4" s="172" t="s">
        <v>2223</v>
      </c>
      <c r="F4" s="174" t="s">
        <v>3427</v>
      </c>
      <c r="I4" s="172" t="s">
        <v>2223</v>
      </c>
      <c r="J4" s="174" t="s">
        <v>3427</v>
      </c>
      <c r="K4" s="462" t="s">
        <v>3591</v>
      </c>
      <c r="L4" s="463" t="s">
        <v>3428</v>
      </c>
      <c r="M4" s="172" t="s">
        <v>2224</v>
      </c>
      <c r="N4" s="182" t="s">
        <v>3429</v>
      </c>
      <c r="O4" s="182" t="s">
        <v>3430</v>
      </c>
      <c r="P4" s="182" t="s">
        <v>3431</v>
      </c>
      <c r="S4" s="172">
        <v>1.2150000000000001</v>
      </c>
      <c r="U4" s="174" t="s">
        <v>3425</v>
      </c>
    </row>
    <row r="5" spans="1:21" ht="26.25">
      <c r="B5" s="174" t="s">
        <v>2</v>
      </c>
      <c r="C5" s="174" t="s">
        <v>5</v>
      </c>
      <c r="D5" s="177" t="s">
        <v>1</v>
      </c>
      <c r="F5" s="174" t="s">
        <v>2207</v>
      </c>
      <c r="J5" s="174" t="s">
        <v>2216</v>
      </c>
      <c r="K5" s="174" t="s">
        <v>3769</v>
      </c>
      <c r="N5" s="182"/>
      <c r="O5" s="182"/>
      <c r="P5" s="182"/>
    </row>
    <row r="6" spans="1:21">
      <c r="A6" s="741" t="s">
        <v>4245</v>
      </c>
      <c r="N6" s="182"/>
      <c r="O6" s="182"/>
      <c r="P6" s="182"/>
    </row>
    <row r="8" spans="1:21">
      <c r="B8" s="174" t="s">
        <v>3593</v>
      </c>
      <c r="C8" s="174" t="s">
        <v>3594</v>
      </c>
      <c r="D8" s="174" t="s">
        <v>3596</v>
      </c>
      <c r="E8" s="174" t="s">
        <v>3595</v>
      </c>
    </row>
    <row r="9" spans="1:21">
      <c r="B9" s="174" t="s">
        <v>2184</v>
      </c>
      <c r="C9" s="174" t="s">
        <v>2185</v>
      </c>
      <c r="D9" s="619" t="s">
        <v>3425</v>
      </c>
      <c r="J9" s="172" t="e">
        <f ca="1">INDIRECT("Виконавец[{ФирмаВиконавец}]")</f>
        <v>#VALUE!</v>
      </c>
    </row>
    <row r="10" spans="1:21">
      <c r="B10" s="174">
        <f ca="1">MATCH(B9,INDIRECT("Виконавец[#Заголовки]"),0)</f>
        <v>2</v>
      </c>
      <c r="C10" s="174">
        <f>MATCH(C9,Виконавец[#Headers],0)</f>
        <v>3</v>
      </c>
    </row>
    <row r="11" spans="1:21">
      <c r="B11" s="174" t="e">
        <f ca="1">INDIRECT("Виконавец[{ФирмаВиконавец}]")</f>
        <v>#VALUE!</v>
      </c>
      <c r="C11" s="174" t="e">
        <f ca="1">INDIRECT(C9)</f>
        <v>#REF!</v>
      </c>
      <c r="D11" s="174">
        <f ca="1">MATCH(D9,INDIRECT("Виконавец["&amp;B9&amp;"]"),0)</f>
        <v>3</v>
      </c>
    </row>
    <row r="12" spans="1:21">
      <c r="D12" s="174" t="str">
        <f ca="1">INDEX(INDIRECT("Виконавец["&amp;C9&amp;"]"),MATCH(D9,INDIRECT("Виконавец["&amp;B9&amp;"]"),0),1)</f>
        <v>Бабенко Сергій Вікторович</v>
      </c>
    </row>
    <row r="13" spans="1:21">
      <c r="D13" s="174" t="str">
        <f ca="1">INDEX(INDIRECT("Виконавец["&amp;C9&amp;"]"),MATCH(D9,INDIRECT("Виконавец["&amp;"{ФирмаВиконавец}"&amp;"]"),0),1)</f>
        <v>Бабенко Сергій Вікторович</v>
      </c>
    </row>
    <row r="14" spans="1:21">
      <c r="C14" s="174" t="e">
        <f>Виконавец[{ВОВиконавец}]</f>
        <v>#VALUE!</v>
      </c>
    </row>
    <row r="15" spans="1:21">
      <c r="B15" s="174" t="e">
        <f>Виконавец[{ФирмаВиконавец}]</f>
        <v>#VALUE!</v>
      </c>
      <c r="C15" s="174" t="str">
        <f>Виконавец[#Headers]</f>
        <v>{ВОВиконавец}</v>
      </c>
    </row>
    <row r="18" spans="3:4">
      <c r="C18" s="620" t="s">
        <v>2183</v>
      </c>
    </row>
    <row r="19" spans="3:4" ht="25.5">
      <c r="C19" s="620" t="s">
        <v>2184</v>
      </c>
    </row>
    <row r="20" spans="3:4" ht="25.5">
      <c r="C20" s="620" t="s">
        <v>2185</v>
      </c>
      <c r="D20" s="174" t="str">
        <f ca="1">INDEX(INDIRECT("Виконавец["&amp;C20&amp;"]"),MATCH($D$9,INDIRECT("Виконавец["&amp;"{ФирмаВиконавец}"&amp;"]"),0),1)</f>
        <v>Бабенко Сергій Вікторович</v>
      </c>
    </row>
    <row r="21" spans="3:4" ht="25.5">
      <c r="C21" s="620" t="s">
        <v>2186</v>
      </c>
      <c r="D21" s="174" t="str">
        <f t="shared" ref="D21:D33" ca="1" si="0">INDEX(INDIRECT("Виконавец["&amp;C21&amp;"]"),MATCH($D$9,INDIRECT("Виконавец["&amp;"{ФирмаВиконавец}"&amp;"]"),0),1)</f>
        <v>Керівник</v>
      </c>
    </row>
    <row r="22" spans="3:4" ht="25.5">
      <c r="C22" s="620" t="s">
        <v>2187</v>
      </c>
      <c r="D22" s="174" t="str">
        <f t="shared" ca="1" si="0"/>
        <v>Бабенко Сергій Вікторович</v>
      </c>
    </row>
    <row r="23" spans="3:4" ht="25.5">
      <c r="C23" s="620" t="s">
        <v>2188</v>
      </c>
      <c r="D23" s="174" t="str">
        <f t="shared" ca="1" si="0"/>
        <v>керівника</v>
      </c>
    </row>
    <row r="24" spans="3:4">
      <c r="C24" s="621" t="s">
        <v>2189</v>
      </c>
      <c r="D24" s="174">
        <f t="shared" ca="1" si="0"/>
        <v>0</v>
      </c>
    </row>
    <row r="25" spans="3:4">
      <c r="C25" s="621" t="s">
        <v>2190</v>
      </c>
      <c r="D25" s="174">
        <f t="shared" ca="1" si="0"/>
        <v>0</v>
      </c>
    </row>
    <row r="26" spans="3:4" ht="25.5">
      <c r="C26" s="622" t="s">
        <v>2191</v>
      </c>
      <c r="D26" s="174" t="str">
        <f t="shared" ca="1" si="0"/>
        <v>Бабенко Сергій Вікторович</v>
      </c>
    </row>
    <row r="27" spans="3:4">
      <c r="C27" s="621" t="s">
        <v>2192</v>
      </c>
      <c r="D27" s="174" t="str">
        <f t="shared" ca="1" si="0"/>
        <v>керівника</v>
      </c>
    </row>
    <row r="28" spans="3:4" ht="25.5">
      <c r="C28" s="620" t="s">
        <v>2193</v>
      </c>
      <c r="D28" s="174" t="str">
        <f t="shared" ca="1" si="0"/>
        <v>дозвіл 410.16.71 на підставі заяви власника</v>
      </c>
    </row>
    <row r="29" spans="3:4" ht="38.25">
      <c r="C29" s="620" t="s">
        <v>2194</v>
      </c>
      <c r="D29" s="174" t="str">
        <f t="shared" ca="1" si="0"/>
        <v>ПРИВАТНЕ ПІДПРИЄМСТВО "ЛІСІВНЕ"</v>
      </c>
    </row>
    <row r="30" spans="3:4" ht="51">
      <c r="C30" s="621" t="s">
        <v>2195</v>
      </c>
      <c r="D30" s="174" t="str">
        <f t="shared" ca="1" si="0"/>
        <v>19736 Черкаська обл.Золотоніський р-н,село Вільхи,вулиця Гагаріна,буд 2</v>
      </c>
    </row>
    <row r="31" spans="3:4">
      <c r="C31" s="621" t="s">
        <v>2196</v>
      </c>
      <c r="D31" s="174" t="str">
        <f t="shared" ca="1" si="0"/>
        <v>№ 41778961</v>
      </c>
    </row>
    <row r="32" spans="3:4" ht="38.25">
      <c r="C32" s="621" t="s">
        <v>2197</v>
      </c>
      <c r="D32" s="174" t="str">
        <f t="shared" ca="1" si="0"/>
        <v>р/р 26002054722898 ПАТ КБ "ПРИВАТБАНК" МФО333391</v>
      </c>
    </row>
    <row r="33" spans="3:4">
      <c r="C33" s="621" t="s">
        <v>2198</v>
      </c>
      <c r="D33" s="174" t="str">
        <f t="shared" ca="1" si="0"/>
        <v>ЄДРПОУ 41778961</v>
      </c>
    </row>
  </sheetData>
  <pageMargins left="0.75" right="0.75" top="1" bottom="1" header="0.5" footer="0.5"/>
  <pageSetup paperSize="9" orientation="portrait" horizontalDpi="200" verticalDpi="200" r:id="rId1"/>
  <headerFooter alignWithMargins="0"/>
  <legacyDrawing r:id="rId2"/>
  <tableParts count="1">
    <tablePart r:id="rId3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7"/>
  <dimension ref="A1:AE49"/>
  <sheetViews>
    <sheetView workbookViewId="0">
      <selection activeCell="I6" sqref="I6"/>
    </sheetView>
  </sheetViews>
  <sheetFormatPr defaultRowHeight="15"/>
  <cols>
    <col min="2" max="2" width="8.85546875" customWidth="1"/>
    <col min="4" max="6" width="8.85546875" customWidth="1"/>
    <col min="7" max="7" width="9.42578125" customWidth="1"/>
    <col min="8" max="8" width="11.85546875" customWidth="1"/>
    <col min="9" max="9" width="11" customWidth="1"/>
    <col min="10" max="10" width="14.140625" customWidth="1"/>
    <col min="11" max="11" width="13.42578125" customWidth="1"/>
    <col min="14" max="14" width="17" customWidth="1"/>
    <col min="15" max="15" width="10.42578125" bestFit="1" customWidth="1"/>
  </cols>
  <sheetData>
    <row r="1" spans="1:31" ht="18.75">
      <c r="A1" t="s">
        <v>5370</v>
      </c>
      <c r="B1" s="1017"/>
      <c r="C1" s="1013">
        <v>3</v>
      </c>
      <c r="D1" s="1017"/>
      <c r="E1" s="1017"/>
      <c r="F1" s="1017"/>
      <c r="G1" s="1018" t="s">
        <v>5366</v>
      </c>
      <c r="H1" s="1016" t="str">
        <f ca="1">REGPLACE(J1,"_.*$","")</f>
        <v>РГК</v>
      </c>
      <c r="I1" s="942" t="str">
        <f ca="1">LeterSheetShablon(H1)</f>
        <v>g</v>
      </c>
      <c r="J1" s="1016" t="str">
        <f ca="1">RIGHT(CELL("имяфайла"),LEN(CELL("имяфайла"))-SEARCH("]",CELL("имяфайла")))</f>
        <v>РГК_кошторис</v>
      </c>
      <c r="K1" s="1013"/>
      <c r="O1" s="942"/>
      <c r="P1" s="942"/>
      <c r="Q1" s="942"/>
      <c r="R1" s="942"/>
      <c r="S1" s="942"/>
      <c r="T1" s="942"/>
      <c r="U1" s="942"/>
      <c r="V1" s="942"/>
      <c r="W1" s="942"/>
      <c r="X1" s="942"/>
      <c r="Y1" s="942"/>
      <c r="Z1" s="942"/>
      <c r="AA1" s="942"/>
      <c r="AB1" s="942"/>
      <c r="AC1" s="942"/>
      <c r="AD1" s="942"/>
      <c r="AE1" s="942"/>
    </row>
    <row r="2" spans="1:31">
      <c r="A2" s="942" t="s">
        <v>5017</v>
      </c>
      <c r="B2" s="942"/>
      <c r="C2" s="942"/>
      <c r="D2" s="942"/>
      <c r="E2" s="942"/>
      <c r="F2" s="942"/>
      <c r="G2" s="942"/>
      <c r="H2" s="942"/>
      <c r="I2" s="942"/>
      <c r="J2" s="942"/>
      <c r="K2" s="942"/>
      <c r="L2" s="942"/>
      <c r="M2" s="1013"/>
      <c r="N2" s="942"/>
      <c r="O2" s="942"/>
      <c r="P2" s="942"/>
      <c r="Q2" s="942"/>
      <c r="R2" s="942"/>
      <c r="S2" s="942"/>
      <c r="T2" s="942"/>
      <c r="U2" s="942"/>
      <c r="V2" s="942"/>
      <c r="W2" s="942"/>
      <c r="X2" s="942"/>
      <c r="Y2" s="942"/>
      <c r="Z2" s="942"/>
      <c r="AA2" s="942"/>
      <c r="AB2" s="942"/>
      <c r="AC2" s="942"/>
      <c r="AD2" s="942"/>
      <c r="AE2" s="942"/>
    </row>
    <row r="3" spans="1:31">
      <c r="A3" s="1013" t="str">
        <f ca="1">$I$1&amp;$H$1&amp;REGPLACE(G1," ","_")</f>
        <v>gРГККОШТОРИС</v>
      </c>
      <c r="I3" t="s">
        <v>5367</v>
      </c>
    </row>
    <row r="4" spans="1:31" ht="25.15" customHeight="1">
      <c r="A4" s="997" t="s">
        <v>5018</v>
      </c>
      <c r="B4" s="997"/>
      <c r="C4" s="1122" t="s">
        <v>5062</v>
      </c>
      <c r="D4" s="1122"/>
      <c r="E4" s="1122"/>
      <c r="F4" s="1122"/>
      <c r="G4" s="1122"/>
      <c r="H4" s="997" t="s">
        <v>5019</v>
      </c>
      <c r="I4" s="997" t="s">
        <v>5020</v>
      </c>
      <c r="J4" s="997" t="s">
        <v>5021</v>
      </c>
      <c r="K4" s="997" t="s">
        <v>5022</v>
      </c>
      <c r="N4" s="998" t="s">
        <v>5023</v>
      </c>
      <c r="O4" s="998" t="s">
        <v>5024</v>
      </c>
      <c r="Q4" t="s">
        <v>5367</v>
      </c>
    </row>
    <row r="5" spans="1:31">
      <c r="A5" s="999" t="s">
        <v>5025</v>
      </c>
      <c r="B5" s="999"/>
      <c r="C5" s="1123" t="s">
        <v>5037</v>
      </c>
      <c r="D5" s="1123"/>
      <c r="E5" s="1123"/>
      <c r="F5" s="1123"/>
      <c r="G5" s="1123"/>
      <c r="H5" s="1124"/>
      <c r="I5" s="1124"/>
      <c r="J5" s="1124"/>
      <c r="K5" s="999"/>
      <c r="N5" s="474"/>
      <c r="O5" s="474"/>
      <c r="Q5" s="1013" t="s">
        <v>5368</v>
      </c>
    </row>
    <row r="6" spans="1:31" ht="22.9" customHeight="1">
      <c r="A6" s="1000" t="s">
        <v>5350</v>
      </c>
      <c r="B6" s="1001"/>
      <c r="C6" s="1124" t="s">
        <v>5039</v>
      </c>
      <c r="D6" s="1124"/>
      <c r="E6" s="1124"/>
      <c r="F6" s="1124"/>
      <c r="G6" s="1124"/>
      <c r="H6" s="1001" t="s">
        <v>39</v>
      </c>
      <c r="I6" s="999">
        <f>РД!F21+РД!F22+РД!F23</f>
        <v>46</v>
      </c>
      <c r="J6" s="1002">
        <f ca="1">K6/I6</f>
        <v>21.354369565217393</v>
      </c>
      <c r="K6" s="1019">
        <f ca="1">BankersRound((РД!O21+РД!O22+РД!O23)*dККЗ,3)</f>
        <v>982.30100000000004</v>
      </c>
      <c r="L6" t="s">
        <v>5091</v>
      </c>
      <c r="N6" s="474">
        <f ca="1">O6/I6</f>
        <v>21.354369565217393</v>
      </c>
      <c r="O6" s="879">
        <f ca="1">BankersRound((РД!O21+РД!O22+РД!O23)*dККЗ,3)</f>
        <v>982.30100000000004</v>
      </c>
      <c r="Q6" s="1013" t="s">
        <v>5369</v>
      </c>
    </row>
    <row r="7" spans="1:31" ht="30" customHeight="1">
      <c r="A7" s="1000" t="s">
        <v>5351</v>
      </c>
      <c r="B7" s="1001"/>
      <c r="C7" s="1124" t="s">
        <v>5041</v>
      </c>
      <c r="D7" s="1124"/>
      <c r="E7" s="1124"/>
      <c r="F7" s="1124"/>
      <c r="G7" s="1124"/>
      <c r="H7" s="1001" t="s">
        <v>39</v>
      </c>
      <c r="I7" s="999">
        <f>РД!F25+РД!F26+РД!F27</f>
        <v>46</v>
      </c>
      <c r="J7" s="1002">
        <f t="shared" ref="J7:J11" ca="1" si="0">K7/I7</f>
        <v>20.144543478260868</v>
      </c>
      <c r="K7" s="1019">
        <f ca="1">BankersRound((РД!O25+РД!O26+РД!O27)*dККЗ,3)</f>
        <v>926.649</v>
      </c>
      <c r="L7" t="s">
        <v>5092</v>
      </c>
      <c r="N7" s="474">
        <f t="shared" ref="N7:N11" ca="1" si="1">O7/I7</f>
        <v>20.144543478260868</v>
      </c>
      <c r="O7" s="879">
        <f ca="1">BankersRound((РД!O25+РД!O26+РД!O27)*dККЗ,3)</f>
        <v>926.649</v>
      </c>
    </row>
    <row r="8" spans="1:31" ht="31.9" customHeight="1">
      <c r="A8" s="1000" t="s">
        <v>5352</v>
      </c>
      <c r="B8" s="1001"/>
      <c r="C8" s="1124" t="s">
        <v>5353</v>
      </c>
      <c r="D8" s="1124"/>
      <c r="E8" s="1124"/>
      <c r="F8" s="1124"/>
      <c r="G8" s="1124"/>
      <c r="H8" s="1001" t="s">
        <v>39</v>
      </c>
      <c r="I8" s="999">
        <f>РД!F46+РД!F47+РД!F48</f>
        <v>46</v>
      </c>
      <c r="J8" s="1002">
        <f t="shared" ca="1" si="0"/>
        <v>14.822999999999999</v>
      </c>
      <c r="K8" s="1019">
        <f ca="1">BankersRound((РД!O46+РД!O47+РД!O48)*dККЗ,3)</f>
        <v>681.85799999999995</v>
      </c>
      <c r="L8" t="s">
        <v>5093</v>
      </c>
      <c r="N8" s="474">
        <f t="shared" ca="1" si="1"/>
        <v>14.822999999999999</v>
      </c>
      <c r="O8" s="879">
        <f ca="1">BankersRound((РД!O46+РД!O47+РД!O48)*dККЗ,3)</f>
        <v>681.85799999999995</v>
      </c>
    </row>
    <row r="9" spans="1:31" ht="28.15" customHeight="1">
      <c r="A9" s="1000" t="s">
        <v>5354</v>
      </c>
      <c r="B9" s="1001"/>
      <c r="C9" s="1124" t="s">
        <v>5045</v>
      </c>
      <c r="D9" s="1124"/>
      <c r="E9" s="1124"/>
      <c r="F9" s="1124"/>
      <c r="G9" s="1124"/>
      <c r="H9" s="1001" t="s">
        <v>39</v>
      </c>
      <c r="I9" s="999">
        <f>РД!F29+РД!F30+РД!F31+РД!F32+РД!F33+РД!F34+РД!F35+РД!F36+РД!F37+РД!F38+РД!F39+РД!F40</f>
        <v>46</v>
      </c>
      <c r="J9" s="1002">
        <f t="shared" ca="1" si="0"/>
        <v>31.041043478260868</v>
      </c>
      <c r="K9" s="1019">
        <f ca="1">BankersRound((РД!O29+РД!O30+РД!O31+РД!O32+РД!O33+РД!O34+РД!O35+РД!O36+РД!O37+РД!O38+РД!O39+РД!O40)*dККЗ,3)</f>
        <v>1427.8879999999999</v>
      </c>
      <c r="L9" t="s">
        <v>5096</v>
      </c>
      <c r="N9" s="474">
        <f t="shared" ca="1" si="1"/>
        <v>31.041043478260868</v>
      </c>
      <c r="O9" s="879">
        <f ca="1">BankersRound((РД!O29+РД!O30+РД!O31+РД!O32+РД!O33+РД!O34+РД!O35+РД!O36+РД!O37+РД!O38+РД!O39+РД!O40)*dККЗ,3)</f>
        <v>1427.8879999999999</v>
      </c>
    </row>
    <row r="10" spans="1:31" ht="22.15" customHeight="1">
      <c r="A10" s="1000" t="s">
        <v>5355</v>
      </c>
      <c r="B10" s="1001"/>
      <c r="C10" s="1124" t="s">
        <v>5047</v>
      </c>
      <c r="D10" s="1124"/>
      <c r="E10" s="1124"/>
      <c r="F10" s="1124"/>
      <c r="G10" s="1124"/>
      <c r="H10" s="1001" t="s">
        <v>39</v>
      </c>
      <c r="I10" s="999">
        <f>РД!F42+РД!F43+РД!F44</f>
        <v>36</v>
      </c>
      <c r="J10" s="1002">
        <f t="shared" ca="1" si="0"/>
        <v>16.073138888888892</v>
      </c>
      <c r="K10" s="1019">
        <f ca="1">BankersRound((РД!O42+РД!O43+РД!O44)*dККЗ,3)</f>
        <v>578.63300000000004</v>
      </c>
      <c r="L10" t="s">
        <v>5095</v>
      </c>
      <c r="N10" s="474">
        <f t="shared" ca="1" si="1"/>
        <v>16.073138888888892</v>
      </c>
      <c r="O10" s="879">
        <f ca="1">BankersRound((РД!O42+РД!O43+РД!O44)*dККЗ,3)</f>
        <v>578.63300000000004</v>
      </c>
    </row>
    <row r="11" spans="1:31" ht="19.149999999999999" customHeight="1">
      <c r="A11" s="1000" t="s">
        <v>5356</v>
      </c>
      <c r="B11" s="1001"/>
      <c r="C11" s="1124" t="s">
        <v>5049</v>
      </c>
      <c r="D11" s="1124"/>
      <c r="E11" s="1124"/>
      <c r="F11" s="1124"/>
      <c r="G11" s="1124"/>
      <c r="H11" s="1001" t="s">
        <v>39</v>
      </c>
      <c r="I11" s="999">
        <f>РД!F50+РД!F51+РД!F52</f>
        <v>10</v>
      </c>
      <c r="J11" s="1002">
        <f t="shared" ca="1" si="0"/>
        <v>23.001200000000001</v>
      </c>
      <c r="K11" s="1019">
        <f ca="1">BankersRound((РД!O50+РД!O51+РД!O52)*dККЗ,3)</f>
        <v>230.012</v>
      </c>
      <c r="N11" s="474">
        <f t="shared" ca="1" si="1"/>
        <v>23.001200000000001</v>
      </c>
      <c r="O11" s="474">
        <f ca="1">BankersRound((РД!O50+РД!O51+РД!O52)*dККЗ,3)</f>
        <v>230.012</v>
      </c>
    </row>
    <row r="12" spans="1:31">
      <c r="A12" s="1119" t="s">
        <v>5357</v>
      </c>
      <c r="B12" s="1119"/>
      <c r="C12" s="1120"/>
      <c r="D12" s="1120"/>
      <c r="E12" s="1120"/>
      <c r="F12" s="1120"/>
      <c r="G12" s="1120"/>
      <c r="H12" s="1120"/>
      <c r="I12" s="1120"/>
      <c r="J12" s="1003">
        <f ca="1">K12/I6</f>
        <v>104.94219565217391</v>
      </c>
      <c r="K12" s="1003">
        <f ca="1">K6+K7+K8+K9+K10+K11</f>
        <v>4827.3409999999994</v>
      </c>
      <c r="O12" s="885">
        <f ca="1">SUM(O6:O11)</f>
        <v>4827.3409999999994</v>
      </c>
    </row>
    <row r="13" spans="1:31">
      <c r="A13" s="1119" t="s">
        <v>5051</v>
      </c>
      <c r="B13" s="1119"/>
      <c r="C13" s="1120"/>
      <c r="D13" s="1120"/>
      <c r="E13" s="1120"/>
      <c r="F13" s="1120"/>
      <c r="G13" s="1120"/>
      <c r="H13" s="1120"/>
      <c r="I13" s="1120"/>
      <c r="J13" s="1003"/>
      <c r="K13" s="1003">
        <v>0</v>
      </c>
      <c r="O13">
        <f ca="1">РД!O53*dККЗ</f>
        <v>4827.3402946292354</v>
      </c>
    </row>
    <row r="14" spans="1:31">
      <c r="A14" s="1119" t="s">
        <v>5358</v>
      </c>
      <c r="B14" s="1119"/>
      <c r="C14" s="1120"/>
      <c r="D14" s="1120"/>
      <c r="E14" s="1120"/>
      <c r="F14" s="1120"/>
      <c r="G14" s="1120"/>
      <c r="H14" s="1120"/>
      <c r="I14" s="1120"/>
      <c r="J14" s="1003"/>
      <c r="K14" s="1003">
        <f ca="1">K12+K13</f>
        <v>4827.3409999999994</v>
      </c>
    </row>
    <row r="15" spans="1:31" ht="25.9" customHeight="1">
      <c r="A15" s="1004" t="s">
        <v>5036</v>
      </c>
      <c r="B15" s="1005"/>
      <c r="C15" s="1202" t="s">
        <v>5067</v>
      </c>
      <c r="D15" s="1202"/>
      <c r="E15" s="1202"/>
      <c r="F15" s="1202"/>
      <c r="G15" s="1202"/>
      <c r="H15" s="1006"/>
      <c r="I15" s="1005"/>
      <c r="J15" s="1007"/>
      <c r="K15" s="1008" t="s">
        <v>5055</v>
      </c>
    </row>
    <row r="16" spans="1:31">
      <c r="A16" s="1200" t="s">
        <v>5056</v>
      </c>
      <c r="B16" s="1200"/>
      <c r="C16" s="1201"/>
      <c r="D16" s="1201"/>
      <c r="E16" s="1201"/>
      <c r="F16" s="1201"/>
      <c r="G16" s="1201"/>
      <c r="H16" s="1201"/>
      <c r="I16" s="1201"/>
      <c r="J16" s="1009"/>
      <c r="K16" s="1009" t="s">
        <v>5055</v>
      </c>
    </row>
    <row r="17" spans="1:11">
      <c r="A17" s="1200" t="s">
        <v>5051</v>
      </c>
      <c r="B17" s="1200"/>
      <c r="C17" s="1201"/>
      <c r="D17" s="1201"/>
      <c r="E17" s="1201"/>
      <c r="F17" s="1201"/>
      <c r="G17" s="1201"/>
      <c r="H17" s="1201"/>
      <c r="I17" s="1201"/>
      <c r="J17" s="1009"/>
      <c r="K17" s="1009" t="s">
        <v>5055</v>
      </c>
    </row>
    <row r="18" spans="1:11">
      <c r="A18" s="1200" t="s">
        <v>5057</v>
      </c>
      <c r="B18" s="1200"/>
      <c r="C18" s="1201"/>
      <c r="D18" s="1201"/>
      <c r="E18" s="1201"/>
      <c r="F18" s="1201"/>
      <c r="G18" s="1201"/>
      <c r="H18" s="1201"/>
      <c r="I18" s="1201"/>
      <c r="J18" s="1009"/>
      <c r="K18" s="1009" t="s">
        <v>5055</v>
      </c>
    </row>
    <row r="21" spans="1:11" ht="15.75">
      <c r="A21" s="1109" t="s">
        <v>5058</v>
      </c>
      <c r="B21" s="1109"/>
      <c r="C21" s="1109"/>
      <c r="D21" s="1109"/>
      <c r="E21" s="1109"/>
      <c r="F21" s="1109"/>
      <c r="G21" s="1109"/>
      <c r="H21" s="1109"/>
      <c r="I21" s="1109"/>
    </row>
    <row r="22" spans="1:11">
      <c r="A22" s="1121" t="s">
        <v>5059</v>
      </c>
      <c r="B22" s="1121"/>
      <c r="C22" s="1121"/>
      <c r="D22" s="1121"/>
      <c r="E22" s="1121"/>
      <c r="F22" s="1121"/>
      <c r="G22" s="1121"/>
      <c r="H22" s="1121"/>
      <c r="I22" s="1121"/>
    </row>
    <row r="23" spans="1:11">
      <c r="A23" s="1014"/>
      <c r="B23" s="1014"/>
      <c r="C23" s="1014"/>
      <c r="D23" s="1014"/>
      <c r="E23" s="1014"/>
      <c r="F23" s="1014"/>
      <c r="G23" s="1014"/>
      <c r="H23" s="1014"/>
      <c r="I23" s="1014"/>
    </row>
    <row r="24" spans="1:11">
      <c r="A24" s="1110" t="s">
        <v>54</v>
      </c>
      <c r="B24" s="1104"/>
      <c r="C24" s="1104"/>
      <c r="D24" s="1104"/>
      <c r="E24" s="1104"/>
      <c r="F24" s="1111"/>
      <c r="G24" s="1111"/>
      <c r="H24" s="1111"/>
      <c r="I24" s="1111"/>
    </row>
    <row r="25" spans="1:11">
      <c r="A25" s="1110" t="s">
        <v>5060</v>
      </c>
      <c r="B25" s="1110"/>
      <c r="C25" s="1110"/>
      <c r="D25" s="1111">
        <f>+[1]кошторис!D26</f>
        <v>0</v>
      </c>
      <c r="E25" s="1111"/>
      <c r="F25" s="1112"/>
      <c r="G25" s="1112"/>
      <c r="H25" s="867"/>
      <c r="I25" s="930"/>
    </row>
    <row r="26" spans="1:11">
      <c r="A26" s="1110" t="s">
        <v>5061</v>
      </c>
      <c r="B26" s="1110"/>
      <c r="C26" s="1110"/>
      <c r="D26" s="1110"/>
      <c r="E26" s="1110"/>
      <c r="F26" s="867"/>
      <c r="G26" s="930"/>
      <c r="H26" s="930"/>
      <c r="I26" s="868"/>
    </row>
    <row r="27" spans="1:11">
      <c r="A27" s="1013" t="str">
        <f ca="1">$I$1&amp;$H$1&amp;REGPLACE(A21," ","_")</f>
        <v>gРГКПРОТОКОЛ</v>
      </c>
      <c r="B27" s="1014"/>
      <c r="C27" s="1014"/>
      <c r="D27" s="1014"/>
      <c r="E27" s="1014"/>
      <c r="F27" s="1014"/>
      <c r="G27" s="1013" t="s">
        <v>5368</v>
      </c>
      <c r="H27" s="1014"/>
      <c r="I27" s="1014"/>
    </row>
    <row r="28" spans="1:11" ht="38.25">
      <c r="A28" s="1113" t="s">
        <v>5018</v>
      </c>
      <c r="B28" s="1113"/>
      <c r="C28" s="1113" t="s">
        <v>5062</v>
      </c>
      <c r="D28" s="1113"/>
      <c r="E28" s="1113"/>
      <c r="F28" s="925" t="s">
        <v>5019</v>
      </c>
      <c r="G28" s="925" t="s">
        <v>5020</v>
      </c>
      <c r="H28" s="925" t="s">
        <v>5021</v>
      </c>
      <c r="I28" s="925" t="s">
        <v>5022</v>
      </c>
    </row>
    <row r="29" spans="1:11">
      <c r="A29" s="1114" t="s">
        <v>5025</v>
      </c>
      <c r="B29" s="1115"/>
      <c r="C29" s="1116" t="s">
        <v>5037</v>
      </c>
      <c r="D29" s="1116"/>
      <c r="E29" s="1116"/>
      <c r="F29" s="871" t="s">
        <v>39</v>
      </c>
      <c r="G29" s="1010">
        <f>I6</f>
        <v>46</v>
      </c>
      <c r="H29" s="937">
        <f ca="1">I29/G29</f>
        <v>104.94219565217391</v>
      </c>
      <c r="I29" s="869">
        <f ca="1">K14</f>
        <v>4827.3409999999994</v>
      </c>
    </row>
    <row r="30" spans="1:11">
      <c r="A30" s="1117" t="s">
        <v>5359</v>
      </c>
      <c r="B30" s="1118"/>
      <c r="C30" s="1118"/>
      <c r="D30" s="1118"/>
      <c r="E30" s="1118"/>
      <c r="F30" s="1118"/>
      <c r="G30" s="1118"/>
      <c r="H30" s="870"/>
      <c r="I30" s="870"/>
    </row>
    <row r="31" spans="1:11">
      <c r="A31" s="1117" t="s">
        <v>5051</v>
      </c>
      <c r="B31" s="1118"/>
      <c r="C31" s="1118"/>
      <c r="D31" s="1118"/>
      <c r="E31" s="1118"/>
      <c r="F31" s="1118"/>
      <c r="G31" s="1118"/>
      <c r="H31" s="870"/>
      <c r="I31" s="870"/>
    </row>
    <row r="32" spans="1:11">
      <c r="A32" s="1117" t="s">
        <v>5360</v>
      </c>
      <c r="B32" s="1118"/>
      <c r="C32" s="1118"/>
      <c r="D32" s="1118"/>
      <c r="E32" s="1118"/>
      <c r="F32" s="1118"/>
      <c r="G32" s="1118"/>
      <c r="H32" s="870">
        <f>+H31+H30</f>
        <v>0</v>
      </c>
      <c r="I32" s="870">
        <f>+I31+I30</f>
        <v>0</v>
      </c>
    </row>
    <row r="33" spans="1:11" ht="31.15" customHeight="1">
      <c r="A33" s="1114" t="s">
        <v>5053</v>
      </c>
      <c r="B33" s="1115"/>
      <c r="C33" s="1116" t="s">
        <v>5361</v>
      </c>
      <c r="D33" s="1116"/>
      <c r="E33" s="1116"/>
      <c r="F33" s="871" t="s">
        <v>39</v>
      </c>
      <c r="G33" s="871"/>
      <c r="H33" s="869">
        <f>+[1]кошторис!V46</f>
        <v>0</v>
      </c>
      <c r="I33" s="869">
        <f>+[1]кошторис!Z46</f>
        <v>0</v>
      </c>
    </row>
    <row r="34" spans="1:11">
      <c r="A34" s="1117" t="s">
        <v>5056</v>
      </c>
      <c r="B34" s="1118"/>
      <c r="C34" s="1118"/>
      <c r="D34" s="1118"/>
      <c r="E34" s="1118"/>
      <c r="F34" s="1118"/>
      <c r="G34" s="1118"/>
      <c r="H34" s="870"/>
      <c r="I34" s="870">
        <f>+I33</f>
        <v>0</v>
      </c>
    </row>
    <row r="35" spans="1:11">
      <c r="A35" s="1117" t="s">
        <v>5051</v>
      </c>
      <c r="B35" s="1118"/>
      <c r="C35" s="1118"/>
      <c r="D35" s="1118"/>
      <c r="E35" s="1118"/>
      <c r="F35" s="1118"/>
      <c r="G35" s="1118"/>
      <c r="H35" s="870"/>
      <c r="I35" s="870"/>
    </row>
    <row r="36" spans="1:11">
      <c r="A36" s="1117" t="s">
        <v>5057</v>
      </c>
      <c r="B36" s="1118"/>
      <c r="C36" s="1118"/>
      <c r="D36" s="1118"/>
      <c r="E36" s="1118"/>
      <c r="F36" s="1118"/>
      <c r="G36" s="1118"/>
      <c r="H36" s="870">
        <f>+H35+H34</f>
        <v>0</v>
      </c>
      <c r="I36" s="870">
        <f>+I35+I34</f>
        <v>0</v>
      </c>
    </row>
    <row r="39" spans="1:11" ht="15.75">
      <c r="A39" s="1109" t="s">
        <v>5064</v>
      </c>
      <c r="B39" s="1109"/>
      <c r="C39" s="1109"/>
      <c r="D39" s="1109"/>
      <c r="E39" s="1109"/>
      <c r="F39" s="1109"/>
      <c r="G39" s="1109"/>
      <c r="H39" s="1109"/>
      <c r="I39" s="1109"/>
    </row>
    <row r="40" spans="1:11">
      <c r="A40" s="1103" t="s">
        <v>5065</v>
      </c>
      <c r="B40" s="1104"/>
      <c r="C40" s="1104"/>
      <c r="D40" s="1104"/>
      <c r="E40" s="1104"/>
      <c r="F40" s="1104"/>
      <c r="G40" s="1104"/>
      <c r="H40" s="1104"/>
      <c r="I40" s="1104"/>
      <c r="K40" t="str">
        <f ca="1">$I$1&amp;$H$1&amp;REGPLACE(A39," ","_")</f>
        <v>gРГКТЕХНІЧНЕ_ЗАВДАННЯ</v>
      </c>
    </row>
    <row r="41" spans="1:11">
      <c r="A41" s="1013" t="str">
        <f ca="1">$I$1&amp;$H$1&amp;REGPLACE(A39," ","_")</f>
        <v>gРГКТЕХНІЧНЕ_ЗАВДАННЯ</v>
      </c>
      <c r="G41" s="1013" t="s">
        <v>5369</v>
      </c>
    </row>
    <row r="42" spans="1:11">
      <c r="A42" s="1105" t="s">
        <v>5025</v>
      </c>
      <c r="B42" s="1106"/>
      <c r="C42" s="1107" t="s">
        <v>5037</v>
      </c>
      <c r="D42" s="1107"/>
      <c r="E42" s="1107"/>
      <c r="F42" s="1107"/>
      <c r="G42" s="1107"/>
      <c r="H42" s="1108"/>
      <c r="I42" s="1108"/>
    </row>
    <row r="43" spans="1:11">
      <c r="A43" s="1099" t="s">
        <v>5350</v>
      </c>
      <c r="B43" s="1100"/>
      <c r="C43" s="1199" t="s">
        <v>5039</v>
      </c>
      <c r="D43" s="1199"/>
      <c r="E43" s="1199"/>
      <c r="F43" s="1199"/>
      <c r="G43" s="1199"/>
      <c r="H43" s="905" t="s">
        <v>39</v>
      </c>
      <c r="I43" s="875">
        <f t="shared" ref="I43:I48" si="2">I6</f>
        <v>46</v>
      </c>
    </row>
    <row r="44" spans="1:11">
      <c r="A44" s="1099" t="s">
        <v>5351</v>
      </c>
      <c r="B44" s="1100"/>
      <c r="C44" s="1199" t="s">
        <v>5041</v>
      </c>
      <c r="D44" s="1199"/>
      <c r="E44" s="1199"/>
      <c r="F44" s="1199"/>
      <c r="G44" s="1199"/>
      <c r="H44" s="905" t="s">
        <v>39</v>
      </c>
      <c r="I44" s="875">
        <f t="shared" si="2"/>
        <v>46</v>
      </c>
    </row>
    <row r="45" spans="1:11">
      <c r="A45" s="1099" t="s">
        <v>5031</v>
      </c>
      <c r="B45" s="1100"/>
      <c r="C45" s="1199" t="s">
        <v>5043</v>
      </c>
      <c r="D45" s="1199"/>
      <c r="E45" s="1199"/>
      <c r="F45" s="1199"/>
      <c r="G45" s="1199"/>
      <c r="H45" s="905" t="s">
        <v>39</v>
      </c>
      <c r="I45" s="875">
        <f t="shared" si="2"/>
        <v>46</v>
      </c>
    </row>
    <row r="46" spans="1:11">
      <c r="A46" s="1099" t="s">
        <v>5354</v>
      </c>
      <c r="B46" s="1100"/>
      <c r="C46" s="1199" t="s">
        <v>5045</v>
      </c>
      <c r="D46" s="1199"/>
      <c r="E46" s="1199"/>
      <c r="F46" s="1199"/>
      <c r="G46" s="1199"/>
      <c r="H46" s="905" t="s">
        <v>39</v>
      </c>
      <c r="I46" s="875">
        <f t="shared" si="2"/>
        <v>46</v>
      </c>
    </row>
    <row r="47" spans="1:11">
      <c r="A47" s="1099" t="s">
        <v>5355</v>
      </c>
      <c r="B47" s="1100"/>
      <c r="C47" s="1199" t="s">
        <v>5047</v>
      </c>
      <c r="D47" s="1199"/>
      <c r="E47" s="1199"/>
      <c r="F47" s="1199"/>
      <c r="G47" s="1199"/>
      <c r="H47" s="905" t="s">
        <v>39</v>
      </c>
      <c r="I47" s="875">
        <f t="shared" si="2"/>
        <v>36</v>
      </c>
    </row>
    <row r="48" spans="1:11">
      <c r="A48" s="1099" t="s">
        <v>5356</v>
      </c>
      <c r="B48" s="1100"/>
      <c r="C48" s="1199" t="s">
        <v>5049</v>
      </c>
      <c r="D48" s="1199"/>
      <c r="E48" s="1199"/>
      <c r="F48" s="1199"/>
      <c r="G48" s="1199"/>
      <c r="H48" s="905" t="s">
        <v>39</v>
      </c>
      <c r="I48" s="875">
        <f t="shared" si="2"/>
        <v>10</v>
      </c>
    </row>
    <row r="49" spans="1:9">
      <c r="A49" s="1197" t="s">
        <v>5036</v>
      </c>
      <c r="B49" s="1198"/>
      <c r="C49" s="1107" t="s">
        <v>5362</v>
      </c>
      <c r="D49" s="1107"/>
      <c r="E49" s="1107"/>
      <c r="F49" s="1107"/>
      <c r="G49" s="1107"/>
      <c r="H49" s="905" t="s">
        <v>39</v>
      </c>
      <c r="I49" s="876"/>
    </row>
  </sheetData>
  <mergeCells count="53">
    <mergeCell ref="C15:G15"/>
    <mergeCell ref="C4:G4"/>
    <mergeCell ref="C5:J5"/>
    <mergeCell ref="C6:G6"/>
    <mergeCell ref="C7:G7"/>
    <mergeCell ref="C8:G8"/>
    <mergeCell ref="C9:G9"/>
    <mergeCell ref="C10:G10"/>
    <mergeCell ref="C11:G11"/>
    <mergeCell ref="A12:I12"/>
    <mergeCell ref="A13:I13"/>
    <mergeCell ref="A14:I14"/>
    <mergeCell ref="A26:E26"/>
    <mergeCell ref="A16:I16"/>
    <mergeCell ref="A17:I17"/>
    <mergeCell ref="A18:I18"/>
    <mergeCell ref="A21:I21"/>
    <mergeCell ref="A22:I22"/>
    <mergeCell ref="A24:E24"/>
    <mergeCell ref="F24:I24"/>
    <mergeCell ref="A25:C25"/>
    <mergeCell ref="D25:E25"/>
    <mergeCell ref="F25:G25"/>
    <mergeCell ref="A35:G35"/>
    <mergeCell ref="A28:B28"/>
    <mergeCell ref="C28:E28"/>
    <mergeCell ref="A29:B29"/>
    <mergeCell ref="C29:E29"/>
    <mergeCell ref="A30:G30"/>
    <mergeCell ref="A31:G31"/>
    <mergeCell ref="A32:G32"/>
    <mergeCell ref="A33:B33"/>
    <mergeCell ref="C33:E33"/>
    <mergeCell ref="A34:G34"/>
    <mergeCell ref="A36:G36"/>
    <mergeCell ref="A39:I39"/>
    <mergeCell ref="A40:I40"/>
    <mergeCell ref="A42:B42"/>
    <mergeCell ref="C42:I42"/>
    <mergeCell ref="A43:B43"/>
    <mergeCell ref="C43:G43"/>
    <mergeCell ref="A44:B44"/>
    <mergeCell ref="C44:G44"/>
    <mergeCell ref="A45:B45"/>
    <mergeCell ref="C45:G45"/>
    <mergeCell ref="A49:B49"/>
    <mergeCell ref="C49:G49"/>
    <mergeCell ref="A46:B46"/>
    <mergeCell ref="C46:G46"/>
    <mergeCell ref="A47:B47"/>
    <mergeCell ref="C47:G47"/>
    <mergeCell ref="A48:B48"/>
    <mergeCell ref="C48:G48"/>
  </mergeCells>
  <conditionalFormatting sqref="A41 A42:I49 A39:I40 A21:I36">
    <cfRule type="cellIs" dxfId="105" priority="11" operator="equal">
      <formula>0</formula>
    </cfRule>
  </conditionalFormatting>
  <conditionalFormatting sqref="H31:I31 H35:I35 K1 B1:G1">
    <cfRule type="cellIs" dxfId="104" priority="9" operator="equal">
      <formula>#DIV/0!</formula>
    </cfRule>
    <cfRule type="cellIs" dxfId="103" priority="10" operator="equal">
      <formula>0</formula>
    </cfRule>
  </conditionalFormatting>
  <conditionalFormatting sqref="A2:AE2 O1:AE1 I1">
    <cfRule type="cellIs" dxfId="102" priority="7" operator="equal">
      <formula>#DIV/0!</formula>
    </cfRule>
    <cfRule type="cellIs" dxfId="101" priority="8" operator="equal">
      <formula>0</formula>
    </cfRule>
  </conditionalFormatting>
  <conditionalFormatting sqref="A3">
    <cfRule type="cellIs" dxfId="100" priority="4" operator="equal">
      <formula>0</formula>
    </cfRule>
  </conditionalFormatting>
  <conditionalFormatting sqref="Q5">
    <cfRule type="cellIs" dxfId="99" priority="3" operator="equal">
      <formula>0</formula>
    </cfRule>
  </conditionalFormatting>
  <conditionalFormatting sqref="G41">
    <cfRule type="cellIs" dxfId="98" priority="2" operator="equal">
      <formula>0</formula>
    </cfRule>
  </conditionalFormatting>
  <conditionalFormatting sqref="Q6">
    <cfRule type="cellIs" dxfId="97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rgb="FFFFC000"/>
  </sheetPr>
  <dimension ref="A1:BY658"/>
  <sheetViews>
    <sheetView zoomScaleNormal="100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C15" sqref="C15"/>
    </sheetView>
  </sheetViews>
  <sheetFormatPr defaultColWidth="20.7109375" defaultRowHeight="15"/>
  <cols>
    <col min="1" max="1" width="4.140625" customWidth="1"/>
    <col min="4" max="4" width="6.7109375" customWidth="1"/>
    <col min="5" max="5" width="4.5703125" customWidth="1"/>
    <col min="6" max="6" width="5.7109375" customWidth="1"/>
    <col min="7" max="7" width="8.42578125" customWidth="1"/>
    <col min="8" max="8" width="6" customWidth="1"/>
    <col min="43" max="43" width="20.7109375" style="671"/>
    <col min="64" max="64" width="30" customWidth="1"/>
    <col min="77" max="77" width="168.42578125" style="929" customWidth="1"/>
  </cols>
  <sheetData>
    <row r="1" spans="1:77" ht="42" customHeight="1">
      <c r="A1" t="s">
        <v>2170</v>
      </c>
      <c r="B1" t="s">
        <v>54</v>
      </c>
      <c r="C1" t="s">
        <v>58</v>
      </c>
      <c r="D1" t="s">
        <v>4</v>
      </c>
      <c r="E1" t="s">
        <v>3539</v>
      </c>
      <c r="F1" t="s">
        <v>3</v>
      </c>
      <c r="G1" t="s">
        <v>6</v>
      </c>
      <c r="H1" t="s">
        <v>3540</v>
      </c>
      <c r="I1" t="s">
        <v>3490</v>
      </c>
      <c r="J1" t="s">
        <v>3491</v>
      </c>
      <c r="K1" t="s">
        <v>3541</v>
      </c>
      <c r="L1" t="s">
        <v>3542</v>
      </c>
      <c r="M1" t="s">
        <v>3543</v>
      </c>
      <c r="N1" t="s">
        <v>3544</v>
      </c>
      <c r="O1" t="s">
        <v>3545</v>
      </c>
      <c r="P1" t="s">
        <v>3546</v>
      </c>
      <c r="Q1" t="s">
        <v>3547</v>
      </c>
      <c r="R1" t="s">
        <v>3548</v>
      </c>
      <c r="S1" t="s">
        <v>3549</v>
      </c>
      <c r="T1" t="s">
        <v>3550</v>
      </c>
      <c r="U1" t="s">
        <v>3551</v>
      </c>
      <c r="V1" t="s">
        <v>3552</v>
      </c>
      <c r="W1" t="s">
        <v>3553</v>
      </c>
      <c r="X1" t="s">
        <v>3554</v>
      </c>
      <c r="Y1" t="s">
        <v>3485</v>
      </c>
      <c r="Z1" t="s">
        <v>3555</v>
      </c>
      <c r="AA1" t="s">
        <v>3556</v>
      </c>
      <c r="AB1" t="s">
        <v>3557</v>
      </c>
      <c r="AC1" t="s">
        <v>3536</v>
      </c>
      <c r="AD1" t="s">
        <v>3558</v>
      </c>
      <c r="AE1" t="s">
        <v>3559</v>
      </c>
      <c r="AF1" t="s">
        <v>3560</v>
      </c>
      <c r="AG1" t="s">
        <v>67</v>
      </c>
      <c r="AH1" t="s">
        <v>3561</v>
      </c>
      <c r="AI1" t="s">
        <v>3364</v>
      </c>
      <c r="AJ1" t="s">
        <v>3562</v>
      </c>
      <c r="AK1" t="s">
        <v>3563</v>
      </c>
      <c r="AL1" t="s">
        <v>3564</v>
      </c>
      <c r="AM1" t="s">
        <v>3565</v>
      </c>
      <c r="AN1" t="s">
        <v>3566</v>
      </c>
      <c r="AO1" t="s">
        <v>3567</v>
      </c>
      <c r="AP1" t="s">
        <v>3568</v>
      </c>
      <c r="AQ1" s="671" t="s">
        <v>3569</v>
      </c>
      <c r="AR1" t="s">
        <v>3570</v>
      </c>
      <c r="AS1" t="s">
        <v>3571</v>
      </c>
      <c r="AT1" t="s">
        <v>3572</v>
      </c>
      <c r="AU1" t="s">
        <v>3573</v>
      </c>
      <c r="AV1" t="s">
        <v>3574</v>
      </c>
      <c r="AW1" t="s">
        <v>3575</v>
      </c>
      <c r="AX1" t="s">
        <v>2173</v>
      </c>
      <c r="AY1" t="s">
        <v>68</v>
      </c>
      <c r="AZ1" t="s">
        <v>3576</v>
      </c>
      <c r="BA1" t="s">
        <v>3577</v>
      </c>
      <c r="BB1" t="s">
        <v>3578</v>
      </c>
      <c r="BC1" t="s">
        <v>3579</v>
      </c>
      <c r="BD1" t="s">
        <v>3580</v>
      </c>
      <c r="BE1" s="603" t="s">
        <v>73</v>
      </c>
      <c r="BF1" s="206" t="s">
        <v>76</v>
      </c>
      <c r="BG1" s="604" t="s">
        <v>77</v>
      </c>
      <c r="BH1" t="s">
        <v>66</v>
      </c>
      <c r="BI1" t="s">
        <v>3408</v>
      </c>
      <c r="BJ1" t="s">
        <v>2136</v>
      </c>
      <c r="BK1" t="s">
        <v>3627</v>
      </c>
      <c r="BL1" s="156" t="s">
        <v>868</v>
      </c>
      <c r="BM1" s="156" t="s">
        <v>2134</v>
      </c>
      <c r="BN1" s="156" t="s">
        <v>3778</v>
      </c>
      <c r="BO1" s="156" t="s">
        <v>3774</v>
      </c>
      <c r="BP1" s="156" t="s">
        <v>3775</v>
      </c>
      <c r="BQ1" t="s">
        <v>3800</v>
      </c>
      <c r="BR1" s="3" t="s">
        <v>3905</v>
      </c>
      <c r="BS1" t="s">
        <v>5315</v>
      </c>
      <c r="BT1" t="s">
        <v>5316</v>
      </c>
      <c r="BU1" t="s">
        <v>5317</v>
      </c>
      <c r="BV1" t="s">
        <v>5312</v>
      </c>
      <c r="BW1" t="s">
        <v>3906</v>
      </c>
      <c r="BX1" s="426" t="s">
        <v>5310</v>
      </c>
      <c r="BY1" s="929" t="s">
        <v>5341</v>
      </c>
    </row>
    <row r="2" spans="1:77">
      <c r="A2" t="s">
        <v>104</v>
      </c>
      <c r="B2" t="s">
        <v>113</v>
      </c>
      <c r="C2" s="686" t="s">
        <v>104</v>
      </c>
      <c r="D2">
        <v>0</v>
      </c>
      <c r="E2" t="s">
        <v>2305</v>
      </c>
      <c r="F2">
        <v>3</v>
      </c>
      <c r="G2" t="s">
        <v>2238</v>
      </c>
      <c r="H2" s="448">
        <v>21</v>
      </c>
      <c r="I2" t="s">
        <v>3790</v>
      </c>
      <c r="J2">
        <v>1</v>
      </c>
      <c r="K2">
        <v>366</v>
      </c>
      <c r="L2">
        <v>0</v>
      </c>
      <c r="M2">
        <v>0</v>
      </c>
      <c r="N2">
        <v>140</v>
      </c>
      <c r="O2">
        <v>0</v>
      </c>
      <c r="P2">
        <v>0</v>
      </c>
      <c r="Q2">
        <v>30</v>
      </c>
      <c r="R2">
        <v>7</v>
      </c>
      <c r="S2">
        <v>2</v>
      </c>
      <c r="T2">
        <v>139</v>
      </c>
      <c r="U2">
        <v>2</v>
      </c>
      <c r="V2">
        <v>1</v>
      </c>
      <c r="W2">
        <v>96</v>
      </c>
      <c r="X2" s="615">
        <v>1.1399999999999999</v>
      </c>
      <c r="Y2" s="448">
        <v>417</v>
      </c>
      <c r="Z2" s="616">
        <v>439</v>
      </c>
      <c r="AA2" s="640">
        <v>71.725999999999999</v>
      </c>
      <c r="AB2" s="640">
        <v>29.172000000000001</v>
      </c>
      <c r="AC2">
        <v>22</v>
      </c>
      <c r="AE2" s="448" t="s">
        <v>3908</v>
      </c>
      <c r="AF2">
        <v>1</v>
      </c>
      <c r="AG2" s="281">
        <v>43101</v>
      </c>
      <c r="AJ2" s="602">
        <v>43102</v>
      </c>
      <c r="AL2" s="96" t="s">
        <v>3469</v>
      </c>
      <c r="AO2" s="448">
        <v>29909.741999999998</v>
      </c>
      <c r="AP2">
        <v>556620</v>
      </c>
      <c r="AQ2" s="672" t="s">
        <v>3723</v>
      </c>
      <c r="AY2" t="s">
        <v>80</v>
      </c>
      <c r="BB2" t="s">
        <v>3584</v>
      </c>
      <c r="BC2" s="448">
        <v>12</v>
      </c>
      <c r="BE2" s="612">
        <v>5</v>
      </c>
      <c r="BF2" s="613">
        <v>40</v>
      </c>
      <c r="BG2" s="614" t="s">
        <v>78</v>
      </c>
      <c r="BH2" s="636">
        <v>1</v>
      </c>
      <c r="BJ2">
        <v>1</v>
      </c>
      <c r="BK2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2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2" s="636">
        <v>1</v>
      </c>
      <c r="BN2" s="636" t="s">
        <v>3784</v>
      </c>
      <c r="BO2" s="636" t="s">
        <v>3784</v>
      </c>
      <c r="BP2" s="636" t="s">
        <v>3784</v>
      </c>
      <c r="BQ2" t="s">
        <v>104</v>
      </c>
      <c r="BR2" s="636"/>
      <c r="BS2" s="636"/>
      <c r="BT2" s="636"/>
      <c r="BU2" s="636"/>
      <c r="BV2" s="636"/>
      <c r="BW2" s="636"/>
      <c r="BX2" s="636"/>
      <c r="BY2" s="972"/>
    </row>
    <row r="3" spans="1:77">
      <c r="A3" t="s">
        <v>104</v>
      </c>
      <c r="B3" t="s">
        <v>113</v>
      </c>
      <c r="C3" s="686" t="s">
        <v>104</v>
      </c>
      <c r="D3">
        <v>0</v>
      </c>
      <c r="E3" t="s">
        <v>2316</v>
      </c>
      <c r="F3">
        <v>2</v>
      </c>
      <c r="G3" t="s">
        <v>2238</v>
      </c>
      <c r="H3" s="448">
        <v>55</v>
      </c>
      <c r="I3" t="s">
        <v>3791</v>
      </c>
      <c r="J3">
        <v>0.3</v>
      </c>
      <c r="K3">
        <v>111</v>
      </c>
      <c r="L3">
        <v>0</v>
      </c>
      <c r="M3">
        <v>0</v>
      </c>
      <c r="N3">
        <v>24</v>
      </c>
      <c r="O3">
        <v>0</v>
      </c>
      <c r="P3">
        <v>0</v>
      </c>
      <c r="Q3">
        <v>0</v>
      </c>
      <c r="R3">
        <v>15</v>
      </c>
      <c r="S3">
        <v>0</v>
      </c>
      <c r="T3">
        <v>18</v>
      </c>
      <c r="U3">
        <v>4</v>
      </c>
      <c r="V3">
        <v>0</v>
      </c>
      <c r="W3">
        <v>13</v>
      </c>
      <c r="X3" s="615">
        <v>0.67</v>
      </c>
      <c r="Y3" s="448">
        <v>74</v>
      </c>
      <c r="Z3" s="616">
        <v>267</v>
      </c>
      <c r="AA3" s="640">
        <v>81.355000000000004</v>
      </c>
      <c r="AB3" s="640">
        <v>38.347000000000001</v>
      </c>
      <c r="AC3">
        <v>6</v>
      </c>
      <c r="AE3" s="448" t="s">
        <v>3909</v>
      </c>
      <c r="AF3">
        <v>1</v>
      </c>
      <c r="AG3" s="281">
        <v>43101</v>
      </c>
      <c r="AJ3" s="602">
        <v>43102</v>
      </c>
      <c r="AL3" s="637" t="s">
        <v>3453</v>
      </c>
      <c r="AO3" s="448">
        <v>6020.27</v>
      </c>
      <c r="AP3">
        <v>556620</v>
      </c>
      <c r="AQ3" s="672" t="s">
        <v>3723</v>
      </c>
      <c r="AY3" t="s">
        <v>80</v>
      </c>
      <c r="BB3" t="s">
        <v>3584</v>
      </c>
      <c r="BC3" s="448">
        <v>12</v>
      </c>
      <c r="BE3" s="612">
        <v>5</v>
      </c>
      <c r="BF3" s="613">
        <v>40</v>
      </c>
      <c r="BG3" s="614" t="s">
        <v>78</v>
      </c>
      <c r="BH3" s="636">
        <v>1.1000000000000001</v>
      </c>
      <c r="BJ3">
        <v>2</v>
      </c>
      <c r="BK3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" s="636">
        <v>1</v>
      </c>
      <c r="BN3" s="636" t="s">
        <v>3784</v>
      </c>
      <c r="BO3" s="636" t="s">
        <v>3784</v>
      </c>
      <c r="BP3" s="636" t="s">
        <v>3784</v>
      </c>
      <c r="BQ3" t="s">
        <v>104</v>
      </c>
      <c r="BR3" s="636"/>
      <c r="BS3" s="636"/>
      <c r="BT3" s="636"/>
      <c r="BU3" s="636"/>
      <c r="BV3" s="636"/>
      <c r="BW3" s="636"/>
      <c r="BX3" s="636"/>
      <c r="BY3" s="972"/>
    </row>
    <row r="4" spans="1:77">
      <c r="A4" t="s">
        <v>104</v>
      </c>
      <c r="B4" t="s">
        <v>113</v>
      </c>
      <c r="C4" s="686" t="s">
        <v>104</v>
      </c>
      <c r="D4">
        <v>0</v>
      </c>
      <c r="E4" t="s">
        <v>2305</v>
      </c>
      <c r="F4">
        <v>2</v>
      </c>
      <c r="G4" t="s">
        <v>2238</v>
      </c>
      <c r="H4" s="448">
        <v>52</v>
      </c>
      <c r="I4" t="s">
        <v>3791</v>
      </c>
      <c r="J4">
        <v>0.3</v>
      </c>
      <c r="K4">
        <v>162</v>
      </c>
      <c r="L4">
        <v>0</v>
      </c>
      <c r="M4">
        <v>0</v>
      </c>
      <c r="N4">
        <v>36</v>
      </c>
      <c r="O4">
        <v>0</v>
      </c>
      <c r="P4">
        <v>0</v>
      </c>
      <c r="Q4">
        <v>0</v>
      </c>
      <c r="R4">
        <v>1</v>
      </c>
      <c r="S4">
        <v>1</v>
      </c>
      <c r="T4">
        <v>26</v>
      </c>
      <c r="U4">
        <v>0</v>
      </c>
      <c r="V4">
        <v>1</v>
      </c>
      <c r="W4">
        <v>18</v>
      </c>
      <c r="X4" s="615">
        <v>0.51</v>
      </c>
      <c r="Y4" s="448">
        <v>83</v>
      </c>
      <c r="Z4" s="616">
        <v>297</v>
      </c>
      <c r="AA4" s="640">
        <v>83.323999999999998</v>
      </c>
      <c r="AB4" s="640">
        <v>41.637</v>
      </c>
      <c r="AC4">
        <v>6</v>
      </c>
      <c r="AE4" s="448" t="s">
        <v>3910</v>
      </c>
      <c r="AF4">
        <v>1</v>
      </c>
      <c r="AG4" s="281">
        <v>43101</v>
      </c>
      <c r="AJ4" s="602">
        <v>43102</v>
      </c>
      <c r="AL4" s="637" t="s">
        <v>3453</v>
      </c>
      <c r="AO4" s="448">
        <v>6915.8919999999998</v>
      </c>
      <c r="AP4">
        <v>556620</v>
      </c>
      <c r="AQ4" s="672" t="s">
        <v>3723</v>
      </c>
      <c r="AY4" t="s">
        <v>80</v>
      </c>
      <c r="BB4" t="s">
        <v>3584</v>
      </c>
      <c r="BC4" s="448">
        <v>12</v>
      </c>
      <c r="BE4" s="612">
        <v>5</v>
      </c>
      <c r="BF4" s="613">
        <v>40</v>
      </c>
      <c r="BG4" s="614" t="s">
        <v>78</v>
      </c>
      <c r="BH4" s="636">
        <v>1.1000000000000001</v>
      </c>
      <c r="BJ4">
        <v>3</v>
      </c>
      <c r="BK4" s="682" t="str">
        <f>Техкарта[[#This Row],[Кв-л]]&amp;" кв ("&amp;Substring(Техкарта[[#This Row],[Виділ]],"_",1)&amp;" вид) "&amp;Substring(Техкарта[[#This Row],[Виділ]],"_",2)&amp;" діл."</f>
        <v>52 кв (7 вид) 0 діл.</v>
      </c>
      <c r="BL4" s="682" t="str">
        <f>Техкарта[[#This Row],[ПолнаяДіл]] &amp;" "&amp;Техкарта[[#This Row],[ЛК]]&amp;" "&amp;Техкарта[[#This Row],[Вид рубки]]</f>
        <v>52 кв (7 вид) 0 діл. 556620 РГК</v>
      </c>
      <c r="BM4" s="636">
        <v>1</v>
      </c>
      <c r="BN4" s="636" t="s">
        <v>3784</v>
      </c>
      <c r="BO4" s="636" t="s">
        <v>3784</v>
      </c>
      <c r="BP4" s="636" t="s">
        <v>3784</v>
      </c>
      <c r="BQ4" t="s">
        <v>104</v>
      </c>
      <c r="BR4" s="636"/>
      <c r="BS4" s="636"/>
      <c r="BT4" s="636"/>
      <c r="BU4" s="636"/>
      <c r="BV4" s="636"/>
      <c r="BW4" s="636"/>
      <c r="BX4" s="636"/>
      <c r="BY4" s="972"/>
    </row>
    <row r="5" spans="1:77">
      <c r="A5" t="s">
        <v>104</v>
      </c>
      <c r="B5" t="s">
        <v>113</v>
      </c>
      <c r="C5" s="686" t="s">
        <v>104</v>
      </c>
      <c r="D5">
        <v>0</v>
      </c>
      <c r="E5" t="s">
        <v>2305</v>
      </c>
      <c r="F5">
        <v>2</v>
      </c>
      <c r="G5" t="s">
        <v>2238</v>
      </c>
      <c r="H5" s="448">
        <v>56</v>
      </c>
      <c r="I5" t="s">
        <v>3792</v>
      </c>
      <c r="J5">
        <v>0.8</v>
      </c>
      <c r="K5">
        <v>444</v>
      </c>
      <c r="L5">
        <v>0</v>
      </c>
      <c r="M5">
        <v>0</v>
      </c>
      <c r="N5">
        <v>116</v>
      </c>
      <c r="O5">
        <v>0</v>
      </c>
      <c r="P5">
        <v>0</v>
      </c>
      <c r="Q5">
        <v>6</v>
      </c>
      <c r="R5">
        <v>15</v>
      </c>
      <c r="S5">
        <v>2</v>
      </c>
      <c r="T5">
        <v>88</v>
      </c>
      <c r="U5">
        <v>5</v>
      </c>
      <c r="V5">
        <v>1</v>
      </c>
      <c r="W5">
        <v>58</v>
      </c>
      <c r="X5" s="615">
        <v>0.66</v>
      </c>
      <c r="Y5" s="448">
        <v>291</v>
      </c>
      <c r="Z5" s="616">
        <v>391</v>
      </c>
      <c r="AA5" s="640">
        <v>73.534999999999997</v>
      </c>
      <c r="AB5" s="640">
        <v>35.381</v>
      </c>
      <c r="AC5">
        <v>22</v>
      </c>
      <c r="AE5" s="448" t="s">
        <v>3911</v>
      </c>
      <c r="AF5">
        <v>1</v>
      </c>
      <c r="AG5" s="281">
        <v>43101</v>
      </c>
      <c r="AJ5" s="602">
        <v>43102</v>
      </c>
      <c r="AL5" s="469" t="s">
        <v>3474</v>
      </c>
      <c r="AO5" s="448">
        <v>21398.685000000001</v>
      </c>
      <c r="AP5">
        <v>556620</v>
      </c>
      <c r="AQ5" s="672" t="s">
        <v>3723</v>
      </c>
      <c r="AY5" t="s">
        <v>80</v>
      </c>
      <c r="BB5" t="s">
        <v>3584</v>
      </c>
      <c r="BC5" s="448">
        <v>12</v>
      </c>
      <c r="BE5" s="612">
        <v>5</v>
      </c>
      <c r="BF5" s="613">
        <v>40</v>
      </c>
      <c r="BG5" s="614" t="s">
        <v>78</v>
      </c>
      <c r="BH5" s="636">
        <v>1.1000000000000001</v>
      </c>
      <c r="BJ5">
        <v>5</v>
      </c>
      <c r="BK5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5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5" s="636">
        <v>1</v>
      </c>
      <c r="BN5" s="636" t="s">
        <v>3784</v>
      </c>
      <c r="BO5" s="636" t="s">
        <v>3784</v>
      </c>
      <c r="BP5" s="636" t="s">
        <v>3784</v>
      </c>
      <c r="BQ5" t="s">
        <v>104</v>
      </c>
      <c r="BR5" s="636"/>
      <c r="BS5" s="636"/>
      <c r="BT5" s="636"/>
      <c r="BU5" s="636"/>
      <c r="BV5" s="636"/>
      <c r="BW5" s="636"/>
      <c r="BX5" s="636"/>
      <c r="BY5" s="972"/>
    </row>
    <row r="6" spans="1:77">
      <c r="A6" t="s">
        <v>104</v>
      </c>
      <c r="B6" t="s">
        <v>113</v>
      </c>
      <c r="C6" s="686" t="s">
        <v>104</v>
      </c>
      <c r="D6">
        <v>0</v>
      </c>
      <c r="E6" t="s">
        <v>2316</v>
      </c>
      <c r="F6">
        <v>2</v>
      </c>
      <c r="G6" t="s">
        <v>2238</v>
      </c>
      <c r="H6" s="448">
        <v>90</v>
      </c>
      <c r="I6" t="s">
        <v>3793</v>
      </c>
      <c r="J6">
        <v>2.6</v>
      </c>
      <c r="K6">
        <v>848</v>
      </c>
      <c r="L6">
        <v>0</v>
      </c>
      <c r="M6">
        <v>1</v>
      </c>
      <c r="N6">
        <v>145</v>
      </c>
      <c r="O6">
        <v>0</v>
      </c>
      <c r="P6">
        <v>0</v>
      </c>
      <c r="Q6">
        <v>10</v>
      </c>
      <c r="R6">
        <v>8</v>
      </c>
      <c r="S6">
        <v>18</v>
      </c>
      <c r="T6">
        <v>280</v>
      </c>
      <c r="U6">
        <v>3</v>
      </c>
      <c r="V6">
        <v>15</v>
      </c>
      <c r="W6">
        <v>191</v>
      </c>
      <c r="X6" s="615">
        <v>0.79</v>
      </c>
      <c r="Y6" s="448">
        <v>671</v>
      </c>
      <c r="Z6" s="616">
        <v>273</v>
      </c>
      <c r="AA6" s="640">
        <v>82.662999999999997</v>
      </c>
      <c r="AB6" s="640">
        <v>32.786000000000001</v>
      </c>
      <c r="AC6">
        <v>38</v>
      </c>
      <c r="AE6" s="448" t="s">
        <v>3912</v>
      </c>
      <c r="AF6">
        <v>1</v>
      </c>
      <c r="AG6" s="281">
        <v>43101</v>
      </c>
      <c r="AJ6" s="602">
        <v>43102</v>
      </c>
      <c r="AL6" s="637" t="s">
        <v>3469</v>
      </c>
      <c r="AO6" s="448">
        <v>55466.873</v>
      </c>
      <c r="AP6">
        <v>556620</v>
      </c>
      <c r="AQ6" s="672" t="s">
        <v>3723</v>
      </c>
      <c r="AY6" t="s">
        <v>80</v>
      </c>
      <c r="BB6" t="s">
        <v>3584</v>
      </c>
      <c r="BC6" s="448">
        <v>12</v>
      </c>
      <c r="BE6" s="612">
        <v>5</v>
      </c>
      <c r="BF6" s="613">
        <v>40</v>
      </c>
      <c r="BG6" s="614" t="s">
        <v>78</v>
      </c>
      <c r="BH6" s="636">
        <v>1.1000000000000001</v>
      </c>
      <c r="BJ6">
        <v>4</v>
      </c>
      <c r="BK6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6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6" s="636">
        <v>1</v>
      </c>
      <c r="BN6" s="636" t="s">
        <v>3784</v>
      </c>
      <c r="BO6" s="636" t="s">
        <v>3784</v>
      </c>
      <c r="BP6" s="636" t="s">
        <v>3784</v>
      </c>
      <c r="BQ6" t="s">
        <v>104</v>
      </c>
      <c r="BR6" s="636"/>
      <c r="BS6" s="636"/>
      <c r="BT6" s="636"/>
      <c r="BU6" s="636"/>
      <c r="BV6" s="636"/>
      <c r="BW6" s="636"/>
      <c r="BX6" s="636"/>
      <c r="BY6" s="972"/>
    </row>
    <row r="7" spans="1:77">
      <c r="A7" t="s">
        <v>104</v>
      </c>
      <c r="B7" t="s">
        <v>111</v>
      </c>
      <c r="C7" s="686" t="s">
        <v>104</v>
      </c>
      <c r="D7">
        <v>0</v>
      </c>
      <c r="E7" t="s">
        <v>2305</v>
      </c>
      <c r="F7">
        <v>2</v>
      </c>
      <c r="G7" t="s">
        <v>2238</v>
      </c>
      <c r="H7" s="448">
        <v>84</v>
      </c>
      <c r="I7" t="s">
        <v>3794</v>
      </c>
      <c r="J7">
        <v>2.1</v>
      </c>
      <c r="K7">
        <v>1532</v>
      </c>
      <c r="L7">
        <v>0</v>
      </c>
      <c r="M7">
        <v>20</v>
      </c>
      <c r="N7">
        <v>318</v>
      </c>
      <c r="O7">
        <v>0</v>
      </c>
      <c r="P7">
        <v>0</v>
      </c>
      <c r="Q7">
        <v>0</v>
      </c>
      <c r="R7">
        <v>0</v>
      </c>
      <c r="S7">
        <v>70</v>
      </c>
      <c r="T7">
        <v>321</v>
      </c>
      <c r="U7">
        <v>0</v>
      </c>
      <c r="V7">
        <v>57</v>
      </c>
      <c r="W7">
        <v>224</v>
      </c>
      <c r="X7" s="615">
        <v>0.66</v>
      </c>
      <c r="Y7" s="448">
        <v>1010</v>
      </c>
      <c r="Z7" s="616">
        <v>513</v>
      </c>
      <c r="AA7" s="640">
        <v>75.16</v>
      </c>
      <c r="AB7" s="640">
        <v>34.118000000000002</v>
      </c>
      <c r="AC7">
        <v>67</v>
      </c>
      <c r="AE7" s="448" t="s">
        <v>3913</v>
      </c>
      <c r="AF7">
        <v>1</v>
      </c>
      <c r="AG7" s="281">
        <v>43101</v>
      </c>
      <c r="AJ7" s="602">
        <v>43102</v>
      </c>
      <c r="AL7" s="417" t="s">
        <v>3433</v>
      </c>
      <c r="AO7" s="448">
        <v>75911.600000000006</v>
      </c>
      <c r="AP7">
        <v>556621</v>
      </c>
      <c r="AQ7" s="672">
        <v>43077</v>
      </c>
      <c r="AY7" t="s">
        <v>3424</v>
      </c>
      <c r="BB7" t="s">
        <v>3583</v>
      </c>
      <c r="BC7" s="448">
        <v>12</v>
      </c>
      <c r="BE7" s="612">
        <v>5</v>
      </c>
      <c r="BF7" s="613">
        <v>40</v>
      </c>
      <c r="BG7" s="614" t="s">
        <v>78</v>
      </c>
      <c r="BH7" s="448">
        <v>1.1000000000000001</v>
      </c>
      <c r="BJ7">
        <v>1</v>
      </c>
      <c r="BK7" s="682" t="str">
        <f>Техкарта[[#This Row],[Кв-л]]&amp;" кв ("&amp;Substring(Техкарта[[#This Row],[Виділ]],"_",1)&amp;" вид) "&amp;Substring(Техкарта[[#This Row],[Виділ]],"_",2)&amp;" діл."</f>
        <v>84 кв (11 вид) 0 діл.</v>
      </c>
      <c r="BL7" s="682" t="str">
        <f>Техкарта[[#This Row],[ПолнаяДіл]] &amp;" "&amp;Техкарта[[#This Row],[ЛК]]&amp;" "&amp;Техкарта[[#This Row],[Вид рубки]]</f>
        <v>84 кв (11 вид) 0 діл. 556621 РГК</v>
      </c>
      <c r="BM7" s="636">
        <v>1</v>
      </c>
      <c r="BN7" s="636" t="s">
        <v>3784</v>
      </c>
      <c r="BO7" s="636" t="s">
        <v>3784</v>
      </c>
      <c r="BP7" s="636" t="s">
        <v>3784</v>
      </c>
      <c r="BQ7" t="s">
        <v>104</v>
      </c>
      <c r="BR7" s="636"/>
      <c r="BS7" s="636"/>
      <c r="BT7" s="636"/>
      <c r="BU7" s="636"/>
      <c r="BV7" s="636"/>
      <c r="BW7" s="636"/>
      <c r="BX7" s="636"/>
      <c r="BY7" s="972"/>
    </row>
    <row r="8" spans="1:77">
      <c r="A8" t="s">
        <v>104</v>
      </c>
      <c r="B8" t="s">
        <v>111</v>
      </c>
      <c r="C8" s="686" t="s">
        <v>104</v>
      </c>
      <c r="D8">
        <v>0</v>
      </c>
      <c r="E8" t="s">
        <v>2316</v>
      </c>
      <c r="F8">
        <v>3</v>
      </c>
      <c r="G8" t="s">
        <v>2238</v>
      </c>
      <c r="H8" s="448">
        <v>85</v>
      </c>
      <c r="I8" t="s">
        <v>3791</v>
      </c>
      <c r="J8">
        <v>1.4</v>
      </c>
      <c r="K8">
        <v>1393</v>
      </c>
      <c r="L8">
        <v>0</v>
      </c>
      <c r="M8">
        <v>0</v>
      </c>
      <c r="N8">
        <v>65</v>
      </c>
      <c r="O8">
        <v>0</v>
      </c>
      <c r="P8">
        <v>0</v>
      </c>
      <c r="Q8">
        <v>0</v>
      </c>
      <c r="R8">
        <v>1</v>
      </c>
      <c r="S8">
        <v>0</v>
      </c>
      <c r="T8">
        <v>246</v>
      </c>
      <c r="U8">
        <v>0</v>
      </c>
      <c r="V8">
        <v>0</v>
      </c>
      <c r="W8">
        <v>165</v>
      </c>
      <c r="X8" s="615">
        <v>0.34</v>
      </c>
      <c r="Y8" s="448">
        <v>477</v>
      </c>
      <c r="Z8" s="616">
        <v>369</v>
      </c>
      <c r="AA8" s="640">
        <v>113.625</v>
      </c>
      <c r="AB8" s="640">
        <v>58.695</v>
      </c>
      <c r="AC8">
        <v>40</v>
      </c>
      <c r="AE8" s="448" t="s">
        <v>3914</v>
      </c>
      <c r="AF8">
        <v>1</v>
      </c>
      <c r="AG8" s="281">
        <v>43101</v>
      </c>
      <c r="AJ8" s="602">
        <v>43102</v>
      </c>
      <c r="AL8" s="417" t="s">
        <v>3433</v>
      </c>
      <c r="AO8" s="448">
        <v>54199.125</v>
      </c>
      <c r="AP8">
        <v>556621</v>
      </c>
      <c r="AQ8" s="672">
        <v>43077</v>
      </c>
      <c r="AY8" t="s">
        <v>3424</v>
      </c>
      <c r="BB8" t="s">
        <v>3583</v>
      </c>
      <c r="BC8" s="448">
        <v>12</v>
      </c>
      <c r="BE8" s="612">
        <v>5</v>
      </c>
      <c r="BF8" s="613">
        <v>40</v>
      </c>
      <c r="BG8" s="614" t="s">
        <v>78</v>
      </c>
      <c r="BH8" s="448">
        <v>1</v>
      </c>
      <c r="BJ8">
        <v>2</v>
      </c>
      <c r="BK8" s="682" t="str">
        <f>Техкарта[[#This Row],[Кв-л]]&amp;" кв ("&amp;Substring(Техкарта[[#This Row],[Виділ]],"_",1)&amp;" вид) "&amp;Substring(Техкарта[[#This Row],[Виділ]],"_",2)&amp;" діл."</f>
        <v>85 кв (7 вид) 0 діл.</v>
      </c>
      <c r="BL8" s="682" t="str">
        <f>Техкарта[[#This Row],[ПолнаяДіл]] &amp;" "&amp;Техкарта[[#This Row],[ЛК]]&amp;" "&amp;Техкарта[[#This Row],[Вид рубки]]</f>
        <v>85 кв (7 вид) 0 діл. 556621 РГК</v>
      </c>
      <c r="BM8" s="636">
        <v>1</v>
      </c>
      <c r="BN8" s="636" t="s">
        <v>3784</v>
      </c>
      <c r="BO8" s="636" t="s">
        <v>3784</v>
      </c>
      <c r="BP8" s="636" t="s">
        <v>3784</v>
      </c>
      <c r="BQ8" t="s">
        <v>104</v>
      </c>
      <c r="BR8" s="636"/>
      <c r="BS8" s="636"/>
      <c r="BT8" s="636"/>
      <c r="BU8" s="636"/>
      <c r="BV8" s="636"/>
      <c r="BW8" s="636"/>
      <c r="BX8" s="636"/>
      <c r="BY8" s="972"/>
    </row>
    <row r="9" spans="1:77">
      <c r="A9" t="s">
        <v>104</v>
      </c>
      <c r="B9" t="s">
        <v>112</v>
      </c>
      <c r="C9" s="686" t="s">
        <v>104</v>
      </c>
      <c r="D9">
        <v>0</v>
      </c>
      <c r="E9" t="s">
        <v>2316</v>
      </c>
      <c r="F9">
        <v>2</v>
      </c>
      <c r="G9" t="s">
        <v>2238</v>
      </c>
      <c r="H9" s="448">
        <v>54</v>
      </c>
      <c r="I9" t="s">
        <v>3795</v>
      </c>
      <c r="J9">
        <v>4.3</v>
      </c>
      <c r="K9">
        <v>2002</v>
      </c>
      <c r="L9">
        <v>0</v>
      </c>
      <c r="M9">
        <v>0</v>
      </c>
      <c r="N9">
        <v>678</v>
      </c>
      <c r="O9">
        <v>0</v>
      </c>
      <c r="P9">
        <v>0</v>
      </c>
      <c r="Q9">
        <v>55</v>
      </c>
      <c r="R9">
        <v>49</v>
      </c>
      <c r="S9">
        <v>2</v>
      </c>
      <c r="T9">
        <v>520</v>
      </c>
      <c r="U9">
        <v>17</v>
      </c>
      <c r="V9">
        <v>2</v>
      </c>
      <c r="W9">
        <v>351</v>
      </c>
      <c r="X9" s="615">
        <v>0.84</v>
      </c>
      <c r="Y9" s="448">
        <v>1674</v>
      </c>
      <c r="Z9" s="616">
        <v>413</v>
      </c>
      <c r="AA9" s="640">
        <v>68.474999999999994</v>
      </c>
      <c r="AB9" s="640">
        <v>29.978000000000002</v>
      </c>
      <c r="AC9">
        <v>104</v>
      </c>
      <c r="AE9" s="448" t="s">
        <v>3915</v>
      </c>
      <c r="AF9">
        <v>1</v>
      </c>
      <c r="AG9" s="281">
        <v>43101</v>
      </c>
      <c r="AJ9" s="602">
        <v>43102</v>
      </c>
      <c r="AL9" s="637" t="s">
        <v>3473</v>
      </c>
      <c r="AO9" s="448">
        <v>114627.15</v>
      </c>
      <c r="AP9">
        <v>556617</v>
      </c>
      <c r="AQ9" s="672" t="s">
        <v>3723</v>
      </c>
      <c r="AY9" t="s">
        <v>80</v>
      </c>
      <c r="BB9" t="s">
        <v>3584</v>
      </c>
      <c r="BC9" s="448">
        <v>12</v>
      </c>
      <c r="BE9" s="612">
        <v>5</v>
      </c>
      <c r="BF9" s="613">
        <v>40</v>
      </c>
      <c r="BG9" s="614" t="s">
        <v>78</v>
      </c>
      <c r="BH9" s="636">
        <v>1.1000000000000001</v>
      </c>
      <c r="BJ9">
        <v>1</v>
      </c>
      <c r="BK9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9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9" s="636">
        <v>1</v>
      </c>
      <c r="BN9" s="636" t="s">
        <v>3784</v>
      </c>
      <c r="BO9" s="636" t="s">
        <v>3784</v>
      </c>
      <c r="BP9" s="636" t="s">
        <v>3784</v>
      </c>
      <c r="BQ9" t="s">
        <v>104</v>
      </c>
      <c r="BR9" s="636"/>
      <c r="BS9" s="636"/>
      <c r="BT9" s="636"/>
      <c r="BU9" s="636"/>
      <c r="BV9" s="636"/>
      <c r="BW9" s="636"/>
      <c r="BX9" s="636"/>
      <c r="BY9" s="972"/>
    </row>
    <row r="10" spans="1:77">
      <c r="A10" t="s">
        <v>104</v>
      </c>
      <c r="B10" t="s">
        <v>112</v>
      </c>
      <c r="C10" s="686" t="s">
        <v>104</v>
      </c>
      <c r="D10">
        <v>0</v>
      </c>
      <c r="E10" t="s">
        <v>2305</v>
      </c>
      <c r="F10">
        <v>2</v>
      </c>
      <c r="G10" t="s">
        <v>2238</v>
      </c>
      <c r="H10" s="448">
        <v>76</v>
      </c>
      <c r="I10" t="s">
        <v>3796</v>
      </c>
      <c r="J10">
        <v>1</v>
      </c>
      <c r="K10">
        <v>490</v>
      </c>
      <c r="L10">
        <v>0</v>
      </c>
      <c r="M10">
        <v>0</v>
      </c>
      <c r="N10">
        <v>103</v>
      </c>
      <c r="O10">
        <v>0</v>
      </c>
      <c r="P10">
        <v>0</v>
      </c>
      <c r="Q10">
        <v>0</v>
      </c>
      <c r="R10">
        <v>9</v>
      </c>
      <c r="S10">
        <v>1</v>
      </c>
      <c r="T10">
        <v>135</v>
      </c>
      <c r="U10">
        <v>3</v>
      </c>
      <c r="V10">
        <v>1</v>
      </c>
      <c r="W10">
        <v>96</v>
      </c>
      <c r="X10" s="615">
        <v>0.71</v>
      </c>
      <c r="Y10" s="448">
        <v>348</v>
      </c>
      <c r="Z10" s="616">
        <v>373</v>
      </c>
      <c r="AA10" s="640">
        <v>78.534999999999997</v>
      </c>
      <c r="AB10" s="640">
        <v>34.244999999999997</v>
      </c>
      <c r="AC10">
        <v>25</v>
      </c>
      <c r="AE10" s="448" t="s">
        <v>3916</v>
      </c>
      <c r="AF10">
        <v>1</v>
      </c>
      <c r="AG10" s="281">
        <v>43101</v>
      </c>
      <c r="AJ10" s="602">
        <v>43102</v>
      </c>
      <c r="AL10" s="637" t="s">
        <v>3473</v>
      </c>
      <c r="AO10" s="448">
        <v>27330.18</v>
      </c>
      <c r="AP10">
        <v>556617</v>
      </c>
      <c r="AQ10" s="672" t="s">
        <v>3723</v>
      </c>
      <c r="AY10" t="s">
        <v>80</v>
      </c>
      <c r="BB10" t="s">
        <v>3584</v>
      </c>
      <c r="BC10" s="448">
        <v>12</v>
      </c>
      <c r="BE10" s="612">
        <v>5</v>
      </c>
      <c r="BF10" s="613">
        <v>40</v>
      </c>
      <c r="BG10" s="614" t="s">
        <v>78</v>
      </c>
      <c r="BH10" s="636">
        <v>1.1000000000000001</v>
      </c>
      <c r="BJ10">
        <v>2</v>
      </c>
      <c r="BK10" s="682" t="str">
        <f>Техкарта[[#This Row],[Кв-л]]&amp;" кв ("&amp;Substring(Техкарта[[#This Row],[Виділ]],"_",1)&amp;" вид) "&amp;Substring(Техкарта[[#This Row],[Виділ]],"_",2)&amp;" діл."</f>
        <v>76 кв (5 вид) 1 діл.</v>
      </c>
      <c r="BL10" s="682" t="str">
        <f>Техкарта[[#This Row],[ПолнаяДіл]] &amp;" "&amp;Техкарта[[#This Row],[ЛК]]&amp;" "&amp;Техкарта[[#This Row],[Вид рубки]]</f>
        <v>76 кв (5 вид) 1 діл. 556617 РГК</v>
      </c>
      <c r="BM10" s="636">
        <v>1</v>
      </c>
      <c r="BN10" s="636" t="s">
        <v>3784</v>
      </c>
      <c r="BO10" s="636" t="s">
        <v>3784</v>
      </c>
      <c r="BP10" s="636" t="s">
        <v>3784</v>
      </c>
      <c r="BQ10" t="s">
        <v>104</v>
      </c>
      <c r="BR10" s="636"/>
      <c r="BS10" s="636"/>
      <c r="BT10" s="636"/>
      <c r="BU10" s="636"/>
      <c r="BV10" s="636"/>
      <c r="BW10" s="636"/>
      <c r="BX10" s="636"/>
      <c r="BY10" s="972"/>
    </row>
    <row r="11" spans="1:77">
      <c r="A11" t="s">
        <v>104</v>
      </c>
      <c r="B11" t="s">
        <v>114</v>
      </c>
      <c r="C11" s="686" t="s">
        <v>104</v>
      </c>
      <c r="D11">
        <v>0</v>
      </c>
      <c r="E11" t="s">
        <v>2305</v>
      </c>
      <c r="F11">
        <v>3</v>
      </c>
      <c r="G11" t="s">
        <v>2238</v>
      </c>
      <c r="H11" s="448">
        <v>65</v>
      </c>
      <c r="I11" t="s">
        <v>3793</v>
      </c>
      <c r="J11">
        <v>3.5</v>
      </c>
      <c r="K11">
        <v>1317</v>
      </c>
      <c r="L11">
        <v>0</v>
      </c>
      <c r="M11">
        <v>0</v>
      </c>
      <c r="N11">
        <v>322</v>
      </c>
      <c r="O11">
        <v>0</v>
      </c>
      <c r="P11">
        <v>0</v>
      </c>
      <c r="Q11">
        <v>20</v>
      </c>
      <c r="R11">
        <v>83</v>
      </c>
      <c r="S11">
        <v>0</v>
      </c>
      <c r="T11">
        <v>176</v>
      </c>
      <c r="U11">
        <v>28</v>
      </c>
      <c r="V11">
        <v>0</v>
      </c>
      <c r="W11">
        <v>120</v>
      </c>
      <c r="X11" s="615">
        <v>0.56999999999999995</v>
      </c>
      <c r="Y11" s="448">
        <v>749</v>
      </c>
      <c r="Z11" s="616">
        <v>232</v>
      </c>
      <c r="AA11" s="640">
        <v>88.450999999999993</v>
      </c>
      <c r="AB11" s="640">
        <v>44.612000000000002</v>
      </c>
      <c r="AC11">
        <v>63</v>
      </c>
      <c r="AE11" s="448" t="s">
        <v>3590</v>
      </c>
      <c r="AF11">
        <v>1</v>
      </c>
      <c r="AG11" s="281">
        <v>43101</v>
      </c>
      <c r="AJ11" s="602">
        <v>43102</v>
      </c>
      <c r="AL11" t="s">
        <v>3454</v>
      </c>
      <c r="AO11" s="448">
        <v>66249.798999999999</v>
      </c>
      <c r="AP11">
        <v>556619</v>
      </c>
      <c r="AQ11" s="672">
        <v>43077</v>
      </c>
      <c r="AY11" t="s">
        <v>3424</v>
      </c>
      <c r="BB11" t="s">
        <v>3583</v>
      </c>
      <c r="BC11" s="448">
        <v>12</v>
      </c>
      <c r="BE11" s="612">
        <v>5</v>
      </c>
      <c r="BF11" s="613">
        <v>40</v>
      </c>
      <c r="BG11" s="614" t="s">
        <v>78</v>
      </c>
      <c r="BH11" s="448">
        <v>1</v>
      </c>
      <c r="BJ11">
        <v>1</v>
      </c>
      <c r="BK11" s="682" t="str">
        <f>Техкарта[[#This Row],[Кв-л]]&amp;" кв ("&amp;Substring(Техкарта[[#This Row],[Виділ]],"_",1)&amp;" вид) "&amp;Substring(Техкарта[[#This Row],[Виділ]],"_",2)&amp;" діл."</f>
        <v>65 кв (6 вид) 1 діл.</v>
      </c>
      <c r="BL11" s="682" t="str">
        <f>Техкарта[[#This Row],[ПолнаяДіл]] &amp;" "&amp;Техкарта[[#This Row],[ЛК]]&amp;" "&amp;Техкарта[[#This Row],[Вид рубки]]</f>
        <v>65 кв (6 вид) 1 діл. 556619 РГК</v>
      </c>
      <c r="BM11" s="636">
        <v>1</v>
      </c>
      <c r="BN11" s="636" t="s">
        <v>3784</v>
      </c>
      <c r="BO11" s="636" t="s">
        <v>3784</v>
      </c>
      <c r="BP11" s="636" t="s">
        <v>3784</v>
      </c>
      <c r="BQ11" t="s">
        <v>104</v>
      </c>
      <c r="BR11" s="636"/>
      <c r="BS11" s="636"/>
      <c r="BT11" s="636"/>
      <c r="BU11" s="636"/>
      <c r="BV11" s="636"/>
      <c r="BW11" s="636"/>
      <c r="BX11" s="636"/>
      <c r="BY11" s="972"/>
    </row>
    <row r="12" spans="1:77">
      <c r="A12" t="s">
        <v>104</v>
      </c>
      <c r="B12" t="s">
        <v>116</v>
      </c>
      <c r="C12" s="686" t="s">
        <v>104</v>
      </c>
      <c r="D12">
        <v>0</v>
      </c>
      <c r="E12" t="s">
        <v>2305</v>
      </c>
      <c r="F12">
        <v>3</v>
      </c>
      <c r="G12" t="s">
        <v>2238</v>
      </c>
      <c r="H12" s="448">
        <v>59</v>
      </c>
      <c r="I12" t="s">
        <v>3797</v>
      </c>
      <c r="J12">
        <v>2.7</v>
      </c>
      <c r="K12">
        <v>1597</v>
      </c>
      <c r="L12">
        <v>0</v>
      </c>
      <c r="M12">
        <v>19</v>
      </c>
      <c r="N12">
        <v>329</v>
      </c>
      <c r="O12">
        <v>0</v>
      </c>
      <c r="P12">
        <v>0</v>
      </c>
      <c r="Q12">
        <v>0</v>
      </c>
      <c r="R12">
        <v>91</v>
      </c>
      <c r="S12">
        <v>23</v>
      </c>
      <c r="T12">
        <v>224</v>
      </c>
      <c r="U12">
        <v>30</v>
      </c>
      <c r="V12">
        <v>19</v>
      </c>
      <c r="W12">
        <v>151</v>
      </c>
      <c r="X12" s="615">
        <v>0.55000000000000004</v>
      </c>
      <c r="Y12" s="448">
        <v>886</v>
      </c>
      <c r="Z12" s="616">
        <v>352</v>
      </c>
      <c r="AA12" s="640">
        <v>82.95</v>
      </c>
      <c r="AB12" s="640">
        <v>41.622999999999998</v>
      </c>
      <c r="AC12">
        <v>65</v>
      </c>
      <c r="AE12" s="448" t="s">
        <v>3917</v>
      </c>
      <c r="AF12">
        <v>1</v>
      </c>
      <c r="AG12" s="281">
        <v>43101</v>
      </c>
      <c r="AJ12" s="602">
        <v>43102</v>
      </c>
      <c r="AL12" s="637" t="s">
        <v>3477</v>
      </c>
      <c r="AO12" s="448">
        <v>73493.7</v>
      </c>
      <c r="AP12">
        <v>556618</v>
      </c>
      <c r="AQ12" s="672" t="s">
        <v>3723</v>
      </c>
      <c r="AY12" t="s">
        <v>80</v>
      </c>
      <c r="BB12" t="s">
        <v>3584</v>
      </c>
      <c r="BC12" s="448">
        <v>12</v>
      </c>
      <c r="BE12" s="612">
        <v>5</v>
      </c>
      <c r="BF12" s="613">
        <v>40</v>
      </c>
      <c r="BG12" s="614" t="s">
        <v>78</v>
      </c>
      <c r="BH12" s="636">
        <v>1</v>
      </c>
      <c r="BJ12">
        <v>1</v>
      </c>
      <c r="BK12" s="682" t="str">
        <f>Техкарта[[#This Row],[Кв-л]]&amp;" кв ("&amp;Substring(Техкарта[[#This Row],[Виділ]],"_",1)&amp;" вид) "&amp;Substring(Техкарта[[#This Row],[Виділ]],"_",2)&amp;" діл."</f>
        <v>59 кв (8 вид) 2 діл.</v>
      </c>
      <c r="BL12" s="682" t="str">
        <f>Техкарта[[#This Row],[ПолнаяДіл]] &amp;" "&amp;Техкарта[[#This Row],[ЛК]]&amp;" "&amp;Техкарта[[#This Row],[Вид рубки]]</f>
        <v>59 кв (8 вид) 2 діл. 556618 РГК</v>
      </c>
      <c r="BM12" s="636">
        <v>1</v>
      </c>
      <c r="BN12" s="636" t="s">
        <v>3784</v>
      </c>
      <c r="BO12" s="636" t="s">
        <v>3784</v>
      </c>
      <c r="BP12" s="636" t="s">
        <v>3784</v>
      </c>
      <c r="BQ12" t="s">
        <v>104</v>
      </c>
      <c r="BR12" s="636"/>
      <c r="BS12" s="636"/>
      <c r="BT12" s="636"/>
      <c r="BU12" s="636"/>
      <c r="BV12" s="636"/>
      <c r="BW12" s="636"/>
      <c r="BX12" s="636"/>
      <c r="BY12" s="972"/>
    </row>
    <row r="13" spans="1:77">
      <c r="A13" t="s">
        <v>104</v>
      </c>
      <c r="B13" t="s">
        <v>116</v>
      </c>
      <c r="C13" s="686" t="s">
        <v>104</v>
      </c>
      <c r="D13">
        <v>0</v>
      </c>
      <c r="E13" t="s">
        <v>2305</v>
      </c>
      <c r="F13">
        <v>3</v>
      </c>
      <c r="G13" t="s">
        <v>2238</v>
      </c>
      <c r="H13" s="448">
        <v>85</v>
      </c>
      <c r="I13" t="s">
        <v>3798</v>
      </c>
      <c r="J13">
        <v>3</v>
      </c>
      <c r="K13">
        <v>1386</v>
      </c>
      <c r="L13">
        <v>0</v>
      </c>
      <c r="M13">
        <v>298</v>
      </c>
      <c r="N13">
        <v>12</v>
      </c>
      <c r="O13">
        <v>0</v>
      </c>
      <c r="P13">
        <v>0</v>
      </c>
      <c r="Q13">
        <v>0</v>
      </c>
      <c r="R13">
        <v>0</v>
      </c>
      <c r="S13">
        <v>94</v>
      </c>
      <c r="T13">
        <v>130</v>
      </c>
      <c r="U13">
        <v>0</v>
      </c>
      <c r="V13">
        <v>65</v>
      </c>
      <c r="W13">
        <v>94</v>
      </c>
      <c r="X13" s="615">
        <v>0.5</v>
      </c>
      <c r="Y13" s="448">
        <v>693</v>
      </c>
      <c r="Z13" s="616">
        <v>253</v>
      </c>
      <c r="AA13" s="640">
        <v>84.65</v>
      </c>
      <c r="AB13" s="640">
        <v>42.780999999999999</v>
      </c>
      <c r="AC13">
        <v>67</v>
      </c>
      <c r="AE13" s="448" t="s">
        <v>3918</v>
      </c>
      <c r="AF13">
        <v>1</v>
      </c>
      <c r="AG13" s="281">
        <v>43101</v>
      </c>
      <c r="AJ13" s="602">
        <v>43102</v>
      </c>
      <c r="AL13" s="637" t="s">
        <v>3477</v>
      </c>
      <c r="AO13" s="448">
        <v>58662.45</v>
      </c>
      <c r="AP13">
        <v>556618</v>
      </c>
      <c r="AQ13" s="672" t="s">
        <v>3723</v>
      </c>
      <c r="AY13" t="s">
        <v>80</v>
      </c>
      <c r="BB13" t="s">
        <v>3584</v>
      </c>
      <c r="BC13" s="448">
        <v>12</v>
      </c>
      <c r="BE13" s="612">
        <v>5</v>
      </c>
      <c r="BF13" s="613">
        <v>40</v>
      </c>
      <c r="BG13" s="614" t="s">
        <v>78</v>
      </c>
      <c r="BH13" s="636">
        <v>1</v>
      </c>
      <c r="BJ13">
        <v>2</v>
      </c>
      <c r="BK13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13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13" s="636">
        <v>1</v>
      </c>
      <c r="BN13" s="636" t="s">
        <v>3784</v>
      </c>
      <c r="BO13" s="636" t="s">
        <v>3784</v>
      </c>
      <c r="BP13" s="636" t="s">
        <v>3784</v>
      </c>
      <c r="BQ13" t="s">
        <v>104</v>
      </c>
      <c r="BR13" s="636"/>
      <c r="BS13" s="636"/>
      <c r="BT13" s="636"/>
      <c r="BU13" s="636"/>
      <c r="BV13" s="636"/>
      <c r="BW13" s="636"/>
      <c r="BX13" s="636"/>
      <c r="BY13" s="972"/>
    </row>
    <row r="14" spans="1:77">
      <c r="A14" t="s">
        <v>104</v>
      </c>
      <c r="B14" t="s">
        <v>115</v>
      </c>
      <c r="C14" s="686" t="s">
        <v>104</v>
      </c>
      <c r="D14">
        <v>0</v>
      </c>
      <c r="E14" t="s">
        <v>2316</v>
      </c>
      <c r="F14">
        <v>2</v>
      </c>
      <c r="G14" t="s">
        <v>2238</v>
      </c>
      <c r="H14" s="448">
        <v>121</v>
      </c>
      <c r="I14" t="s">
        <v>3799</v>
      </c>
      <c r="J14">
        <v>2.6</v>
      </c>
      <c r="K14">
        <v>982</v>
      </c>
      <c r="L14">
        <v>4</v>
      </c>
      <c r="M14">
        <v>23</v>
      </c>
      <c r="N14">
        <v>357</v>
      </c>
      <c r="O14">
        <v>0</v>
      </c>
      <c r="P14">
        <v>0</v>
      </c>
      <c r="Q14">
        <v>32</v>
      </c>
      <c r="R14">
        <v>96</v>
      </c>
      <c r="S14">
        <v>32</v>
      </c>
      <c r="T14">
        <v>201</v>
      </c>
      <c r="U14">
        <v>33</v>
      </c>
      <c r="V14">
        <v>26</v>
      </c>
      <c r="W14">
        <v>136</v>
      </c>
      <c r="X14" s="615">
        <v>0.96</v>
      </c>
      <c r="Y14" s="448">
        <v>940</v>
      </c>
      <c r="Z14" s="616">
        <v>385</v>
      </c>
      <c r="AA14" s="640">
        <v>66.957999999999998</v>
      </c>
      <c r="AB14" s="640">
        <v>28.518000000000001</v>
      </c>
      <c r="AC14">
        <v>61</v>
      </c>
      <c r="AE14" s="448" t="s">
        <v>3919</v>
      </c>
      <c r="AF14">
        <v>1</v>
      </c>
      <c r="AG14" s="281">
        <v>43101</v>
      </c>
      <c r="AJ14" s="602">
        <v>43109</v>
      </c>
      <c r="AL14" s="637" t="s">
        <v>3480</v>
      </c>
      <c r="AO14" s="448">
        <v>62940.52</v>
      </c>
      <c r="AP14">
        <v>556618</v>
      </c>
      <c r="AQ14" s="672" t="s">
        <v>3723</v>
      </c>
      <c r="AY14" t="s">
        <v>3362</v>
      </c>
      <c r="BB14" t="s">
        <v>3585</v>
      </c>
      <c r="BC14" s="448">
        <v>12</v>
      </c>
      <c r="BE14" s="612">
        <v>7</v>
      </c>
      <c r="BF14" s="613">
        <v>40</v>
      </c>
      <c r="BG14" s="614" t="s">
        <v>78</v>
      </c>
      <c r="BH14" s="636">
        <v>1.1000000000000001</v>
      </c>
      <c r="BJ14">
        <v>1</v>
      </c>
      <c r="BK14" s="682" t="str">
        <f>Техкарта[[#This Row],[Кв-л]]&amp;" кв ("&amp;Substring(Техкарта[[#This Row],[Виділ]],"_",1)&amp;" вид) "&amp;Substring(Техкарта[[#This Row],[Виділ]],"_",2)&amp;" діл."</f>
        <v>121 кв (1 вид) 2 діл.</v>
      </c>
      <c r="BL14" s="682" t="str">
        <f>Техкарта[[#This Row],[ПолнаяДіл]] &amp;" "&amp;Техкарта[[#This Row],[ЛК]]&amp;" "&amp;Техкарта[[#This Row],[Вид рубки]]</f>
        <v>121 кв (1 вид) 2 діл. 556618 РГК</v>
      </c>
      <c r="BM14" s="636">
        <v>1</v>
      </c>
      <c r="BN14" s="636" t="s">
        <v>3784</v>
      </c>
      <c r="BO14" s="636" t="s">
        <v>3784</v>
      </c>
      <c r="BP14" s="636" t="s">
        <v>3784</v>
      </c>
      <c r="BQ14" t="s">
        <v>104</v>
      </c>
      <c r="BR14" s="636"/>
      <c r="BS14" s="636"/>
      <c r="BT14" s="636"/>
      <c r="BU14" s="636"/>
      <c r="BV14" s="636"/>
      <c r="BW14" s="636"/>
      <c r="BX14" s="636"/>
      <c r="BY14" s="972"/>
    </row>
    <row r="15" spans="1:77">
      <c r="A15" t="s">
        <v>105</v>
      </c>
      <c r="B15" t="s">
        <v>111</v>
      </c>
      <c r="C15" s="686" t="s">
        <v>140</v>
      </c>
      <c r="D15">
        <v>0</v>
      </c>
      <c r="E15" t="s">
        <v>2311</v>
      </c>
      <c r="F15">
        <v>3</v>
      </c>
      <c r="G15" t="s">
        <v>79</v>
      </c>
      <c r="H15" s="448">
        <v>97</v>
      </c>
      <c r="I15" t="s">
        <v>3789</v>
      </c>
      <c r="J15">
        <v>10</v>
      </c>
      <c r="K15">
        <v>3388</v>
      </c>
      <c r="M15">
        <v>177</v>
      </c>
      <c r="S15">
        <v>769</v>
      </c>
      <c r="V15">
        <v>200</v>
      </c>
      <c r="X15" s="615">
        <v>0.34</v>
      </c>
      <c r="Y15" s="448">
        <v>1146</v>
      </c>
      <c r="Z15" s="616">
        <v>131</v>
      </c>
      <c r="AA15" s="640">
        <v>74.361999999999995</v>
      </c>
      <c r="AB15" s="640"/>
      <c r="AC15">
        <v>163</v>
      </c>
      <c r="AE15" s="448" t="s">
        <v>3920</v>
      </c>
      <c r="AF15">
        <v>1</v>
      </c>
      <c r="AG15" s="281">
        <v>43101</v>
      </c>
      <c r="AJ15" s="602">
        <v>43109</v>
      </c>
      <c r="AL15" s="637" t="s">
        <v>3445</v>
      </c>
      <c r="AO15" s="448">
        <v>85218.851999999999</v>
      </c>
      <c r="AP15">
        <v>556632</v>
      </c>
      <c r="AQ15" s="672">
        <v>43102</v>
      </c>
      <c r="AY15" t="s">
        <v>3424</v>
      </c>
      <c r="BB15" t="s">
        <v>3583</v>
      </c>
      <c r="BC15" s="448">
        <v>1</v>
      </c>
      <c r="BE15" s="612"/>
      <c r="BF15" s="613"/>
      <c r="BG15" s="614"/>
      <c r="BH15" s="636">
        <v>1</v>
      </c>
      <c r="BJ15">
        <v>8</v>
      </c>
      <c r="BK15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15" s="682" t="str">
        <f>Техкарта[[#This Row],[ПолнаяДіл]] &amp;" "&amp;Техкарта[[#This Row],[ЛК]]&amp;" "&amp;Техкарта[[#This Row],[Вид рубки]]</f>
        <v>97 кв (10 вид) 0 діл. 556632 ПРХ</v>
      </c>
      <c r="BM15" s="636">
        <v>1</v>
      </c>
      <c r="BN15" s="636"/>
      <c r="BO15" s="636"/>
      <c r="BP15" s="636"/>
      <c r="BQ15" s="636" t="s">
        <v>105</v>
      </c>
      <c r="BR15" s="636"/>
      <c r="BS15" s="636"/>
      <c r="BT15" s="636"/>
      <c r="BU15" s="636"/>
      <c r="BV15" s="636"/>
      <c r="BW15" s="636"/>
      <c r="BX15" s="636"/>
      <c r="BY15" s="972"/>
    </row>
    <row r="16" spans="1:77">
      <c r="A16" t="s">
        <v>105</v>
      </c>
      <c r="B16" t="s">
        <v>111</v>
      </c>
      <c r="C16" s="686" t="s">
        <v>126</v>
      </c>
      <c r="D16">
        <v>0</v>
      </c>
      <c r="E16" t="s">
        <v>2311</v>
      </c>
      <c r="F16">
        <v>3</v>
      </c>
      <c r="G16" t="s">
        <v>79</v>
      </c>
      <c r="H16" s="448">
        <v>38</v>
      </c>
      <c r="I16" t="s">
        <v>3829</v>
      </c>
      <c r="J16">
        <v>20.7</v>
      </c>
      <c r="K16">
        <v>976</v>
      </c>
      <c r="M16">
        <v>16</v>
      </c>
      <c r="S16">
        <v>757</v>
      </c>
      <c r="T16">
        <v>91</v>
      </c>
      <c r="V16">
        <v>0</v>
      </c>
      <c r="W16">
        <v>0</v>
      </c>
      <c r="X16" s="615">
        <v>0.89</v>
      </c>
      <c r="Y16" s="448">
        <v>864</v>
      </c>
      <c r="Z16" s="616">
        <v>46</v>
      </c>
      <c r="AA16" s="640">
        <v>65.938000000000002</v>
      </c>
      <c r="AB16" s="640"/>
      <c r="AC16">
        <v>87</v>
      </c>
      <c r="AE16" s="448" t="s">
        <v>3921</v>
      </c>
      <c r="AF16">
        <v>1</v>
      </c>
      <c r="AG16" s="281">
        <v>43101</v>
      </c>
      <c r="AJ16" s="602">
        <v>43109</v>
      </c>
      <c r="AL16" s="637" t="s">
        <v>3462</v>
      </c>
      <c r="AO16" s="448">
        <v>56970.432000000001</v>
      </c>
      <c r="AP16">
        <v>556642</v>
      </c>
      <c r="AQ16" s="672">
        <v>43105</v>
      </c>
      <c r="AY16" t="s">
        <v>3424</v>
      </c>
      <c r="BB16" t="s">
        <v>3583</v>
      </c>
      <c r="BC16" s="448">
        <v>1</v>
      </c>
      <c r="BE16" s="612"/>
      <c r="BF16" s="613"/>
      <c r="BG16" s="614"/>
      <c r="BH16" s="636">
        <v>1</v>
      </c>
      <c r="BJ16">
        <v>5</v>
      </c>
      <c r="BK16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16" s="682" t="str">
        <f>Техкарта[[#This Row],[ПолнаяДіл]] &amp;" "&amp;Техкарта[[#This Row],[ЛК]]&amp;" "&amp;Техкарта[[#This Row],[Вид рубки]]</f>
        <v>38 кв (3 вид) 0 діл. 556642 СРВ</v>
      </c>
      <c r="BM16" s="636">
        <v>1</v>
      </c>
      <c r="BN16" s="636"/>
      <c r="BO16" s="636"/>
      <c r="BP16" s="636"/>
      <c r="BQ16" s="636" t="s">
        <v>105</v>
      </c>
      <c r="BR16" s="636"/>
      <c r="BS16" s="636"/>
      <c r="BT16" s="636"/>
      <c r="BU16" s="636"/>
      <c r="BV16" s="636"/>
      <c r="BW16" s="636"/>
      <c r="BX16" s="636"/>
      <c r="BY16" s="972"/>
    </row>
    <row r="17" spans="1:77">
      <c r="A17" t="s">
        <v>105</v>
      </c>
      <c r="B17" t="s">
        <v>111</v>
      </c>
      <c r="C17" s="686" t="s">
        <v>126</v>
      </c>
      <c r="D17">
        <v>0</v>
      </c>
      <c r="E17" t="s">
        <v>2305</v>
      </c>
      <c r="F17">
        <v>3</v>
      </c>
      <c r="G17" t="s">
        <v>79</v>
      </c>
      <c r="H17" s="448">
        <v>38</v>
      </c>
      <c r="I17" t="s">
        <v>3790</v>
      </c>
      <c r="J17">
        <v>2.9</v>
      </c>
      <c r="K17">
        <v>184</v>
      </c>
      <c r="M17">
        <v>4</v>
      </c>
      <c r="S17">
        <v>88</v>
      </c>
      <c r="T17">
        <v>32</v>
      </c>
      <c r="V17">
        <v>0</v>
      </c>
      <c r="W17">
        <v>0</v>
      </c>
      <c r="X17" s="615">
        <v>0.67</v>
      </c>
      <c r="Y17" s="448">
        <v>124</v>
      </c>
      <c r="Z17" s="616">
        <v>47</v>
      </c>
      <c r="AA17" s="640">
        <v>68.632000000000005</v>
      </c>
      <c r="AB17" s="640"/>
      <c r="AC17">
        <v>11</v>
      </c>
      <c r="AE17" s="448" t="s">
        <v>3922</v>
      </c>
      <c r="AF17">
        <v>1</v>
      </c>
      <c r="AG17" s="281">
        <v>43101</v>
      </c>
      <c r="AJ17" s="602">
        <v>43109</v>
      </c>
      <c r="AL17" s="637" t="s">
        <v>3462</v>
      </c>
      <c r="AO17" s="448">
        <v>8510.3680000000004</v>
      </c>
      <c r="AP17">
        <v>556642</v>
      </c>
      <c r="AQ17" s="672">
        <v>43105</v>
      </c>
      <c r="AY17" t="s">
        <v>3424</v>
      </c>
      <c r="BB17" t="s">
        <v>3583</v>
      </c>
      <c r="BC17" s="448">
        <v>1</v>
      </c>
      <c r="BE17" s="612"/>
      <c r="BF17" s="613"/>
      <c r="BG17" s="614"/>
      <c r="BH17" s="636">
        <v>1</v>
      </c>
      <c r="BJ17">
        <v>4</v>
      </c>
      <c r="BK17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17" s="682" t="str">
        <f>Техкарта[[#This Row],[ПолнаяДіл]] &amp;" "&amp;Техкарта[[#This Row],[ЛК]]&amp;" "&amp;Техкарта[[#This Row],[Вид рубки]]</f>
        <v>38 кв (2 вид) 0 діл. 556642 СРВ</v>
      </c>
      <c r="BM17" s="636">
        <v>1</v>
      </c>
      <c r="BN17" s="636"/>
      <c r="BO17" s="636"/>
      <c r="BP17" s="636"/>
      <c r="BQ17" s="636" t="s">
        <v>105</v>
      </c>
      <c r="BR17" s="636"/>
      <c r="BS17" s="636"/>
      <c r="BT17" s="636"/>
      <c r="BU17" s="636"/>
      <c r="BV17" s="636"/>
      <c r="BW17" s="636"/>
      <c r="BX17" s="636"/>
      <c r="BY17" s="972"/>
    </row>
    <row r="18" spans="1:77">
      <c r="A18" t="s">
        <v>105</v>
      </c>
      <c r="B18" t="s">
        <v>111</v>
      </c>
      <c r="C18" s="686" t="s">
        <v>126</v>
      </c>
      <c r="D18">
        <v>0</v>
      </c>
      <c r="E18" t="s">
        <v>2311</v>
      </c>
      <c r="F18">
        <v>3</v>
      </c>
      <c r="G18" t="s">
        <v>79</v>
      </c>
      <c r="H18" s="448">
        <v>106</v>
      </c>
      <c r="I18" t="s">
        <v>3794</v>
      </c>
      <c r="J18">
        <v>3.9</v>
      </c>
      <c r="K18">
        <v>450</v>
      </c>
      <c r="M18">
        <v>11</v>
      </c>
      <c r="S18">
        <v>100</v>
      </c>
      <c r="T18">
        <v>0</v>
      </c>
      <c r="V18">
        <v>54</v>
      </c>
      <c r="W18">
        <v>0</v>
      </c>
      <c r="X18" s="615">
        <v>0.37</v>
      </c>
      <c r="Y18" s="448">
        <v>165</v>
      </c>
      <c r="Z18" s="616">
        <v>48</v>
      </c>
      <c r="AA18" s="640">
        <v>86.62</v>
      </c>
      <c r="AB18" s="640"/>
      <c r="AC18">
        <v>23</v>
      </c>
      <c r="AE18" s="448" t="s">
        <v>3923</v>
      </c>
      <c r="AF18">
        <v>1</v>
      </c>
      <c r="AG18" s="281">
        <v>43101</v>
      </c>
      <c r="AJ18" s="602">
        <v>43109</v>
      </c>
      <c r="AL18" s="637" t="s">
        <v>3445</v>
      </c>
      <c r="AO18" s="448">
        <v>14292.3</v>
      </c>
      <c r="AP18">
        <v>556642</v>
      </c>
      <c r="AQ18" s="672">
        <v>43105</v>
      </c>
      <c r="AY18" t="s">
        <v>3424</v>
      </c>
      <c r="BB18" t="s">
        <v>3583</v>
      </c>
      <c r="BC18" s="448">
        <v>1</v>
      </c>
      <c r="BE18" s="612"/>
      <c r="BF18" s="613"/>
      <c r="BG18" s="614"/>
      <c r="BH18" s="636">
        <v>1</v>
      </c>
      <c r="BJ18">
        <v>7</v>
      </c>
      <c r="BK18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18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18" s="636">
        <v>1</v>
      </c>
      <c r="BN18" s="636"/>
      <c r="BO18" s="636"/>
      <c r="BP18" s="636"/>
      <c r="BQ18" s="636" t="s">
        <v>105</v>
      </c>
      <c r="BR18" s="636"/>
      <c r="BS18" s="636"/>
      <c r="BT18" s="636"/>
      <c r="BU18" s="636"/>
      <c r="BV18" s="636"/>
      <c r="BW18" s="636"/>
      <c r="BX18" s="636"/>
      <c r="BY18" s="972"/>
    </row>
    <row r="19" spans="1:77">
      <c r="A19" t="s">
        <v>105</v>
      </c>
      <c r="B19" t="s">
        <v>111</v>
      </c>
      <c r="C19" s="686" t="s">
        <v>126</v>
      </c>
      <c r="D19">
        <v>0</v>
      </c>
      <c r="E19" t="s">
        <v>2311</v>
      </c>
      <c r="F19">
        <v>3</v>
      </c>
      <c r="G19" t="s">
        <v>79</v>
      </c>
      <c r="H19" s="448">
        <v>38</v>
      </c>
      <c r="I19" t="s">
        <v>3830</v>
      </c>
      <c r="J19">
        <v>0.5</v>
      </c>
      <c r="K19">
        <v>55</v>
      </c>
      <c r="M19">
        <v>0</v>
      </c>
      <c r="S19">
        <v>0</v>
      </c>
      <c r="T19">
        <v>0</v>
      </c>
      <c r="V19">
        <v>18</v>
      </c>
      <c r="W19">
        <v>0</v>
      </c>
      <c r="X19" s="615">
        <v>0.33</v>
      </c>
      <c r="Y19" s="448">
        <v>18</v>
      </c>
      <c r="Z19" s="616">
        <v>40</v>
      </c>
      <c r="AA19" s="640">
        <v>80.546000000000006</v>
      </c>
      <c r="AB19" s="640"/>
      <c r="AC19">
        <v>2</v>
      </c>
      <c r="AE19" s="448" t="s">
        <v>3924</v>
      </c>
      <c r="AF19">
        <v>1</v>
      </c>
      <c r="AG19" s="281">
        <v>43101</v>
      </c>
      <c r="AJ19" s="602">
        <v>43109</v>
      </c>
      <c r="AL19" s="637" t="s">
        <v>3462</v>
      </c>
      <c r="AO19" s="448">
        <v>1449.828</v>
      </c>
      <c r="AP19">
        <v>556642</v>
      </c>
      <c r="AQ19" s="672">
        <v>43105</v>
      </c>
      <c r="AY19" t="s">
        <v>3424</v>
      </c>
      <c r="BB19" t="s">
        <v>3583</v>
      </c>
      <c r="BC19" s="448">
        <v>1</v>
      </c>
      <c r="BE19" s="612"/>
      <c r="BF19" s="613"/>
      <c r="BG19" s="614"/>
      <c r="BH19" s="636">
        <v>1</v>
      </c>
      <c r="BJ19">
        <v>3</v>
      </c>
      <c r="BK19" s="682" t="str">
        <f>Техкарта[[#This Row],[Кв-л]]&amp;" кв ("&amp;Substring(Техкарта[[#This Row],[Виділ]],"_",1)&amp;" вид) "&amp;Substring(Техкарта[[#This Row],[Виділ]],"_",2)&amp;" діл."</f>
        <v>38 кв (1 вид) 0 діл.</v>
      </c>
      <c r="BL19" s="682" t="str">
        <f>Техкарта[[#This Row],[ПолнаяДіл]] &amp;" "&amp;Техкарта[[#This Row],[ЛК]]&amp;" "&amp;Техкарта[[#This Row],[Вид рубки]]</f>
        <v>38 кв (1 вид) 0 діл. 556642 СРВ</v>
      </c>
      <c r="BM19" s="636">
        <v>1</v>
      </c>
      <c r="BN19" s="636"/>
      <c r="BO19" s="636"/>
      <c r="BP19" s="636"/>
      <c r="BQ19" s="636" t="s">
        <v>105</v>
      </c>
      <c r="BR19" s="636"/>
      <c r="BS19" s="636"/>
      <c r="BT19" s="636"/>
      <c r="BU19" s="636"/>
      <c r="BV19" s="636"/>
      <c r="BW19" s="636"/>
      <c r="BX19" s="636"/>
      <c r="BY19" s="972"/>
    </row>
    <row r="20" spans="1:77">
      <c r="A20" t="s">
        <v>105</v>
      </c>
      <c r="B20" t="s">
        <v>111</v>
      </c>
      <c r="C20" s="686" t="s">
        <v>126</v>
      </c>
      <c r="D20">
        <v>0</v>
      </c>
      <c r="E20" t="s">
        <v>2311</v>
      </c>
      <c r="F20">
        <v>3</v>
      </c>
      <c r="G20" t="s">
        <v>79</v>
      </c>
      <c r="H20" s="448">
        <v>38</v>
      </c>
      <c r="I20" t="s">
        <v>3831</v>
      </c>
      <c r="J20">
        <v>0.4</v>
      </c>
      <c r="K20">
        <v>19</v>
      </c>
      <c r="M20">
        <v>0</v>
      </c>
      <c r="S20">
        <v>0</v>
      </c>
      <c r="T20">
        <v>0</v>
      </c>
      <c r="V20">
        <v>11</v>
      </c>
      <c r="W20">
        <v>0</v>
      </c>
      <c r="X20" s="615">
        <v>0.57999999999999996</v>
      </c>
      <c r="Y20" s="448">
        <v>11</v>
      </c>
      <c r="Z20" s="616">
        <v>33</v>
      </c>
      <c r="AA20" s="640">
        <v>71.786000000000001</v>
      </c>
      <c r="AB20" s="640"/>
      <c r="AC20">
        <v>2</v>
      </c>
      <c r="AE20" s="448" t="s">
        <v>3925</v>
      </c>
      <c r="AF20">
        <v>1</v>
      </c>
      <c r="AG20" s="281">
        <v>43101</v>
      </c>
      <c r="AJ20" s="602">
        <v>43109</v>
      </c>
      <c r="AL20" s="637" t="s">
        <v>3462</v>
      </c>
      <c r="AO20" s="448">
        <v>789.64599999999996</v>
      </c>
      <c r="AP20">
        <v>556642</v>
      </c>
      <c r="AQ20" s="672">
        <v>43105</v>
      </c>
      <c r="AY20" t="s">
        <v>3424</v>
      </c>
      <c r="BB20" t="s">
        <v>3583</v>
      </c>
      <c r="BC20" s="448">
        <v>1</v>
      </c>
      <c r="BE20" s="612"/>
      <c r="BF20" s="613"/>
      <c r="BG20" s="614"/>
      <c r="BH20" s="636">
        <v>1</v>
      </c>
      <c r="BJ20">
        <v>6</v>
      </c>
      <c r="BK20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20" s="682" t="str">
        <f>Техкарта[[#This Row],[ПолнаяДіл]] &amp;" "&amp;Техкарта[[#This Row],[ЛК]]&amp;" "&amp;Техкарта[[#This Row],[Вид рубки]]</f>
        <v>38 кв (4 вид) 0 діл. 556642 СРВ</v>
      </c>
      <c r="BM20" s="636">
        <v>1</v>
      </c>
      <c r="BN20" s="636"/>
      <c r="BO20" s="636"/>
      <c r="BP20" s="636"/>
      <c r="BQ20" s="636" t="s">
        <v>105</v>
      </c>
      <c r="BR20" s="636"/>
      <c r="BS20" s="636"/>
      <c r="BT20" s="636"/>
      <c r="BU20" s="636"/>
      <c r="BV20" s="636"/>
      <c r="BW20" s="636"/>
      <c r="BX20" s="636"/>
      <c r="BY20" s="972"/>
    </row>
    <row r="21" spans="1:77">
      <c r="A21" t="s">
        <v>105</v>
      </c>
      <c r="B21" s="673" t="s">
        <v>114</v>
      </c>
      <c r="C21" s="686" t="s">
        <v>140</v>
      </c>
      <c r="D21">
        <v>0</v>
      </c>
      <c r="E21" t="s">
        <v>2311</v>
      </c>
      <c r="F21">
        <v>3</v>
      </c>
      <c r="G21" t="s">
        <v>79</v>
      </c>
      <c r="H21" s="448">
        <v>49</v>
      </c>
      <c r="I21" t="s">
        <v>3830</v>
      </c>
      <c r="J21">
        <v>9</v>
      </c>
      <c r="K21">
        <v>902</v>
      </c>
      <c r="M21">
        <v>0</v>
      </c>
      <c r="N21">
        <v>9</v>
      </c>
      <c r="S21">
        <v>14</v>
      </c>
      <c r="T21">
        <v>105</v>
      </c>
      <c r="V21">
        <v>0</v>
      </c>
      <c r="W21">
        <v>0</v>
      </c>
      <c r="X21" s="615">
        <v>0.14000000000000001</v>
      </c>
      <c r="Y21" s="448">
        <v>128</v>
      </c>
      <c r="Z21" s="616">
        <v>16</v>
      </c>
      <c r="AA21" s="640">
        <v>130.18600000000001</v>
      </c>
      <c r="AB21" s="640"/>
      <c r="AC21">
        <v>15</v>
      </c>
      <c r="AE21" s="448" t="s">
        <v>3926</v>
      </c>
      <c r="AF21">
        <v>1</v>
      </c>
      <c r="AG21" s="281">
        <v>43101</v>
      </c>
      <c r="AJ21" s="602">
        <v>43109</v>
      </c>
      <c r="AL21" s="637" t="s">
        <v>3442</v>
      </c>
      <c r="AO21" s="448">
        <v>16663.808000000001</v>
      </c>
      <c r="AP21">
        <v>556638</v>
      </c>
      <c r="AQ21" s="672">
        <v>43102</v>
      </c>
      <c r="AY21" t="s">
        <v>3424</v>
      </c>
      <c r="BB21" t="s">
        <v>3583</v>
      </c>
      <c r="BC21" s="448">
        <v>1</v>
      </c>
      <c r="BE21" s="612"/>
      <c r="BF21" s="613"/>
      <c r="BG21" s="614"/>
      <c r="BH21" s="636">
        <v>1</v>
      </c>
      <c r="BJ21">
        <v>2</v>
      </c>
      <c r="BK21" s="682" t="str">
        <f>Техкарта[[#This Row],[Кв-л]]&amp;" кв ("&amp;Substring(Техкарта[[#This Row],[Виділ]],"_",1)&amp;" вид) "&amp;Substring(Техкарта[[#This Row],[Виділ]],"_",2)&amp;" діл."</f>
        <v>49 кв (1 вид) 0 діл.</v>
      </c>
      <c r="BL21" s="682" t="str">
        <f>Техкарта[[#This Row],[ПолнаяДіл]] &amp;" "&amp;Техкарта[[#This Row],[ЛК]]&amp;" "&amp;Техкарта[[#This Row],[Вид рубки]]</f>
        <v>49 кв (1 вид) 0 діл. 556638 ПРХ</v>
      </c>
      <c r="BM21" s="636">
        <v>1</v>
      </c>
      <c r="BN21" s="636"/>
      <c r="BO21" s="636"/>
      <c r="BP21" s="636"/>
      <c r="BQ21" s="636" t="s">
        <v>105</v>
      </c>
      <c r="BR21" s="636"/>
      <c r="BS21" s="636"/>
      <c r="BT21" s="636"/>
      <c r="BU21" s="636"/>
      <c r="BV21" s="636"/>
      <c r="BW21" s="636"/>
      <c r="BX21" s="636"/>
      <c r="BY21" s="972"/>
    </row>
    <row r="22" spans="1:77">
      <c r="A22" t="s">
        <v>105</v>
      </c>
      <c r="B22" s="673" t="s">
        <v>114</v>
      </c>
      <c r="C22" s="686" t="s">
        <v>140</v>
      </c>
      <c r="D22">
        <v>0</v>
      </c>
      <c r="E22" t="s">
        <v>2305</v>
      </c>
      <c r="F22">
        <v>3</v>
      </c>
      <c r="G22" t="s">
        <v>79</v>
      </c>
      <c r="H22" s="448">
        <v>56</v>
      </c>
      <c r="I22" t="s">
        <v>3832</v>
      </c>
      <c r="J22">
        <v>6</v>
      </c>
      <c r="K22">
        <v>574</v>
      </c>
      <c r="M22">
        <v>0</v>
      </c>
      <c r="N22">
        <v>4</v>
      </c>
      <c r="S22">
        <v>13</v>
      </c>
      <c r="T22">
        <v>62</v>
      </c>
      <c r="V22">
        <v>0</v>
      </c>
      <c r="W22">
        <v>0</v>
      </c>
      <c r="X22" s="615">
        <v>0.14000000000000001</v>
      </c>
      <c r="Y22" s="448">
        <v>79</v>
      </c>
      <c r="Z22" s="616">
        <v>15</v>
      </c>
      <c r="AA22" s="640">
        <v>129.797</v>
      </c>
      <c r="AB22" s="640"/>
      <c r="AC22">
        <v>9</v>
      </c>
      <c r="AE22" s="448" t="s">
        <v>3927</v>
      </c>
      <c r="AF22">
        <v>1</v>
      </c>
      <c r="AG22" s="281">
        <v>43101</v>
      </c>
      <c r="AJ22" s="602">
        <v>43109</v>
      </c>
      <c r="AL22" s="637" t="s">
        <v>3448</v>
      </c>
      <c r="AO22" s="448">
        <v>10253.963</v>
      </c>
      <c r="AP22">
        <v>556638</v>
      </c>
      <c r="AQ22" s="672">
        <v>43102</v>
      </c>
      <c r="AY22" t="s">
        <v>3424</v>
      </c>
      <c r="BB22" t="s">
        <v>3583</v>
      </c>
      <c r="BC22" s="448">
        <v>1</v>
      </c>
      <c r="BE22" s="612"/>
      <c r="BF22" s="613"/>
      <c r="BG22" s="614"/>
      <c r="BH22" s="636">
        <v>1</v>
      </c>
      <c r="BJ22">
        <v>3</v>
      </c>
      <c r="BK22" s="682" t="str">
        <f>Техкарта[[#This Row],[Кв-л]]&amp;" кв ("&amp;Substring(Техкарта[[#This Row],[Виділ]],"_",1)&amp;" вид) "&amp;Substring(Техкарта[[#This Row],[Виділ]],"_",2)&amp;" діл."</f>
        <v>56 кв (5 вид) 0 діл.</v>
      </c>
      <c r="BL22" s="682" t="str">
        <f>Техкарта[[#This Row],[ПолнаяДіл]] &amp;" "&amp;Техкарта[[#This Row],[ЛК]]&amp;" "&amp;Техкарта[[#This Row],[Вид рубки]]</f>
        <v>56 кв (5 вид) 0 діл. 556638 ПРХ</v>
      </c>
      <c r="BM22" s="636">
        <v>1</v>
      </c>
      <c r="BN22" s="636"/>
      <c r="BO22" s="636"/>
      <c r="BP22" s="636"/>
      <c r="BQ22" s="636" t="s">
        <v>105</v>
      </c>
      <c r="BR22" s="636"/>
      <c r="BS22" s="636"/>
      <c r="BT22" s="636"/>
      <c r="BU22" s="636"/>
      <c r="BV22" s="636"/>
      <c r="BW22" s="636"/>
      <c r="BX22" s="636"/>
      <c r="BY22" s="972"/>
    </row>
    <row r="23" spans="1:77">
      <c r="A23" t="s">
        <v>105</v>
      </c>
      <c r="B23" s="673" t="s">
        <v>114</v>
      </c>
      <c r="C23" s="686" t="s">
        <v>124</v>
      </c>
      <c r="D23">
        <v>0</v>
      </c>
      <c r="E23" t="s">
        <v>2305</v>
      </c>
      <c r="F23">
        <v>3</v>
      </c>
      <c r="G23" t="s">
        <v>79</v>
      </c>
      <c r="H23" s="448">
        <v>54</v>
      </c>
      <c r="I23" t="s">
        <v>3831</v>
      </c>
      <c r="J23">
        <v>6.1</v>
      </c>
      <c r="K23">
        <v>455</v>
      </c>
      <c r="M23">
        <v>0</v>
      </c>
      <c r="N23">
        <v>0</v>
      </c>
      <c r="S23">
        <v>0</v>
      </c>
      <c r="T23">
        <v>43</v>
      </c>
      <c r="V23">
        <v>0</v>
      </c>
      <c r="W23">
        <v>0</v>
      </c>
      <c r="X23" s="615">
        <v>0.09</v>
      </c>
      <c r="Y23" s="448">
        <v>43</v>
      </c>
      <c r="Z23" s="616">
        <v>7</v>
      </c>
      <c r="AA23" s="640">
        <v>201.08099999999999</v>
      </c>
      <c r="AB23" s="640"/>
      <c r="AC23">
        <v>1</v>
      </c>
      <c r="AE23" s="448" t="s">
        <v>3928</v>
      </c>
      <c r="AF23">
        <v>1</v>
      </c>
      <c r="AG23" s="281">
        <v>43101</v>
      </c>
      <c r="AJ23" s="602">
        <v>43109</v>
      </c>
      <c r="AL23" s="637" t="s">
        <v>3448</v>
      </c>
      <c r="AO23" s="448">
        <v>8646.4830000000002</v>
      </c>
      <c r="AP23">
        <v>556637</v>
      </c>
      <c r="AQ23" s="672">
        <v>43102</v>
      </c>
      <c r="AY23" t="s">
        <v>3424</v>
      </c>
      <c r="BB23" t="s">
        <v>3583</v>
      </c>
      <c r="BC23" s="448">
        <v>1</v>
      </c>
      <c r="BE23" s="612"/>
      <c r="BF23" s="613"/>
      <c r="BG23" s="614"/>
      <c r="BH23" s="636">
        <v>1</v>
      </c>
      <c r="BJ23">
        <v>5</v>
      </c>
      <c r="BK23" s="682" t="str">
        <f>Техкарта[[#This Row],[Кв-л]]&amp;" кв ("&amp;Substring(Техкарта[[#This Row],[Виділ]],"_",1)&amp;" вид) "&amp;Substring(Техкарта[[#This Row],[Виділ]],"_",2)&amp;" діл."</f>
        <v>54 кв (4 вид) 0 діл.</v>
      </c>
      <c r="BL23" s="682" t="str">
        <f>Техкарта[[#This Row],[ПолнаяДіл]] &amp;" "&amp;Техкарта[[#This Row],[ЛК]]&amp;" "&amp;Техкарта[[#This Row],[Вид рубки]]</f>
        <v>54 кв (4 вид) 0 діл. 556637 ПРЖ</v>
      </c>
      <c r="BM23" s="636">
        <v>1</v>
      </c>
      <c r="BN23" s="636"/>
      <c r="BO23" s="636"/>
      <c r="BP23" s="636"/>
      <c r="BQ23" s="636" t="s">
        <v>105</v>
      </c>
      <c r="BR23" s="636"/>
      <c r="BS23" s="636"/>
      <c r="BT23" s="636"/>
      <c r="BU23" s="636"/>
      <c r="BV23" s="636"/>
      <c r="BW23" s="636"/>
      <c r="BX23" s="636"/>
      <c r="BY23" s="972"/>
    </row>
    <row r="24" spans="1:77">
      <c r="A24" t="s">
        <v>105</v>
      </c>
      <c r="B24" t="s">
        <v>114</v>
      </c>
      <c r="C24" s="686" t="s">
        <v>124</v>
      </c>
      <c r="D24">
        <v>0</v>
      </c>
      <c r="E24" t="s">
        <v>2305</v>
      </c>
      <c r="F24">
        <v>3</v>
      </c>
      <c r="G24" t="s">
        <v>79</v>
      </c>
      <c r="H24" s="673">
        <v>64</v>
      </c>
      <c r="I24" t="s">
        <v>3790</v>
      </c>
      <c r="J24">
        <v>5.2</v>
      </c>
      <c r="K24">
        <v>428</v>
      </c>
      <c r="M24">
        <v>0</v>
      </c>
      <c r="N24">
        <v>0</v>
      </c>
      <c r="S24">
        <v>0</v>
      </c>
      <c r="T24">
        <v>46</v>
      </c>
      <c r="V24">
        <v>0</v>
      </c>
      <c r="W24">
        <v>0</v>
      </c>
      <c r="X24" s="615">
        <v>0.11</v>
      </c>
      <c r="Y24" s="448">
        <v>46</v>
      </c>
      <c r="Z24" s="616">
        <v>9</v>
      </c>
      <c r="AA24" s="640">
        <v>169.15199999999999</v>
      </c>
      <c r="AB24" s="640"/>
      <c r="AC24">
        <v>1</v>
      </c>
      <c r="AE24" s="448" t="s">
        <v>3929</v>
      </c>
      <c r="AF24">
        <v>1</v>
      </c>
      <c r="AG24" s="281">
        <v>43101</v>
      </c>
      <c r="AJ24" s="602">
        <v>43109</v>
      </c>
      <c r="AL24" s="637" t="s">
        <v>3448</v>
      </c>
      <c r="AO24" s="448">
        <v>7780.9920000000002</v>
      </c>
      <c r="AP24">
        <v>556637</v>
      </c>
      <c r="AQ24" s="672">
        <v>43102</v>
      </c>
      <c r="AY24" t="s">
        <v>3424</v>
      </c>
      <c r="BB24" t="s">
        <v>3583</v>
      </c>
      <c r="BC24" s="448">
        <v>1</v>
      </c>
      <c r="BE24" s="612"/>
      <c r="BF24" s="613"/>
      <c r="BG24" s="614"/>
      <c r="BH24" s="636">
        <v>1</v>
      </c>
      <c r="BJ24">
        <v>6</v>
      </c>
      <c r="BK24" s="682" t="str">
        <f>Техкарта[[#This Row],[Кв-л]]&amp;" кв ("&amp;Substring(Техкарта[[#This Row],[Виділ]],"_",1)&amp;" вид) "&amp;Substring(Техкарта[[#This Row],[Виділ]],"_",2)&amp;" діл."</f>
        <v>64 кв (2 вид) 0 діл.</v>
      </c>
      <c r="BL24" s="682" t="str">
        <f>Техкарта[[#This Row],[ПолнаяДіл]] &amp;" "&amp;Техкарта[[#This Row],[ЛК]]&amp;" "&amp;Техкарта[[#This Row],[Вид рубки]]</f>
        <v>64 кв (2 вид) 0 діл. 556637 ПРЖ</v>
      </c>
      <c r="BM24" s="636">
        <v>1</v>
      </c>
      <c r="BN24" s="636"/>
      <c r="BO24" s="636"/>
      <c r="BP24" s="636"/>
      <c r="BQ24" s="636" t="s">
        <v>105</v>
      </c>
      <c r="BR24" s="636"/>
      <c r="BS24" s="636"/>
      <c r="BT24" s="636"/>
      <c r="BU24" s="636"/>
      <c r="BV24" s="636"/>
      <c r="BW24" s="636"/>
      <c r="BX24" s="636"/>
      <c r="BY24" s="972"/>
    </row>
    <row r="25" spans="1:77">
      <c r="A25" t="s">
        <v>105</v>
      </c>
      <c r="B25" t="s">
        <v>114</v>
      </c>
      <c r="C25" s="686" t="s">
        <v>124</v>
      </c>
      <c r="D25">
        <v>0</v>
      </c>
      <c r="E25" t="s">
        <v>2305</v>
      </c>
      <c r="F25">
        <v>3</v>
      </c>
      <c r="G25" t="s">
        <v>79</v>
      </c>
      <c r="H25" s="673">
        <v>70</v>
      </c>
      <c r="I25" t="s">
        <v>3790</v>
      </c>
      <c r="J25">
        <v>9.4</v>
      </c>
      <c r="K25">
        <v>910</v>
      </c>
      <c r="M25">
        <v>0</v>
      </c>
      <c r="N25">
        <v>0</v>
      </c>
      <c r="S25">
        <v>0</v>
      </c>
      <c r="T25">
        <v>77</v>
      </c>
      <c r="V25">
        <v>0</v>
      </c>
      <c r="W25">
        <v>0</v>
      </c>
      <c r="X25" s="615">
        <v>0.08</v>
      </c>
      <c r="Y25" s="448">
        <v>77</v>
      </c>
      <c r="Z25" s="616">
        <v>8</v>
      </c>
      <c r="AA25" s="640">
        <v>222.70699999999999</v>
      </c>
      <c r="AB25" s="640"/>
      <c r="AC25">
        <v>1</v>
      </c>
      <c r="AE25" s="448" t="s">
        <v>4049</v>
      </c>
      <c r="AF25">
        <v>1</v>
      </c>
      <c r="AG25" s="281">
        <v>43101</v>
      </c>
      <c r="AJ25" s="602">
        <v>43109</v>
      </c>
      <c r="AL25" s="637" t="s">
        <v>3442</v>
      </c>
      <c r="AO25" s="448">
        <v>17148.438999999998</v>
      </c>
      <c r="AP25">
        <v>556637</v>
      </c>
      <c r="AQ25" s="672">
        <v>43102</v>
      </c>
      <c r="AY25" t="s">
        <v>3424</v>
      </c>
      <c r="BB25" t="s">
        <v>3583</v>
      </c>
      <c r="BC25" s="448">
        <v>1</v>
      </c>
      <c r="BE25" s="612"/>
      <c r="BF25" s="613"/>
      <c r="BG25" s="614"/>
      <c r="BH25" s="636">
        <v>1</v>
      </c>
      <c r="BJ25">
        <v>6</v>
      </c>
      <c r="BK25" s="682" t="str">
        <f>Техкарта[[#This Row],[Кв-л]]&amp;" кв ("&amp;Substring(Техкарта[[#This Row],[Виділ]],"_",1)&amp;" вид) "&amp;Substring(Техкарта[[#This Row],[Виділ]],"_",2)&amp;" діл."</f>
        <v>70 кв (2 вид) 0 діл.</v>
      </c>
      <c r="BL25" s="682" t="str">
        <f>Техкарта[[#This Row],[ПолнаяДіл]] &amp;" "&amp;Техкарта[[#This Row],[ЛК]]&amp;" "&amp;Техкарта[[#This Row],[Вид рубки]]</f>
        <v>70 кв (2 вид) 0 діл. 556637 ПРЖ</v>
      </c>
      <c r="BM25" s="636">
        <v>1</v>
      </c>
      <c r="BN25" s="636"/>
      <c r="BO25" s="636"/>
      <c r="BP25" s="636"/>
      <c r="BQ25" s="636" t="s">
        <v>105</v>
      </c>
      <c r="BR25" s="636"/>
      <c r="BS25" s="636"/>
      <c r="BT25" s="636"/>
      <c r="BU25" s="636"/>
      <c r="BV25" s="636"/>
      <c r="BW25" s="636"/>
      <c r="BX25" s="636"/>
      <c r="BY25" s="972"/>
    </row>
    <row r="26" spans="1:77">
      <c r="A26" t="s">
        <v>105</v>
      </c>
      <c r="B26" t="s">
        <v>115</v>
      </c>
      <c r="C26" s="686" t="s">
        <v>140</v>
      </c>
      <c r="D26">
        <v>0</v>
      </c>
      <c r="E26" t="s">
        <v>2305</v>
      </c>
      <c r="F26">
        <v>3</v>
      </c>
      <c r="G26" t="s">
        <v>79</v>
      </c>
      <c r="H26" s="673">
        <v>81</v>
      </c>
      <c r="I26" t="s">
        <v>3790</v>
      </c>
      <c r="J26">
        <v>3.1</v>
      </c>
      <c r="K26">
        <v>132</v>
      </c>
      <c r="M26">
        <v>0</v>
      </c>
      <c r="N26">
        <v>35</v>
      </c>
      <c r="S26">
        <v>2</v>
      </c>
      <c r="T26">
        <v>70</v>
      </c>
      <c r="V26">
        <v>0</v>
      </c>
      <c r="W26">
        <v>0</v>
      </c>
      <c r="X26" s="615">
        <v>0.81</v>
      </c>
      <c r="Y26" s="448">
        <v>107</v>
      </c>
      <c r="Z26" s="616">
        <v>37</v>
      </c>
      <c r="AA26" s="640">
        <v>59.331000000000003</v>
      </c>
      <c r="AB26" s="640"/>
      <c r="AC26">
        <v>8</v>
      </c>
      <c r="AE26" s="448" t="s">
        <v>3930</v>
      </c>
      <c r="AF26">
        <v>1</v>
      </c>
      <c r="AG26" s="281">
        <v>43101</v>
      </c>
      <c r="AJ26" s="602">
        <v>43109</v>
      </c>
      <c r="AL26" s="637" t="s">
        <v>3461</v>
      </c>
      <c r="AO26" s="448">
        <v>6348.4170000000004</v>
      </c>
      <c r="AP26">
        <v>556629</v>
      </c>
      <c r="AQ26" s="672">
        <v>43102</v>
      </c>
      <c r="AY26" t="s">
        <v>3362</v>
      </c>
      <c r="BB26" t="s">
        <v>3585</v>
      </c>
      <c r="BC26" s="448">
        <v>1</v>
      </c>
      <c r="BE26" s="612"/>
      <c r="BF26" s="613"/>
      <c r="BG26" s="614"/>
      <c r="BH26" s="636">
        <v>1</v>
      </c>
      <c r="BJ26">
        <v>3</v>
      </c>
      <c r="BK26" s="682" t="str">
        <f>Техкарта[[#This Row],[Кв-л]]&amp;" кв ("&amp;Substring(Техкарта[[#This Row],[Виділ]],"_",1)&amp;" вид) "&amp;Substring(Техкарта[[#This Row],[Виділ]],"_",2)&amp;" діл."</f>
        <v>81 кв (2 вид) 0 діл.</v>
      </c>
      <c r="BL26" s="682" t="str">
        <f>Техкарта[[#This Row],[ПолнаяДіл]] &amp;" "&amp;Техкарта[[#This Row],[ЛК]]&amp;" "&amp;Техкарта[[#This Row],[Вид рубки]]</f>
        <v>81 кв (2 вид) 0 діл. 556629 ПРХ</v>
      </c>
      <c r="BM26" s="636">
        <v>1</v>
      </c>
      <c r="BN26" s="636"/>
      <c r="BO26" s="636"/>
      <c r="BP26" s="636"/>
      <c r="BQ26" s="636" t="s">
        <v>105</v>
      </c>
      <c r="BR26" s="636"/>
      <c r="BS26" s="636"/>
      <c r="BT26" s="636"/>
      <c r="BU26" s="636"/>
      <c r="BV26" s="636"/>
      <c r="BW26" s="636"/>
      <c r="BX26" s="636"/>
      <c r="BY26" s="972"/>
    </row>
    <row r="27" spans="1:77">
      <c r="A27" t="s">
        <v>105</v>
      </c>
      <c r="B27" t="s">
        <v>115</v>
      </c>
      <c r="C27" s="686" t="s">
        <v>140</v>
      </c>
      <c r="D27">
        <v>0</v>
      </c>
      <c r="E27" t="s">
        <v>2305</v>
      </c>
      <c r="F27">
        <v>3</v>
      </c>
      <c r="G27" t="s">
        <v>79</v>
      </c>
      <c r="H27" s="673">
        <v>93</v>
      </c>
      <c r="I27" t="s">
        <v>3790</v>
      </c>
      <c r="J27">
        <v>2.2999999999999998</v>
      </c>
      <c r="K27">
        <v>240</v>
      </c>
      <c r="M27">
        <v>5</v>
      </c>
      <c r="N27">
        <v>3</v>
      </c>
      <c r="R27">
        <v>5</v>
      </c>
      <c r="S27">
        <v>21</v>
      </c>
      <c r="T27">
        <v>34</v>
      </c>
      <c r="V27">
        <v>0</v>
      </c>
      <c r="W27">
        <v>0</v>
      </c>
      <c r="X27" s="615">
        <v>0.28000000000000003</v>
      </c>
      <c r="Y27" s="448">
        <v>68</v>
      </c>
      <c r="Z27" s="616">
        <v>33</v>
      </c>
      <c r="AA27" s="640">
        <v>86.472999999999999</v>
      </c>
      <c r="AB27" s="640"/>
      <c r="AC27">
        <v>7</v>
      </c>
      <c r="AE27" s="448" t="s">
        <v>3931</v>
      </c>
      <c r="AF27">
        <v>1</v>
      </c>
      <c r="AG27" s="281">
        <v>43101</v>
      </c>
      <c r="AJ27" s="602">
        <v>43109</v>
      </c>
      <c r="AL27" s="637" t="s">
        <v>3444</v>
      </c>
      <c r="AO27" s="448">
        <v>5880.1639999999998</v>
      </c>
      <c r="AP27">
        <v>556629</v>
      </c>
      <c r="AQ27" s="672">
        <v>43102</v>
      </c>
      <c r="AY27" t="s">
        <v>3362</v>
      </c>
      <c r="BB27" t="s">
        <v>3585</v>
      </c>
      <c r="BC27" s="448">
        <v>1</v>
      </c>
      <c r="BE27" s="612"/>
      <c r="BF27" s="613"/>
      <c r="BG27" s="614"/>
      <c r="BH27" s="636">
        <v>1</v>
      </c>
      <c r="BJ27">
        <v>4</v>
      </c>
      <c r="BK27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7" s="682" t="str">
        <f>Техкарта[[#This Row],[ПолнаяДіл]] &amp;" "&amp;Техкарта[[#This Row],[ЛК]]&amp;" "&amp;Техкарта[[#This Row],[Вид рубки]]</f>
        <v>93 кв (2 вид) 0 діл. 556629 ПРХ</v>
      </c>
      <c r="BM27" s="636">
        <v>1</v>
      </c>
      <c r="BN27" s="636"/>
      <c r="BO27" s="636"/>
      <c r="BP27" s="636"/>
      <c r="BQ27" s="636" t="s">
        <v>105</v>
      </c>
      <c r="BR27" s="636"/>
      <c r="BS27" s="636"/>
      <c r="BT27" s="636"/>
      <c r="BU27" s="636"/>
      <c r="BV27" s="636"/>
      <c r="BW27" s="636"/>
      <c r="BX27" s="636"/>
      <c r="BY27" s="972"/>
    </row>
    <row r="28" spans="1:77">
      <c r="A28" t="s">
        <v>105</v>
      </c>
      <c r="B28" t="s">
        <v>115</v>
      </c>
      <c r="C28" s="686" t="s">
        <v>140</v>
      </c>
      <c r="D28">
        <v>0</v>
      </c>
      <c r="E28" t="s">
        <v>2305</v>
      </c>
      <c r="F28">
        <v>3</v>
      </c>
      <c r="G28" t="s">
        <v>79</v>
      </c>
      <c r="H28" s="673">
        <v>113</v>
      </c>
      <c r="I28" t="s">
        <v>3791</v>
      </c>
      <c r="J28">
        <v>8.8000000000000007</v>
      </c>
      <c r="K28">
        <v>1475</v>
      </c>
      <c r="M28">
        <v>0</v>
      </c>
      <c r="N28">
        <v>113</v>
      </c>
      <c r="R28">
        <v>40</v>
      </c>
      <c r="S28">
        <v>6</v>
      </c>
      <c r="T28">
        <v>562</v>
      </c>
      <c r="V28">
        <v>0</v>
      </c>
      <c r="W28">
        <v>0</v>
      </c>
      <c r="X28" s="615">
        <v>0.49</v>
      </c>
      <c r="Y28" s="448">
        <v>721</v>
      </c>
      <c r="Z28" s="616">
        <v>88</v>
      </c>
      <c r="AA28" s="640">
        <v>113.429</v>
      </c>
      <c r="AB28" s="640"/>
      <c r="AC28">
        <v>51</v>
      </c>
      <c r="AE28" s="448" t="s">
        <v>3932</v>
      </c>
      <c r="AF28">
        <v>1</v>
      </c>
      <c r="AG28" s="281">
        <v>43101</v>
      </c>
      <c r="AJ28" s="602">
        <v>43109</v>
      </c>
      <c r="AL28" s="637" t="s">
        <v>3834</v>
      </c>
      <c r="AO28" s="448">
        <v>81782.308999999994</v>
      </c>
      <c r="AP28">
        <v>556629</v>
      </c>
      <c r="AQ28" s="672">
        <v>43102</v>
      </c>
      <c r="AY28" t="s">
        <v>3362</v>
      </c>
      <c r="BB28" t="s">
        <v>3585</v>
      </c>
      <c r="BC28" s="448">
        <v>1</v>
      </c>
      <c r="BE28" s="612"/>
      <c r="BF28" s="613"/>
      <c r="BG28" s="614"/>
      <c r="BH28" s="636">
        <v>1</v>
      </c>
      <c r="BJ28">
        <v>6</v>
      </c>
      <c r="BK28" s="682" t="str">
        <f>Техкарта[[#This Row],[Кв-л]]&amp;" кв ("&amp;Substring(Техкарта[[#This Row],[Виділ]],"_",1)&amp;" вид) "&amp;Substring(Техкарта[[#This Row],[Виділ]],"_",2)&amp;" діл."</f>
        <v>113 кв (7 вид) 0 діл.</v>
      </c>
      <c r="BL28" s="682" t="str">
        <f>Техкарта[[#This Row],[ПолнаяДіл]] &amp;" "&amp;Техкарта[[#This Row],[ЛК]]&amp;" "&amp;Техкарта[[#This Row],[Вид рубки]]</f>
        <v>113 кв (7 вид) 0 діл. 556629 ПРХ</v>
      </c>
      <c r="BM28" s="636">
        <v>1</v>
      </c>
      <c r="BN28" s="636"/>
      <c r="BO28" s="636"/>
      <c r="BP28" s="636"/>
      <c r="BQ28" s="636" t="s">
        <v>105</v>
      </c>
      <c r="BR28" s="636"/>
      <c r="BS28" s="636"/>
      <c r="BT28" s="636"/>
      <c r="BU28" s="636"/>
      <c r="BV28" s="636"/>
      <c r="BW28" s="636"/>
      <c r="BX28" s="636"/>
      <c r="BY28" s="972"/>
    </row>
    <row r="29" spans="1:77">
      <c r="A29" t="s">
        <v>105</v>
      </c>
      <c r="B29" t="s">
        <v>112</v>
      </c>
      <c r="C29" s="686" t="s">
        <v>124</v>
      </c>
      <c r="D29">
        <v>0</v>
      </c>
      <c r="E29" t="s">
        <v>2316</v>
      </c>
      <c r="F29">
        <v>3</v>
      </c>
      <c r="G29" t="s">
        <v>79</v>
      </c>
      <c r="H29" s="673">
        <v>79</v>
      </c>
      <c r="I29" t="s">
        <v>3833</v>
      </c>
      <c r="J29">
        <v>2.5</v>
      </c>
      <c r="K29">
        <v>383</v>
      </c>
      <c r="W29">
        <v>28</v>
      </c>
      <c r="X29" s="615">
        <v>7.0000000000000007E-2</v>
      </c>
      <c r="Y29" s="448">
        <v>28</v>
      </c>
      <c r="Z29" s="616">
        <v>13</v>
      </c>
      <c r="AA29" s="640">
        <v>213.04900000000001</v>
      </c>
      <c r="AB29" s="640"/>
      <c r="AC29">
        <v>4</v>
      </c>
      <c r="AE29" s="448" t="s">
        <v>3933</v>
      </c>
      <c r="AF29">
        <v>1</v>
      </c>
      <c r="AG29" s="281">
        <v>43101</v>
      </c>
      <c r="AJ29" s="602">
        <v>43109</v>
      </c>
      <c r="AL29" s="637" t="s">
        <v>3463</v>
      </c>
      <c r="AO29" s="448">
        <v>5965.3720000000003</v>
      </c>
      <c r="AP29">
        <v>556629</v>
      </c>
      <c r="AQ29" s="672">
        <v>43102</v>
      </c>
      <c r="AY29" t="s">
        <v>80</v>
      </c>
      <c r="BB29" t="s">
        <v>3584</v>
      </c>
      <c r="BC29" s="636">
        <v>1</v>
      </c>
      <c r="BE29" s="612"/>
      <c r="BF29" s="613"/>
      <c r="BG29" s="614"/>
      <c r="BH29" s="636">
        <v>1</v>
      </c>
      <c r="BJ29">
        <v>3</v>
      </c>
      <c r="BK29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29" s="682" t="str">
        <f>Техкарта[[#This Row],[ПолнаяДіл]] &amp;" "&amp;Техкарта[[#This Row],[ЛК]]&amp;" "&amp;Техкарта[[#This Row],[Вид рубки]]</f>
        <v>79 кв (8 вид) 0 діл. 556629 ПРЖ</v>
      </c>
      <c r="BM29" s="636">
        <v>1</v>
      </c>
      <c r="BN29" s="636"/>
      <c r="BO29" s="636"/>
      <c r="BP29" s="636"/>
      <c r="BQ29" s="636" t="s">
        <v>105</v>
      </c>
      <c r="BR29" s="636"/>
      <c r="BS29" s="636"/>
      <c r="BT29" s="636"/>
      <c r="BU29" s="636"/>
      <c r="BV29" s="636"/>
      <c r="BW29" s="636"/>
      <c r="BX29" s="636"/>
      <c r="BY29" s="972"/>
    </row>
    <row r="30" spans="1:77">
      <c r="A30" t="s">
        <v>105</v>
      </c>
      <c r="B30" t="s">
        <v>112</v>
      </c>
      <c r="C30" s="686" t="s">
        <v>124</v>
      </c>
      <c r="D30">
        <v>0</v>
      </c>
      <c r="E30" t="s">
        <v>2316</v>
      </c>
      <c r="F30">
        <v>3</v>
      </c>
      <c r="G30" t="s">
        <v>79</v>
      </c>
      <c r="H30" s="673">
        <v>18</v>
      </c>
      <c r="I30" t="s">
        <v>3833</v>
      </c>
      <c r="J30">
        <v>3.1</v>
      </c>
      <c r="K30">
        <v>310</v>
      </c>
      <c r="T30">
        <v>17</v>
      </c>
      <c r="W30">
        <v>0</v>
      </c>
      <c r="X30" s="615">
        <v>0.05</v>
      </c>
      <c r="Y30" s="448">
        <v>17</v>
      </c>
      <c r="Z30" s="616">
        <v>28</v>
      </c>
      <c r="AA30" s="640">
        <v>247.60300000000001</v>
      </c>
      <c r="AB30" s="640"/>
      <c r="AC30">
        <v>70</v>
      </c>
      <c r="AE30" s="636" t="s">
        <v>3934</v>
      </c>
      <c r="AF30">
        <v>1</v>
      </c>
      <c r="AG30" s="281">
        <v>43101</v>
      </c>
      <c r="AJ30" s="602">
        <v>43109</v>
      </c>
      <c r="AL30" s="637" t="s">
        <v>3468</v>
      </c>
      <c r="AO30" s="448">
        <v>4209.2510000000002</v>
      </c>
      <c r="AP30">
        <v>556634</v>
      </c>
      <c r="AQ30" s="672">
        <v>43102</v>
      </c>
      <c r="AY30" t="s">
        <v>80</v>
      </c>
      <c r="BB30" t="s">
        <v>3584</v>
      </c>
      <c r="BC30" s="636">
        <v>1</v>
      </c>
      <c r="BE30" s="612"/>
      <c r="BF30" s="613"/>
      <c r="BG30" s="614"/>
      <c r="BH30" s="636">
        <v>1</v>
      </c>
      <c r="BJ30">
        <v>4</v>
      </c>
      <c r="BK30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0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0" s="636">
        <v>1</v>
      </c>
      <c r="BN30" s="636"/>
      <c r="BO30" s="636"/>
      <c r="BP30" s="636"/>
      <c r="BQ30" s="636" t="s">
        <v>105</v>
      </c>
      <c r="BR30" s="636"/>
      <c r="BS30" s="636"/>
      <c r="BT30" s="636"/>
      <c r="BU30" s="636"/>
      <c r="BV30" s="636"/>
      <c r="BW30" s="636"/>
      <c r="BX30" s="636"/>
      <c r="BY30" s="972"/>
    </row>
    <row r="31" spans="1:77">
      <c r="A31" t="s">
        <v>105</v>
      </c>
      <c r="B31" t="s">
        <v>112</v>
      </c>
      <c r="C31" s="686" t="s">
        <v>124</v>
      </c>
      <c r="D31">
        <v>0</v>
      </c>
      <c r="E31" t="s">
        <v>2316</v>
      </c>
      <c r="F31">
        <v>3</v>
      </c>
      <c r="G31" t="s">
        <v>79</v>
      </c>
      <c r="H31" s="448">
        <v>36</v>
      </c>
      <c r="I31" t="s">
        <v>3792</v>
      </c>
      <c r="J31">
        <v>5.9</v>
      </c>
      <c r="K31">
        <v>434</v>
      </c>
      <c r="T31">
        <v>28</v>
      </c>
      <c r="W31">
        <v>0</v>
      </c>
      <c r="X31" s="615">
        <v>0.06</v>
      </c>
      <c r="Y31" s="448">
        <v>28</v>
      </c>
      <c r="Z31" s="616">
        <v>17</v>
      </c>
      <c r="AA31" s="640">
        <v>232.625</v>
      </c>
      <c r="AB31" s="640"/>
      <c r="AC31">
        <v>75</v>
      </c>
      <c r="AE31" s="636" t="s">
        <v>3935</v>
      </c>
      <c r="AF31">
        <v>1</v>
      </c>
      <c r="AG31" s="281">
        <v>43101</v>
      </c>
      <c r="AJ31" s="602">
        <v>43109</v>
      </c>
      <c r="AL31" s="637" t="s">
        <v>3452</v>
      </c>
      <c r="AO31" s="448">
        <v>6513.5</v>
      </c>
      <c r="AP31">
        <v>556634</v>
      </c>
      <c r="AQ31" s="672">
        <v>43102</v>
      </c>
      <c r="AY31" t="s">
        <v>80</v>
      </c>
      <c r="BB31" t="s">
        <v>3584</v>
      </c>
      <c r="BC31" s="636">
        <v>1</v>
      </c>
      <c r="BE31" s="612"/>
      <c r="BF31" s="613"/>
      <c r="BG31" s="614"/>
      <c r="BH31" s="636">
        <v>1</v>
      </c>
      <c r="BJ31">
        <v>5</v>
      </c>
      <c r="BK31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1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1" s="636">
        <v>1</v>
      </c>
      <c r="BN31" s="636"/>
      <c r="BO31" s="636"/>
      <c r="BP31" s="636"/>
      <c r="BQ31" s="636" t="s">
        <v>105</v>
      </c>
      <c r="BR31" s="636"/>
      <c r="BS31" s="636"/>
      <c r="BT31" s="636"/>
      <c r="BU31" s="636"/>
      <c r="BV31" s="636"/>
      <c r="BW31" s="636"/>
      <c r="BX31" s="636"/>
      <c r="BY31" s="972"/>
    </row>
    <row r="32" spans="1:77">
      <c r="A32" t="s">
        <v>104</v>
      </c>
      <c r="B32" s="675" t="s">
        <v>115</v>
      </c>
      <c r="C32" s="687" t="s">
        <v>104</v>
      </c>
      <c r="D32" s="675">
        <v>0</v>
      </c>
      <c r="E32" s="675" t="s">
        <v>2305</v>
      </c>
      <c r="F32" s="675">
        <v>3</v>
      </c>
      <c r="G32" s="675" t="s">
        <v>2238</v>
      </c>
      <c r="H32" s="675">
        <v>30</v>
      </c>
      <c r="I32" s="676" t="s">
        <v>3838</v>
      </c>
      <c r="J32" s="677">
        <v>3</v>
      </c>
      <c r="K32" s="683">
        <v>840</v>
      </c>
      <c r="L32" s="677">
        <v>0</v>
      </c>
      <c r="M32" s="677">
        <v>1</v>
      </c>
      <c r="N32" s="677">
        <v>284</v>
      </c>
      <c r="O32" s="677">
        <v>0</v>
      </c>
      <c r="P32" s="677">
        <v>0</v>
      </c>
      <c r="Q32" s="677">
        <v>28</v>
      </c>
      <c r="R32" s="677">
        <v>78</v>
      </c>
      <c r="S32" s="677">
        <v>20</v>
      </c>
      <c r="T32" s="677">
        <v>328</v>
      </c>
      <c r="U32" s="677">
        <v>26</v>
      </c>
      <c r="V32" s="677">
        <v>16</v>
      </c>
      <c r="W32" s="677">
        <v>233</v>
      </c>
      <c r="X32" s="678">
        <v>1.21</v>
      </c>
      <c r="Y32" s="679">
        <v>1014</v>
      </c>
      <c r="Z32" s="680">
        <v>338</v>
      </c>
      <c r="AA32" s="681">
        <v>78.692999999999998</v>
      </c>
      <c r="AB32" s="681">
        <v>29.074999999999999</v>
      </c>
      <c r="AC32" s="417"/>
      <c r="AD32" s="417"/>
      <c r="AE32" s="682" t="s">
        <v>3936</v>
      </c>
      <c r="AF32">
        <v>1</v>
      </c>
      <c r="AG32" s="281">
        <v>43101</v>
      </c>
      <c r="AH32" s="417"/>
      <c r="AI32" s="417"/>
      <c r="AJ32" s="602">
        <v>43109</v>
      </c>
      <c r="AK32" s="417"/>
      <c r="AL32" s="637" t="s">
        <v>3478</v>
      </c>
      <c r="AM32" s="417"/>
      <c r="AN32" s="417"/>
      <c r="AO32" s="448">
        <v>79794.702000000005</v>
      </c>
      <c r="AP32">
        <v>556622</v>
      </c>
      <c r="AQ32" s="672" t="s">
        <v>3723</v>
      </c>
      <c r="AR32" s="417"/>
      <c r="AS32" s="417"/>
      <c r="AT32" s="417"/>
      <c r="AU32" s="417"/>
      <c r="AV32" s="417"/>
      <c r="AW32" s="417"/>
      <c r="AX32" s="417"/>
      <c r="AY32" t="s">
        <v>3362</v>
      </c>
      <c r="AZ32" s="417"/>
      <c r="BA32" s="417"/>
      <c r="BB32" t="s">
        <v>3585</v>
      </c>
      <c r="BC32" s="636">
        <v>12</v>
      </c>
      <c r="BD32" s="417"/>
      <c r="BE32" s="612">
        <v>9.8000000000000007</v>
      </c>
      <c r="BF32" s="613">
        <v>40</v>
      </c>
      <c r="BG32" s="614" t="s">
        <v>78</v>
      </c>
      <c r="BH32" s="682">
        <v>1</v>
      </c>
      <c r="BI32" s="417"/>
      <c r="BJ32" s="417">
        <v>2</v>
      </c>
      <c r="BK32" s="682" t="str">
        <f>Техкарта[[#This Row],[Кв-л]]&amp;" кв ("&amp;Substring(Техкарта[[#This Row],[Виділ]],"_",1)&amp;" вид) "&amp;Substring(Техкарта[[#This Row],[Виділ]],"_",2)&amp;" діл."</f>
        <v>30 кв (2 вид) 5 діл.</v>
      </c>
      <c r="BL32" s="682" t="str">
        <f>Техкарта[[#This Row],[ПолнаяДіл]] &amp;" "&amp;Техкарта[[#This Row],[ЛК]]&amp;" "&amp;Техкарта[[#This Row],[Вид рубки]]</f>
        <v>30 кв (2 вид) 5 діл. 556622 РГК</v>
      </c>
      <c r="BM32" s="682">
        <v>1</v>
      </c>
      <c r="BN32" s="636" t="s">
        <v>3784</v>
      </c>
      <c r="BO32" s="636" t="s">
        <v>3784</v>
      </c>
      <c r="BP32" s="636" t="s">
        <v>3784</v>
      </c>
      <c r="BQ32" t="s">
        <v>104</v>
      </c>
      <c r="BR32" s="636"/>
      <c r="BS32" s="636"/>
      <c r="BT32" s="636"/>
      <c r="BU32" s="636"/>
      <c r="BV32" s="636"/>
      <c r="BW32" s="636"/>
      <c r="BX32" s="636"/>
      <c r="BY32" s="972"/>
    </row>
    <row r="33" spans="1:77">
      <c r="A33" t="s">
        <v>105</v>
      </c>
      <c r="B33" s="675" t="s">
        <v>113</v>
      </c>
      <c r="C33" s="687" t="s">
        <v>140</v>
      </c>
      <c r="D33" s="675">
        <v>0</v>
      </c>
      <c r="E33" s="675" t="s">
        <v>2316</v>
      </c>
      <c r="F33" s="675">
        <v>3</v>
      </c>
      <c r="G33" s="675" t="s">
        <v>79</v>
      </c>
      <c r="H33" s="675">
        <v>77</v>
      </c>
      <c r="I33" s="676" t="s">
        <v>3791</v>
      </c>
      <c r="J33" s="677">
        <v>5.4</v>
      </c>
      <c r="K33" s="683">
        <v>544</v>
      </c>
      <c r="L33" s="677"/>
      <c r="M33" s="677"/>
      <c r="N33" s="677">
        <v>5</v>
      </c>
      <c r="O33" s="677"/>
      <c r="P33" s="677"/>
      <c r="Q33" s="677"/>
      <c r="R33" s="677"/>
      <c r="S33" s="677"/>
      <c r="T33" s="677">
        <v>140</v>
      </c>
      <c r="U33" s="677"/>
      <c r="V33" s="677"/>
      <c r="W33" s="677">
        <v>10</v>
      </c>
      <c r="X33" s="678">
        <v>0.28000000000000003</v>
      </c>
      <c r="Y33" s="679">
        <v>155</v>
      </c>
      <c r="Z33" s="680">
        <v>31</v>
      </c>
      <c r="AA33" s="681">
        <v>92.813000000000002</v>
      </c>
      <c r="AB33" s="681"/>
      <c r="AC33" s="417">
        <v>13</v>
      </c>
      <c r="AD33" s="417"/>
      <c r="AE33" s="682" t="s">
        <v>3937</v>
      </c>
      <c r="AF33">
        <v>1</v>
      </c>
      <c r="AG33" s="281">
        <v>43101</v>
      </c>
      <c r="AH33" s="417"/>
      <c r="AI33" s="417"/>
      <c r="AJ33" s="602">
        <v>43109</v>
      </c>
      <c r="AK33" s="417"/>
      <c r="AL33" s="637" t="s">
        <v>3447</v>
      </c>
      <c r="AM33" s="417"/>
      <c r="AN33" s="417"/>
      <c r="AO33" s="636">
        <v>14386.014999999999</v>
      </c>
      <c r="AP33">
        <v>555641</v>
      </c>
      <c r="AQ33" s="672">
        <v>43102</v>
      </c>
      <c r="AR33" s="417"/>
      <c r="AS33" s="417"/>
      <c r="AT33" s="417"/>
      <c r="AU33" s="417"/>
      <c r="AV33" s="417"/>
      <c r="AW33" s="417"/>
      <c r="AX33" s="417"/>
      <c r="AY33" t="s">
        <v>80</v>
      </c>
      <c r="AZ33" s="417"/>
      <c r="BA33" s="417"/>
      <c r="BB33" t="s">
        <v>3584</v>
      </c>
      <c r="BC33" s="636">
        <v>1</v>
      </c>
      <c r="BD33" s="417"/>
      <c r="BE33" s="612"/>
      <c r="BF33" s="613"/>
      <c r="BG33" s="614"/>
      <c r="BH33" s="682">
        <v>1</v>
      </c>
      <c r="BI33" s="417"/>
      <c r="BJ33" s="417">
        <v>6</v>
      </c>
      <c r="BK33" s="682" t="str">
        <f>Техкарта[[#This Row],[Кв-л]]&amp;" кв ("&amp;Substring(Техкарта[[#This Row],[Виділ]],"_",1)&amp;" вид) "&amp;Substring(Техкарта[[#This Row],[Виділ]],"_",2)&amp;" діл."</f>
        <v>77 кв (7 вид) 0 діл.</v>
      </c>
      <c r="BL33" s="682" t="str">
        <f>Техкарта[[#This Row],[ПолнаяДіл]] &amp;" "&amp;Техкарта[[#This Row],[ЛК]]&amp;" "&amp;Техкарта[[#This Row],[Вид рубки]]</f>
        <v>77 кв (7 вид) 0 діл. 555641 ПРХ</v>
      </c>
      <c r="BM33" s="682">
        <v>1</v>
      </c>
      <c r="BN33" s="636"/>
      <c r="BO33" s="636"/>
      <c r="BP33" s="636"/>
      <c r="BQ33" s="636" t="s">
        <v>105</v>
      </c>
      <c r="BR33" s="636"/>
      <c r="BS33" s="636"/>
      <c r="BT33" s="636"/>
      <c r="BU33" s="636"/>
      <c r="BV33" s="636"/>
      <c r="BW33" s="636"/>
      <c r="BX33" s="636"/>
      <c r="BY33" s="972"/>
    </row>
    <row r="34" spans="1:77">
      <c r="A34" t="s">
        <v>105</v>
      </c>
      <c r="B34" s="675" t="s">
        <v>111</v>
      </c>
      <c r="C34" s="687" t="s">
        <v>124</v>
      </c>
      <c r="D34" s="675">
        <v>0</v>
      </c>
      <c r="E34" s="675" t="s">
        <v>2316</v>
      </c>
      <c r="F34" s="675">
        <v>3</v>
      </c>
      <c r="G34" s="675" t="s">
        <v>79</v>
      </c>
      <c r="H34" s="675">
        <v>55</v>
      </c>
      <c r="I34" s="676" t="s">
        <v>3790</v>
      </c>
      <c r="J34" s="677">
        <v>6.3</v>
      </c>
      <c r="K34" s="683">
        <v>1947</v>
      </c>
      <c r="L34" s="677"/>
      <c r="M34" s="677"/>
      <c r="N34" s="677">
        <v>0</v>
      </c>
      <c r="O34" s="677"/>
      <c r="P34" s="677"/>
      <c r="Q34" s="677"/>
      <c r="R34" s="677"/>
      <c r="S34" s="677"/>
      <c r="T34" s="677">
        <v>0</v>
      </c>
      <c r="U34" s="677"/>
      <c r="V34" s="677"/>
      <c r="W34" s="677">
        <v>156</v>
      </c>
      <c r="X34" s="678">
        <v>0.08</v>
      </c>
      <c r="Y34" s="679">
        <v>156</v>
      </c>
      <c r="Z34" s="680">
        <v>33</v>
      </c>
      <c r="AA34" s="681">
        <v>170.518</v>
      </c>
      <c r="AB34" s="681"/>
      <c r="AC34" s="417">
        <v>50</v>
      </c>
      <c r="AD34" s="417"/>
      <c r="AE34" s="682" t="s">
        <v>3938</v>
      </c>
      <c r="AF34">
        <v>1</v>
      </c>
      <c r="AG34" s="281">
        <v>43101</v>
      </c>
      <c r="AH34" s="417"/>
      <c r="AI34" s="417"/>
      <c r="AJ34" s="602">
        <v>43109</v>
      </c>
      <c r="AK34" s="417"/>
      <c r="AL34" s="637" t="s">
        <v>3457</v>
      </c>
      <c r="AM34" s="417"/>
      <c r="AN34" s="417"/>
      <c r="AO34" s="636">
        <v>26600.808000000001</v>
      </c>
      <c r="AP34">
        <v>556631</v>
      </c>
      <c r="AQ34" s="672">
        <v>43102</v>
      </c>
      <c r="AR34" s="417"/>
      <c r="AS34" s="417"/>
      <c r="AT34" s="417"/>
      <c r="AU34" s="417"/>
      <c r="AV34" s="417"/>
      <c r="AW34" s="417"/>
      <c r="AX34" s="417"/>
      <c r="AY34" t="s">
        <v>3424</v>
      </c>
      <c r="AZ34" s="417"/>
      <c r="BA34" s="417"/>
      <c r="BB34" t="s">
        <v>3583</v>
      </c>
      <c r="BC34" s="636">
        <v>1</v>
      </c>
      <c r="BD34" s="417"/>
      <c r="BE34" s="612"/>
      <c r="BF34" s="613"/>
      <c r="BG34" s="614"/>
      <c r="BH34" s="682">
        <v>1</v>
      </c>
      <c r="BI34" s="417"/>
      <c r="BJ34" s="417">
        <v>9</v>
      </c>
      <c r="BK34" s="682" t="str">
        <f>Техкарта[[#This Row],[Кв-л]]&amp;" кв ("&amp;Substring(Техкарта[[#This Row],[Виділ]],"_",1)&amp;" вид) "&amp;Substring(Техкарта[[#This Row],[Виділ]],"_",2)&amp;" діл."</f>
        <v>55 кв (2 вид) 0 діл.</v>
      </c>
      <c r="BL34" s="682" t="str">
        <f>Техкарта[[#This Row],[ПолнаяДіл]] &amp;" "&amp;Техкарта[[#This Row],[ЛК]]&amp;" "&amp;Техкарта[[#This Row],[Вид рубки]]</f>
        <v>55 кв (2 вид) 0 діл. 556631 ПРЖ</v>
      </c>
      <c r="BM34" s="682">
        <v>1</v>
      </c>
      <c r="BN34" s="636"/>
      <c r="BO34" s="636"/>
      <c r="BP34" s="636"/>
      <c r="BQ34" s="636" t="s">
        <v>105</v>
      </c>
      <c r="BR34" s="636"/>
      <c r="BS34" s="636"/>
      <c r="BT34" s="636"/>
      <c r="BU34" s="636"/>
      <c r="BV34" s="636"/>
      <c r="BW34" s="636"/>
      <c r="BX34" s="636"/>
      <c r="BY34" s="972"/>
    </row>
    <row r="35" spans="1:77">
      <c r="A35" t="s">
        <v>105</v>
      </c>
      <c r="B35" s="675" t="s">
        <v>111</v>
      </c>
      <c r="C35" s="687" t="s">
        <v>140</v>
      </c>
      <c r="D35" s="675">
        <v>0</v>
      </c>
      <c r="E35" s="675" t="s">
        <v>2316</v>
      </c>
      <c r="F35" s="675">
        <v>3</v>
      </c>
      <c r="G35" s="675" t="s">
        <v>79</v>
      </c>
      <c r="H35" s="675">
        <v>98</v>
      </c>
      <c r="I35" s="676" t="s">
        <v>3789</v>
      </c>
      <c r="J35" s="677">
        <v>2.5</v>
      </c>
      <c r="K35" s="683">
        <v>988</v>
      </c>
      <c r="L35" s="677"/>
      <c r="M35" s="677">
        <v>38</v>
      </c>
      <c r="N35" s="677">
        <v>0</v>
      </c>
      <c r="O35" s="677"/>
      <c r="P35" s="677"/>
      <c r="Q35" s="677"/>
      <c r="R35" s="677"/>
      <c r="S35" s="677">
        <v>500</v>
      </c>
      <c r="T35" s="677">
        <v>0</v>
      </c>
      <c r="U35" s="677"/>
      <c r="V35" s="677">
        <v>37</v>
      </c>
      <c r="W35" s="677">
        <v>0</v>
      </c>
      <c r="X35" s="678">
        <v>0.57999999999999996</v>
      </c>
      <c r="Y35" s="679">
        <v>575</v>
      </c>
      <c r="Z35" s="680">
        <v>248</v>
      </c>
      <c r="AA35" s="681">
        <v>68.587999999999994</v>
      </c>
      <c r="AB35" s="681"/>
      <c r="AC35" s="417">
        <v>46</v>
      </c>
      <c r="AD35" s="417"/>
      <c r="AE35" s="682" t="s">
        <v>3939</v>
      </c>
      <c r="AF35">
        <v>1</v>
      </c>
      <c r="AG35" s="281">
        <v>43101</v>
      </c>
      <c r="AH35" s="417"/>
      <c r="AI35" s="417"/>
      <c r="AJ35" s="602">
        <v>43109</v>
      </c>
      <c r="AK35" s="417"/>
      <c r="AL35" s="637" t="s">
        <v>3445</v>
      </c>
      <c r="AM35" s="417"/>
      <c r="AN35" s="417"/>
      <c r="AO35" s="636">
        <v>39438.1</v>
      </c>
      <c r="AP35">
        <v>556632</v>
      </c>
      <c r="AQ35" s="672">
        <v>43102</v>
      </c>
      <c r="AR35" s="417"/>
      <c r="AS35" s="417"/>
      <c r="AT35" s="417"/>
      <c r="AU35" s="417"/>
      <c r="AV35" s="417"/>
      <c r="AW35" s="417"/>
      <c r="AX35" s="417"/>
      <c r="AY35" t="s">
        <v>3424</v>
      </c>
      <c r="AZ35" s="417"/>
      <c r="BA35" s="417"/>
      <c r="BB35" t="s">
        <v>3583</v>
      </c>
      <c r="BC35" s="636">
        <v>1</v>
      </c>
      <c r="BD35" s="417"/>
      <c r="BE35" s="612"/>
      <c r="BF35" s="613"/>
      <c r="BG35" s="614"/>
      <c r="BH35" s="682">
        <v>1</v>
      </c>
      <c r="BI35" s="417"/>
      <c r="BJ35" s="417">
        <v>10</v>
      </c>
      <c r="BK35" s="682" t="str">
        <f>Техкарта[[#This Row],[Кв-л]]&amp;" кв ("&amp;Substring(Техкарта[[#This Row],[Виділ]],"_",1)&amp;" вид) "&amp;Substring(Техкарта[[#This Row],[Виділ]],"_",2)&amp;" діл."</f>
        <v>98 кв (10 вид) 0 діл.</v>
      </c>
      <c r="BL35" s="682" t="str">
        <f>Техкарта[[#This Row],[ПолнаяДіл]] &amp;" "&amp;Техкарта[[#This Row],[ЛК]]&amp;" "&amp;Техкарта[[#This Row],[Вид рубки]]</f>
        <v>98 кв (10 вид) 0 діл. 556632 ПРХ</v>
      </c>
      <c r="BM35" s="682">
        <v>1</v>
      </c>
      <c r="BN35" s="636"/>
      <c r="BO35" s="636"/>
      <c r="BP35" s="636"/>
      <c r="BQ35" s="636" t="s">
        <v>105</v>
      </c>
      <c r="BR35" s="636"/>
      <c r="BS35" s="636"/>
      <c r="BT35" s="636"/>
      <c r="BU35" s="636"/>
      <c r="BV35" s="636"/>
      <c r="BW35" s="636"/>
      <c r="BX35" s="636"/>
      <c r="BY35" s="972"/>
    </row>
    <row r="36" spans="1:77">
      <c r="A36" t="s">
        <v>105</v>
      </c>
      <c r="B36" s="675" t="s">
        <v>113</v>
      </c>
      <c r="C36" s="687" t="s">
        <v>140</v>
      </c>
      <c r="D36" s="675">
        <v>0</v>
      </c>
      <c r="E36" s="675" t="s">
        <v>2316</v>
      </c>
      <c r="F36" s="675">
        <v>3</v>
      </c>
      <c r="G36" s="675" t="s">
        <v>79</v>
      </c>
      <c r="H36" s="675">
        <v>2</v>
      </c>
      <c r="I36" s="676" t="s">
        <v>3790</v>
      </c>
      <c r="J36" s="677">
        <v>1.6</v>
      </c>
      <c r="K36" s="683">
        <v>258</v>
      </c>
      <c r="L36" s="677"/>
      <c r="M36" s="677">
        <v>0</v>
      </c>
      <c r="N36" s="677">
        <v>20</v>
      </c>
      <c r="O36" s="677"/>
      <c r="P36" s="677"/>
      <c r="Q36" s="677"/>
      <c r="R36" s="677"/>
      <c r="S36" s="677">
        <v>88</v>
      </c>
      <c r="T36" s="677">
        <v>0</v>
      </c>
      <c r="U36" s="677"/>
      <c r="V36" s="677">
        <v>0</v>
      </c>
      <c r="W36" s="677">
        <v>0</v>
      </c>
      <c r="X36" s="678">
        <v>0.42</v>
      </c>
      <c r="Y36" s="679">
        <v>108</v>
      </c>
      <c r="Z36" s="680">
        <v>73</v>
      </c>
      <c r="AA36" s="681">
        <v>75.734999999999999</v>
      </c>
      <c r="AB36" s="681"/>
      <c r="AC36" s="417">
        <v>9</v>
      </c>
      <c r="AD36" s="417"/>
      <c r="AE36" s="682" t="s">
        <v>3940</v>
      </c>
      <c r="AF36">
        <v>1</v>
      </c>
      <c r="AG36" s="281">
        <v>43101</v>
      </c>
      <c r="AH36" s="417"/>
      <c r="AI36" s="417"/>
      <c r="AJ36" s="602">
        <v>43109</v>
      </c>
      <c r="AK36" s="417"/>
      <c r="AL36" s="637" t="s">
        <v>3435</v>
      </c>
      <c r="AM36" s="417"/>
      <c r="AN36" s="417"/>
      <c r="AO36" s="636">
        <v>8179.38</v>
      </c>
      <c r="AP36">
        <v>556641</v>
      </c>
      <c r="AQ36" s="672">
        <v>43102</v>
      </c>
      <c r="AR36" s="417"/>
      <c r="AS36" s="417"/>
      <c r="AT36" s="417"/>
      <c r="AU36" s="417"/>
      <c r="AV36" s="417"/>
      <c r="AW36" s="417"/>
      <c r="AX36" s="417"/>
      <c r="AY36" t="s">
        <v>80</v>
      </c>
      <c r="AZ36" s="417"/>
      <c r="BA36" s="417"/>
      <c r="BB36" t="s">
        <v>3584</v>
      </c>
      <c r="BC36" s="636">
        <v>1</v>
      </c>
      <c r="BD36" s="417"/>
      <c r="BE36" s="612"/>
      <c r="BF36" s="613"/>
      <c r="BG36" s="614"/>
      <c r="BH36" s="682">
        <v>1</v>
      </c>
      <c r="BI36" s="417"/>
      <c r="BJ36" s="417">
        <v>7</v>
      </c>
      <c r="BK36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6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6" s="682">
        <v>1</v>
      </c>
      <c r="BN36" s="636"/>
      <c r="BO36" s="636"/>
      <c r="BP36" s="636"/>
      <c r="BQ36" s="636" t="s">
        <v>105</v>
      </c>
      <c r="BR36" s="636"/>
      <c r="BS36" s="636"/>
      <c r="BT36" s="636"/>
      <c r="BU36" s="636"/>
      <c r="BV36" s="636"/>
      <c r="BW36" s="636"/>
      <c r="BX36" s="636"/>
      <c r="BY36" s="972"/>
    </row>
    <row r="37" spans="1:77">
      <c r="A37" t="s">
        <v>105</v>
      </c>
      <c r="B37" s="675" t="s">
        <v>113</v>
      </c>
      <c r="C37" s="687" t="s">
        <v>140</v>
      </c>
      <c r="D37" s="675">
        <v>0</v>
      </c>
      <c r="E37" s="675" t="s">
        <v>2316</v>
      </c>
      <c r="F37" s="675">
        <v>3</v>
      </c>
      <c r="G37" s="675" t="s">
        <v>79</v>
      </c>
      <c r="H37" s="675">
        <v>12</v>
      </c>
      <c r="I37" s="676" t="s">
        <v>3832</v>
      </c>
      <c r="J37" s="677">
        <v>0.3</v>
      </c>
      <c r="K37" s="683">
        <v>59</v>
      </c>
      <c r="L37" s="677"/>
      <c r="M37" s="677">
        <v>0</v>
      </c>
      <c r="N37" s="677">
        <v>0</v>
      </c>
      <c r="O37" s="677"/>
      <c r="P37" s="677"/>
      <c r="Q37" s="677"/>
      <c r="R37" s="677"/>
      <c r="S37" s="677">
        <v>0</v>
      </c>
      <c r="T37" s="677">
        <v>0</v>
      </c>
      <c r="U37" s="677"/>
      <c r="V37" s="677">
        <v>0</v>
      </c>
      <c r="W37" s="677">
        <v>5</v>
      </c>
      <c r="X37" s="678">
        <v>0.08</v>
      </c>
      <c r="Y37" s="679">
        <v>5</v>
      </c>
      <c r="Z37" s="680">
        <v>20</v>
      </c>
      <c r="AA37" s="681">
        <v>184.233</v>
      </c>
      <c r="AB37" s="681"/>
      <c r="AC37" s="417">
        <v>1</v>
      </c>
      <c r="AD37" s="417"/>
      <c r="AE37" s="682" t="s">
        <v>3941</v>
      </c>
      <c r="AF37">
        <v>1</v>
      </c>
      <c r="AG37" s="281">
        <v>43101</v>
      </c>
      <c r="AH37" s="417"/>
      <c r="AI37" s="417"/>
      <c r="AJ37" s="602">
        <v>43109</v>
      </c>
      <c r="AK37" s="417"/>
      <c r="AL37" s="637" t="s">
        <v>3435</v>
      </c>
      <c r="AM37" s="417"/>
      <c r="AN37" s="417"/>
      <c r="AO37" s="636">
        <v>921.16499999999996</v>
      </c>
      <c r="AP37">
        <v>556641</v>
      </c>
      <c r="AQ37" s="672">
        <v>43102</v>
      </c>
      <c r="AR37" s="417"/>
      <c r="AS37" s="417"/>
      <c r="AT37" s="417"/>
      <c r="AU37" s="417"/>
      <c r="AV37" s="417"/>
      <c r="AW37" s="417"/>
      <c r="AX37" s="417"/>
      <c r="AY37" t="s">
        <v>80</v>
      </c>
      <c r="AZ37" s="417"/>
      <c r="BA37" s="417"/>
      <c r="BB37" t="s">
        <v>3584</v>
      </c>
      <c r="BC37" s="636">
        <v>1</v>
      </c>
      <c r="BD37" s="417"/>
      <c r="BE37" s="612"/>
      <c r="BF37" s="613"/>
      <c r="BG37" s="614"/>
      <c r="BH37" s="682">
        <v>1</v>
      </c>
      <c r="BI37" s="417"/>
      <c r="BJ37" s="417">
        <v>10</v>
      </c>
      <c r="BK37" s="682" t="str">
        <f>Техкарта[[#This Row],[Кв-л]]&amp;" кв ("&amp;Substring(Техкарта[[#This Row],[Виділ]],"_",1)&amp;" вид) "&amp;Substring(Техкарта[[#This Row],[Виділ]],"_",2)&amp;" діл."</f>
        <v>12 кв (5 вид) 0 діл.</v>
      </c>
      <c r="BL37" s="682" t="str">
        <f>Техкарта[[#This Row],[ПолнаяДіл]] &amp;" "&amp;Техкарта[[#This Row],[ЛК]]&amp;" "&amp;Техкарта[[#This Row],[Вид рубки]]</f>
        <v>12 кв (5 вид) 0 діл. 556641 ПРХ</v>
      </c>
      <c r="BM37" s="682">
        <v>1</v>
      </c>
      <c r="BN37" s="636"/>
      <c r="BO37" s="636"/>
      <c r="BP37" s="636"/>
      <c r="BQ37" s="636" t="s">
        <v>105</v>
      </c>
      <c r="BR37" s="636"/>
      <c r="BS37" s="636"/>
      <c r="BT37" s="636"/>
      <c r="BU37" s="636"/>
      <c r="BV37" s="636"/>
      <c r="BW37" s="636"/>
      <c r="BX37" s="636"/>
      <c r="BY37" s="972"/>
    </row>
    <row r="38" spans="1:77">
      <c r="A38" t="s">
        <v>105</v>
      </c>
      <c r="B38" s="675" t="s">
        <v>114</v>
      </c>
      <c r="C38" s="687" t="s">
        <v>140</v>
      </c>
      <c r="D38" s="675">
        <v>0</v>
      </c>
      <c r="E38" s="675" t="s">
        <v>2316</v>
      </c>
      <c r="F38" s="675">
        <v>3</v>
      </c>
      <c r="G38" s="675" t="s">
        <v>79</v>
      </c>
      <c r="H38" s="675">
        <v>26</v>
      </c>
      <c r="I38" s="676" t="s">
        <v>3829</v>
      </c>
      <c r="J38" s="677">
        <v>0.7</v>
      </c>
      <c r="K38" s="683">
        <v>102</v>
      </c>
      <c r="L38" s="677"/>
      <c r="M38" s="677">
        <v>0</v>
      </c>
      <c r="N38" s="677">
        <v>0</v>
      </c>
      <c r="O38" s="677"/>
      <c r="P38" s="677"/>
      <c r="Q38" s="677"/>
      <c r="R38" s="677"/>
      <c r="S38" s="677">
        <v>0</v>
      </c>
      <c r="T38" s="677">
        <v>0</v>
      </c>
      <c r="U38" s="677"/>
      <c r="V38" s="677">
        <v>0</v>
      </c>
      <c r="W38" s="677">
        <v>10</v>
      </c>
      <c r="X38" s="678">
        <v>0.1</v>
      </c>
      <c r="Y38" s="679">
        <v>10</v>
      </c>
      <c r="Z38" s="680">
        <v>16</v>
      </c>
      <c r="AA38" s="681">
        <v>155.04900000000001</v>
      </c>
      <c r="AB38" s="681"/>
      <c r="AC38" s="417">
        <v>1</v>
      </c>
      <c r="AD38" s="417"/>
      <c r="AE38" s="682" t="s">
        <v>3942</v>
      </c>
      <c r="AF38">
        <v>1</v>
      </c>
      <c r="AG38" s="281">
        <v>43101</v>
      </c>
      <c r="AH38" s="417"/>
      <c r="AI38" s="417"/>
      <c r="AJ38" s="602">
        <v>43109</v>
      </c>
      <c r="AK38" s="417"/>
      <c r="AL38" s="637" t="s">
        <v>3436</v>
      </c>
      <c r="AM38" s="417"/>
      <c r="AN38" s="417"/>
      <c r="AO38" s="636">
        <v>1550.49</v>
      </c>
      <c r="AP38">
        <v>556638</v>
      </c>
      <c r="AQ38" s="672">
        <v>43102</v>
      </c>
      <c r="AR38" s="417"/>
      <c r="AS38" s="417"/>
      <c r="AT38" s="417"/>
      <c r="AU38" s="417"/>
      <c r="AV38" s="417"/>
      <c r="AW38" s="417"/>
      <c r="AX38" s="417"/>
      <c r="AY38" t="s">
        <v>3424</v>
      </c>
      <c r="AZ38" s="417"/>
      <c r="BA38" s="417"/>
      <c r="BB38" t="s">
        <v>3583</v>
      </c>
      <c r="BC38" s="636">
        <v>1</v>
      </c>
      <c r="BD38" s="417"/>
      <c r="BE38" s="612"/>
      <c r="BF38" s="613"/>
      <c r="BG38" s="614"/>
      <c r="BH38" s="682">
        <v>1</v>
      </c>
      <c r="BI38" s="417"/>
      <c r="BJ38" s="417">
        <v>10</v>
      </c>
      <c r="BK38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38" s="682" t="str">
        <f>Техкарта[[#This Row],[ПолнаяДіл]] &amp;" "&amp;Техкарта[[#This Row],[ЛК]]&amp;" "&amp;Техкарта[[#This Row],[Вид рубки]]</f>
        <v>26 кв (3 вид) 0 діл. 556638 ПРХ</v>
      </c>
      <c r="BM38" s="682">
        <v>1</v>
      </c>
      <c r="BN38" s="636"/>
      <c r="BO38" s="636"/>
      <c r="BP38" s="636"/>
      <c r="BQ38" s="636" t="s">
        <v>105</v>
      </c>
      <c r="BR38" s="636"/>
      <c r="BS38" s="636"/>
      <c r="BT38" s="636"/>
      <c r="BU38" s="636"/>
      <c r="BV38" s="636"/>
      <c r="BW38" s="636"/>
      <c r="BX38" s="636"/>
      <c r="BY38" s="972"/>
    </row>
    <row r="39" spans="1:77">
      <c r="A39" t="s">
        <v>105</v>
      </c>
      <c r="B39" s="675" t="s">
        <v>114</v>
      </c>
      <c r="C39" s="687" t="s">
        <v>124</v>
      </c>
      <c r="D39" s="675">
        <v>0</v>
      </c>
      <c r="E39" s="675" t="s">
        <v>2316</v>
      </c>
      <c r="F39" s="675">
        <v>3</v>
      </c>
      <c r="G39" s="675" t="s">
        <v>79</v>
      </c>
      <c r="H39" s="675">
        <v>22</v>
      </c>
      <c r="I39" s="676" t="s">
        <v>3789</v>
      </c>
      <c r="J39" s="677">
        <v>1.8</v>
      </c>
      <c r="K39" s="683">
        <v>253</v>
      </c>
      <c r="L39" s="677"/>
      <c r="M39" s="677">
        <v>0</v>
      </c>
      <c r="N39" s="677">
        <v>0</v>
      </c>
      <c r="O39" s="677"/>
      <c r="P39" s="677"/>
      <c r="Q39" s="677"/>
      <c r="R39" s="677"/>
      <c r="S39" s="677">
        <v>0</v>
      </c>
      <c r="T39" s="677">
        <v>0</v>
      </c>
      <c r="U39" s="677"/>
      <c r="V39" s="677">
        <v>0</v>
      </c>
      <c r="W39" s="677">
        <v>22</v>
      </c>
      <c r="X39" s="678">
        <v>0.09</v>
      </c>
      <c r="Y39" s="679">
        <v>22</v>
      </c>
      <c r="Z39" s="680">
        <v>13</v>
      </c>
      <c r="AA39" s="681">
        <v>179.89500000000001</v>
      </c>
      <c r="AB39" s="681"/>
      <c r="AC39" s="417">
        <v>1</v>
      </c>
      <c r="AD39" s="417"/>
      <c r="AE39" s="682" t="s">
        <v>3943</v>
      </c>
      <c r="AF39">
        <v>1</v>
      </c>
      <c r="AG39" s="281">
        <v>43101</v>
      </c>
      <c r="AH39" s="417"/>
      <c r="AI39" s="417"/>
      <c r="AJ39" s="602">
        <v>43109</v>
      </c>
      <c r="AK39" s="417"/>
      <c r="AL39" s="637" t="s">
        <v>3436</v>
      </c>
      <c r="AM39" s="417"/>
      <c r="AN39" s="417"/>
      <c r="AO39" s="636">
        <v>3957.69</v>
      </c>
      <c r="AP39">
        <v>556637</v>
      </c>
      <c r="AQ39" s="672">
        <v>43102</v>
      </c>
      <c r="AR39" s="417"/>
      <c r="AS39" s="417"/>
      <c r="AT39" s="417"/>
      <c r="AU39" s="417"/>
      <c r="AV39" s="417"/>
      <c r="AW39" s="417"/>
      <c r="AX39" s="417"/>
      <c r="AY39" t="s">
        <v>3424</v>
      </c>
      <c r="AZ39" s="417"/>
      <c r="BA39" s="417"/>
      <c r="BB39" t="s">
        <v>3583</v>
      </c>
      <c r="BC39" s="636">
        <v>1</v>
      </c>
      <c r="BD39" s="417"/>
      <c r="BE39" s="612"/>
      <c r="BF39" s="613"/>
      <c r="BG39" s="614"/>
      <c r="BH39" s="682">
        <v>1</v>
      </c>
      <c r="BI39" s="417"/>
      <c r="BJ39" s="417">
        <v>9</v>
      </c>
      <c r="BK39" s="682" t="str">
        <f>Техкарта[[#This Row],[Кв-л]]&amp;" кв ("&amp;Substring(Техкарта[[#This Row],[Виділ]],"_",1)&amp;" вид) "&amp;Substring(Техкарта[[#This Row],[Виділ]],"_",2)&amp;" діл."</f>
        <v>22 кв (10 вид) 0 діл.</v>
      </c>
      <c r="BL39" s="682" t="str">
        <f>Техкарта[[#This Row],[ПолнаяДіл]] &amp;" "&amp;Техкарта[[#This Row],[ЛК]]&amp;" "&amp;Техкарта[[#This Row],[Вид рубки]]</f>
        <v>22 кв (10 вид) 0 діл. 556637 ПРЖ</v>
      </c>
      <c r="BM39" s="682">
        <v>1</v>
      </c>
      <c r="BN39" s="636"/>
      <c r="BO39" s="636"/>
      <c r="BP39" s="636"/>
      <c r="BQ39" s="636" t="s">
        <v>105</v>
      </c>
      <c r="BR39" s="636"/>
      <c r="BS39" s="636"/>
      <c r="BT39" s="636"/>
      <c r="BU39" s="636"/>
      <c r="BV39" s="636"/>
      <c r="BW39" s="636"/>
      <c r="BX39" s="636"/>
      <c r="BY39" s="972"/>
    </row>
    <row r="40" spans="1:77">
      <c r="A40" t="s">
        <v>105</v>
      </c>
      <c r="B40" s="675" t="s">
        <v>114</v>
      </c>
      <c r="C40" s="687" t="s">
        <v>126</v>
      </c>
      <c r="D40" s="675">
        <v>0</v>
      </c>
      <c r="E40" s="675" t="s">
        <v>2316</v>
      </c>
      <c r="F40" s="675">
        <v>3</v>
      </c>
      <c r="G40" s="675" t="s">
        <v>79</v>
      </c>
      <c r="H40" s="675">
        <v>32</v>
      </c>
      <c r="I40" s="676" t="s">
        <v>3795</v>
      </c>
      <c r="J40" s="677">
        <v>4.0999999999999996</v>
      </c>
      <c r="K40" s="683">
        <v>118</v>
      </c>
      <c r="L40" s="677"/>
      <c r="M40" s="677">
        <v>0</v>
      </c>
      <c r="N40" s="677">
        <v>11</v>
      </c>
      <c r="O40" s="677"/>
      <c r="P40" s="677"/>
      <c r="Q40" s="677"/>
      <c r="R40" s="677">
        <v>2</v>
      </c>
      <c r="S40" s="677">
        <v>0</v>
      </c>
      <c r="T40" s="677">
        <v>37</v>
      </c>
      <c r="U40" s="677"/>
      <c r="V40" s="677">
        <v>0</v>
      </c>
      <c r="W40" s="677">
        <v>4</v>
      </c>
      <c r="X40" s="678">
        <v>0.46</v>
      </c>
      <c r="Y40" s="679">
        <v>54</v>
      </c>
      <c r="Z40" s="680">
        <v>14</v>
      </c>
      <c r="AA40" s="681">
        <v>129.62200000000001</v>
      </c>
      <c r="AB40" s="681"/>
      <c r="AC40" s="417">
        <v>4</v>
      </c>
      <c r="AD40" s="417"/>
      <c r="AE40" s="682" t="s">
        <v>3944</v>
      </c>
      <c r="AF40">
        <v>1</v>
      </c>
      <c r="AG40" s="281">
        <v>43101</v>
      </c>
      <c r="AH40" s="417"/>
      <c r="AI40" s="417"/>
      <c r="AJ40" s="602">
        <v>43109</v>
      </c>
      <c r="AK40" s="417"/>
      <c r="AL40" s="637" t="s">
        <v>3448</v>
      </c>
      <c r="AM40" s="417"/>
      <c r="AN40" s="417"/>
      <c r="AO40" s="636">
        <v>6999.5879999999997</v>
      </c>
      <c r="AP40">
        <v>556643</v>
      </c>
      <c r="AQ40" s="672">
        <v>43122</v>
      </c>
      <c r="AR40" s="417"/>
      <c r="AS40" s="417"/>
      <c r="AT40" s="417"/>
      <c r="AU40" s="417"/>
      <c r="AV40" s="417"/>
      <c r="AW40" s="417"/>
      <c r="AX40" s="417"/>
      <c r="AY40" t="s">
        <v>3424</v>
      </c>
      <c r="AZ40" s="417"/>
      <c r="BA40" s="417"/>
      <c r="BB40" t="s">
        <v>3583</v>
      </c>
      <c r="BC40" s="636">
        <v>1</v>
      </c>
      <c r="BD40" s="417"/>
      <c r="BE40" s="612"/>
      <c r="BF40" s="613"/>
      <c r="BG40" s="614"/>
      <c r="BH40" s="682">
        <v>1</v>
      </c>
      <c r="BI40" s="417"/>
      <c r="BJ40" s="417">
        <v>11</v>
      </c>
      <c r="BK40" s="682" t="str">
        <f>Техкарта[[#This Row],[Кв-л]]&amp;" кв ("&amp;Substring(Техкарта[[#This Row],[Виділ]],"_",1)&amp;" вид) "&amp;Substring(Техкарта[[#This Row],[Виділ]],"_",2)&amp;" діл."</f>
        <v>32 кв (9 вид) 0 діл.</v>
      </c>
      <c r="BL40" s="682" t="str">
        <f>Техкарта[[#This Row],[ПолнаяДіл]] &amp;" "&amp;Техкарта[[#This Row],[ЛК]]&amp;" "&amp;Техкарта[[#This Row],[Вид рубки]]</f>
        <v>32 кв (9 вид) 0 діл. 556643 СРВ</v>
      </c>
      <c r="BM40" s="682">
        <v>1</v>
      </c>
      <c r="BN40" s="636"/>
      <c r="BO40" s="636"/>
      <c r="BP40" s="636"/>
      <c r="BQ40" s="636" t="s">
        <v>105</v>
      </c>
      <c r="BR40" s="636"/>
      <c r="BS40" s="636"/>
      <c r="BT40" s="636"/>
      <c r="BU40" s="636"/>
      <c r="BV40" s="636"/>
      <c r="BW40" s="636"/>
      <c r="BX40" s="636"/>
      <c r="BY40" s="972"/>
    </row>
    <row r="41" spans="1:77">
      <c r="A41" t="s">
        <v>105</v>
      </c>
      <c r="B41" s="675" t="s">
        <v>114</v>
      </c>
      <c r="C41" s="687" t="s">
        <v>126</v>
      </c>
      <c r="D41" s="675">
        <v>0</v>
      </c>
      <c r="E41" s="675" t="s">
        <v>2316</v>
      </c>
      <c r="F41" s="675">
        <v>3</v>
      </c>
      <c r="G41" s="675" t="s">
        <v>79</v>
      </c>
      <c r="H41" s="675">
        <v>72</v>
      </c>
      <c r="I41" s="676" t="s">
        <v>3830</v>
      </c>
      <c r="J41" s="677">
        <v>4.8</v>
      </c>
      <c r="K41" s="683">
        <v>279</v>
      </c>
      <c r="L41" s="677"/>
      <c r="M41" s="677">
        <v>8</v>
      </c>
      <c r="N41" s="677">
        <v>8</v>
      </c>
      <c r="O41" s="677"/>
      <c r="P41" s="677"/>
      <c r="Q41" s="677"/>
      <c r="R41" s="677">
        <v>13</v>
      </c>
      <c r="S41" s="677">
        <v>40</v>
      </c>
      <c r="T41" s="677">
        <v>31</v>
      </c>
      <c r="U41" s="677"/>
      <c r="V41" s="677">
        <v>2</v>
      </c>
      <c r="W41" s="677">
        <v>4</v>
      </c>
      <c r="X41" s="678">
        <v>0.38</v>
      </c>
      <c r="Y41" s="679">
        <v>106</v>
      </c>
      <c r="Z41" s="680">
        <v>25</v>
      </c>
      <c r="AA41" s="681">
        <v>76.143000000000001</v>
      </c>
      <c r="AB41" s="681"/>
      <c r="AC41" s="417">
        <v>16</v>
      </c>
      <c r="AD41" s="417"/>
      <c r="AE41" s="682" t="s">
        <v>3945</v>
      </c>
      <c r="AF41">
        <v>1</v>
      </c>
      <c r="AG41" s="281">
        <v>43101</v>
      </c>
      <c r="AH41" s="417"/>
      <c r="AI41" s="417"/>
      <c r="AJ41" s="602">
        <v>43109</v>
      </c>
      <c r="AK41" s="417"/>
      <c r="AL41" s="637" t="s">
        <v>3436</v>
      </c>
      <c r="AM41" s="417"/>
      <c r="AN41" s="417"/>
      <c r="AO41" s="636">
        <v>8071.1580000000004</v>
      </c>
      <c r="AP41">
        <v>556643</v>
      </c>
      <c r="AQ41" s="672">
        <v>43122</v>
      </c>
      <c r="AR41" s="417"/>
      <c r="AS41" s="417"/>
      <c r="AT41" s="417"/>
      <c r="AU41" s="417"/>
      <c r="AV41" s="417"/>
      <c r="AW41" s="417"/>
      <c r="AX41" s="417"/>
      <c r="AY41" t="s">
        <v>3424</v>
      </c>
      <c r="AZ41" s="417"/>
      <c r="BA41" s="417"/>
      <c r="BB41" t="s">
        <v>3583</v>
      </c>
      <c r="BC41" s="636">
        <v>1</v>
      </c>
      <c r="BD41" s="417"/>
      <c r="BE41" s="612"/>
      <c r="BF41" s="613"/>
      <c r="BG41" s="614"/>
      <c r="BH41" s="682">
        <v>1</v>
      </c>
      <c r="BI41" s="417"/>
      <c r="BJ41" s="417">
        <v>12</v>
      </c>
      <c r="BK41" s="682" t="str">
        <f>Техкарта[[#This Row],[Кв-л]]&amp;" кв ("&amp;Substring(Техкарта[[#This Row],[Виділ]],"_",1)&amp;" вид) "&amp;Substring(Техкарта[[#This Row],[Виділ]],"_",2)&amp;" діл."</f>
        <v>72 кв (1 вид) 0 діл.</v>
      </c>
      <c r="BL41" s="682" t="str">
        <f>Техкарта[[#This Row],[ПолнаяДіл]] &amp;" "&amp;Техкарта[[#This Row],[ЛК]]&amp;" "&amp;Техкарта[[#This Row],[Вид рубки]]</f>
        <v>72 кв (1 вид) 0 діл. 556643 СРВ</v>
      </c>
      <c r="BM41" s="682">
        <v>1</v>
      </c>
      <c r="BN41" s="636"/>
      <c r="BO41" s="636"/>
      <c r="BP41" s="636"/>
      <c r="BQ41" s="636" t="s">
        <v>105</v>
      </c>
      <c r="BR41" s="636"/>
      <c r="BS41" s="636"/>
      <c r="BT41" s="636"/>
      <c r="BU41" s="636"/>
      <c r="BV41" s="636"/>
      <c r="BW41" s="636"/>
      <c r="BX41" s="636"/>
      <c r="BY41" s="972"/>
    </row>
    <row r="42" spans="1:77">
      <c r="A42" t="s">
        <v>105</v>
      </c>
      <c r="B42" s="675" t="s">
        <v>114</v>
      </c>
      <c r="C42" s="687" t="s">
        <v>126</v>
      </c>
      <c r="D42" s="675">
        <v>0</v>
      </c>
      <c r="E42" s="675" t="s">
        <v>2316</v>
      </c>
      <c r="F42" s="675">
        <v>3</v>
      </c>
      <c r="G42" s="675" t="s">
        <v>79</v>
      </c>
      <c r="H42" s="675">
        <v>33</v>
      </c>
      <c r="I42" s="676" t="s">
        <v>3831</v>
      </c>
      <c r="J42" s="677">
        <v>1.2</v>
      </c>
      <c r="K42" s="683">
        <v>67</v>
      </c>
      <c r="L42" s="677"/>
      <c r="M42" s="677">
        <v>0</v>
      </c>
      <c r="N42" s="677">
        <v>1</v>
      </c>
      <c r="O42" s="677"/>
      <c r="P42" s="677"/>
      <c r="Q42" s="677"/>
      <c r="R42" s="677">
        <v>0</v>
      </c>
      <c r="S42" s="677">
        <v>0</v>
      </c>
      <c r="T42" s="677">
        <v>17</v>
      </c>
      <c r="U42" s="677"/>
      <c r="V42" s="677">
        <v>0</v>
      </c>
      <c r="W42" s="677">
        <v>1</v>
      </c>
      <c r="X42" s="678">
        <v>0.28000000000000003</v>
      </c>
      <c r="Y42" s="679">
        <v>19</v>
      </c>
      <c r="Z42" s="680">
        <v>18</v>
      </c>
      <c r="AA42" s="681">
        <v>98.028999999999996</v>
      </c>
      <c r="AB42" s="681"/>
      <c r="AC42" s="417">
        <v>2</v>
      </c>
      <c r="AD42" s="417"/>
      <c r="AE42" s="682" t="s">
        <v>3946</v>
      </c>
      <c r="AF42">
        <v>1</v>
      </c>
      <c r="AG42" s="281">
        <v>43101</v>
      </c>
      <c r="AH42" s="417"/>
      <c r="AI42" s="417"/>
      <c r="AJ42" s="602">
        <v>43109</v>
      </c>
      <c r="AK42" s="417"/>
      <c r="AL42" s="637" t="s">
        <v>3442</v>
      </c>
      <c r="AM42" s="417"/>
      <c r="AN42" s="417"/>
      <c r="AO42" s="636">
        <v>1862.5509999999999</v>
      </c>
      <c r="AP42">
        <v>556643</v>
      </c>
      <c r="AQ42" s="672">
        <v>43122</v>
      </c>
      <c r="AR42" s="417"/>
      <c r="AS42" s="417"/>
      <c r="AT42" s="417"/>
      <c r="AU42" s="417"/>
      <c r="AV42" s="417"/>
      <c r="AW42" s="417"/>
      <c r="AX42" s="417"/>
      <c r="AY42" t="s">
        <v>3424</v>
      </c>
      <c r="AZ42" s="417"/>
      <c r="BA42" s="417"/>
      <c r="BB42" t="s">
        <v>3583</v>
      </c>
      <c r="BC42" s="636">
        <v>1</v>
      </c>
      <c r="BD42" s="417"/>
      <c r="BE42" s="612"/>
      <c r="BF42" s="613"/>
      <c r="BG42" s="614"/>
      <c r="BH42" s="682">
        <v>1</v>
      </c>
      <c r="BI42" s="417"/>
      <c r="BJ42" s="417">
        <v>13</v>
      </c>
      <c r="BK42" s="682" t="str">
        <f>Техкарта[[#This Row],[Кв-л]]&amp;" кв ("&amp;Substring(Техкарта[[#This Row],[Виділ]],"_",1)&amp;" вид) "&amp;Substring(Техкарта[[#This Row],[Виділ]],"_",2)&amp;" діл."</f>
        <v>33 кв (4 вид) 0 діл.</v>
      </c>
      <c r="BL42" s="682" t="str">
        <f>Техкарта[[#This Row],[ПолнаяДіл]] &amp;" "&amp;Техкарта[[#This Row],[ЛК]]&amp;" "&amp;Техкарта[[#This Row],[Вид рубки]]</f>
        <v>33 кв (4 вид) 0 діл. 556643 СРВ</v>
      </c>
      <c r="BM42" s="682">
        <v>1</v>
      </c>
      <c r="BN42" s="636"/>
      <c r="BO42" s="636"/>
      <c r="BP42" s="636"/>
      <c r="BQ42" s="636" t="s">
        <v>105</v>
      </c>
      <c r="BR42" s="636"/>
      <c r="BS42" s="636"/>
      <c r="BT42" s="636"/>
      <c r="BU42" s="636"/>
      <c r="BV42" s="636"/>
      <c r="BW42" s="636"/>
      <c r="BX42" s="636"/>
      <c r="BY42" s="972"/>
    </row>
    <row r="43" spans="1:77">
      <c r="A43" t="s">
        <v>105</v>
      </c>
      <c r="B43" s="675" t="s">
        <v>113</v>
      </c>
      <c r="C43" s="687" t="s">
        <v>126</v>
      </c>
      <c r="D43" s="675">
        <v>0</v>
      </c>
      <c r="E43" s="675" t="s">
        <v>2316</v>
      </c>
      <c r="F43" s="675">
        <v>3</v>
      </c>
      <c r="G43" s="675" t="s">
        <v>79</v>
      </c>
      <c r="H43" s="675">
        <v>19</v>
      </c>
      <c r="I43" s="676" t="s">
        <v>3790</v>
      </c>
      <c r="J43" s="677">
        <v>0.6</v>
      </c>
      <c r="K43" s="683">
        <v>82</v>
      </c>
      <c r="L43" s="677"/>
      <c r="M43" s="677">
        <v>0</v>
      </c>
      <c r="N43" s="677">
        <v>1</v>
      </c>
      <c r="O43" s="677"/>
      <c r="P43" s="677"/>
      <c r="Q43" s="677"/>
      <c r="R43" s="677">
        <v>0</v>
      </c>
      <c r="S43" s="677">
        <v>0</v>
      </c>
      <c r="T43" s="677">
        <v>19</v>
      </c>
      <c r="U43" s="677"/>
      <c r="V43" s="677">
        <v>0</v>
      </c>
      <c r="W43" s="677">
        <v>0</v>
      </c>
      <c r="X43" s="678">
        <v>0.24</v>
      </c>
      <c r="Y43" s="679">
        <v>20</v>
      </c>
      <c r="Z43" s="680">
        <v>38</v>
      </c>
      <c r="AA43" s="681">
        <v>97.295000000000002</v>
      </c>
      <c r="AB43" s="681"/>
      <c r="AC43" s="417">
        <v>3</v>
      </c>
      <c r="AD43" s="417"/>
      <c r="AE43" s="682" t="s">
        <v>3947</v>
      </c>
      <c r="AF43">
        <v>1</v>
      </c>
      <c r="AG43" s="281">
        <v>43101</v>
      </c>
      <c r="AH43" s="417"/>
      <c r="AI43" s="417"/>
      <c r="AJ43" s="602">
        <v>43109</v>
      </c>
      <c r="AK43" s="417"/>
      <c r="AL43" s="637" t="s">
        <v>3435</v>
      </c>
      <c r="AM43" s="417"/>
      <c r="AN43" s="417"/>
      <c r="AO43" s="636">
        <v>1945.9</v>
      </c>
      <c r="AP43">
        <v>556644</v>
      </c>
      <c r="AQ43" s="672">
        <v>43122</v>
      </c>
      <c r="AR43" s="417"/>
      <c r="AS43" s="417"/>
      <c r="AT43" s="417"/>
      <c r="AU43" s="417"/>
      <c r="AV43" s="417"/>
      <c r="AW43" s="417"/>
      <c r="AX43" s="417"/>
      <c r="AY43" t="s">
        <v>80</v>
      </c>
      <c r="AZ43" s="417"/>
      <c r="BA43" s="417"/>
      <c r="BB43" t="s">
        <v>3584</v>
      </c>
      <c r="BC43" s="636">
        <v>1</v>
      </c>
      <c r="BD43" s="417"/>
      <c r="BE43" s="612"/>
      <c r="BF43" s="613"/>
      <c r="BG43" s="614"/>
      <c r="BH43" s="682">
        <v>1</v>
      </c>
      <c r="BI43" s="417"/>
      <c r="BJ43" s="417">
        <v>11</v>
      </c>
      <c r="BK43" s="682" t="str">
        <f>Техкарта[[#This Row],[Кв-л]]&amp;" кв ("&amp;Substring(Техкарта[[#This Row],[Виділ]],"_",1)&amp;" вид) "&amp;Substring(Техкарта[[#This Row],[Виділ]],"_",2)&amp;" діл."</f>
        <v>19 кв (2 вид) 0 діл.</v>
      </c>
      <c r="BL43" s="682" t="str">
        <f>Техкарта[[#This Row],[ПолнаяДіл]] &amp;" "&amp;Техкарта[[#This Row],[ЛК]]&amp;" "&amp;Техкарта[[#This Row],[Вид рубки]]</f>
        <v>19 кв (2 вид) 0 діл. 556644 СРВ</v>
      </c>
      <c r="BM43" s="682">
        <v>1</v>
      </c>
      <c r="BN43" s="636"/>
      <c r="BO43" s="636"/>
      <c r="BP43" s="636"/>
      <c r="BQ43" s="636" t="s">
        <v>105</v>
      </c>
      <c r="BR43" s="636"/>
      <c r="BS43" s="636"/>
      <c r="BT43" s="636"/>
      <c r="BU43" s="636"/>
      <c r="BV43" s="636"/>
      <c r="BW43" s="636"/>
      <c r="BX43" s="636"/>
      <c r="BY43" s="972"/>
    </row>
    <row r="44" spans="1:77">
      <c r="A44" t="s">
        <v>105</v>
      </c>
      <c r="B44" s="675" t="s">
        <v>113</v>
      </c>
      <c r="C44" s="687" t="s">
        <v>126</v>
      </c>
      <c r="D44" s="675">
        <v>0</v>
      </c>
      <c r="E44" s="675" t="s">
        <v>2316</v>
      </c>
      <c r="F44" s="675">
        <v>3</v>
      </c>
      <c r="G44" s="675" t="s">
        <v>79</v>
      </c>
      <c r="H44" s="675">
        <v>19</v>
      </c>
      <c r="I44" s="676" t="s">
        <v>3832</v>
      </c>
      <c r="J44" s="677">
        <v>4.0999999999999996</v>
      </c>
      <c r="K44" s="683">
        <v>464</v>
      </c>
      <c r="L44" s="677"/>
      <c r="M44" s="677">
        <v>0</v>
      </c>
      <c r="N44" s="677">
        <v>0</v>
      </c>
      <c r="O44" s="677"/>
      <c r="P44" s="677"/>
      <c r="Q44" s="677"/>
      <c r="R44" s="677">
        <v>0</v>
      </c>
      <c r="S44" s="677">
        <v>0</v>
      </c>
      <c r="T44" s="677">
        <v>0</v>
      </c>
      <c r="U44" s="677"/>
      <c r="V44" s="677">
        <v>0</v>
      </c>
      <c r="W44" s="677">
        <v>65</v>
      </c>
      <c r="X44" s="678">
        <v>0.14000000000000001</v>
      </c>
      <c r="Y44" s="679">
        <v>65</v>
      </c>
      <c r="Z44" s="680">
        <v>20</v>
      </c>
      <c r="AA44" s="681">
        <v>130.20400000000001</v>
      </c>
      <c r="AB44" s="681"/>
      <c r="AC44" s="417">
        <v>16</v>
      </c>
      <c r="AD44" s="417"/>
      <c r="AE44" s="682" t="s">
        <v>3948</v>
      </c>
      <c r="AF44">
        <v>1</v>
      </c>
      <c r="AG44" s="281">
        <v>43101</v>
      </c>
      <c r="AH44" s="417"/>
      <c r="AI44" s="417"/>
      <c r="AJ44" s="602">
        <v>43109</v>
      </c>
      <c r="AK44" s="417"/>
      <c r="AL44" s="637" t="s">
        <v>3435</v>
      </c>
      <c r="AM44" s="417"/>
      <c r="AN44" s="417"/>
      <c r="AO44" s="636">
        <v>8463.26</v>
      </c>
      <c r="AP44">
        <v>556644</v>
      </c>
      <c r="AQ44" s="672">
        <v>43122</v>
      </c>
      <c r="AR44" s="417"/>
      <c r="AS44" s="417"/>
      <c r="AT44" s="417"/>
      <c r="AU44" s="417"/>
      <c r="AV44" s="417"/>
      <c r="AW44" s="417"/>
      <c r="AX44" s="417"/>
      <c r="AY44" t="s">
        <v>80</v>
      </c>
      <c r="AZ44" s="417"/>
      <c r="BA44" s="417"/>
      <c r="BB44" t="s">
        <v>3584</v>
      </c>
      <c r="BC44" s="636">
        <v>1</v>
      </c>
      <c r="BD44" s="417"/>
      <c r="BE44" s="612"/>
      <c r="BF44" s="613"/>
      <c r="BG44" s="614"/>
      <c r="BH44" s="682">
        <v>1</v>
      </c>
      <c r="BI44" s="417"/>
      <c r="BJ44" s="417">
        <v>12</v>
      </c>
      <c r="BK44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4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4" s="682">
        <v>1</v>
      </c>
      <c r="BN44" s="636"/>
      <c r="BO44" s="636"/>
      <c r="BP44" s="636"/>
      <c r="BQ44" s="636" t="s">
        <v>105</v>
      </c>
      <c r="BR44" s="636"/>
      <c r="BS44" s="636"/>
      <c r="BT44" s="636"/>
      <c r="BU44" s="636"/>
      <c r="BV44" s="636"/>
      <c r="BW44" s="636"/>
      <c r="BX44" s="636"/>
      <c r="BY44" s="972"/>
    </row>
    <row r="45" spans="1:77">
      <c r="A45" t="s">
        <v>105</v>
      </c>
      <c r="B45" s="675" t="s">
        <v>113</v>
      </c>
      <c r="C45" s="687" t="s">
        <v>126</v>
      </c>
      <c r="D45" s="675">
        <v>0</v>
      </c>
      <c r="E45" s="675" t="s">
        <v>2316</v>
      </c>
      <c r="F45" s="675">
        <v>3</v>
      </c>
      <c r="G45" s="675" t="s">
        <v>79</v>
      </c>
      <c r="H45" s="675">
        <v>56</v>
      </c>
      <c r="I45" s="676" t="s">
        <v>3829</v>
      </c>
      <c r="J45" s="677">
        <v>0.9</v>
      </c>
      <c r="K45" s="683">
        <v>133</v>
      </c>
      <c r="L45" s="677"/>
      <c r="M45" s="677">
        <v>0</v>
      </c>
      <c r="N45" s="677">
        <v>3</v>
      </c>
      <c r="O45" s="677"/>
      <c r="P45" s="677"/>
      <c r="Q45" s="677"/>
      <c r="R45" s="677">
        <v>0</v>
      </c>
      <c r="S45" s="677">
        <v>0</v>
      </c>
      <c r="T45" s="677">
        <v>52</v>
      </c>
      <c r="U45" s="677"/>
      <c r="V45" s="677">
        <v>0</v>
      </c>
      <c r="W45" s="677">
        <v>0</v>
      </c>
      <c r="X45" s="678">
        <v>0.41</v>
      </c>
      <c r="Y45" s="679">
        <v>55</v>
      </c>
      <c r="Z45" s="680">
        <v>67</v>
      </c>
      <c r="AA45" s="681">
        <v>82.936000000000007</v>
      </c>
      <c r="AB45" s="681"/>
      <c r="AC45" s="417">
        <v>5</v>
      </c>
      <c r="AD45" s="417"/>
      <c r="AE45" s="682" t="s">
        <v>3949</v>
      </c>
      <c r="AF45">
        <v>1</v>
      </c>
      <c r="AG45" s="281">
        <v>43101</v>
      </c>
      <c r="AH45" s="417"/>
      <c r="AI45" s="417"/>
      <c r="AJ45" s="602">
        <v>43109</v>
      </c>
      <c r="AK45" s="417"/>
      <c r="AL45" s="637" t="s">
        <v>3474</v>
      </c>
      <c r="AM45" s="417"/>
      <c r="AN45" s="417"/>
      <c r="AO45" s="636">
        <v>4561.4799999999996</v>
      </c>
      <c r="AP45">
        <v>556644</v>
      </c>
      <c r="AQ45" s="672">
        <v>43122</v>
      </c>
      <c r="AR45" s="417"/>
      <c r="AS45" s="417"/>
      <c r="AT45" s="417"/>
      <c r="AU45" s="417"/>
      <c r="AV45" s="417"/>
      <c r="AW45" s="417"/>
      <c r="AX45" s="417"/>
      <c r="AY45" t="s">
        <v>80</v>
      </c>
      <c r="AZ45" s="417"/>
      <c r="BA45" s="417"/>
      <c r="BB45" t="s">
        <v>3584</v>
      </c>
      <c r="BC45" s="636">
        <v>1</v>
      </c>
      <c r="BD45" s="417"/>
      <c r="BE45" s="612"/>
      <c r="BF45" s="613"/>
      <c r="BG45" s="614"/>
      <c r="BH45" s="682">
        <v>1</v>
      </c>
      <c r="BI45" s="417"/>
      <c r="BJ45" s="417">
        <v>13</v>
      </c>
      <c r="BK45" s="682" t="str">
        <f>Техкарта[[#This Row],[Кв-л]]&amp;" кв ("&amp;Substring(Техкарта[[#This Row],[Виділ]],"_",1)&amp;" вид) "&amp;Substring(Техкарта[[#This Row],[Виділ]],"_",2)&amp;" діл."</f>
        <v>56 кв (3 вид) 0 діл.</v>
      </c>
      <c r="BL45" s="682" t="str">
        <f>Техкарта[[#This Row],[ПолнаяДіл]] &amp;" "&amp;Техкарта[[#This Row],[ЛК]]&amp;" "&amp;Техкарта[[#This Row],[Вид рубки]]</f>
        <v>56 кв (3 вид) 0 діл. 556644 СРВ</v>
      </c>
      <c r="BM45" s="682">
        <v>1</v>
      </c>
      <c r="BN45" s="636"/>
      <c r="BO45" s="636"/>
      <c r="BP45" s="636"/>
      <c r="BQ45" s="636" t="s">
        <v>105</v>
      </c>
      <c r="BR45" s="636"/>
      <c r="BS45" s="636"/>
      <c r="BT45" s="636"/>
      <c r="BU45" s="636"/>
      <c r="BV45" s="636"/>
      <c r="BW45" s="636"/>
      <c r="BX45" s="636"/>
      <c r="BY45" s="972"/>
    </row>
    <row r="46" spans="1:77">
      <c r="A46" t="s">
        <v>105</v>
      </c>
      <c r="B46" s="675" t="s">
        <v>113</v>
      </c>
      <c r="C46" s="687" t="s">
        <v>126</v>
      </c>
      <c r="D46" s="675">
        <v>0</v>
      </c>
      <c r="E46" s="675" t="s">
        <v>2316</v>
      </c>
      <c r="F46" s="675">
        <v>3</v>
      </c>
      <c r="G46" s="675" t="s">
        <v>79</v>
      </c>
      <c r="H46" s="675">
        <v>60</v>
      </c>
      <c r="I46" s="676" t="s">
        <v>3830</v>
      </c>
      <c r="J46" s="677">
        <v>2.2999999999999998</v>
      </c>
      <c r="K46" s="683">
        <v>285</v>
      </c>
      <c r="L46" s="677"/>
      <c r="M46" s="677">
        <v>0</v>
      </c>
      <c r="N46" s="677">
        <v>3</v>
      </c>
      <c r="O46" s="677"/>
      <c r="P46" s="677"/>
      <c r="Q46" s="677"/>
      <c r="R46" s="677">
        <v>0</v>
      </c>
      <c r="S46" s="677">
        <v>0</v>
      </c>
      <c r="T46" s="677">
        <v>0</v>
      </c>
      <c r="U46" s="677"/>
      <c r="V46" s="677">
        <v>0</v>
      </c>
      <c r="W46" s="677">
        <v>50</v>
      </c>
      <c r="X46" s="678">
        <v>0.19</v>
      </c>
      <c r="Y46" s="679">
        <v>53</v>
      </c>
      <c r="Z46" s="680">
        <v>28</v>
      </c>
      <c r="AA46" s="681">
        <v>106.111</v>
      </c>
      <c r="AB46" s="681"/>
      <c r="AC46" s="417">
        <v>12</v>
      </c>
      <c r="AD46" s="417"/>
      <c r="AE46" s="682" t="s">
        <v>3950</v>
      </c>
      <c r="AF46">
        <v>1</v>
      </c>
      <c r="AG46" s="281">
        <v>43101</v>
      </c>
      <c r="AH46" s="417"/>
      <c r="AI46" s="417"/>
      <c r="AJ46" s="602">
        <v>43109</v>
      </c>
      <c r="AK46" s="417"/>
      <c r="AL46" s="637" t="s">
        <v>3474</v>
      </c>
      <c r="AM46" s="417"/>
      <c r="AN46" s="417"/>
      <c r="AO46" s="636">
        <v>5623.8829999999998</v>
      </c>
      <c r="AP46">
        <v>556644</v>
      </c>
      <c r="AQ46" s="672">
        <v>43122</v>
      </c>
      <c r="AR46" s="417"/>
      <c r="AS46" s="417"/>
      <c r="AT46" s="417"/>
      <c r="AU46" s="417"/>
      <c r="AV46" s="417"/>
      <c r="AW46" s="417"/>
      <c r="AX46" s="417"/>
      <c r="AY46" t="s">
        <v>80</v>
      </c>
      <c r="AZ46" s="417"/>
      <c r="BA46" s="417"/>
      <c r="BB46" t="s">
        <v>3584</v>
      </c>
      <c r="BC46" s="636">
        <v>1</v>
      </c>
      <c r="BD46" s="417"/>
      <c r="BE46" s="612"/>
      <c r="BF46" s="613"/>
      <c r="BG46" s="614"/>
      <c r="BH46" s="682">
        <v>1</v>
      </c>
      <c r="BI46" s="417"/>
      <c r="BJ46" s="417">
        <v>14</v>
      </c>
      <c r="BK46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46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46" s="682">
        <v>1</v>
      </c>
      <c r="BN46" s="636"/>
      <c r="BO46" s="636"/>
      <c r="BP46" s="636"/>
      <c r="BQ46" s="636" t="s">
        <v>105</v>
      </c>
      <c r="BR46" s="636"/>
      <c r="BS46" s="636"/>
      <c r="BT46" s="636"/>
      <c r="BU46" s="636"/>
      <c r="BV46" s="636"/>
      <c r="BW46" s="636"/>
      <c r="BX46" s="636"/>
      <c r="BY46" s="972"/>
    </row>
    <row r="47" spans="1:77">
      <c r="A47" t="s">
        <v>105</v>
      </c>
      <c r="B47" s="675" t="s">
        <v>113</v>
      </c>
      <c r="C47" s="687" t="s">
        <v>126</v>
      </c>
      <c r="D47" s="675">
        <v>0</v>
      </c>
      <c r="E47" s="675" t="s">
        <v>2316</v>
      </c>
      <c r="F47" s="675">
        <v>3</v>
      </c>
      <c r="G47" s="675" t="s">
        <v>79</v>
      </c>
      <c r="H47" s="675">
        <v>73</v>
      </c>
      <c r="I47" s="676" t="s">
        <v>3829</v>
      </c>
      <c r="J47" s="677">
        <v>9.3000000000000007</v>
      </c>
      <c r="K47" s="683">
        <v>471</v>
      </c>
      <c r="L47" s="677"/>
      <c r="M47" s="677">
        <v>0</v>
      </c>
      <c r="N47" s="677">
        <v>9</v>
      </c>
      <c r="O47" s="677"/>
      <c r="P47" s="677"/>
      <c r="Q47" s="677"/>
      <c r="R47" s="677">
        <v>0</v>
      </c>
      <c r="S47" s="677">
        <v>0</v>
      </c>
      <c r="T47" s="677">
        <v>0</v>
      </c>
      <c r="U47" s="677"/>
      <c r="V47" s="677">
        <v>0</v>
      </c>
      <c r="W47" s="677">
        <v>139</v>
      </c>
      <c r="X47" s="678">
        <v>0.31</v>
      </c>
      <c r="Y47" s="679">
        <v>148</v>
      </c>
      <c r="Z47" s="680">
        <v>18</v>
      </c>
      <c r="AA47" s="681">
        <v>91.179000000000002</v>
      </c>
      <c r="AB47" s="681"/>
      <c r="AC47" s="417">
        <v>22</v>
      </c>
      <c r="AD47" s="417"/>
      <c r="AE47" s="682" t="s">
        <v>3951</v>
      </c>
      <c r="AF47">
        <v>1</v>
      </c>
      <c r="AG47" s="281">
        <v>43101</v>
      </c>
      <c r="AH47" s="417"/>
      <c r="AI47" s="417"/>
      <c r="AJ47" s="602">
        <v>43109</v>
      </c>
      <c r="AK47" s="417"/>
      <c r="AL47" s="637" t="s">
        <v>3453</v>
      </c>
      <c r="AM47" s="417"/>
      <c r="AN47" s="417"/>
      <c r="AO47" s="636">
        <v>13494.492</v>
      </c>
      <c r="AP47">
        <v>556644</v>
      </c>
      <c r="AQ47" s="672">
        <v>43122</v>
      </c>
      <c r="AR47" s="417"/>
      <c r="AS47" s="417"/>
      <c r="AT47" s="417"/>
      <c r="AU47" s="417"/>
      <c r="AV47" s="417"/>
      <c r="AW47" s="417"/>
      <c r="AX47" s="417"/>
      <c r="AY47" t="s">
        <v>80</v>
      </c>
      <c r="AZ47" s="417"/>
      <c r="BA47" s="417"/>
      <c r="BB47" t="s">
        <v>3584</v>
      </c>
      <c r="BC47" s="636">
        <v>1</v>
      </c>
      <c r="BD47" s="417"/>
      <c r="BE47" s="612"/>
      <c r="BF47" s="613"/>
      <c r="BG47" s="614"/>
      <c r="BH47" s="682">
        <v>1</v>
      </c>
      <c r="BI47" s="417"/>
      <c r="BJ47" s="417">
        <v>15</v>
      </c>
      <c r="BK47" s="682" t="str">
        <f>Техкарта[[#This Row],[Кв-л]]&amp;" кв ("&amp;Substring(Техкарта[[#This Row],[Виділ]],"_",1)&amp;" вид) "&amp;Substring(Техкарта[[#This Row],[Виділ]],"_",2)&amp;" діл."</f>
        <v>73 кв (3 вид) 0 діл.</v>
      </c>
      <c r="BL47" s="682" t="str">
        <f>Техкарта[[#This Row],[ПолнаяДіл]] &amp;" "&amp;Техкарта[[#This Row],[ЛК]]&amp;" "&amp;Техкарта[[#This Row],[Вид рубки]]</f>
        <v>73 кв (3 вид) 0 діл. 556644 СРВ</v>
      </c>
      <c r="BM47" s="682">
        <v>1</v>
      </c>
      <c r="BN47" s="636"/>
      <c r="BO47" s="636"/>
      <c r="BP47" s="636"/>
      <c r="BQ47" s="636" t="s">
        <v>105</v>
      </c>
      <c r="BR47" s="636"/>
      <c r="BS47" s="636"/>
      <c r="BT47" s="636"/>
      <c r="BU47" s="636"/>
      <c r="BV47" s="636"/>
      <c r="BW47" s="636"/>
      <c r="BX47" s="636"/>
      <c r="BY47" s="972"/>
    </row>
    <row r="48" spans="1:77">
      <c r="A48" t="s">
        <v>105</v>
      </c>
      <c r="B48" s="675" t="s">
        <v>113</v>
      </c>
      <c r="C48" s="687" t="s">
        <v>126</v>
      </c>
      <c r="D48" s="675">
        <v>0</v>
      </c>
      <c r="E48" s="675" t="s">
        <v>2316</v>
      </c>
      <c r="F48" s="675">
        <v>3</v>
      </c>
      <c r="G48" s="675" t="s">
        <v>79</v>
      </c>
      <c r="H48" s="675">
        <v>77</v>
      </c>
      <c r="I48" s="676" t="s">
        <v>3833</v>
      </c>
      <c r="J48" s="677">
        <v>6.4</v>
      </c>
      <c r="K48" s="683">
        <v>471</v>
      </c>
      <c r="L48" s="677"/>
      <c r="M48" s="677">
        <v>0</v>
      </c>
      <c r="N48" s="677">
        <v>4</v>
      </c>
      <c r="O48" s="677"/>
      <c r="P48" s="677"/>
      <c r="Q48" s="677"/>
      <c r="R48" s="677">
        <v>0</v>
      </c>
      <c r="S48" s="677">
        <v>0</v>
      </c>
      <c r="T48" s="677">
        <v>0</v>
      </c>
      <c r="U48" s="677"/>
      <c r="V48" s="677">
        <v>0</v>
      </c>
      <c r="W48" s="677">
        <v>92</v>
      </c>
      <c r="X48" s="678">
        <v>0.2</v>
      </c>
      <c r="Y48" s="679">
        <v>96</v>
      </c>
      <c r="Z48" s="680">
        <v>18</v>
      </c>
      <c r="AA48" s="681">
        <v>107.80800000000001</v>
      </c>
      <c r="AB48" s="681"/>
      <c r="AC48" s="417">
        <v>22</v>
      </c>
      <c r="AD48" s="417"/>
      <c r="AE48" s="682" t="s">
        <v>3952</v>
      </c>
      <c r="AF48">
        <v>1</v>
      </c>
      <c r="AG48" s="281">
        <v>43101</v>
      </c>
      <c r="AH48" s="417"/>
      <c r="AI48" s="417"/>
      <c r="AJ48" s="602">
        <v>43109</v>
      </c>
      <c r="AK48" s="417"/>
      <c r="AL48" s="637" t="s">
        <v>3453</v>
      </c>
      <c r="AM48" s="417"/>
      <c r="AN48" s="417"/>
      <c r="AO48" s="636">
        <v>10349.567999999999</v>
      </c>
      <c r="AP48">
        <v>556644</v>
      </c>
      <c r="AQ48" s="672">
        <v>43122</v>
      </c>
      <c r="AR48" s="417"/>
      <c r="AS48" s="417"/>
      <c r="AT48" s="417"/>
      <c r="AU48" s="417"/>
      <c r="AV48" s="417"/>
      <c r="AW48" s="417"/>
      <c r="AX48" s="417"/>
      <c r="AY48" t="s">
        <v>80</v>
      </c>
      <c r="AZ48" s="417"/>
      <c r="BA48" s="417"/>
      <c r="BB48" t="s">
        <v>3584</v>
      </c>
      <c r="BC48" s="636">
        <v>1</v>
      </c>
      <c r="BD48" s="417"/>
      <c r="BE48" s="612"/>
      <c r="BF48" s="613"/>
      <c r="BG48" s="614"/>
      <c r="BH48" s="682">
        <v>1</v>
      </c>
      <c r="BI48" s="417"/>
      <c r="BJ48" s="417">
        <v>16</v>
      </c>
      <c r="BK48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" s="682" t="str">
        <f>Техкарта[[#This Row],[ПолнаяДіл]] &amp;" "&amp;Техкарта[[#This Row],[ЛК]]&amp;" "&amp;Техкарта[[#This Row],[Вид рубки]]</f>
        <v>77 кв (8 вид) 0 діл. 556644 СРВ</v>
      </c>
      <c r="BM48" s="682">
        <v>1</v>
      </c>
      <c r="BN48" s="636"/>
      <c r="BO48" s="636"/>
      <c r="BP48" s="636"/>
      <c r="BQ48" s="636" t="s">
        <v>105</v>
      </c>
      <c r="BR48" s="636"/>
      <c r="BS48" s="636"/>
      <c r="BT48" s="636"/>
      <c r="BU48" s="636"/>
      <c r="BV48" s="636"/>
      <c r="BW48" s="636"/>
      <c r="BX48" s="636"/>
      <c r="BY48" s="972"/>
    </row>
    <row r="49" spans="1:77">
      <c r="A49" t="s">
        <v>105</v>
      </c>
      <c r="B49" s="675" t="s">
        <v>113</v>
      </c>
      <c r="C49" s="687" t="s">
        <v>126</v>
      </c>
      <c r="D49" s="675">
        <v>0</v>
      </c>
      <c r="E49" s="675" t="s">
        <v>2316</v>
      </c>
      <c r="F49" s="675">
        <v>3</v>
      </c>
      <c r="G49" s="675" t="s">
        <v>79</v>
      </c>
      <c r="H49" s="675">
        <v>78</v>
      </c>
      <c r="I49" s="676" t="s">
        <v>3791</v>
      </c>
      <c r="J49" s="677">
        <v>1.5</v>
      </c>
      <c r="K49" s="683">
        <v>81</v>
      </c>
      <c r="L49" s="677"/>
      <c r="M49" s="677">
        <v>0</v>
      </c>
      <c r="N49" s="677">
        <v>0</v>
      </c>
      <c r="O49" s="677"/>
      <c r="P49" s="677"/>
      <c r="Q49" s="677"/>
      <c r="R49" s="677">
        <v>0</v>
      </c>
      <c r="S49" s="677">
        <v>0</v>
      </c>
      <c r="T49" s="677">
        <v>0</v>
      </c>
      <c r="U49" s="677"/>
      <c r="V49" s="677">
        <v>0</v>
      </c>
      <c r="W49" s="677">
        <v>9</v>
      </c>
      <c r="X49" s="678">
        <v>0.11</v>
      </c>
      <c r="Y49" s="679">
        <v>9</v>
      </c>
      <c r="Z49" s="680">
        <v>7</v>
      </c>
      <c r="AA49" s="681">
        <v>163.12299999999999</v>
      </c>
      <c r="AB49" s="681"/>
      <c r="AC49" s="417">
        <v>1</v>
      </c>
      <c r="AD49" s="417"/>
      <c r="AE49" s="682" t="s">
        <v>3953</v>
      </c>
      <c r="AF49">
        <v>1</v>
      </c>
      <c r="AG49" s="281">
        <v>43101</v>
      </c>
      <c r="AH49" s="417"/>
      <c r="AI49" s="417"/>
      <c r="AJ49" s="602">
        <v>43109</v>
      </c>
      <c r="AK49" s="417"/>
      <c r="AL49" s="637" t="s">
        <v>3453</v>
      </c>
      <c r="AM49" s="417"/>
      <c r="AN49" s="417"/>
      <c r="AO49" s="636">
        <v>1468.107</v>
      </c>
      <c r="AP49">
        <v>556644</v>
      </c>
      <c r="AQ49" s="672">
        <v>43122</v>
      </c>
      <c r="AR49" s="417"/>
      <c r="AS49" s="417"/>
      <c r="AT49" s="417"/>
      <c r="AU49" s="417"/>
      <c r="AV49" s="417"/>
      <c r="AW49" s="417"/>
      <c r="AX49" s="417"/>
      <c r="AY49" t="s">
        <v>80</v>
      </c>
      <c r="AZ49" s="417"/>
      <c r="BA49" s="417"/>
      <c r="BB49" t="s">
        <v>3584</v>
      </c>
      <c r="BC49" s="636">
        <v>1</v>
      </c>
      <c r="BD49" s="417"/>
      <c r="BE49" s="612"/>
      <c r="BF49" s="613"/>
      <c r="BG49" s="614"/>
      <c r="BH49" s="682">
        <v>1</v>
      </c>
      <c r="BI49" s="417"/>
      <c r="BJ49" s="417">
        <v>17</v>
      </c>
      <c r="BK49" s="682" t="str">
        <f>Техкарта[[#This Row],[Кв-л]]&amp;" кв ("&amp;Substring(Техкарта[[#This Row],[Виділ]],"_",1)&amp;" вид) "&amp;Substring(Техкарта[[#This Row],[Виділ]],"_",2)&amp;" діл."</f>
        <v>78 кв (7 вид) 0 діл.</v>
      </c>
      <c r="BL49" s="682" t="str">
        <f>Техкарта[[#This Row],[ПолнаяДіл]] &amp;" "&amp;Техкарта[[#This Row],[ЛК]]&amp;" "&amp;Техкарта[[#This Row],[Вид рубки]]</f>
        <v>78 кв (7 вид) 0 діл. 556644 СРВ</v>
      </c>
      <c r="BM49" s="682">
        <v>1</v>
      </c>
      <c r="BN49" s="636"/>
      <c r="BO49" s="636"/>
      <c r="BP49" s="636"/>
      <c r="BQ49" s="636" t="s">
        <v>105</v>
      </c>
      <c r="BR49" s="636"/>
      <c r="BS49" s="636"/>
      <c r="BT49" s="636"/>
      <c r="BU49" s="636"/>
      <c r="BV49" s="636"/>
      <c r="BW49" s="636"/>
      <c r="BX49" s="636"/>
      <c r="BY49" s="972"/>
    </row>
    <row r="50" spans="1:77">
      <c r="A50" t="s">
        <v>105</v>
      </c>
      <c r="B50" s="675" t="s">
        <v>113</v>
      </c>
      <c r="C50" s="687" t="s">
        <v>126</v>
      </c>
      <c r="D50" s="675">
        <v>0</v>
      </c>
      <c r="E50" s="675" t="s">
        <v>2316</v>
      </c>
      <c r="F50" s="675">
        <v>3</v>
      </c>
      <c r="G50" s="675" t="s">
        <v>79</v>
      </c>
      <c r="H50" s="675">
        <v>86</v>
      </c>
      <c r="I50" s="676" t="s">
        <v>3792</v>
      </c>
      <c r="J50" s="677">
        <v>6</v>
      </c>
      <c r="K50" s="683">
        <v>284</v>
      </c>
      <c r="L50" s="677"/>
      <c r="M50" s="677">
        <v>0</v>
      </c>
      <c r="N50" s="677">
        <v>3</v>
      </c>
      <c r="O50" s="677"/>
      <c r="P50" s="677"/>
      <c r="Q50" s="677"/>
      <c r="R50" s="677">
        <v>0</v>
      </c>
      <c r="S50" s="677">
        <v>0</v>
      </c>
      <c r="T50" s="677">
        <v>0</v>
      </c>
      <c r="U50" s="677"/>
      <c r="V50" s="677">
        <v>0</v>
      </c>
      <c r="W50" s="677">
        <v>99</v>
      </c>
      <c r="X50" s="678">
        <v>0.36</v>
      </c>
      <c r="Y50" s="679">
        <v>102</v>
      </c>
      <c r="Z50" s="680">
        <v>19</v>
      </c>
      <c r="AA50" s="681">
        <v>88.076999999999998</v>
      </c>
      <c r="AB50" s="681"/>
      <c r="AC50" s="417">
        <v>11</v>
      </c>
      <c r="AD50" s="417"/>
      <c r="AE50" s="682" t="s">
        <v>3954</v>
      </c>
      <c r="AF50">
        <v>1</v>
      </c>
      <c r="AG50" s="281">
        <v>43101</v>
      </c>
      <c r="AH50" s="417"/>
      <c r="AI50" s="417"/>
      <c r="AJ50" s="602">
        <v>43109</v>
      </c>
      <c r="AK50" s="417"/>
      <c r="AL50" s="637" t="s">
        <v>3447</v>
      </c>
      <c r="AM50" s="417"/>
      <c r="AN50" s="417"/>
      <c r="AO50" s="636">
        <v>8983.8539999999994</v>
      </c>
      <c r="AP50">
        <v>556644</v>
      </c>
      <c r="AQ50" s="672">
        <v>43122</v>
      </c>
      <c r="AR50" s="417"/>
      <c r="AS50" s="417"/>
      <c r="AT50" s="417"/>
      <c r="AU50" s="417"/>
      <c r="AV50" s="417"/>
      <c r="AW50" s="417"/>
      <c r="AX50" s="417"/>
      <c r="AY50" t="s">
        <v>80</v>
      </c>
      <c r="AZ50" s="417"/>
      <c r="BA50" s="417"/>
      <c r="BB50" t="s">
        <v>3584</v>
      </c>
      <c r="BC50" s="636">
        <v>1</v>
      </c>
      <c r="BD50" s="417"/>
      <c r="BE50" s="612"/>
      <c r="BF50" s="613"/>
      <c r="BG50" s="614"/>
      <c r="BH50" s="682">
        <v>1</v>
      </c>
      <c r="BI50" s="417"/>
      <c r="BJ50" s="417">
        <v>18</v>
      </c>
      <c r="BK50" s="682" t="str">
        <f>Техкарта[[#This Row],[Кв-л]]&amp;" кв ("&amp;Substring(Техкарта[[#This Row],[Виділ]],"_",1)&amp;" вид) "&amp;Substring(Техкарта[[#This Row],[Виділ]],"_",2)&amp;" діл."</f>
        <v>86 кв (13 вид) 0 діл.</v>
      </c>
      <c r="BL50" s="682" t="str">
        <f>Техкарта[[#This Row],[ПолнаяДіл]] &amp;" "&amp;Техкарта[[#This Row],[ЛК]]&amp;" "&amp;Техкарта[[#This Row],[Вид рубки]]</f>
        <v>86 кв (13 вид) 0 діл. 556644 СРВ</v>
      </c>
      <c r="BM50" s="682">
        <v>1</v>
      </c>
      <c r="BN50" s="636"/>
      <c r="BO50" s="636"/>
      <c r="BP50" s="636"/>
      <c r="BQ50" s="636" t="s">
        <v>105</v>
      </c>
      <c r="BR50" s="636"/>
      <c r="BS50" s="636"/>
      <c r="BT50" s="636"/>
      <c r="BU50" s="636"/>
      <c r="BV50" s="636"/>
      <c r="BW50" s="636"/>
      <c r="BX50" s="636"/>
      <c r="BY50" s="972"/>
    </row>
    <row r="51" spans="1:77">
      <c r="A51" t="s">
        <v>105</v>
      </c>
      <c r="B51" s="675" t="s">
        <v>113</v>
      </c>
      <c r="C51" s="687" t="s">
        <v>126</v>
      </c>
      <c r="D51" s="675">
        <v>0</v>
      </c>
      <c r="E51" s="675" t="s">
        <v>2316</v>
      </c>
      <c r="F51" s="675">
        <v>3</v>
      </c>
      <c r="G51" s="675" t="s">
        <v>79</v>
      </c>
      <c r="H51" s="675">
        <v>109</v>
      </c>
      <c r="I51" s="676" t="s">
        <v>3830</v>
      </c>
      <c r="J51" s="677">
        <v>4</v>
      </c>
      <c r="K51" s="683">
        <v>219</v>
      </c>
      <c r="L51" s="677"/>
      <c r="M51" s="677">
        <v>0</v>
      </c>
      <c r="N51" s="677">
        <v>5</v>
      </c>
      <c r="O51" s="677"/>
      <c r="P51" s="677"/>
      <c r="Q51" s="677"/>
      <c r="R51" s="677">
        <v>0</v>
      </c>
      <c r="S51" s="677">
        <v>0</v>
      </c>
      <c r="T51" s="677">
        <v>0</v>
      </c>
      <c r="U51" s="677"/>
      <c r="V51" s="677">
        <v>0</v>
      </c>
      <c r="W51" s="677">
        <v>66</v>
      </c>
      <c r="X51" s="678">
        <v>0.32</v>
      </c>
      <c r="Y51" s="679">
        <v>71</v>
      </c>
      <c r="Z51" s="680">
        <v>22</v>
      </c>
      <c r="AA51" s="681">
        <v>90.855000000000004</v>
      </c>
      <c r="AB51" s="681"/>
      <c r="AC51" s="417">
        <v>18</v>
      </c>
      <c r="AD51" s="417"/>
      <c r="AE51" s="682" t="s">
        <v>3955</v>
      </c>
      <c r="AF51">
        <v>1</v>
      </c>
      <c r="AG51" s="281">
        <v>43101</v>
      </c>
      <c r="AH51" s="417"/>
      <c r="AI51" s="417"/>
      <c r="AJ51" s="602">
        <v>43109</v>
      </c>
      <c r="AK51" s="417"/>
      <c r="AL51" s="637" t="s">
        <v>3441</v>
      </c>
      <c r="AM51" s="417"/>
      <c r="AN51" s="417"/>
      <c r="AO51" s="636">
        <v>6450.7049999999999</v>
      </c>
      <c r="AP51">
        <v>556644</v>
      </c>
      <c r="AQ51" s="672">
        <v>43122</v>
      </c>
      <c r="AR51" s="417"/>
      <c r="AS51" s="417"/>
      <c r="AT51" s="417"/>
      <c r="AU51" s="417"/>
      <c r="AV51" s="417"/>
      <c r="AW51" s="417"/>
      <c r="AX51" s="417"/>
      <c r="AY51" t="s">
        <v>80</v>
      </c>
      <c r="AZ51" s="417"/>
      <c r="BA51" s="417"/>
      <c r="BB51" t="s">
        <v>3584</v>
      </c>
      <c r="BC51" s="636">
        <v>1</v>
      </c>
      <c r="BD51" s="417"/>
      <c r="BE51" s="612"/>
      <c r="BF51" s="613"/>
      <c r="BG51" s="614"/>
      <c r="BH51" s="682">
        <v>1</v>
      </c>
      <c r="BI51" s="417"/>
      <c r="BJ51" s="417">
        <v>19</v>
      </c>
      <c r="BK51" s="682" t="str">
        <f>Техкарта[[#This Row],[Кв-л]]&amp;" кв ("&amp;Substring(Техкарта[[#This Row],[Виділ]],"_",1)&amp;" вид) "&amp;Substring(Техкарта[[#This Row],[Виділ]],"_",2)&amp;" діл."</f>
        <v>109 кв (1 вид) 0 діл.</v>
      </c>
      <c r="BL51" s="682" t="str">
        <f>Техкарта[[#This Row],[ПолнаяДіл]] &amp;" "&amp;Техкарта[[#This Row],[ЛК]]&amp;" "&amp;Техкарта[[#This Row],[Вид рубки]]</f>
        <v>109 кв (1 вид) 0 діл. 556644 СРВ</v>
      </c>
      <c r="BM51" s="682">
        <v>1</v>
      </c>
      <c r="BN51" s="636"/>
      <c r="BO51" s="636"/>
      <c r="BP51" s="636"/>
      <c r="BQ51" s="636" t="s">
        <v>105</v>
      </c>
      <c r="BR51" s="636"/>
      <c r="BS51" s="636"/>
      <c r="BT51" s="636"/>
      <c r="BU51" s="636"/>
      <c r="BV51" s="636"/>
      <c r="BW51" s="636"/>
      <c r="BX51" s="636"/>
      <c r="BY51" s="972"/>
    </row>
    <row r="52" spans="1:77">
      <c r="A52" t="s">
        <v>105</v>
      </c>
      <c r="B52" s="675" t="s">
        <v>115</v>
      </c>
      <c r="C52" s="687" t="s">
        <v>126</v>
      </c>
      <c r="D52" s="675">
        <v>0</v>
      </c>
      <c r="E52" s="675" t="s">
        <v>2316</v>
      </c>
      <c r="F52" s="675">
        <v>3</v>
      </c>
      <c r="G52" s="675" t="s">
        <v>79</v>
      </c>
      <c r="H52" s="675">
        <v>83</v>
      </c>
      <c r="I52" s="676" t="s">
        <v>3830</v>
      </c>
      <c r="J52" s="677">
        <v>10.3</v>
      </c>
      <c r="K52" s="683">
        <v>203</v>
      </c>
      <c r="L52" s="677"/>
      <c r="M52" s="677">
        <v>0</v>
      </c>
      <c r="N52" s="677">
        <v>35</v>
      </c>
      <c r="O52" s="677"/>
      <c r="P52" s="677"/>
      <c r="Q52" s="677"/>
      <c r="R52" s="677">
        <v>0</v>
      </c>
      <c r="S52" s="677">
        <v>0</v>
      </c>
      <c r="T52" s="677">
        <v>0</v>
      </c>
      <c r="U52" s="677">
        <v>53</v>
      </c>
      <c r="V52" s="677">
        <v>3</v>
      </c>
      <c r="W52" s="677">
        <v>119</v>
      </c>
      <c r="X52" s="678">
        <v>1.03</v>
      </c>
      <c r="Y52" s="679">
        <v>210</v>
      </c>
      <c r="Z52" s="680">
        <v>22</v>
      </c>
      <c r="AA52" s="681">
        <v>66.444999999999993</v>
      </c>
      <c r="AB52" s="681"/>
      <c r="AC52" s="417">
        <v>16</v>
      </c>
      <c r="AD52" s="417"/>
      <c r="AE52" s="682" t="s">
        <v>3956</v>
      </c>
      <c r="AF52">
        <v>1</v>
      </c>
      <c r="AG52" s="281">
        <v>43101</v>
      </c>
      <c r="AH52" s="417"/>
      <c r="AI52" s="417"/>
      <c r="AJ52" s="602">
        <v>43109</v>
      </c>
      <c r="AK52" s="417"/>
      <c r="AL52" s="637" t="s">
        <v>3461</v>
      </c>
      <c r="AM52" s="417"/>
      <c r="AN52" s="417"/>
      <c r="AO52" s="636">
        <v>13953.45</v>
      </c>
      <c r="AP52">
        <v>556611</v>
      </c>
      <c r="AQ52" s="672">
        <v>43062</v>
      </c>
      <c r="AR52" s="417"/>
      <c r="AS52" s="417"/>
      <c r="AT52" s="417"/>
      <c r="AU52" s="417"/>
      <c r="AV52" s="417"/>
      <c r="AW52" s="417"/>
      <c r="AX52" s="417"/>
      <c r="AY52" t="s">
        <v>3362</v>
      </c>
      <c r="AZ52" s="417"/>
      <c r="BA52" s="417"/>
      <c r="BB52" t="s">
        <v>3585</v>
      </c>
      <c r="BC52" s="636">
        <v>11</v>
      </c>
      <c r="BD52" s="417"/>
      <c r="BE52" s="612"/>
      <c r="BF52" s="613"/>
      <c r="BG52" s="614"/>
      <c r="BH52" s="682">
        <v>1</v>
      </c>
      <c r="BI52" s="417"/>
      <c r="BJ52" s="417">
        <v>11</v>
      </c>
      <c r="BK5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52" s="682" t="str">
        <f>Техкарта[[#This Row],[ПолнаяДіл]] &amp;" "&amp;Техкарта[[#This Row],[ЛК]]&amp;" "&amp;Техкарта[[#This Row],[Вид рубки]]</f>
        <v>83 кв (1 вид) 0 діл. 556611 СРВ</v>
      </c>
      <c r="BM52" s="682">
        <v>1</v>
      </c>
      <c r="BN52" s="636"/>
      <c r="BO52" s="636"/>
      <c r="BP52" s="636"/>
      <c r="BQ52" s="636" t="s">
        <v>105</v>
      </c>
      <c r="BR52" s="636"/>
      <c r="BS52" s="636"/>
      <c r="BT52" s="636"/>
      <c r="BU52" s="636"/>
      <c r="BV52" s="636"/>
      <c r="BW52" s="636"/>
      <c r="BX52" s="636"/>
      <c r="BY52" s="972"/>
    </row>
    <row r="53" spans="1:77">
      <c r="A53" t="s">
        <v>105</v>
      </c>
      <c r="B53" s="675" t="s">
        <v>115</v>
      </c>
      <c r="C53" s="687" t="s">
        <v>126</v>
      </c>
      <c r="D53" s="675">
        <v>0</v>
      </c>
      <c r="E53" s="675" t="s">
        <v>2316</v>
      </c>
      <c r="F53" s="675">
        <v>3</v>
      </c>
      <c r="G53" s="675" t="s">
        <v>79</v>
      </c>
      <c r="H53" s="675">
        <v>120</v>
      </c>
      <c r="I53" s="676" t="s">
        <v>3830</v>
      </c>
      <c r="J53" s="677">
        <v>16</v>
      </c>
      <c r="K53" s="683">
        <v>607</v>
      </c>
      <c r="L53" s="677"/>
      <c r="M53" s="677">
        <v>0</v>
      </c>
      <c r="N53" s="677">
        <v>24</v>
      </c>
      <c r="O53" s="677"/>
      <c r="P53" s="677"/>
      <c r="Q53" s="677"/>
      <c r="R53" s="677">
        <v>0</v>
      </c>
      <c r="S53" s="677">
        <v>0</v>
      </c>
      <c r="T53" s="677">
        <v>0</v>
      </c>
      <c r="U53" s="677">
        <v>60</v>
      </c>
      <c r="V53" s="677">
        <v>16</v>
      </c>
      <c r="W53" s="677">
        <v>340</v>
      </c>
      <c r="X53" s="678">
        <v>0.72</v>
      </c>
      <c r="Y53" s="679">
        <v>440</v>
      </c>
      <c r="Z53" s="680">
        <v>29</v>
      </c>
      <c r="AA53" s="681">
        <v>72.340999999999994</v>
      </c>
      <c r="AB53" s="681"/>
      <c r="AC53" s="417">
        <v>31</v>
      </c>
      <c r="AD53" s="417"/>
      <c r="AE53" s="682" t="s">
        <v>3957</v>
      </c>
      <c r="AF53">
        <v>1</v>
      </c>
      <c r="AG53" s="281">
        <v>43101</v>
      </c>
      <c r="AH53" s="417"/>
      <c r="AI53" s="417"/>
      <c r="AJ53" s="602">
        <v>43109</v>
      </c>
      <c r="AK53" s="417"/>
      <c r="AL53" s="637" t="s">
        <v>3461</v>
      </c>
      <c r="AM53" s="417"/>
      <c r="AN53" s="417"/>
      <c r="AO53" s="636">
        <v>31830.04</v>
      </c>
      <c r="AP53">
        <v>556611</v>
      </c>
      <c r="AQ53" s="672">
        <v>43062</v>
      </c>
      <c r="AR53" s="417"/>
      <c r="AS53" s="417"/>
      <c r="AT53" s="417"/>
      <c r="AU53" s="417"/>
      <c r="AV53" s="417"/>
      <c r="AW53" s="417"/>
      <c r="AX53" s="417"/>
      <c r="AY53" t="s">
        <v>3362</v>
      </c>
      <c r="AZ53" s="417"/>
      <c r="BA53" s="417"/>
      <c r="BB53" t="s">
        <v>3585</v>
      </c>
      <c r="BC53" s="636">
        <v>11</v>
      </c>
      <c r="BD53" s="417"/>
      <c r="BE53" s="612"/>
      <c r="BF53" s="613"/>
      <c r="BG53" s="614"/>
      <c r="BH53" s="682">
        <v>1</v>
      </c>
      <c r="BI53" s="417"/>
      <c r="BJ53" s="417">
        <v>12</v>
      </c>
      <c r="BK53" s="682" t="str">
        <f>Техкарта[[#This Row],[Кв-л]]&amp;" кв ("&amp;Substring(Техкарта[[#This Row],[Виділ]],"_",1)&amp;" вид) "&amp;Substring(Техкарта[[#This Row],[Виділ]],"_",2)&amp;" діл."</f>
        <v>120 кв (1 вид) 0 діл.</v>
      </c>
      <c r="BL53" s="682" t="str">
        <f>Техкарта[[#This Row],[ПолнаяДіл]] &amp;" "&amp;Техкарта[[#This Row],[ЛК]]&amp;" "&amp;Техкарта[[#This Row],[Вид рубки]]</f>
        <v>120 кв (1 вид) 0 діл. 556611 СРВ</v>
      </c>
      <c r="BM53" s="682">
        <v>1</v>
      </c>
      <c r="BN53" s="636"/>
      <c r="BO53" s="636"/>
      <c r="BP53" s="636"/>
      <c r="BQ53" s="636" t="s">
        <v>105</v>
      </c>
      <c r="BR53" s="636"/>
      <c r="BS53" s="636"/>
      <c r="BT53" s="636"/>
      <c r="BU53" s="636"/>
      <c r="BV53" s="636"/>
      <c r="BW53" s="636"/>
      <c r="BX53" s="636"/>
      <c r="BY53" s="972"/>
    </row>
    <row r="54" spans="1:77">
      <c r="A54" t="s">
        <v>104</v>
      </c>
      <c r="B54" s="675" t="s">
        <v>116</v>
      </c>
      <c r="C54" s="687" t="s">
        <v>104</v>
      </c>
      <c r="D54" s="675">
        <v>0</v>
      </c>
      <c r="E54" s="675" t="s">
        <v>2305</v>
      </c>
      <c r="F54" s="675">
        <v>2</v>
      </c>
      <c r="G54" s="675" t="s">
        <v>2238</v>
      </c>
      <c r="H54" s="675">
        <v>86</v>
      </c>
      <c r="I54" s="676" t="s">
        <v>3847</v>
      </c>
      <c r="J54" s="677">
        <v>1</v>
      </c>
      <c r="K54" s="683">
        <v>484</v>
      </c>
      <c r="L54" s="677">
        <v>0</v>
      </c>
      <c r="M54" s="677">
        <v>115</v>
      </c>
      <c r="N54" s="677">
        <v>39</v>
      </c>
      <c r="O54" s="677">
        <v>0</v>
      </c>
      <c r="P54" s="677">
        <v>0</v>
      </c>
      <c r="Q54" s="677">
        <v>0</v>
      </c>
      <c r="R54" s="677">
        <v>12</v>
      </c>
      <c r="S54" s="677">
        <v>21</v>
      </c>
      <c r="T54" s="677">
        <v>32</v>
      </c>
      <c r="U54" s="677">
        <v>4</v>
      </c>
      <c r="V54" s="677">
        <v>14</v>
      </c>
      <c r="W54" s="677">
        <v>24</v>
      </c>
      <c r="X54" s="678">
        <v>0.54</v>
      </c>
      <c r="Y54" s="679">
        <v>261</v>
      </c>
      <c r="Z54" s="680">
        <v>286</v>
      </c>
      <c r="AA54" s="681">
        <v>71.944999999999993</v>
      </c>
      <c r="AB54" s="681">
        <v>38.070999999999998</v>
      </c>
      <c r="AC54" s="417">
        <v>25</v>
      </c>
      <c r="AD54" s="417"/>
      <c r="AE54" s="682" t="s">
        <v>3958</v>
      </c>
      <c r="AF54">
        <v>1</v>
      </c>
      <c r="AG54" s="688">
        <v>43101</v>
      </c>
      <c r="AH54" s="417"/>
      <c r="AI54" s="417"/>
      <c r="AJ54" s="689">
        <v>43109</v>
      </c>
      <c r="AK54" s="417"/>
      <c r="AL54" s="637" t="s">
        <v>3477</v>
      </c>
      <c r="AM54" s="417"/>
      <c r="AN54" s="417"/>
      <c r="AO54" s="636">
        <v>18777.645</v>
      </c>
      <c r="AP54">
        <v>556618</v>
      </c>
      <c r="AQ54" s="690" t="s">
        <v>3723</v>
      </c>
      <c r="AR54" s="417"/>
      <c r="AS54" s="417"/>
      <c r="AT54" s="417"/>
      <c r="AU54" s="417"/>
      <c r="AV54" s="417"/>
      <c r="AW54" s="417"/>
      <c r="AX54" s="417"/>
      <c r="AY54" t="s">
        <v>80</v>
      </c>
      <c r="AZ54" s="417"/>
      <c r="BA54" s="417"/>
      <c r="BB54" t="s">
        <v>3584</v>
      </c>
      <c r="BC54" s="636">
        <v>12</v>
      </c>
      <c r="BD54" s="417"/>
      <c r="BE54" s="612">
        <v>5</v>
      </c>
      <c r="BF54" s="613">
        <v>40</v>
      </c>
      <c r="BG54" s="614" t="s">
        <v>78</v>
      </c>
      <c r="BH54" s="682">
        <v>1.1000000000000001</v>
      </c>
      <c r="BI54" s="417"/>
      <c r="BJ54" s="417">
        <v>3</v>
      </c>
      <c r="BK5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5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54" s="682">
        <v>1</v>
      </c>
      <c r="BN54" s="636" t="s">
        <v>3784</v>
      </c>
      <c r="BO54" s="636" t="s">
        <v>3784</v>
      </c>
      <c r="BP54" s="636" t="s">
        <v>3784</v>
      </c>
      <c r="BQ54" s="636" t="s">
        <v>104</v>
      </c>
      <c r="BR54" s="636"/>
      <c r="BS54" s="636"/>
      <c r="BT54" s="636"/>
      <c r="BU54" s="636"/>
      <c r="BV54" s="636"/>
      <c r="BW54" s="636" t="s">
        <v>3907</v>
      </c>
      <c r="BX54" s="636"/>
      <c r="BY54" s="972"/>
    </row>
    <row r="55" spans="1:77">
      <c r="A55" t="s">
        <v>104</v>
      </c>
      <c r="B55" s="675" t="s">
        <v>113</v>
      </c>
      <c r="C55" s="687" t="s">
        <v>104</v>
      </c>
      <c r="D55" s="675">
        <v>0</v>
      </c>
      <c r="E55" s="675" t="s">
        <v>2305</v>
      </c>
      <c r="F55" s="675">
        <v>2</v>
      </c>
      <c r="G55" s="675" t="s">
        <v>2238</v>
      </c>
      <c r="H55" s="675">
        <v>20</v>
      </c>
      <c r="I55" s="676" t="s">
        <v>3829</v>
      </c>
      <c r="J55" s="677">
        <v>2.8</v>
      </c>
      <c r="K55" s="683">
        <v>1040</v>
      </c>
      <c r="L55" s="677">
        <v>0</v>
      </c>
      <c r="M55" s="677">
        <v>6</v>
      </c>
      <c r="N55" s="677">
        <v>169</v>
      </c>
      <c r="O55" s="677">
        <v>0</v>
      </c>
      <c r="P55" s="677">
        <v>0</v>
      </c>
      <c r="Q55" s="677">
        <v>28</v>
      </c>
      <c r="R55" s="677">
        <v>62</v>
      </c>
      <c r="S55" s="677">
        <v>50</v>
      </c>
      <c r="T55" s="677">
        <v>426</v>
      </c>
      <c r="U55" s="677">
        <v>5</v>
      </c>
      <c r="V55" s="677">
        <v>12</v>
      </c>
      <c r="W55" s="677">
        <v>25</v>
      </c>
      <c r="X55" s="678">
        <v>0.75</v>
      </c>
      <c r="Y55" s="679">
        <v>783</v>
      </c>
      <c r="Z55" s="680">
        <v>300</v>
      </c>
      <c r="AA55" s="681">
        <v>59.284999999999997</v>
      </c>
      <c r="AB55" s="681">
        <v>35.494</v>
      </c>
      <c r="AC55" s="417">
        <v>57</v>
      </c>
      <c r="AD55" s="417"/>
      <c r="AE55" s="682" t="s">
        <v>3959</v>
      </c>
      <c r="AF55">
        <v>1</v>
      </c>
      <c r="AG55" s="688">
        <v>43101</v>
      </c>
      <c r="AH55" s="417"/>
      <c r="AI55" s="417"/>
      <c r="AJ55" s="689">
        <v>43122</v>
      </c>
      <c r="AK55" s="417"/>
      <c r="AL55" s="637" t="s">
        <v>3469</v>
      </c>
      <c r="AM55" s="417"/>
      <c r="AN55" s="417"/>
      <c r="AO55" s="636">
        <v>46420.154999999999</v>
      </c>
      <c r="AP55">
        <v>556618</v>
      </c>
      <c r="AQ55" s="690" t="s">
        <v>3723</v>
      </c>
      <c r="AR55" s="417"/>
      <c r="AS55" s="417"/>
      <c r="AT55" s="417"/>
      <c r="AU55" s="417"/>
      <c r="AV55" s="417"/>
      <c r="AW55" s="417"/>
      <c r="AX55" s="417"/>
      <c r="AY55" t="s">
        <v>80</v>
      </c>
      <c r="AZ55" s="417"/>
      <c r="BA55" s="417"/>
      <c r="BB55" t="s">
        <v>3584</v>
      </c>
      <c r="BC55" s="636">
        <v>12</v>
      </c>
      <c r="BD55" s="417"/>
      <c r="BE55" s="612">
        <v>5</v>
      </c>
      <c r="BF55" s="613">
        <v>40</v>
      </c>
      <c r="BG55" s="614" t="s">
        <v>78</v>
      </c>
      <c r="BH55" s="682">
        <v>1.1000000000000001</v>
      </c>
      <c r="BI55" s="417"/>
      <c r="BJ55" s="417">
        <v>8</v>
      </c>
      <c r="BK55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55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55" s="682">
        <v>1</v>
      </c>
      <c r="BN55" s="636" t="s">
        <v>3784</v>
      </c>
      <c r="BO55" s="636" t="s">
        <v>3784</v>
      </c>
      <c r="BP55" s="636" t="s">
        <v>3784</v>
      </c>
      <c r="BQ55" s="636" t="s">
        <v>104</v>
      </c>
      <c r="BR55" s="636"/>
      <c r="BS55" s="636"/>
      <c r="BT55" s="636"/>
      <c r="BU55" s="636"/>
      <c r="BV55" s="636"/>
      <c r="BW55" s="636"/>
      <c r="BX55" s="636"/>
      <c r="BY55" s="972"/>
    </row>
    <row r="56" spans="1:77">
      <c r="A56" t="s">
        <v>104</v>
      </c>
      <c r="B56" s="675" t="s">
        <v>116</v>
      </c>
      <c r="C56" s="687" t="s">
        <v>104</v>
      </c>
      <c r="D56" s="675">
        <v>0</v>
      </c>
      <c r="E56" s="675" t="s">
        <v>2305</v>
      </c>
      <c r="F56" s="675">
        <v>2</v>
      </c>
      <c r="G56" s="675" t="s">
        <v>2238</v>
      </c>
      <c r="H56" s="675">
        <v>20</v>
      </c>
      <c r="I56" s="676" t="s">
        <v>3847</v>
      </c>
      <c r="J56" s="677">
        <v>1.6</v>
      </c>
      <c r="K56" s="683">
        <v>627</v>
      </c>
      <c r="L56" s="677">
        <v>0</v>
      </c>
      <c r="M56" s="677">
        <v>18</v>
      </c>
      <c r="N56" s="677">
        <v>174</v>
      </c>
      <c r="O56" s="677">
        <v>0</v>
      </c>
      <c r="P56" s="677">
        <v>0</v>
      </c>
      <c r="Q56" s="677">
        <v>14</v>
      </c>
      <c r="R56" s="677">
        <v>20</v>
      </c>
      <c r="S56" s="677">
        <v>25</v>
      </c>
      <c r="T56" s="677">
        <v>99</v>
      </c>
      <c r="U56" s="677">
        <v>6</v>
      </c>
      <c r="V56" s="677">
        <v>21</v>
      </c>
      <c r="W56" s="677">
        <v>68</v>
      </c>
      <c r="X56" s="678">
        <v>0.71</v>
      </c>
      <c r="Y56" s="679">
        <v>445</v>
      </c>
      <c r="Z56" s="680">
        <v>278</v>
      </c>
      <c r="AA56" s="681">
        <v>75.989999999999995</v>
      </c>
      <c r="AB56" s="681">
        <v>35.905000000000001</v>
      </c>
      <c r="AC56" s="417">
        <v>0</v>
      </c>
      <c r="AD56" s="417"/>
      <c r="AE56" s="682" t="s">
        <v>3960</v>
      </c>
      <c r="AF56">
        <v>1</v>
      </c>
      <c r="AG56" s="688">
        <v>43101</v>
      </c>
      <c r="AH56" s="417"/>
      <c r="AI56" s="417"/>
      <c r="AJ56" s="689">
        <v>43109</v>
      </c>
      <c r="AK56" s="417"/>
      <c r="AL56" s="637" t="s">
        <v>3477</v>
      </c>
      <c r="AM56" s="417"/>
      <c r="AN56" s="417"/>
      <c r="AO56" s="636">
        <v>33815.550000000003</v>
      </c>
      <c r="AP56">
        <v>556618</v>
      </c>
      <c r="AQ56" s="690" t="s">
        <v>3723</v>
      </c>
      <c r="AR56" s="417"/>
      <c r="AS56" s="417"/>
      <c r="AT56" s="417"/>
      <c r="AU56" s="417"/>
      <c r="AV56" s="417"/>
      <c r="AW56" s="417"/>
      <c r="AX56" s="417"/>
      <c r="AY56" t="s">
        <v>80</v>
      </c>
      <c r="AZ56" s="417"/>
      <c r="BA56" s="417"/>
      <c r="BB56" t="s">
        <v>3584</v>
      </c>
      <c r="BC56" s="636">
        <v>12</v>
      </c>
      <c r="BD56" s="417"/>
      <c r="BE56" s="612">
        <v>5</v>
      </c>
      <c r="BF56" s="613">
        <v>40</v>
      </c>
      <c r="BG56" s="614" t="s">
        <v>78</v>
      </c>
      <c r="BH56" s="682">
        <v>1.1000000000000001</v>
      </c>
      <c r="BI56" s="417"/>
      <c r="BJ56" s="417">
        <v>4</v>
      </c>
      <c r="BK56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56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56" s="682">
        <v>1</v>
      </c>
      <c r="BN56" s="636" t="s">
        <v>3784</v>
      </c>
      <c r="BO56" s="636" t="s">
        <v>3784</v>
      </c>
      <c r="BP56" s="636" t="s">
        <v>3784</v>
      </c>
      <c r="BQ56" s="636" t="s">
        <v>104</v>
      </c>
      <c r="BR56" s="636"/>
      <c r="BS56" s="636"/>
      <c r="BT56" s="636"/>
      <c r="BU56" s="636"/>
      <c r="BV56" s="636"/>
      <c r="BW56" s="636"/>
      <c r="BX56" s="636"/>
      <c r="BY56" s="972"/>
    </row>
    <row r="57" spans="1:77">
      <c r="A57" t="s">
        <v>104</v>
      </c>
      <c r="B57" s="675" t="s">
        <v>113</v>
      </c>
      <c r="C57" s="687" t="s">
        <v>104</v>
      </c>
      <c r="D57" s="675">
        <v>0</v>
      </c>
      <c r="E57" s="675" t="s">
        <v>2305</v>
      </c>
      <c r="F57" s="675">
        <v>5</v>
      </c>
      <c r="G57" s="675" t="s">
        <v>2238</v>
      </c>
      <c r="H57" s="675">
        <v>121</v>
      </c>
      <c r="I57" s="676" t="s">
        <v>3831</v>
      </c>
      <c r="J57" s="677">
        <v>0.8</v>
      </c>
      <c r="K57" s="683">
        <v>674</v>
      </c>
      <c r="L57" s="677">
        <v>0</v>
      </c>
      <c r="M57" s="677">
        <v>0</v>
      </c>
      <c r="N57" s="677">
        <v>1</v>
      </c>
      <c r="O57" s="677">
        <v>0</v>
      </c>
      <c r="P57" s="677">
        <v>0</v>
      </c>
      <c r="Q57" s="677">
        <v>0</v>
      </c>
      <c r="R57" s="677">
        <v>0</v>
      </c>
      <c r="S57" s="677">
        <v>0</v>
      </c>
      <c r="T57" s="677">
        <v>61</v>
      </c>
      <c r="U57" s="677">
        <v>0</v>
      </c>
      <c r="V57" s="677">
        <v>0</v>
      </c>
      <c r="W57" s="677">
        <v>98</v>
      </c>
      <c r="X57" s="678">
        <v>0.24</v>
      </c>
      <c r="Y57" s="679">
        <v>160</v>
      </c>
      <c r="Z57" s="680">
        <v>200</v>
      </c>
      <c r="AA57" s="681">
        <v>150.00200000000001</v>
      </c>
      <c r="AB57" s="681">
        <v>48.604999999999997</v>
      </c>
      <c r="AC57" s="417">
        <v>0</v>
      </c>
      <c r="AD57" s="417"/>
      <c r="AE57" s="682" t="s">
        <v>3961</v>
      </c>
      <c r="AF57">
        <v>1</v>
      </c>
      <c r="AG57" s="688">
        <v>43101</v>
      </c>
      <c r="AH57" s="417"/>
      <c r="AI57" s="417"/>
      <c r="AJ57" s="689">
        <v>43109</v>
      </c>
      <c r="AK57" s="417"/>
      <c r="AL57" s="637" t="s">
        <v>3459</v>
      </c>
      <c r="AM57" s="417"/>
      <c r="AN57" s="417"/>
      <c r="AO57" s="636">
        <v>24000.32</v>
      </c>
      <c r="AP57">
        <v>556618</v>
      </c>
      <c r="AQ57" s="690" t="s">
        <v>3723</v>
      </c>
      <c r="AR57" s="417"/>
      <c r="AS57" s="417"/>
      <c r="AT57" s="417"/>
      <c r="AU57" s="417"/>
      <c r="AV57" s="417"/>
      <c r="AW57" s="417"/>
      <c r="AX57" s="417"/>
      <c r="AY57" t="s">
        <v>80</v>
      </c>
      <c r="AZ57" s="417"/>
      <c r="BA57" s="417"/>
      <c r="BB57" t="s">
        <v>3584</v>
      </c>
      <c r="BC57" s="636">
        <v>12</v>
      </c>
      <c r="BD57" s="417"/>
      <c r="BE57" s="612">
        <v>5</v>
      </c>
      <c r="BF57" s="613">
        <v>40</v>
      </c>
      <c r="BG57" s="614" t="s">
        <v>78</v>
      </c>
      <c r="BH57" s="682">
        <v>0.8</v>
      </c>
      <c r="BI57" s="417"/>
      <c r="BJ57" s="417">
        <v>9</v>
      </c>
      <c r="BK57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57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57" s="682">
        <v>1</v>
      </c>
      <c r="BN57" s="636" t="s">
        <v>3783</v>
      </c>
      <c r="BO57" s="636" t="s">
        <v>3783</v>
      </c>
      <c r="BP57" s="636" t="s">
        <v>3783</v>
      </c>
      <c r="BQ57" s="636" t="s">
        <v>104</v>
      </c>
      <c r="BR57" s="636"/>
      <c r="BS57" s="636"/>
      <c r="BT57" s="636"/>
      <c r="BU57" s="636"/>
      <c r="BV57" s="636"/>
      <c r="BW57" s="636"/>
      <c r="BX57" s="636"/>
      <c r="BY57" s="972"/>
    </row>
    <row r="58" spans="1:77">
      <c r="A58" t="s">
        <v>105</v>
      </c>
      <c r="B58" s="675" t="s">
        <v>116</v>
      </c>
      <c r="C58" s="687" t="s">
        <v>3588</v>
      </c>
      <c r="D58" s="675">
        <v>0</v>
      </c>
      <c r="E58" s="675" t="s">
        <v>2311</v>
      </c>
      <c r="F58" s="675">
        <v>3</v>
      </c>
      <c r="G58" s="675" t="s">
        <v>79</v>
      </c>
      <c r="H58" s="675">
        <v>65</v>
      </c>
      <c r="I58" s="676" t="s">
        <v>3809</v>
      </c>
      <c r="J58" s="677">
        <v>0.8</v>
      </c>
      <c r="K58" s="683">
        <v>100</v>
      </c>
      <c r="L58" s="677"/>
      <c r="M58" s="677">
        <v>42</v>
      </c>
      <c r="N58" s="677">
        <v>0</v>
      </c>
      <c r="O58" s="677"/>
      <c r="P58" s="677"/>
      <c r="Q58" s="677"/>
      <c r="R58" s="677"/>
      <c r="S58" s="677">
        <v>0</v>
      </c>
      <c r="T58" s="677">
        <v>0</v>
      </c>
      <c r="U58" s="677"/>
      <c r="V58" s="677">
        <v>38</v>
      </c>
      <c r="W58" s="677">
        <v>0</v>
      </c>
      <c r="X58" s="678">
        <v>0.8</v>
      </c>
      <c r="Y58" s="679">
        <v>80</v>
      </c>
      <c r="Z58" s="680">
        <v>113</v>
      </c>
      <c r="AA58" s="681">
        <v>46.527999999999999</v>
      </c>
      <c r="AB58" s="681"/>
      <c r="AC58" s="417">
        <v>10</v>
      </c>
      <c r="AD58" s="417"/>
      <c r="AE58" s="682" t="s">
        <v>3962</v>
      </c>
      <c r="AF58">
        <v>1</v>
      </c>
      <c r="AG58" s="688">
        <v>43101</v>
      </c>
      <c r="AH58" s="417"/>
      <c r="AI58" s="417"/>
      <c r="AJ58" s="689">
        <v>43124</v>
      </c>
      <c r="AK58" s="417"/>
      <c r="AL58" s="637" t="s">
        <v>3470</v>
      </c>
      <c r="AM58" s="417"/>
      <c r="AN58" s="417"/>
      <c r="AO58" s="636">
        <v>3722.24</v>
      </c>
      <c r="AP58">
        <v>556648</v>
      </c>
      <c r="AQ58" s="690">
        <v>43124</v>
      </c>
      <c r="AR58" s="417"/>
      <c r="AS58" s="417"/>
      <c r="AT58" s="417"/>
      <c r="AU58" s="417"/>
      <c r="AV58" s="417"/>
      <c r="AW58" s="417"/>
      <c r="AX58" s="417"/>
      <c r="AY58" t="s">
        <v>80</v>
      </c>
      <c r="AZ58" s="417"/>
      <c r="BA58" s="417"/>
      <c r="BB58" t="s">
        <v>3584</v>
      </c>
      <c r="BC58" s="636">
        <v>1</v>
      </c>
      <c r="BD58" s="417"/>
      <c r="BE58" s="612"/>
      <c r="BF58" s="613"/>
      <c r="BG58" s="614"/>
      <c r="BH58" s="682">
        <v>1</v>
      </c>
      <c r="BI58" s="417"/>
      <c r="BJ58" s="417">
        <v>27</v>
      </c>
      <c r="BK58" s="682" t="str">
        <f>Техкарта[[#This Row],[Кв-л]]&amp;" кв ("&amp;Substring(Техкарта[[#This Row],[Виділ]],"_",1)&amp;" вид) "&amp;Substring(Техкарта[[#This Row],[Виділ]],"_",2)&amp;" діл."</f>
        <v>65 кв (2 вид) 1 діл.</v>
      </c>
      <c r="BL58" s="682" t="str">
        <f>Техкарта[[#This Row],[ПолнаяДіл]] &amp;" "&amp;Техкарта[[#This Row],[ЛК]]&amp;" "&amp;Техкарта[[#This Row],[Вид рубки]]</f>
        <v>65 кв (2 вид) 1 діл. 556648 рубка в охоронній зоні ЛЕП</v>
      </c>
      <c r="BM58" s="682">
        <v>1</v>
      </c>
      <c r="BN58" s="636"/>
      <c r="BO58" s="636"/>
      <c r="BP58" s="636"/>
      <c r="BQ58" s="636" t="s">
        <v>105</v>
      </c>
      <c r="BR58" s="636"/>
      <c r="BS58" s="636"/>
      <c r="BT58" s="636"/>
      <c r="BU58" s="636"/>
      <c r="BV58" s="636"/>
      <c r="BW58" s="636"/>
      <c r="BX58" s="636"/>
      <c r="BY58" s="972"/>
    </row>
    <row r="59" spans="1:77">
      <c r="A59" t="s">
        <v>105</v>
      </c>
      <c r="B59" s="675" t="s">
        <v>116</v>
      </c>
      <c r="C59" s="687" t="s">
        <v>3588</v>
      </c>
      <c r="D59" s="675">
        <v>0</v>
      </c>
      <c r="E59" s="675" t="s">
        <v>2311</v>
      </c>
      <c r="F59" s="675">
        <v>3</v>
      </c>
      <c r="G59" s="675" t="s">
        <v>79</v>
      </c>
      <c r="H59" s="675">
        <v>65</v>
      </c>
      <c r="I59" s="676" t="s">
        <v>3829</v>
      </c>
      <c r="J59" s="677">
        <v>0.5</v>
      </c>
      <c r="K59" s="683">
        <v>54</v>
      </c>
      <c r="L59" s="677"/>
      <c r="M59" s="677">
        <v>21</v>
      </c>
      <c r="N59" s="677">
        <v>0</v>
      </c>
      <c r="O59" s="677"/>
      <c r="P59" s="677"/>
      <c r="Q59" s="677"/>
      <c r="R59" s="677"/>
      <c r="S59" s="677">
        <v>0</v>
      </c>
      <c r="T59" s="677">
        <v>0</v>
      </c>
      <c r="U59" s="677"/>
      <c r="V59" s="677">
        <v>17</v>
      </c>
      <c r="W59" s="677">
        <v>0</v>
      </c>
      <c r="X59" s="678">
        <v>0.7</v>
      </c>
      <c r="Y59" s="679">
        <v>38</v>
      </c>
      <c r="Z59" s="680">
        <v>86</v>
      </c>
      <c r="AA59" s="681">
        <v>47.741</v>
      </c>
      <c r="AB59" s="681"/>
      <c r="AC59" s="417">
        <v>5</v>
      </c>
      <c r="AD59" s="417"/>
      <c r="AE59" s="682" t="s">
        <v>3963</v>
      </c>
      <c r="AF59">
        <v>1</v>
      </c>
      <c r="AG59" s="688">
        <v>43101</v>
      </c>
      <c r="AH59" s="417"/>
      <c r="AI59" s="417"/>
      <c r="AJ59" s="689">
        <v>43124</v>
      </c>
      <c r="AK59" s="417"/>
      <c r="AL59" s="637" t="s">
        <v>3470</v>
      </c>
      <c r="AM59" s="417"/>
      <c r="AN59" s="417"/>
      <c r="AO59" s="636">
        <v>1814.1579999999999</v>
      </c>
      <c r="AP59">
        <v>556648</v>
      </c>
      <c r="AQ59" s="690">
        <v>43124</v>
      </c>
      <c r="AR59" s="417"/>
      <c r="AS59" s="417"/>
      <c r="AT59" s="417"/>
      <c r="AU59" s="417"/>
      <c r="AV59" s="417"/>
      <c r="AW59" s="417"/>
      <c r="AX59" s="417"/>
      <c r="AY59" t="s">
        <v>80</v>
      </c>
      <c r="AZ59" s="417"/>
      <c r="BA59" s="417"/>
      <c r="BB59" t="s">
        <v>3584</v>
      </c>
      <c r="BC59" s="636">
        <v>1</v>
      </c>
      <c r="BD59" s="417"/>
      <c r="BE59" s="612"/>
      <c r="BF59" s="613"/>
      <c r="BG59" s="614"/>
      <c r="BH59" s="682">
        <v>1</v>
      </c>
      <c r="BI59" s="417"/>
      <c r="BJ59" s="417">
        <v>28</v>
      </c>
      <c r="BK59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9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59" s="682">
        <v>1</v>
      </c>
      <c r="BN59" s="636"/>
      <c r="BO59" s="636"/>
      <c r="BP59" s="636"/>
      <c r="BQ59" s="636" t="s">
        <v>105</v>
      </c>
      <c r="BR59" s="636"/>
      <c r="BS59" s="636"/>
      <c r="BT59" s="636"/>
      <c r="BU59" s="636"/>
      <c r="BV59" s="636"/>
      <c r="BW59" s="636"/>
      <c r="BX59" s="636"/>
      <c r="BY59" s="972"/>
    </row>
    <row r="60" spans="1:77">
      <c r="A60" t="s">
        <v>105</v>
      </c>
      <c r="B60" s="675" t="s">
        <v>116</v>
      </c>
      <c r="C60" s="687" t="s">
        <v>3588</v>
      </c>
      <c r="D60" s="675">
        <v>0</v>
      </c>
      <c r="E60" s="675" t="s">
        <v>2311</v>
      </c>
      <c r="F60" s="675">
        <v>3</v>
      </c>
      <c r="G60" s="675" t="s">
        <v>79</v>
      </c>
      <c r="H60" s="675">
        <v>65</v>
      </c>
      <c r="I60" s="676" t="s">
        <v>3831</v>
      </c>
      <c r="J60" s="677">
        <v>0.4</v>
      </c>
      <c r="K60" s="683">
        <v>37</v>
      </c>
      <c r="L60" s="677"/>
      <c r="M60" s="677">
        <v>19</v>
      </c>
      <c r="N60" s="677">
        <v>0</v>
      </c>
      <c r="O60" s="677"/>
      <c r="P60" s="677"/>
      <c r="Q60" s="677"/>
      <c r="R60" s="677"/>
      <c r="S60" s="677">
        <v>0</v>
      </c>
      <c r="T60" s="677">
        <v>0</v>
      </c>
      <c r="U60" s="677"/>
      <c r="V60" s="677">
        <v>14</v>
      </c>
      <c r="W60" s="677">
        <v>0</v>
      </c>
      <c r="X60" s="678">
        <v>0.89</v>
      </c>
      <c r="Y60" s="679">
        <v>33</v>
      </c>
      <c r="Z60" s="680">
        <v>93</v>
      </c>
      <c r="AA60" s="681">
        <v>44.552</v>
      </c>
      <c r="AB60" s="681"/>
      <c r="AC60" s="417">
        <v>4</v>
      </c>
      <c r="AD60" s="417"/>
      <c r="AE60" s="682" t="s">
        <v>3964</v>
      </c>
      <c r="AF60">
        <v>1</v>
      </c>
      <c r="AG60" s="688">
        <v>43101</v>
      </c>
      <c r="AH60" s="417"/>
      <c r="AI60" s="417"/>
      <c r="AJ60" s="689">
        <v>43124</v>
      </c>
      <c r="AK60" s="417"/>
      <c r="AL60" s="637" t="s">
        <v>3470</v>
      </c>
      <c r="AM60" s="417"/>
      <c r="AN60" s="417"/>
      <c r="AO60" s="636">
        <v>1470.2159999999999</v>
      </c>
      <c r="AP60">
        <v>556648</v>
      </c>
      <c r="AQ60" s="690">
        <v>43124</v>
      </c>
      <c r="AR60" s="417"/>
      <c r="AS60" s="417"/>
      <c r="AT60" s="417"/>
      <c r="AU60" s="417"/>
      <c r="AV60" s="417"/>
      <c r="AW60" s="417"/>
      <c r="AX60" s="417"/>
      <c r="AY60" t="s">
        <v>80</v>
      </c>
      <c r="AZ60" s="417"/>
      <c r="BA60" s="417"/>
      <c r="BB60" t="s">
        <v>3584</v>
      </c>
      <c r="BC60" s="636">
        <v>1</v>
      </c>
      <c r="BD60" s="417"/>
      <c r="BE60" s="612"/>
      <c r="BF60" s="613"/>
      <c r="BG60" s="614"/>
      <c r="BH60" s="682">
        <v>1</v>
      </c>
      <c r="BI60" s="417"/>
      <c r="BJ60" s="417">
        <v>29</v>
      </c>
      <c r="BK6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6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60" s="682">
        <v>1</v>
      </c>
      <c r="BN60" s="636"/>
      <c r="BO60" s="636"/>
      <c r="BP60" s="636"/>
      <c r="BQ60" s="636" t="s">
        <v>105</v>
      </c>
      <c r="BR60" s="636"/>
      <c r="BS60" s="636"/>
      <c r="BT60" s="636"/>
      <c r="BU60" s="636"/>
      <c r="BV60" s="636"/>
      <c r="BW60" s="636"/>
      <c r="BX60" s="636"/>
      <c r="BY60" s="972"/>
    </row>
    <row r="61" spans="1:77">
      <c r="A61" t="s">
        <v>105</v>
      </c>
      <c r="B61" s="675" t="s">
        <v>116</v>
      </c>
      <c r="C61" s="687" t="s">
        <v>3588</v>
      </c>
      <c r="D61" s="675">
        <v>0</v>
      </c>
      <c r="E61" s="675" t="s">
        <v>2311</v>
      </c>
      <c r="F61" s="675">
        <v>3</v>
      </c>
      <c r="G61" s="675" t="s">
        <v>79</v>
      </c>
      <c r="H61" s="675">
        <v>65</v>
      </c>
      <c r="I61" s="676" t="s">
        <v>3832</v>
      </c>
      <c r="J61" s="677">
        <v>0.6</v>
      </c>
      <c r="K61" s="683">
        <v>40</v>
      </c>
      <c r="L61" s="677"/>
      <c r="M61" s="677">
        <v>13</v>
      </c>
      <c r="N61" s="677">
        <v>0</v>
      </c>
      <c r="O61" s="677"/>
      <c r="P61" s="677"/>
      <c r="Q61" s="677"/>
      <c r="R61" s="677"/>
      <c r="S61" s="677">
        <v>0</v>
      </c>
      <c r="T61" s="677">
        <v>0</v>
      </c>
      <c r="U61" s="677"/>
      <c r="V61" s="677">
        <v>17</v>
      </c>
      <c r="W61" s="677">
        <v>0</v>
      </c>
      <c r="X61" s="678">
        <v>0.75</v>
      </c>
      <c r="Y61" s="679">
        <v>30</v>
      </c>
      <c r="Z61" s="680">
        <v>55</v>
      </c>
      <c r="AA61" s="681">
        <v>52.372</v>
      </c>
      <c r="AB61" s="681"/>
      <c r="AC61" s="417">
        <v>3</v>
      </c>
      <c r="AD61" s="417"/>
      <c r="AE61" s="682" t="s">
        <v>3965</v>
      </c>
      <c r="AF61">
        <v>1</v>
      </c>
      <c r="AG61" s="688">
        <v>43101</v>
      </c>
      <c r="AH61" s="417"/>
      <c r="AI61" s="417"/>
      <c r="AJ61" s="689">
        <v>43124</v>
      </c>
      <c r="AK61" s="417"/>
      <c r="AL61" s="637" t="s">
        <v>3470</v>
      </c>
      <c r="AM61" s="417"/>
      <c r="AN61" s="417"/>
      <c r="AO61" s="636">
        <v>1571.16</v>
      </c>
      <c r="AP61">
        <v>556648</v>
      </c>
      <c r="AQ61" s="690">
        <v>43124</v>
      </c>
      <c r="AR61" s="417"/>
      <c r="AS61" s="417"/>
      <c r="AT61" s="417"/>
      <c r="AU61" s="417"/>
      <c r="AV61" s="417"/>
      <c r="AW61" s="417"/>
      <c r="AX61" s="417"/>
      <c r="AY61" t="s">
        <v>80</v>
      </c>
      <c r="AZ61" s="417"/>
      <c r="BA61" s="417"/>
      <c r="BB61" t="s">
        <v>3584</v>
      </c>
      <c r="BC61" s="636">
        <v>1</v>
      </c>
      <c r="BD61" s="417"/>
      <c r="BE61" s="612"/>
      <c r="BF61" s="613"/>
      <c r="BG61" s="614"/>
      <c r="BH61" s="682">
        <v>1</v>
      </c>
      <c r="BI61" s="417"/>
      <c r="BJ61" s="417">
        <v>30</v>
      </c>
      <c r="BK61" s="682" t="str">
        <f>Техкарта[[#This Row],[Кв-л]]&amp;" кв ("&amp;Substring(Техкарта[[#This Row],[Виділ]],"_",1)&amp;" вид) "&amp;Substring(Техкарта[[#This Row],[Виділ]],"_",2)&amp;" діл."</f>
        <v>65 кв (5 вид) 0 діл.</v>
      </c>
      <c r="BL61" s="682" t="str">
        <f>Техкарта[[#This Row],[ПолнаяДіл]] &amp;" "&amp;Техкарта[[#This Row],[ЛК]]&amp;" "&amp;Техкарта[[#This Row],[Вид рубки]]</f>
        <v>65 кв (5 вид) 0 діл. 556648 рубка в охоронній зоні ЛЕП</v>
      </c>
      <c r="BM61" s="682">
        <v>1</v>
      </c>
      <c r="BN61" s="636"/>
      <c r="BO61" s="636"/>
      <c r="BP61" s="636"/>
      <c r="BQ61" s="636" t="s">
        <v>105</v>
      </c>
      <c r="BR61" s="636"/>
      <c r="BS61" s="636"/>
      <c r="BT61" s="636"/>
      <c r="BU61" s="636"/>
      <c r="BV61" s="636"/>
      <c r="BW61" s="636"/>
      <c r="BX61" s="636"/>
      <c r="BY61" s="972"/>
    </row>
    <row r="62" spans="1:77">
      <c r="A62" t="s">
        <v>105</v>
      </c>
      <c r="B62" s="675" t="s">
        <v>116</v>
      </c>
      <c r="C62" s="687" t="s">
        <v>3588</v>
      </c>
      <c r="D62" s="675">
        <v>0</v>
      </c>
      <c r="E62" s="675" t="s">
        <v>2311</v>
      </c>
      <c r="F62" s="675">
        <v>3</v>
      </c>
      <c r="G62" s="675" t="s">
        <v>79</v>
      </c>
      <c r="H62" s="675">
        <v>65</v>
      </c>
      <c r="I62" s="676" t="s">
        <v>3850</v>
      </c>
      <c r="J62" s="677">
        <v>0.3</v>
      </c>
      <c r="K62" s="683">
        <v>8</v>
      </c>
      <c r="L62" s="677"/>
      <c r="M62" s="677">
        <v>3</v>
      </c>
      <c r="N62" s="677">
        <v>0</v>
      </c>
      <c r="O62" s="677"/>
      <c r="P62" s="677"/>
      <c r="Q62" s="677"/>
      <c r="R62" s="677"/>
      <c r="S62" s="677">
        <v>0</v>
      </c>
      <c r="T62" s="677">
        <v>0</v>
      </c>
      <c r="U62" s="677"/>
      <c r="V62" s="677">
        <v>3</v>
      </c>
      <c r="W62" s="677">
        <v>0</v>
      </c>
      <c r="X62" s="678">
        <v>0.75</v>
      </c>
      <c r="Y62" s="679">
        <v>6</v>
      </c>
      <c r="Z62" s="680">
        <v>20</v>
      </c>
      <c r="AA62" s="681">
        <v>52.860999999999997</v>
      </c>
      <c r="AB62" s="681"/>
      <c r="AC62" s="417">
        <v>0</v>
      </c>
      <c r="AD62" s="417"/>
      <c r="AE62" s="682" t="s">
        <v>3966</v>
      </c>
      <c r="AF62">
        <v>1</v>
      </c>
      <c r="AG62" s="688">
        <v>43101</v>
      </c>
      <c r="AH62" s="417"/>
      <c r="AI62" s="417"/>
      <c r="AJ62" s="689">
        <v>43124</v>
      </c>
      <c r="AK62" s="417"/>
      <c r="AL62" s="637" t="s">
        <v>3470</v>
      </c>
      <c r="AM62" s="417"/>
      <c r="AN62" s="417"/>
      <c r="AO62" s="636">
        <v>317.166</v>
      </c>
      <c r="AP62">
        <v>556648</v>
      </c>
      <c r="AQ62" s="690">
        <v>43124</v>
      </c>
      <c r="AR62" s="417"/>
      <c r="AS62" s="417"/>
      <c r="AT62" s="417"/>
      <c r="AU62" s="417"/>
      <c r="AV62" s="417"/>
      <c r="AW62" s="417"/>
      <c r="AX62" s="417"/>
      <c r="AY62" t="s">
        <v>80</v>
      </c>
      <c r="AZ62" s="417"/>
      <c r="BA62" s="417"/>
      <c r="BB62" t="s">
        <v>3584</v>
      </c>
      <c r="BC62" s="636">
        <v>1</v>
      </c>
      <c r="BD62" s="417"/>
      <c r="BE62" s="612"/>
      <c r="BF62" s="613"/>
      <c r="BG62" s="614"/>
      <c r="BH62" s="682">
        <v>1</v>
      </c>
      <c r="BI62" s="417"/>
      <c r="BJ62" s="417">
        <v>31</v>
      </c>
      <c r="BK62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62" s="682" t="str">
        <f>Техкарта[[#This Row],[ПолнаяДіл]] &amp;" "&amp;Техкарта[[#This Row],[ЛК]]&amp;" "&amp;Техкарта[[#This Row],[Вид рубки]]</f>
        <v>65 кв (6 вид) 0 діл. 556648 рубка в охоронній зоні ЛЕП</v>
      </c>
      <c r="BM62" s="682">
        <v>1</v>
      </c>
      <c r="BN62" s="636"/>
      <c r="BO62" s="636"/>
      <c r="BP62" s="636"/>
      <c r="BQ62" s="636" t="s">
        <v>105</v>
      </c>
      <c r="BR62" s="636"/>
      <c r="BS62" s="636"/>
      <c r="BT62" s="636"/>
      <c r="BU62" s="636"/>
      <c r="BV62" s="636"/>
      <c r="BW62" s="636"/>
      <c r="BX62" s="636"/>
      <c r="BY62" s="972"/>
    </row>
    <row r="63" spans="1:77">
      <c r="A63" t="s">
        <v>105</v>
      </c>
      <c r="B63" s="675" t="s">
        <v>116</v>
      </c>
      <c r="C63" s="687" t="s">
        <v>3588</v>
      </c>
      <c r="D63" s="675">
        <v>0</v>
      </c>
      <c r="E63" s="675" t="s">
        <v>2311</v>
      </c>
      <c r="F63" s="675">
        <v>3</v>
      </c>
      <c r="G63" s="675" t="s">
        <v>79</v>
      </c>
      <c r="H63" s="675">
        <v>65</v>
      </c>
      <c r="I63" s="676" t="s">
        <v>3833</v>
      </c>
      <c r="J63" s="677">
        <v>0.1</v>
      </c>
      <c r="K63" s="683">
        <v>18</v>
      </c>
      <c r="L63" s="677"/>
      <c r="M63" s="677">
        <v>0</v>
      </c>
      <c r="N63" s="677">
        <v>0</v>
      </c>
      <c r="O63" s="677"/>
      <c r="P63" s="677"/>
      <c r="Q63" s="677"/>
      <c r="R63" s="677"/>
      <c r="S63" s="677">
        <v>0</v>
      </c>
      <c r="T63" s="677">
        <v>0</v>
      </c>
      <c r="U63" s="677"/>
      <c r="V63" s="677">
        <v>8</v>
      </c>
      <c r="W63" s="677">
        <v>0</v>
      </c>
      <c r="X63" s="678">
        <v>0.44</v>
      </c>
      <c r="Y63" s="679">
        <v>8</v>
      </c>
      <c r="Z63" s="680">
        <v>90</v>
      </c>
      <c r="AA63" s="681">
        <v>128.501</v>
      </c>
      <c r="AB63" s="681"/>
      <c r="AC63" s="417">
        <v>1</v>
      </c>
      <c r="AD63" s="417"/>
      <c r="AE63" s="682" t="s">
        <v>3967</v>
      </c>
      <c r="AF63">
        <v>1</v>
      </c>
      <c r="AG63" s="688">
        <v>43101</v>
      </c>
      <c r="AH63" s="417"/>
      <c r="AI63" s="417"/>
      <c r="AJ63" s="689">
        <v>43124</v>
      </c>
      <c r="AK63" s="417"/>
      <c r="AL63" s="637" t="s">
        <v>3470</v>
      </c>
      <c r="AM63" s="417"/>
      <c r="AN63" s="417"/>
      <c r="AO63" s="636">
        <v>1028.008</v>
      </c>
      <c r="AP63">
        <v>556648</v>
      </c>
      <c r="AQ63" s="690">
        <v>43124</v>
      </c>
      <c r="AR63" s="417"/>
      <c r="AS63" s="417"/>
      <c r="AT63" s="417"/>
      <c r="AU63" s="417"/>
      <c r="AV63" s="417"/>
      <c r="AW63" s="417"/>
      <c r="AX63" s="417"/>
      <c r="AY63" t="s">
        <v>80</v>
      </c>
      <c r="AZ63" s="417"/>
      <c r="BA63" s="417"/>
      <c r="BB63" t="s">
        <v>3584</v>
      </c>
      <c r="BC63" s="636">
        <v>1</v>
      </c>
      <c r="BD63" s="417"/>
      <c r="BE63" s="612"/>
      <c r="BF63" s="613"/>
      <c r="BG63" s="614"/>
      <c r="BH63" s="682">
        <v>1</v>
      </c>
      <c r="BI63" s="417"/>
      <c r="BJ63" s="417">
        <v>32</v>
      </c>
      <c r="BK63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63" s="682" t="str">
        <f>Техкарта[[#This Row],[ПолнаяДіл]] &amp;" "&amp;Техкарта[[#This Row],[ЛК]]&amp;" "&amp;Техкарта[[#This Row],[Вид рубки]]</f>
        <v>65 кв (8 вид) 0 діл. 556648 рубка в охоронній зоні ЛЕП</v>
      </c>
      <c r="BM63" s="682">
        <v>1</v>
      </c>
      <c r="BN63" s="636"/>
      <c r="BO63" s="636"/>
      <c r="BP63" s="636"/>
      <c r="BQ63" s="636" t="s">
        <v>105</v>
      </c>
      <c r="BR63" s="636"/>
      <c r="BS63" s="636"/>
      <c r="BT63" s="636"/>
      <c r="BU63" s="636"/>
      <c r="BV63" s="636"/>
      <c r="BW63" s="636"/>
      <c r="BX63" s="636"/>
      <c r="BY63" s="972"/>
    </row>
    <row r="64" spans="1:77">
      <c r="A64" t="s">
        <v>105</v>
      </c>
      <c r="B64" s="675" t="s">
        <v>116</v>
      </c>
      <c r="C64" s="687" t="s">
        <v>3588</v>
      </c>
      <c r="D64" s="675">
        <v>0</v>
      </c>
      <c r="E64" s="675" t="s">
        <v>2311</v>
      </c>
      <c r="F64" s="675">
        <v>3</v>
      </c>
      <c r="G64" s="675" t="s">
        <v>79</v>
      </c>
      <c r="H64" s="675">
        <v>65</v>
      </c>
      <c r="I64" s="676" t="s">
        <v>3795</v>
      </c>
      <c r="J64" s="677">
        <v>0.2</v>
      </c>
      <c r="K64" s="683">
        <v>10</v>
      </c>
      <c r="L64" s="677"/>
      <c r="M64" s="677">
        <v>6</v>
      </c>
      <c r="N64" s="677">
        <v>0</v>
      </c>
      <c r="O64" s="677"/>
      <c r="P64" s="677"/>
      <c r="Q64" s="677"/>
      <c r="R64" s="677"/>
      <c r="S64" s="677">
        <v>0</v>
      </c>
      <c r="T64" s="677">
        <v>0</v>
      </c>
      <c r="U64" s="677"/>
      <c r="V64" s="677">
        <v>3</v>
      </c>
      <c r="W64" s="677">
        <v>0</v>
      </c>
      <c r="X64" s="678">
        <v>0.9</v>
      </c>
      <c r="Y64" s="679">
        <v>9</v>
      </c>
      <c r="Z64" s="680">
        <v>50</v>
      </c>
      <c r="AA64" s="681">
        <v>41.015999999999998</v>
      </c>
      <c r="AB64" s="681"/>
      <c r="AC64" s="417">
        <v>1</v>
      </c>
      <c r="AD64" s="417"/>
      <c r="AE64" s="682" t="s">
        <v>3968</v>
      </c>
      <c r="AF64">
        <v>1</v>
      </c>
      <c r="AG64" s="688">
        <v>43101</v>
      </c>
      <c r="AH64" s="417"/>
      <c r="AI64" s="417"/>
      <c r="AJ64" s="689">
        <v>43124</v>
      </c>
      <c r="AK64" s="417"/>
      <c r="AL64" s="637" t="s">
        <v>3470</v>
      </c>
      <c r="AM64" s="417"/>
      <c r="AN64" s="417"/>
      <c r="AO64" s="636">
        <v>369.14400000000001</v>
      </c>
      <c r="AP64">
        <v>556648</v>
      </c>
      <c r="AQ64" s="690">
        <v>43124</v>
      </c>
      <c r="AR64" s="417"/>
      <c r="AS64" s="417"/>
      <c r="AT64" s="417"/>
      <c r="AU64" s="417"/>
      <c r="AV64" s="417"/>
      <c r="AW64" s="417"/>
      <c r="AX64" s="417"/>
      <c r="AY64" t="s">
        <v>80</v>
      </c>
      <c r="AZ64" s="417"/>
      <c r="BA64" s="417"/>
      <c r="BB64" t="s">
        <v>3584</v>
      </c>
      <c r="BC64" s="636">
        <v>1</v>
      </c>
      <c r="BD64" s="417"/>
      <c r="BE64" s="612"/>
      <c r="BF64" s="613"/>
      <c r="BG64" s="614"/>
      <c r="BH64" s="682">
        <v>1</v>
      </c>
      <c r="BI64" s="417"/>
      <c r="BJ64" s="417">
        <v>33</v>
      </c>
      <c r="BK64" s="682" t="str">
        <f>Техкарта[[#This Row],[Кв-л]]&amp;" кв ("&amp;Substring(Техкарта[[#This Row],[Виділ]],"_",1)&amp;" вид) "&amp;Substring(Техкарта[[#This Row],[Виділ]],"_",2)&amp;" діл."</f>
        <v>65 кв (9 вид) 0 діл.</v>
      </c>
      <c r="BL64" s="682" t="str">
        <f>Техкарта[[#This Row],[ПолнаяДіл]] &amp;" "&amp;Техкарта[[#This Row],[ЛК]]&amp;" "&amp;Техкарта[[#This Row],[Вид рубки]]</f>
        <v>65 кв (9 вид) 0 діл. 556648 рубка в охоронній зоні ЛЕП</v>
      </c>
      <c r="BM64" s="682">
        <v>1</v>
      </c>
      <c r="BN64" s="636"/>
      <c r="BO64" s="636"/>
      <c r="BP64" s="636"/>
      <c r="BQ64" s="636" t="s">
        <v>105</v>
      </c>
      <c r="BR64" s="636"/>
      <c r="BS64" s="636"/>
      <c r="BT64" s="636"/>
      <c r="BU64" s="636"/>
      <c r="BV64" s="636"/>
      <c r="BW64" s="636"/>
      <c r="BX64" s="636"/>
      <c r="BY64" s="972"/>
    </row>
    <row r="65" spans="1:77">
      <c r="A65" t="s">
        <v>105</v>
      </c>
      <c r="B65" s="675" t="s">
        <v>116</v>
      </c>
      <c r="C65" s="687" t="s">
        <v>3588</v>
      </c>
      <c r="D65" s="675">
        <v>0</v>
      </c>
      <c r="E65" s="675" t="s">
        <v>2311</v>
      </c>
      <c r="F65" s="675">
        <v>3</v>
      </c>
      <c r="G65" s="675" t="s">
        <v>79</v>
      </c>
      <c r="H65" s="675">
        <v>58</v>
      </c>
      <c r="I65" s="676" t="s">
        <v>3851</v>
      </c>
      <c r="J65" s="677">
        <v>0.1</v>
      </c>
      <c r="K65" s="683">
        <v>55</v>
      </c>
      <c r="L65" s="677"/>
      <c r="M65" s="677">
        <v>3</v>
      </c>
      <c r="N65" s="677">
        <v>0</v>
      </c>
      <c r="O65" s="677"/>
      <c r="P65" s="677"/>
      <c r="Q65" s="677"/>
      <c r="R65" s="677"/>
      <c r="S65" s="677">
        <v>0</v>
      </c>
      <c r="T65" s="677">
        <v>0</v>
      </c>
      <c r="U65" s="677"/>
      <c r="V65" s="677">
        <v>40</v>
      </c>
      <c r="W65" s="677">
        <v>0</v>
      </c>
      <c r="X65" s="678">
        <v>0.78</v>
      </c>
      <c r="Y65" s="679">
        <v>43</v>
      </c>
      <c r="Z65" s="680">
        <v>450</v>
      </c>
      <c r="AA65" s="681">
        <v>66.483999999999995</v>
      </c>
      <c r="AB65" s="681"/>
      <c r="AC65" s="417">
        <v>2</v>
      </c>
      <c r="AD65" s="417"/>
      <c r="AE65" s="682" t="s">
        <v>3969</v>
      </c>
      <c r="AF65">
        <v>1</v>
      </c>
      <c r="AG65" s="688">
        <v>43101</v>
      </c>
      <c r="AH65" s="417"/>
      <c r="AI65" s="417"/>
      <c r="AJ65" s="689">
        <v>43124</v>
      </c>
      <c r="AK65" s="417"/>
      <c r="AL65" s="637" t="s">
        <v>3470</v>
      </c>
      <c r="AM65" s="417"/>
      <c r="AN65" s="417"/>
      <c r="AO65" s="636">
        <v>2858.8119999999999</v>
      </c>
      <c r="AP65">
        <v>556648</v>
      </c>
      <c r="AQ65" s="690">
        <v>43124</v>
      </c>
      <c r="AR65" s="417"/>
      <c r="AS65" s="417"/>
      <c r="AT65" s="417"/>
      <c r="AU65" s="417"/>
      <c r="AV65" s="417"/>
      <c r="AW65" s="417"/>
      <c r="AX65" s="417"/>
      <c r="AY65" t="s">
        <v>80</v>
      </c>
      <c r="AZ65" s="417"/>
      <c r="BA65" s="417"/>
      <c r="BB65" t="s">
        <v>3584</v>
      </c>
      <c r="BC65" s="636">
        <v>1</v>
      </c>
      <c r="BD65" s="417"/>
      <c r="BE65" s="612"/>
      <c r="BF65" s="613"/>
      <c r="BG65" s="614"/>
      <c r="BH65" s="682">
        <v>1</v>
      </c>
      <c r="BI65" s="417"/>
      <c r="BJ65" s="417">
        <v>34</v>
      </c>
      <c r="BK65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65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65" s="682">
        <v>1</v>
      </c>
      <c r="BN65" s="636"/>
      <c r="BO65" s="636"/>
      <c r="BP65" s="636"/>
      <c r="BQ65" s="636" t="s">
        <v>105</v>
      </c>
      <c r="BR65" s="636"/>
      <c r="BS65" s="636"/>
      <c r="BT65" s="636"/>
      <c r="BU65" s="636"/>
      <c r="BV65" s="636"/>
      <c r="BW65" s="636"/>
      <c r="BX65" s="636"/>
      <c r="BY65" s="972"/>
    </row>
    <row r="66" spans="1:77">
      <c r="A66" t="s">
        <v>105</v>
      </c>
      <c r="B66" s="675" t="s">
        <v>116</v>
      </c>
      <c r="C66" s="687" t="s">
        <v>3588</v>
      </c>
      <c r="D66" s="675">
        <v>0</v>
      </c>
      <c r="E66" s="675" t="s">
        <v>2311</v>
      </c>
      <c r="F66" s="675">
        <v>3</v>
      </c>
      <c r="G66" s="675" t="s">
        <v>79</v>
      </c>
      <c r="H66" s="675">
        <v>58</v>
      </c>
      <c r="I66" s="676" t="s">
        <v>3852</v>
      </c>
      <c r="J66" s="677">
        <v>0.1</v>
      </c>
      <c r="K66" s="683">
        <v>33</v>
      </c>
      <c r="L66" s="677"/>
      <c r="M66" s="677">
        <v>2</v>
      </c>
      <c r="N66" s="677">
        <v>0</v>
      </c>
      <c r="O66" s="677"/>
      <c r="P66" s="677"/>
      <c r="Q66" s="677"/>
      <c r="R66" s="677"/>
      <c r="S66" s="677">
        <v>0</v>
      </c>
      <c r="T66" s="677">
        <v>0</v>
      </c>
      <c r="U66" s="677"/>
      <c r="V66" s="677">
        <v>28</v>
      </c>
      <c r="W66" s="677">
        <v>0</v>
      </c>
      <c r="X66" s="678">
        <v>0.91</v>
      </c>
      <c r="Y66" s="679">
        <v>30</v>
      </c>
      <c r="Z66" s="680">
        <v>310</v>
      </c>
      <c r="AA66" s="681">
        <v>64.363</v>
      </c>
      <c r="AB66" s="681"/>
      <c r="AC66" s="417">
        <v>1</v>
      </c>
      <c r="AD66" s="417"/>
      <c r="AE66" s="682" t="s">
        <v>3970</v>
      </c>
      <c r="AF66">
        <v>1</v>
      </c>
      <c r="AG66" s="688">
        <v>43101</v>
      </c>
      <c r="AH66" s="417"/>
      <c r="AI66" s="417"/>
      <c r="AJ66" s="689">
        <v>43124</v>
      </c>
      <c r="AK66" s="417"/>
      <c r="AL66" s="637" t="s">
        <v>3475</v>
      </c>
      <c r="AM66" s="417"/>
      <c r="AN66" s="417"/>
      <c r="AO66" s="636">
        <v>1930.89</v>
      </c>
      <c r="AP66">
        <v>556648</v>
      </c>
      <c r="AQ66" s="690">
        <v>43124</v>
      </c>
      <c r="AR66" s="417"/>
      <c r="AS66" s="417"/>
      <c r="AT66" s="417"/>
      <c r="AU66" s="417"/>
      <c r="AV66" s="417"/>
      <c r="AW66" s="417"/>
      <c r="AX66" s="417"/>
      <c r="AY66" t="s">
        <v>80</v>
      </c>
      <c r="AZ66" s="417"/>
      <c r="BA66" s="417"/>
      <c r="BB66" t="s">
        <v>3584</v>
      </c>
      <c r="BC66" s="636">
        <v>1</v>
      </c>
      <c r="BD66" s="417"/>
      <c r="BE66" s="612"/>
      <c r="BF66" s="613"/>
      <c r="BG66" s="614"/>
      <c r="BH66" s="682">
        <v>1</v>
      </c>
      <c r="BI66" s="417"/>
      <c r="BJ66" s="417">
        <v>35</v>
      </c>
      <c r="BK66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66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66" s="682">
        <v>1</v>
      </c>
      <c r="BN66" s="636"/>
      <c r="BO66" s="636"/>
      <c r="BP66" s="636"/>
      <c r="BQ66" s="636" t="s">
        <v>105</v>
      </c>
      <c r="BR66" s="636"/>
      <c r="BS66" s="636"/>
      <c r="BT66" s="636"/>
      <c r="BU66" s="636"/>
      <c r="BV66" s="636"/>
      <c r="BW66" s="636"/>
      <c r="BX66" s="636"/>
      <c r="BY66" s="972"/>
    </row>
    <row r="67" spans="1:77">
      <c r="A67" t="s">
        <v>105</v>
      </c>
      <c r="B67" s="675" t="s">
        <v>116</v>
      </c>
      <c r="C67" s="687" t="s">
        <v>3588</v>
      </c>
      <c r="D67" s="675">
        <v>0</v>
      </c>
      <c r="E67" s="675" t="s">
        <v>2311</v>
      </c>
      <c r="F67" s="675">
        <v>3</v>
      </c>
      <c r="G67" s="675" t="s">
        <v>79</v>
      </c>
      <c r="H67" s="675">
        <v>58</v>
      </c>
      <c r="I67" s="676" t="s">
        <v>3853</v>
      </c>
      <c r="J67" s="677">
        <v>0.3</v>
      </c>
      <c r="K67" s="683">
        <v>45</v>
      </c>
      <c r="L67" s="677"/>
      <c r="M67" s="677">
        <v>23</v>
      </c>
      <c r="N67" s="677">
        <v>0</v>
      </c>
      <c r="O67" s="677"/>
      <c r="P67" s="677"/>
      <c r="Q67" s="677"/>
      <c r="R67" s="677"/>
      <c r="S67" s="677">
        <v>0</v>
      </c>
      <c r="T67" s="677">
        <v>0</v>
      </c>
      <c r="U67" s="677"/>
      <c r="V67" s="677">
        <v>21</v>
      </c>
      <c r="W67" s="677">
        <v>0</v>
      </c>
      <c r="X67" s="678">
        <v>0.98</v>
      </c>
      <c r="Y67" s="679">
        <v>44</v>
      </c>
      <c r="Z67" s="680">
        <v>160</v>
      </c>
      <c r="AA67" s="681">
        <v>46.616</v>
      </c>
      <c r="AB67" s="681"/>
      <c r="AC67" s="417">
        <v>4</v>
      </c>
      <c r="AD67" s="417"/>
      <c r="AE67" s="682" t="s">
        <v>3971</v>
      </c>
      <c r="AF67">
        <v>1</v>
      </c>
      <c r="AG67" s="688">
        <v>43101</v>
      </c>
      <c r="AH67" s="417"/>
      <c r="AI67" s="417"/>
      <c r="AJ67" s="689">
        <v>43124</v>
      </c>
      <c r="AK67" s="417"/>
      <c r="AL67" s="637" t="s">
        <v>3475</v>
      </c>
      <c r="AM67" s="417"/>
      <c r="AN67" s="417"/>
      <c r="AO67" s="636">
        <v>2051.1039999999998</v>
      </c>
      <c r="AP67">
        <v>556648</v>
      </c>
      <c r="AQ67" s="690">
        <v>43124</v>
      </c>
      <c r="AR67" s="417"/>
      <c r="AS67" s="417"/>
      <c r="AT67" s="417"/>
      <c r="AU67" s="417"/>
      <c r="AV67" s="417"/>
      <c r="AW67" s="417"/>
      <c r="AX67" s="417"/>
      <c r="AY67" t="s">
        <v>80</v>
      </c>
      <c r="AZ67" s="417"/>
      <c r="BA67" s="417"/>
      <c r="BB67" t="s">
        <v>3584</v>
      </c>
      <c r="BC67" s="636">
        <v>1</v>
      </c>
      <c r="BD67" s="417"/>
      <c r="BE67" s="612"/>
      <c r="BF67" s="613"/>
      <c r="BG67" s="614"/>
      <c r="BH67" s="682">
        <v>1</v>
      </c>
      <c r="BI67" s="417"/>
      <c r="BJ67" s="417">
        <v>36</v>
      </c>
      <c r="BK67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67" s="682" t="str">
        <f>Техкарта[[#This Row],[ПолнаяДіл]] &amp;" "&amp;Техкарта[[#This Row],[ЛК]]&amp;" "&amp;Техкарта[[#This Row],[Вид рубки]]</f>
        <v>58 кв (15 вид) 1 діл. 556648 рубка в охоронній зоні ЛЕП</v>
      </c>
      <c r="BM67" s="682">
        <v>1</v>
      </c>
      <c r="BN67" s="636"/>
      <c r="BO67" s="636"/>
      <c r="BP67" s="636"/>
      <c r="BQ67" s="636" t="s">
        <v>105</v>
      </c>
      <c r="BR67" s="636"/>
      <c r="BS67" s="636"/>
      <c r="BT67" s="636"/>
      <c r="BU67" s="636"/>
      <c r="BV67" s="636"/>
      <c r="BW67" s="636"/>
      <c r="BX67" s="636"/>
      <c r="BY67" s="972"/>
    </row>
    <row r="68" spans="1:77">
      <c r="A68" t="s">
        <v>105</v>
      </c>
      <c r="B68" s="675" t="s">
        <v>116</v>
      </c>
      <c r="C68" s="687" t="s">
        <v>126</v>
      </c>
      <c r="D68" s="675">
        <v>0</v>
      </c>
      <c r="E68" s="675" t="s">
        <v>2311</v>
      </c>
      <c r="F68" s="675">
        <v>3</v>
      </c>
      <c r="G68" s="675" t="s">
        <v>79</v>
      </c>
      <c r="H68" s="675">
        <v>58</v>
      </c>
      <c r="I68" s="676" t="s">
        <v>3795</v>
      </c>
      <c r="J68" s="677">
        <v>3.3</v>
      </c>
      <c r="K68" s="683">
        <v>274</v>
      </c>
      <c r="L68" s="677"/>
      <c r="M68" s="677">
        <v>31</v>
      </c>
      <c r="N68" s="677">
        <v>0</v>
      </c>
      <c r="O68" s="677"/>
      <c r="P68" s="677"/>
      <c r="Q68" s="677"/>
      <c r="R68" s="677"/>
      <c r="S68" s="677">
        <v>0</v>
      </c>
      <c r="T68" s="677">
        <v>0</v>
      </c>
      <c r="U68" s="677"/>
      <c r="V68" s="677">
        <v>110</v>
      </c>
      <c r="W68" s="677">
        <v>0</v>
      </c>
      <c r="X68" s="678">
        <v>0.51</v>
      </c>
      <c r="Y68" s="679">
        <v>141</v>
      </c>
      <c r="Z68" s="680">
        <v>48</v>
      </c>
      <c r="AA68" s="681">
        <v>63.246000000000002</v>
      </c>
      <c r="AB68" s="681"/>
      <c r="AC68" s="417">
        <v>16</v>
      </c>
      <c r="AD68" s="417"/>
      <c r="AE68" s="682" t="s">
        <v>3972</v>
      </c>
      <c r="AF68">
        <v>1</v>
      </c>
      <c r="AG68" s="688">
        <v>43101</v>
      </c>
      <c r="AH68" s="417"/>
      <c r="AI68" s="417"/>
      <c r="AJ68" s="689">
        <v>43124</v>
      </c>
      <c r="AK68" s="417"/>
      <c r="AL68" s="637" t="s">
        <v>3475</v>
      </c>
      <c r="AM68" s="417"/>
      <c r="AN68" s="417"/>
      <c r="AO68" s="636">
        <v>8917.6859999999997</v>
      </c>
      <c r="AP68">
        <v>556647</v>
      </c>
      <c r="AQ68" s="690">
        <v>43124</v>
      </c>
      <c r="AR68" s="417"/>
      <c r="AS68" s="417"/>
      <c r="AT68" s="417"/>
      <c r="AU68" s="417"/>
      <c r="AV68" s="417"/>
      <c r="AW68" s="417"/>
      <c r="AX68" s="417"/>
      <c r="AY68" t="s">
        <v>80</v>
      </c>
      <c r="AZ68" s="417"/>
      <c r="BA68" s="417"/>
      <c r="BB68" t="s">
        <v>3584</v>
      </c>
      <c r="BC68" s="636">
        <v>1</v>
      </c>
      <c r="BD68" s="417"/>
      <c r="BE68" s="612"/>
      <c r="BF68" s="613"/>
      <c r="BG68" s="614"/>
      <c r="BH68" s="682">
        <v>1</v>
      </c>
      <c r="BI68" s="417"/>
      <c r="BJ68" s="417">
        <v>22</v>
      </c>
      <c r="BK68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68" s="682" t="str">
        <f>Техкарта[[#This Row],[ПолнаяДіл]] &amp;" "&amp;Техкарта[[#This Row],[ЛК]]&amp;" "&amp;Техкарта[[#This Row],[Вид рубки]]</f>
        <v>58 кв (9 вид) 0 діл. 556647 СРВ</v>
      </c>
      <c r="BM68" s="682">
        <v>1</v>
      </c>
      <c r="BN68" s="636"/>
      <c r="BO68" s="636"/>
      <c r="BP68" s="636"/>
      <c r="BQ68" s="636" t="s">
        <v>105</v>
      </c>
      <c r="BR68" s="636"/>
      <c r="BS68" s="636"/>
      <c r="BT68" s="636"/>
      <c r="BU68" s="636"/>
      <c r="BV68" s="636"/>
      <c r="BW68" s="636"/>
      <c r="BX68" s="636"/>
      <c r="BY68" s="972"/>
    </row>
    <row r="69" spans="1:77">
      <c r="A69" t="s">
        <v>105</v>
      </c>
      <c r="B69" s="675" t="s">
        <v>116</v>
      </c>
      <c r="C69" s="687" t="s">
        <v>126</v>
      </c>
      <c r="D69" s="675">
        <v>0</v>
      </c>
      <c r="E69" s="675" t="s">
        <v>2311</v>
      </c>
      <c r="F69" s="675">
        <v>3</v>
      </c>
      <c r="G69" s="675" t="s">
        <v>79</v>
      </c>
      <c r="H69" s="675">
        <v>58</v>
      </c>
      <c r="I69" s="676" t="s">
        <v>3794</v>
      </c>
      <c r="J69" s="677">
        <v>1.8</v>
      </c>
      <c r="K69" s="683">
        <v>138</v>
      </c>
      <c r="L69" s="677"/>
      <c r="M69" s="677">
        <v>26</v>
      </c>
      <c r="N69" s="677">
        <v>0</v>
      </c>
      <c r="O69" s="677"/>
      <c r="P69" s="677"/>
      <c r="Q69" s="677"/>
      <c r="R69" s="677"/>
      <c r="S69" s="677">
        <v>0</v>
      </c>
      <c r="T69" s="677">
        <v>0</v>
      </c>
      <c r="U69" s="677"/>
      <c r="V69" s="677">
        <v>42</v>
      </c>
      <c r="W69" s="677">
        <v>0</v>
      </c>
      <c r="X69" s="678">
        <v>0.49</v>
      </c>
      <c r="Y69" s="679">
        <v>68</v>
      </c>
      <c r="Z69" s="680">
        <v>42</v>
      </c>
      <c r="AA69" s="681">
        <v>93.039000000000001</v>
      </c>
      <c r="AB69" s="681"/>
      <c r="AC69" s="417">
        <v>7</v>
      </c>
      <c r="AD69" s="417"/>
      <c r="AE69" s="682" t="s">
        <v>3973</v>
      </c>
      <c r="AF69">
        <v>1</v>
      </c>
      <c r="AG69" s="688">
        <v>43101</v>
      </c>
      <c r="AH69" s="417"/>
      <c r="AI69" s="417"/>
      <c r="AJ69" s="689">
        <v>43124</v>
      </c>
      <c r="AK69" s="417"/>
      <c r="AL69" s="637" t="s">
        <v>3475</v>
      </c>
      <c r="AM69" s="417"/>
      <c r="AN69" s="417"/>
      <c r="AO69" s="636">
        <v>6326.652</v>
      </c>
      <c r="AP69">
        <v>556647</v>
      </c>
      <c r="AQ69" s="690">
        <v>43124</v>
      </c>
      <c r="AR69" s="417"/>
      <c r="AS69" s="417"/>
      <c r="AT69" s="417"/>
      <c r="AU69" s="417"/>
      <c r="AV69" s="417"/>
      <c r="AW69" s="417"/>
      <c r="AX69" s="417"/>
      <c r="AY69" t="s">
        <v>80</v>
      </c>
      <c r="AZ69" s="417"/>
      <c r="BA69" s="417"/>
      <c r="BB69" t="s">
        <v>3584</v>
      </c>
      <c r="BC69" s="636">
        <v>1</v>
      </c>
      <c r="BD69" s="417"/>
      <c r="BE69" s="612"/>
      <c r="BF69" s="613"/>
      <c r="BG69" s="614"/>
      <c r="BH69" s="682">
        <v>1</v>
      </c>
      <c r="BI69" s="417"/>
      <c r="BJ69" s="417">
        <v>23</v>
      </c>
      <c r="BK69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69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69" s="682">
        <v>1</v>
      </c>
      <c r="BN69" s="636"/>
      <c r="BO69" s="636"/>
      <c r="BP69" s="636"/>
      <c r="BQ69" s="636" t="s">
        <v>105</v>
      </c>
      <c r="BR69" s="636"/>
      <c r="BS69" s="636"/>
      <c r="BT69" s="636"/>
      <c r="BU69" s="636"/>
      <c r="BV69" s="636"/>
      <c r="BW69" s="636"/>
      <c r="BX69" s="636"/>
      <c r="BY69" s="972"/>
    </row>
    <row r="70" spans="1:77">
      <c r="A70" t="s">
        <v>105</v>
      </c>
      <c r="B70" s="675" t="s">
        <v>116</v>
      </c>
      <c r="C70" s="687" t="s">
        <v>126</v>
      </c>
      <c r="D70" s="675">
        <v>0</v>
      </c>
      <c r="E70" s="675" t="s">
        <v>2311</v>
      </c>
      <c r="F70" s="675">
        <v>3</v>
      </c>
      <c r="G70" s="675" t="s">
        <v>79</v>
      </c>
      <c r="H70" s="675">
        <v>58</v>
      </c>
      <c r="I70" s="676" t="s">
        <v>3792</v>
      </c>
      <c r="J70" s="677">
        <v>0.3</v>
      </c>
      <c r="K70" s="683">
        <v>19</v>
      </c>
      <c r="L70" s="677"/>
      <c r="M70" s="677">
        <v>13</v>
      </c>
      <c r="N70" s="677">
        <v>0</v>
      </c>
      <c r="O70" s="677"/>
      <c r="P70" s="677"/>
      <c r="Q70" s="677"/>
      <c r="R70" s="677"/>
      <c r="S70" s="677">
        <v>0</v>
      </c>
      <c r="T70" s="677">
        <v>0</v>
      </c>
      <c r="U70" s="677"/>
      <c r="V70" s="677">
        <v>7</v>
      </c>
      <c r="W70" s="677">
        <v>0</v>
      </c>
      <c r="X70" s="678">
        <v>1.05</v>
      </c>
      <c r="Y70" s="679">
        <v>20</v>
      </c>
      <c r="Z70" s="680">
        <v>73</v>
      </c>
      <c r="AA70" s="681">
        <v>39.226999999999997</v>
      </c>
      <c r="AB70" s="681"/>
      <c r="AC70" s="417">
        <v>2</v>
      </c>
      <c r="AD70" s="417"/>
      <c r="AE70" s="682" t="s">
        <v>3974</v>
      </c>
      <c r="AF70">
        <v>1</v>
      </c>
      <c r="AG70" s="688">
        <v>43101</v>
      </c>
      <c r="AH70" s="417"/>
      <c r="AI70" s="417"/>
      <c r="AJ70" s="689">
        <v>43124</v>
      </c>
      <c r="AK70" s="417"/>
      <c r="AL70" s="637" t="s">
        <v>3475</v>
      </c>
      <c r="AM70" s="417"/>
      <c r="AN70" s="417"/>
      <c r="AO70" s="636">
        <v>784.54</v>
      </c>
      <c r="AP70">
        <v>556647</v>
      </c>
      <c r="AQ70" s="690">
        <v>43124</v>
      </c>
      <c r="AR70" s="417"/>
      <c r="AS70" s="417"/>
      <c r="AT70" s="417"/>
      <c r="AU70" s="417"/>
      <c r="AV70" s="417"/>
      <c r="AW70" s="417"/>
      <c r="AX70" s="417"/>
      <c r="AY70" t="s">
        <v>80</v>
      </c>
      <c r="AZ70" s="417"/>
      <c r="BA70" s="417"/>
      <c r="BB70" t="s">
        <v>3584</v>
      </c>
      <c r="BC70" s="636">
        <v>1</v>
      </c>
      <c r="BD70" s="417"/>
      <c r="BE70" s="612"/>
      <c r="BF70" s="613"/>
      <c r="BG70" s="614"/>
      <c r="BH70" s="682">
        <v>1</v>
      </c>
      <c r="BI70" s="417"/>
      <c r="BJ70" s="417">
        <v>24</v>
      </c>
      <c r="BK70" s="682" t="str">
        <f>Техкарта[[#This Row],[Кв-л]]&amp;" кв ("&amp;Substring(Техкарта[[#This Row],[Виділ]],"_",1)&amp;" вид) "&amp;Substring(Техкарта[[#This Row],[Виділ]],"_",2)&amp;" діл."</f>
        <v>58 кв (13 вид) 0 діл.</v>
      </c>
      <c r="BL70" s="682" t="str">
        <f>Техкарта[[#This Row],[ПолнаяДіл]] &amp;" "&amp;Техкарта[[#This Row],[ЛК]]&amp;" "&amp;Техкарта[[#This Row],[Вид рубки]]</f>
        <v>58 кв (13 вид) 0 діл. 556647 СРВ</v>
      </c>
      <c r="BM70" s="682">
        <v>1</v>
      </c>
      <c r="BN70" s="636"/>
      <c r="BO70" s="636"/>
      <c r="BP70" s="636"/>
      <c r="BQ70" s="636" t="s">
        <v>105</v>
      </c>
      <c r="BR70" s="636"/>
      <c r="BS70" s="636"/>
      <c r="BT70" s="636"/>
      <c r="BU70" s="636"/>
      <c r="BV70" s="636"/>
      <c r="BW70" s="636"/>
      <c r="BX70" s="636"/>
      <c r="BY70" s="972"/>
    </row>
    <row r="71" spans="1:77">
      <c r="A71" t="s">
        <v>105</v>
      </c>
      <c r="B71" s="675" t="s">
        <v>111</v>
      </c>
      <c r="C71" s="687" t="s">
        <v>126</v>
      </c>
      <c r="D71" s="675">
        <v>0</v>
      </c>
      <c r="E71" s="675" t="s">
        <v>2311</v>
      </c>
      <c r="F71" s="675">
        <v>3</v>
      </c>
      <c r="G71" s="675" t="s">
        <v>79</v>
      </c>
      <c r="H71" s="675">
        <v>106</v>
      </c>
      <c r="I71" s="676" t="s">
        <v>3794</v>
      </c>
      <c r="J71" s="677">
        <v>3.9</v>
      </c>
      <c r="K71" s="683">
        <v>450</v>
      </c>
      <c r="L71" s="677"/>
      <c r="M71" s="677">
        <v>11</v>
      </c>
      <c r="N71" s="677"/>
      <c r="O71" s="677"/>
      <c r="P71" s="677"/>
      <c r="Q71" s="677"/>
      <c r="R71" s="677"/>
      <c r="S71" s="677">
        <v>100</v>
      </c>
      <c r="T71" s="677">
        <v>0</v>
      </c>
      <c r="U71" s="677"/>
      <c r="V71" s="677">
        <v>54</v>
      </c>
      <c r="W71" s="677">
        <v>0</v>
      </c>
      <c r="X71" s="678">
        <v>0.37</v>
      </c>
      <c r="Y71" s="679">
        <v>165</v>
      </c>
      <c r="Z71" s="680">
        <v>48</v>
      </c>
      <c r="AA71" s="681">
        <v>81.358999999999995</v>
      </c>
      <c r="AB71" s="681"/>
      <c r="AC71" s="417">
        <v>23</v>
      </c>
      <c r="AD71" s="417"/>
      <c r="AE71" s="682" t="s">
        <v>3923</v>
      </c>
      <c r="AF71">
        <v>1</v>
      </c>
      <c r="AG71" s="688">
        <v>43101</v>
      </c>
      <c r="AH71" s="417"/>
      <c r="AI71" s="417"/>
      <c r="AJ71" s="689">
        <v>43109</v>
      </c>
      <c r="AK71" s="417"/>
      <c r="AL71" s="637" t="s">
        <v>3445</v>
      </c>
      <c r="AM71" s="417"/>
      <c r="AN71" s="417"/>
      <c r="AO71" s="636">
        <v>13424.235000000001</v>
      </c>
      <c r="AP71">
        <v>556642</v>
      </c>
      <c r="AQ71" s="690">
        <v>43105</v>
      </c>
      <c r="AR71" s="417"/>
      <c r="AS71" s="417"/>
      <c r="AT71" s="417"/>
      <c r="AU71" s="417"/>
      <c r="AV71" s="417"/>
      <c r="AW71" s="417"/>
      <c r="AX71" s="417"/>
      <c r="AY71" t="s">
        <v>80</v>
      </c>
      <c r="AZ71" s="417"/>
      <c r="BA71" s="417"/>
      <c r="BB71" t="s">
        <v>3584</v>
      </c>
      <c r="BC71" s="636">
        <v>1</v>
      </c>
      <c r="BD71" s="417"/>
      <c r="BE71" s="612"/>
      <c r="BF71" s="613"/>
      <c r="BG71" s="614"/>
      <c r="BH71" s="682">
        <v>1</v>
      </c>
      <c r="BI71" s="417"/>
      <c r="BJ71" s="417">
        <v>7</v>
      </c>
      <c r="BK71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71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71" s="682">
        <v>1</v>
      </c>
      <c r="BN71" s="636"/>
      <c r="BO71" s="636"/>
      <c r="BP71" s="636"/>
      <c r="BQ71" s="636" t="s">
        <v>105</v>
      </c>
      <c r="BR71" s="636"/>
      <c r="BS71" s="636"/>
      <c r="BT71" s="636"/>
      <c r="BU71" s="636"/>
      <c r="BV71" s="636"/>
      <c r="BW71" s="636"/>
      <c r="BX71" s="636"/>
      <c r="BY71" s="972"/>
    </row>
    <row r="72" spans="1:77">
      <c r="A72" t="s">
        <v>105</v>
      </c>
      <c r="B72" s="675" t="s">
        <v>116</v>
      </c>
      <c r="C72" s="687" t="s">
        <v>126</v>
      </c>
      <c r="D72" s="675">
        <v>0</v>
      </c>
      <c r="E72" s="675" t="s">
        <v>2311</v>
      </c>
      <c r="F72" s="675">
        <v>3</v>
      </c>
      <c r="G72" s="675" t="s">
        <v>79</v>
      </c>
      <c r="H72" s="675">
        <v>125</v>
      </c>
      <c r="I72" s="676" t="s">
        <v>3854</v>
      </c>
      <c r="J72" s="677">
        <v>1</v>
      </c>
      <c r="K72" s="683">
        <v>186</v>
      </c>
      <c r="L72" s="677"/>
      <c r="M72" s="677">
        <v>0</v>
      </c>
      <c r="N72" s="677">
        <v>0</v>
      </c>
      <c r="O72" s="677"/>
      <c r="P72" s="677"/>
      <c r="Q72" s="677"/>
      <c r="R72" s="677"/>
      <c r="S72" s="677">
        <v>0</v>
      </c>
      <c r="T72" s="677">
        <v>0</v>
      </c>
      <c r="U72" s="677"/>
      <c r="V72" s="677">
        <v>29</v>
      </c>
      <c r="W72" s="677">
        <v>0</v>
      </c>
      <c r="X72" s="678">
        <v>0.16</v>
      </c>
      <c r="Y72" s="679">
        <v>29</v>
      </c>
      <c r="Z72" s="680">
        <v>34</v>
      </c>
      <c r="AA72" s="681">
        <v>101.646</v>
      </c>
      <c r="AB72" s="681"/>
      <c r="AC72" s="417">
        <v>5</v>
      </c>
      <c r="AD72" s="417"/>
      <c r="AE72" s="682" t="s">
        <v>3975</v>
      </c>
      <c r="AF72">
        <v>1</v>
      </c>
      <c r="AG72" s="688">
        <v>43101</v>
      </c>
      <c r="AH72" s="417"/>
      <c r="AI72" s="417"/>
      <c r="AJ72" s="689">
        <v>43124</v>
      </c>
      <c r="AK72" s="417"/>
      <c r="AL72" s="637" t="s">
        <v>3470</v>
      </c>
      <c r="AM72" s="417"/>
      <c r="AN72" s="417"/>
      <c r="AO72" s="636">
        <v>2947.7339999999999</v>
      </c>
      <c r="AP72">
        <v>556647</v>
      </c>
      <c r="AQ72" s="690">
        <v>43124</v>
      </c>
      <c r="AR72" s="417"/>
      <c r="AS72" s="417"/>
      <c r="AT72" s="417"/>
      <c r="AU72" s="417"/>
      <c r="AV72" s="417"/>
      <c r="AW72" s="417"/>
      <c r="AX72" s="417"/>
      <c r="AY72" t="s">
        <v>80</v>
      </c>
      <c r="AZ72" s="417"/>
      <c r="BA72" s="417"/>
      <c r="BB72" t="s">
        <v>3584</v>
      </c>
      <c r="BC72" s="636">
        <v>1</v>
      </c>
      <c r="BD72" s="417"/>
      <c r="BE72" s="612"/>
      <c r="BF72" s="613"/>
      <c r="BG72" s="614"/>
      <c r="BH72" s="682">
        <v>1</v>
      </c>
      <c r="BI72" s="417"/>
      <c r="BJ72" s="417">
        <v>26</v>
      </c>
      <c r="BK72" s="682" t="str">
        <f>Техкарта[[#This Row],[Кв-л]]&amp;" кв ("&amp;Substring(Техкарта[[#This Row],[Виділ]],"_",1)&amp;" вид) "&amp;Substring(Техкарта[[#This Row],[Виділ]],"_",2)&amp;" діл."</f>
        <v>125 кв (21 вид) 0 діл.</v>
      </c>
      <c r="BL72" s="682" t="str">
        <f>Техкарта[[#This Row],[ПолнаяДіл]] &amp;" "&amp;Техкарта[[#This Row],[ЛК]]&amp;" "&amp;Техкарта[[#This Row],[Вид рубки]]</f>
        <v>125 кв (21 вид) 0 діл. 556647 СРВ</v>
      </c>
      <c r="BM72" s="682">
        <v>1</v>
      </c>
      <c r="BN72" s="636"/>
      <c r="BO72" s="636"/>
      <c r="BP72" s="636"/>
      <c r="BQ72" s="636" t="s">
        <v>105</v>
      </c>
      <c r="BR72" s="636"/>
      <c r="BS72" s="636"/>
      <c r="BT72" s="636"/>
      <c r="BU72" s="636"/>
      <c r="BV72" s="636"/>
      <c r="BW72" s="636"/>
      <c r="BX72" s="636"/>
      <c r="BY72" s="972"/>
    </row>
    <row r="73" spans="1:77">
      <c r="A73" t="s">
        <v>3896</v>
      </c>
      <c r="B73" s="675" t="s">
        <v>111</v>
      </c>
      <c r="C73" s="687" t="s">
        <v>134</v>
      </c>
      <c r="D73" s="675">
        <v>0</v>
      </c>
      <c r="E73" s="675" t="s">
        <v>2305</v>
      </c>
      <c r="F73" s="675"/>
      <c r="G73" s="675" t="s">
        <v>79</v>
      </c>
      <c r="H73" s="675">
        <v>77</v>
      </c>
      <c r="I73" s="676" t="s">
        <v>3830</v>
      </c>
      <c r="J73" s="677">
        <v>3.4</v>
      </c>
      <c r="K73" s="683"/>
      <c r="L73" s="677"/>
      <c r="M73" s="677"/>
      <c r="N73" s="677">
        <v>0</v>
      </c>
      <c r="O73" s="677"/>
      <c r="P73" s="677"/>
      <c r="Q73" s="677">
        <v>435.83</v>
      </c>
      <c r="R73" s="677"/>
      <c r="S73" s="677"/>
      <c r="T73" s="677">
        <v>0</v>
      </c>
      <c r="U73" s="677"/>
      <c r="V73" s="677"/>
      <c r="W73" s="677">
        <v>0</v>
      </c>
      <c r="X73" s="678" t="e">
        <v>#DIV/0!</v>
      </c>
      <c r="Y73" s="679">
        <v>52.3</v>
      </c>
      <c r="Z73" s="680">
        <v>15</v>
      </c>
      <c r="AA73" s="681">
        <v>198.52</v>
      </c>
      <c r="AB73" s="681"/>
      <c r="AC73" s="417"/>
      <c r="AD73" s="417"/>
      <c r="AE73" s="682" t="s">
        <v>3976</v>
      </c>
      <c r="AG73" s="688">
        <v>43101</v>
      </c>
      <c r="AH73" s="417"/>
      <c r="AI73" s="417"/>
      <c r="AJ73" s="689">
        <v>43109</v>
      </c>
      <c r="AK73" s="417"/>
      <c r="AL73" s="637" t="s">
        <v>3451</v>
      </c>
      <c r="AM73" s="417"/>
      <c r="AN73" s="417"/>
      <c r="AO73" s="636">
        <v>10382.596</v>
      </c>
      <c r="AP73">
        <v>556630</v>
      </c>
      <c r="AQ73" s="690" t="s">
        <v>3856</v>
      </c>
      <c r="AR73" s="417">
        <v>0.5</v>
      </c>
      <c r="AS73" s="417"/>
      <c r="AT73" s="417"/>
      <c r="AU73" s="417"/>
      <c r="AV73" s="417"/>
      <c r="AW73" s="417"/>
      <c r="AX73" s="417"/>
      <c r="AY73" t="s">
        <v>3424</v>
      </c>
      <c r="AZ73" s="417"/>
      <c r="BA73" s="417"/>
      <c r="BB73" t="s">
        <v>3583</v>
      </c>
      <c r="BC73" s="636">
        <v>1</v>
      </c>
      <c r="BD73" s="417"/>
      <c r="BE73" s="612"/>
      <c r="BF73" s="613"/>
      <c r="BG73" s="614"/>
      <c r="BH73" s="682">
        <v>0</v>
      </c>
      <c r="BI73" s="417"/>
      <c r="BJ73" s="417">
        <v>14</v>
      </c>
      <c r="BK73" s="682" t="str">
        <f>Техкарта[[#This Row],[Кв-л]]&amp;" кв ("&amp;Substring(Техкарта[[#This Row],[Виділ]],"_",1)&amp;" вид) "&amp;Substring(Техкарта[[#This Row],[Виділ]],"_",2)&amp;" діл."</f>
        <v>77 кв (1 вид) 0 діл.</v>
      </c>
      <c r="BL73" s="682" t="str">
        <f>Техкарта[[#This Row],[ПолнаяДіл]] &amp;" "&amp;Техкарта[[#This Row],[ЛК]]&amp;" "&amp;Техкарта[[#This Row],[Вид рубки]]</f>
        <v>77 кв (1 вид) 0 діл. 556630 ПРЧ</v>
      </c>
      <c r="BM73" s="682">
        <v>1</v>
      </c>
      <c r="BN73" s="636"/>
      <c r="BO73" s="636"/>
      <c r="BP73" s="636"/>
      <c r="BQ73" s="636" t="s">
        <v>3896</v>
      </c>
      <c r="BR73" s="636">
        <v>5</v>
      </c>
      <c r="BS73" s="636"/>
      <c r="BT73" s="636"/>
      <c r="BU73" s="636"/>
      <c r="BV73" s="636"/>
      <c r="BW73" s="636"/>
      <c r="BX73" s="636"/>
      <c r="BY73" s="972"/>
    </row>
    <row r="74" spans="1:77">
      <c r="A74" t="s">
        <v>3896</v>
      </c>
      <c r="B74" s="675" t="s">
        <v>111</v>
      </c>
      <c r="C74" s="687" t="s">
        <v>134</v>
      </c>
      <c r="D74" s="675">
        <v>0</v>
      </c>
      <c r="E74" s="675" t="s">
        <v>2305</v>
      </c>
      <c r="F74" s="675"/>
      <c r="G74" s="675" t="s">
        <v>79</v>
      </c>
      <c r="H74" s="675">
        <v>78</v>
      </c>
      <c r="I74" s="676" t="s">
        <v>3792</v>
      </c>
      <c r="J74" s="677">
        <v>3</v>
      </c>
      <c r="K74" s="683"/>
      <c r="L74" s="677"/>
      <c r="M74" s="677"/>
      <c r="N74" s="677">
        <v>0</v>
      </c>
      <c r="O74" s="677"/>
      <c r="P74" s="677"/>
      <c r="Q74" s="677">
        <v>475</v>
      </c>
      <c r="R74" s="677"/>
      <c r="S74" s="677"/>
      <c r="T74" s="677">
        <v>0</v>
      </c>
      <c r="U74" s="677"/>
      <c r="V74" s="677"/>
      <c r="W74" s="677">
        <v>0</v>
      </c>
      <c r="X74" s="678" t="e">
        <v>#DIV/0!</v>
      </c>
      <c r="Y74" s="682">
        <v>57</v>
      </c>
      <c r="Z74" s="680">
        <v>19</v>
      </c>
      <c r="AA74" s="681">
        <v>171.75</v>
      </c>
      <c r="AB74" s="681"/>
      <c r="AC74" s="417"/>
      <c r="AD74" s="417"/>
      <c r="AE74" s="682" t="s">
        <v>3977</v>
      </c>
      <c r="AG74" s="688">
        <v>43101</v>
      </c>
      <c r="AH74" s="417"/>
      <c r="AI74" s="417"/>
      <c r="AJ74" s="689">
        <v>43109</v>
      </c>
      <c r="AK74" s="417"/>
      <c r="AL74" s="637" t="s">
        <v>3451</v>
      </c>
      <c r="AM74" s="417"/>
      <c r="AN74" s="417"/>
      <c r="AO74" s="636">
        <v>9789.75</v>
      </c>
      <c r="AP74">
        <v>556630</v>
      </c>
      <c r="AQ74" s="690" t="s">
        <v>3856</v>
      </c>
      <c r="AR74" s="417">
        <v>0.5</v>
      </c>
      <c r="AS74" s="417"/>
      <c r="AT74" s="417"/>
      <c r="AU74" s="417"/>
      <c r="AV74" s="417"/>
      <c r="AW74" s="417"/>
      <c r="AX74" s="417"/>
      <c r="AY74" t="s">
        <v>3424</v>
      </c>
      <c r="AZ74" s="417"/>
      <c r="BA74" s="417"/>
      <c r="BB74" t="s">
        <v>3583</v>
      </c>
      <c r="BC74" s="636">
        <v>1</v>
      </c>
      <c r="BD74" s="417"/>
      <c r="BE74" s="612"/>
      <c r="BF74" s="613"/>
      <c r="BG74" s="614"/>
      <c r="BH74" s="682">
        <v>0</v>
      </c>
      <c r="BI74" s="417"/>
      <c r="BJ74" s="417">
        <v>15</v>
      </c>
      <c r="BK74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74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74" s="682">
        <v>1</v>
      </c>
      <c r="BN74" s="636"/>
      <c r="BO74" s="636"/>
      <c r="BP74" s="636"/>
      <c r="BQ74" s="636" t="s">
        <v>3896</v>
      </c>
      <c r="BR74" s="636">
        <v>5</v>
      </c>
      <c r="BS74" s="636"/>
      <c r="BT74" s="636"/>
      <c r="BU74" s="636"/>
      <c r="BV74" s="636"/>
      <c r="BW74" s="636"/>
      <c r="BX74" s="636"/>
      <c r="BY74" s="972"/>
    </row>
    <row r="75" spans="1:77">
      <c r="A75" t="s">
        <v>3896</v>
      </c>
      <c r="B75" s="675" t="s">
        <v>111</v>
      </c>
      <c r="C75" s="687" t="s">
        <v>134</v>
      </c>
      <c r="D75" s="675">
        <v>0</v>
      </c>
      <c r="E75" s="675" t="s">
        <v>2305</v>
      </c>
      <c r="F75" s="675"/>
      <c r="G75" s="675" t="s">
        <v>79</v>
      </c>
      <c r="H75" s="675">
        <v>66</v>
      </c>
      <c r="I75" s="676" t="s">
        <v>3790</v>
      </c>
      <c r="J75" s="677">
        <v>2.4</v>
      </c>
      <c r="K75" s="683"/>
      <c r="L75" s="677"/>
      <c r="M75" s="677"/>
      <c r="N75" s="677">
        <v>0</v>
      </c>
      <c r="O75" s="677"/>
      <c r="P75" s="677"/>
      <c r="Q75" s="677">
        <v>341.67</v>
      </c>
      <c r="R75" s="677"/>
      <c r="S75" s="677"/>
      <c r="T75" s="677">
        <v>0</v>
      </c>
      <c r="U75" s="677"/>
      <c r="V75" s="677"/>
      <c r="W75" s="677">
        <v>0</v>
      </c>
      <c r="X75" s="678" t="e">
        <v>#DIV/0!</v>
      </c>
      <c r="Y75" s="682">
        <v>41</v>
      </c>
      <c r="Z75" s="680">
        <v>17</v>
      </c>
      <c r="AA75" s="681">
        <v>171.75</v>
      </c>
      <c r="AB75" s="681"/>
      <c r="AC75" s="417"/>
      <c r="AD75" s="417"/>
      <c r="AE75" s="682" t="s">
        <v>3978</v>
      </c>
      <c r="AG75" s="688">
        <v>43101</v>
      </c>
      <c r="AH75" s="417"/>
      <c r="AI75" s="417"/>
      <c r="AJ75" s="689">
        <v>43109</v>
      </c>
      <c r="AK75" s="417"/>
      <c r="AL75" s="637" t="s">
        <v>3451</v>
      </c>
      <c r="AM75" s="417"/>
      <c r="AN75" s="417"/>
      <c r="AO75" s="636">
        <v>7041.75</v>
      </c>
      <c r="AP75">
        <v>556630</v>
      </c>
      <c r="AQ75" s="690" t="s">
        <v>3856</v>
      </c>
      <c r="AR75" s="417">
        <v>0.5</v>
      </c>
      <c r="AS75" s="417"/>
      <c r="AT75" s="417"/>
      <c r="AU75" s="417"/>
      <c r="AV75" s="417"/>
      <c r="AW75" s="417"/>
      <c r="AX75" s="417"/>
      <c r="AY75" t="s">
        <v>3424</v>
      </c>
      <c r="AZ75" s="417"/>
      <c r="BA75" s="417"/>
      <c r="BB75" t="s">
        <v>3583</v>
      </c>
      <c r="BC75" s="636">
        <v>1</v>
      </c>
      <c r="BD75" s="417"/>
      <c r="BE75" s="612"/>
      <c r="BF75" s="613"/>
      <c r="BG75" s="614"/>
      <c r="BH75" s="682">
        <v>0</v>
      </c>
      <c r="BI75" s="417"/>
      <c r="BJ75" s="417">
        <v>17</v>
      </c>
      <c r="BK75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75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75" s="682">
        <v>1</v>
      </c>
      <c r="BN75" s="636"/>
      <c r="BO75" s="636"/>
      <c r="BP75" s="636"/>
      <c r="BQ75" s="636" t="s">
        <v>3896</v>
      </c>
      <c r="BR75" s="636">
        <v>5</v>
      </c>
      <c r="BS75" s="636"/>
      <c r="BT75" s="636"/>
      <c r="BU75" s="636"/>
      <c r="BV75" s="636"/>
      <c r="BW75" s="636"/>
      <c r="BX75" s="636"/>
      <c r="BY75" s="972"/>
    </row>
    <row r="76" spans="1:77">
      <c r="A76" t="s">
        <v>3896</v>
      </c>
      <c r="B76" s="675" t="s">
        <v>111</v>
      </c>
      <c r="C76" s="687" t="s">
        <v>134</v>
      </c>
      <c r="D76" s="675">
        <v>0</v>
      </c>
      <c r="E76" s="675" t="s">
        <v>2305</v>
      </c>
      <c r="F76" s="675"/>
      <c r="G76" s="675" t="s">
        <v>79</v>
      </c>
      <c r="H76" s="675">
        <v>48</v>
      </c>
      <c r="I76" s="676" t="s">
        <v>3830</v>
      </c>
      <c r="J76" s="677">
        <v>6.1</v>
      </c>
      <c r="K76" s="683"/>
      <c r="L76" s="677"/>
      <c r="M76" s="677"/>
      <c r="N76" s="677">
        <v>0</v>
      </c>
      <c r="O76" s="677"/>
      <c r="P76" s="677"/>
      <c r="Q76" s="677">
        <v>633.33000000000004</v>
      </c>
      <c r="R76" s="677"/>
      <c r="S76" s="677"/>
      <c r="T76" s="677">
        <v>0</v>
      </c>
      <c r="U76" s="677"/>
      <c r="V76" s="677"/>
      <c r="W76" s="677">
        <v>0</v>
      </c>
      <c r="X76" s="678" t="e">
        <v>#DIV/0!</v>
      </c>
      <c r="Y76" s="682">
        <v>76</v>
      </c>
      <c r="Z76" s="680">
        <v>12</v>
      </c>
      <c r="AA76" s="681">
        <v>198.52</v>
      </c>
      <c r="AB76" s="681"/>
      <c r="AC76" s="417"/>
      <c r="AD76" s="417"/>
      <c r="AE76" s="682" t="s">
        <v>3979</v>
      </c>
      <c r="AG76" s="688">
        <v>43101</v>
      </c>
      <c r="AH76" s="417"/>
      <c r="AI76" s="417"/>
      <c r="AJ76" s="689">
        <v>43109</v>
      </c>
      <c r="AK76" s="417"/>
      <c r="AL76" s="637" t="s">
        <v>3457</v>
      </c>
      <c r="AM76" s="417"/>
      <c r="AN76" s="417"/>
      <c r="AO76" s="636">
        <v>15087.52</v>
      </c>
      <c r="AP76">
        <v>556630</v>
      </c>
      <c r="AQ76" s="690" t="s">
        <v>3856</v>
      </c>
      <c r="AR76" s="417">
        <v>0.5</v>
      </c>
      <c r="AS76" s="417"/>
      <c r="AT76" s="417"/>
      <c r="AU76" s="417"/>
      <c r="AV76" s="417"/>
      <c r="AW76" s="417"/>
      <c r="AX76" s="417"/>
      <c r="AY76" t="s">
        <v>3424</v>
      </c>
      <c r="AZ76" s="417"/>
      <c r="BA76" s="417"/>
      <c r="BB76" t="s">
        <v>3583</v>
      </c>
      <c r="BC76" s="636">
        <v>1</v>
      </c>
      <c r="BD76" s="417"/>
      <c r="BE76" s="612"/>
      <c r="BF76" s="613"/>
      <c r="BG76" s="614"/>
      <c r="BH76" s="682">
        <v>0</v>
      </c>
      <c r="BI76" s="417"/>
      <c r="BJ76" s="417">
        <v>16</v>
      </c>
      <c r="BK76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76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76" s="682">
        <v>1</v>
      </c>
      <c r="BN76" s="636"/>
      <c r="BO76" s="636"/>
      <c r="BP76" s="636"/>
      <c r="BQ76" s="636" t="s">
        <v>3896</v>
      </c>
      <c r="BR76" s="636">
        <v>5</v>
      </c>
      <c r="BS76" s="636"/>
      <c r="BT76" s="636"/>
      <c r="BU76" s="636"/>
      <c r="BV76" s="636"/>
      <c r="BW76" s="636"/>
      <c r="BX76" s="636"/>
      <c r="BY76" s="972"/>
    </row>
    <row r="77" spans="1:77">
      <c r="A77" t="s">
        <v>105</v>
      </c>
      <c r="B77" s="675" t="s">
        <v>111</v>
      </c>
      <c r="C77" s="687" t="s">
        <v>3588</v>
      </c>
      <c r="D77" s="675">
        <v>0</v>
      </c>
      <c r="E77" s="675" t="s">
        <v>2311</v>
      </c>
      <c r="F77" s="675">
        <v>3</v>
      </c>
      <c r="G77" s="675" t="s">
        <v>79</v>
      </c>
      <c r="H77" s="675">
        <v>125</v>
      </c>
      <c r="I77" s="676" t="s">
        <v>3898</v>
      </c>
      <c r="J77" s="677">
        <v>0.6</v>
      </c>
      <c r="K77" s="683">
        <v>80</v>
      </c>
      <c r="L77" s="677"/>
      <c r="M77" s="677">
        <v>16</v>
      </c>
      <c r="N77" s="677">
        <v>0</v>
      </c>
      <c r="O77" s="677"/>
      <c r="P77" s="677"/>
      <c r="Q77" s="677"/>
      <c r="R77" s="677"/>
      <c r="S77" s="677">
        <v>42</v>
      </c>
      <c r="T77" s="677">
        <v>0</v>
      </c>
      <c r="U77" s="677"/>
      <c r="V77" s="677">
        <v>0</v>
      </c>
      <c r="W77" s="677">
        <v>0</v>
      </c>
      <c r="X77" s="678">
        <v>0.73</v>
      </c>
      <c r="Y77" s="682">
        <v>58</v>
      </c>
      <c r="Z77" s="680">
        <v>108</v>
      </c>
      <c r="AA77" s="681">
        <v>57.975999999999999</v>
      </c>
      <c r="AB77" s="681"/>
      <c r="AC77" s="417">
        <v>7</v>
      </c>
      <c r="AD77" s="417"/>
      <c r="AE77" s="682" t="s">
        <v>3980</v>
      </c>
      <c r="AF77">
        <v>1</v>
      </c>
      <c r="AG77" s="688">
        <v>43101</v>
      </c>
      <c r="AH77" s="417"/>
      <c r="AI77" s="417"/>
      <c r="AJ77" s="689">
        <v>43125</v>
      </c>
      <c r="AK77" s="417"/>
      <c r="AL77" s="637" t="s">
        <v>3467</v>
      </c>
      <c r="AM77" s="417"/>
      <c r="AN77" s="417"/>
      <c r="AO77" s="636">
        <v>3362.6080000000002</v>
      </c>
      <c r="AP77">
        <v>556649</v>
      </c>
      <c r="AQ77" s="690">
        <v>43125</v>
      </c>
      <c r="AR77" s="417"/>
      <c r="AS77" s="417"/>
      <c r="AT77" s="417"/>
      <c r="AU77" s="417"/>
      <c r="AV77" s="417"/>
      <c r="AW77" s="417"/>
      <c r="AX77" s="417"/>
      <c r="AY77" t="s">
        <v>3424</v>
      </c>
      <c r="AZ77" s="417"/>
      <c r="BA77" s="417"/>
      <c r="BB77" t="s">
        <v>3583</v>
      </c>
      <c r="BC77" s="636">
        <v>1</v>
      </c>
      <c r="BD77" s="417"/>
      <c r="BE77" s="612"/>
      <c r="BF77" s="613"/>
      <c r="BG77" s="614"/>
      <c r="BH77" s="682">
        <v>1</v>
      </c>
      <c r="BI77" s="417"/>
      <c r="BJ77" s="417">
        <v>11</v>
      </c>
      <c r="BK77" s="682" t="str">
        <f>Техкарта[[#This Row],[Кв-л]]&amp;" кв ("&amp;Substring(Техкарта[[#This Row],[Виділ]],"_",1)&amp;" вид) "&amp;Substring(Техкарта[[#This Row],[Виділ]],"_",2)&amp;" діл."</f>
        <v>125 кв (22 вид) 1 діл.</v>
      </c>
      <c r="BL77" s="682" t="str">
        <f>Техкарта[[#This Row],[ПолнаяДіл]] &amp;" "&amp;Техкарта[[#This Row],[ЛК]]&amp;" "&amp;Техкарта[[#This Row],[Вид рубки]]</f>
        <v>125 кв (22 вид) 1 діл. 556649 рубка в охоронній зоні ЛЕП</v>
      </c>
      <c r="BM77" s="682">
        <v>1</v>
      </c>
      <c r="BN77" s="636"/>
      <c r="BO77" s="636"/>
      <c r="BP77" s="636"/>
      <c r="BQ77" s="636" t="s">
        <v>105</v>
      </c>
      <c r="BR77" s="636"/>
      <c r="BS77" s="636"/>
      <c r="BT77" s="636"/>
      <c r="BU77" s="636"/>
      <c r="BV77" s="636"/>
      <c r="BW77" s="636"/>
      <c r="BX77" s="636"/>
      <c r="BY77" s="972"/>
    </row>
    <row r="78" spans="1:77">
      <c r="A78" t="s">
        <v>105</v>
      </c>
      <c r="B78" s="675" t="s">
        <v>111</v>
      </c>
      <c r="C78" s="687" t="s">
        <v>3588</v>
      </c>
      <c r="D78" s="675">
        <v>0</v>
      </c>
      <c r="E78" s="675" t="s">
        <v>2311</v>
      </c>
      <c r="F78" s="675">
        <v>3</v>
      </c>
      <c r="G78" s="675" t="s">
        <v>79</v>
      </c>
      <c r="H78" s="675">
        <v>125</v>
      </c>
      <c r="I78" s="676" t="s">
        <v>3897</v>
      </c>
      <c r="J78" s="677">
        <v>0.6</v>
      </c>
      <c r="K78" s="683">
        <v>77</v>
      </c>
      <c r="L78" s="677"/>
      <c r="M78" s="677">
        <v>22</v>
      </c>
      <c r="N78" s="677">
        <v>0</v>
      </c>
      <c r="O78" s="677"/>
      <c r="P78" s="677"/>
      <c r="Q78" s="677"/>
      <c r="R78" s="677"/>
      <c r="S78" s="677">
        <v>25</v>
      </c>
      <c r="T78" s="677">
        <v>0</v>
      </c>
      <c r="U78" s="677"/>
      <c r="V78" s="677">
        <v>0</v>
      </c>
      <c r="W78" s="677">
        <v>0</v>
      </c>
      <c r="X78" s="678">
        <v>0.61</v>
      </c>
      <c r="Y78" s="682">
        <v>47</v>
      </c>
      <c r="Z78" s="680">
        <v>88</v>
      </c>
      <c r="AA78" s="681">
        <v>53.219000000000001</v>
      </c>
      <c r="AB78" s="681"/>
      <c r="AC78" s="417">
        <v>6</v>
      </c>
      <c r="AD78" s="417"/>
      <c r="AE78" s="682" t="s">
        <v>3981</v>
      </c>
      <c r="AF78">
        <v>1</v>
      </c>
      <c r="AG78" s="688">
        <v>43101</v>
      </c>
      <c r="AH78" s="417"/>
      <c r="AI78" s="417"/>
      <c r="AJ78" s="689">
        <v>43125</v>
      </c>
      <c r="AK78" s="417"/>
      <c r="AL78" s="637" t="s">
        <v>3467</v>
      </c>
      <c r="AM78" s="417"/>
      <c r="AN78" s="417"/>
      <c r="AO78" s="636">
        <v>2501.2930000000001</v>
      </c>
      <c r="AP78">
        <v>556649</v>
      </c>
      <c r="AQ78" s="690">
        <v>43125</v>
      </c>
      <c r="AR78" s="417"/>
      <c r="AS78" s="417"/>
      <c r="AT78" s="417"/>
      <c r="AU78" s="417"/>
      <c r="AV78" s="417"/>
      <c r="AW78" s="417"/>
      <c r="AX78" s="417"/>
      <c r="AY78" t="s">
        <v>3424</v>
      </c>
      <c r="AZ78" s="417"/>
      <c r="BA78" s="417"/>
      <c r="BB78" t="s">
        <v>3583</v>
      </c>
      <c r="BC78" s="636">
        <v>1</v>
      </c>
      <c r="BD78" s="417"/>
      <c r="BE78" s="612"/>
      <c r="BF78" s="613"/>
      <c r="BG78" s="614"/>
      <c r="BH78" s="682">
        <v>1</v>
      </c>
      <c r="BI78" s="417"/>
      <c r="BJ78" s="417">
        <v>12</v>
      </c>
      <c r="BK78" s="682" t="str">
        <f>Техкарта[[#This Row],[Кв-л]]&amp;" кв ("&amp;Substring(Техкарта[[#This Row],[Виділ]],"_",1)&amp;" вид) "&amp;Substring(Техкарта[[#This Row],[Виділ]],"_",2)&amp;" діл."</f>
        <v>125 кв (18 вид) 1 діл.</v>
      </c>
      <c r="BL78" s="682" t="str">
        <f>Техкарта[[#This Row],[ПолнаяДіл]] &amp;" "&amp;Техкарта[[#This Row],[ЛК]]&amp;" "&amp;Техкарта[[#This Row],[Вид рубки]]</f>
        <v>125 кв (18 вид) 1 діл. 556649 рубка в охоронній зоні ЛЕП</v>
      </c>
      <c r="BM78" s="682">
        <v>1</v>
      </c>
      <c r="BN78" s="636"/>
      <c r="BO78" s="636"/>
      <c r="BP78" s="636"/>
      <c r="BQ78" s="636" t="s">
        <v>105</v>
      </c>
      <c r="BR78" s="636"/>
      <c r="BS78" s="636"/>
      <c r="BT78" s="636"/>
      <c r="BU78" s="636"/>
      <c r="BV78" s="636"/>
      <c r="BW78" s="636"/>
      <c r="BX78" s="636"/>
      <c r="BY78" s="972"/>
    </row>
    <row r="79" spans="1:77">
      <c r="A79" t="s">
        <v>105</v>
      </c>
      <c r="B79" s="675" t="s">
        <v>111</v>
      </c>
      <c r="C79" s="687" t="s">
        <v>3588</v>
      </c>
      <c r="D79" s="675">
        <v>0</v>
      </c>
      <c r="E79" s="675" t="s">
        <v>2311</v>
      </c>
      <c r="F79" s="675">
        <v>3</v>
      </c>
      <c r="G79" s="675" t="s">
        <v>79</v>
      </c>
      <c r="H79" s="675">
        <v>125</v>
      </c>
      <c r="I79" s="676" t="s">
        <v>3899</v>
      </c>
      <c r="J79" s="677">
        <v>0.5</v>
      </c>
      <c r="K79" s="683">
        <v>45</v>
      </c>
      <c r="L79" s="677"/>
      <c r="M79" s="677">
        <v>0</v>
      </c>
      <c r="N79" s="677">
        <v>0</v>
      </c>
      <c r="O79" s="677"/>
      <c r="P79" s="677"/>
      <c r="Q79" s="677"/>
      <c r="R79" s="677"/>
      <c r="S79" s="677">
        <v>46</v>
      </c>
      <c r="T79" s="677">
        <v>0</v>
      </c>
      <c r="U79" s="677"/>
      <c r="V79" s="677">
        <v>0</v>
      </c>
      <c r="W79" s="677">
        <v>0</v>
      </c>
      <c r="X79" s="678">
        <v>1.02</v>
      </c>
      <c r="Y79" s="682">
        <v>46</v>
      </c>
      <c r="Z79" s="680">
        <v>94</v>
      </c>
      <c r="AA79" s="681">
        <v>63.719000000000001</v>
      </c>
      <c r="AB79" s="681"/>
      <c r="AC79" s="417">
        <v>1</v>
      </c>
      <c r="AD79" s="417"/>
      <c r="AE79" s="682" t="s">
        <v>3982</v>
      </c>
      <c r="AF79">
        <v>1</v>
      </c>
      <c r="AG79" s="688">
        <v>43101</v>
      </c>
      <c r="AH79" s="417"/>
      <c r="AI79" s="417"/>
      <c r="AJ79" s="689">
        <v>43125</v>
      </c>
      <c r="AK79" s="417"/>
      <c r="AL79" s="637" t="s">
        <v>3467</v>
      </c>
      <c r="AM79" s="417"/>
      <c r="AN79" s="417"/>
      <c r="AO79" s="636">
        <v>2931.0740000000001</v>
      </c>
      <c r="AP79">
        <v>556649</v>
      </c>
      <c r="AQ79" s="690">
        <v>43125</v>
      </c>
      <c r="AR79" s="417"/>
      <c r="AS79" s="417"/>
      <c r="AT79" s="417"/>
      <c r="AU79" s="417"/>
      <c r="AV79" s="417"/>
      <c r="AW79" s="417"/>
      <c r="AX79" s="417"/>
      <c r="AY79" t="s">
        <v>3424</v>
      </c>
      <c r="AZ79" s="417"/>
      <c r="BA79" s="417"/>
      <c r="BB79" t="s">
        <v>3583</v>
      </c>
      <c r="BC79" s="636">
        <v>1</v>
      </c>
      <c r="BD79" s="417"/>
      <c r="BE79" s="612"/>
      <c r="BF79" s="613"/>
      <c r="BG79" s="614"/>
      <c r="BH79" s="682">
        <v>1</v>
      </c>
      <c r="BI79" s="417"/>
      <c r="BJ79" s="417">
        <v>13</v>
      </c>
      <c r="BK79" s="682" t="str">
        <f>Техкарта[[#This Row],[Кв-л]]&amp;" кв ("&amp;Substring(Техкарта[[#This Row],[Виділ]],"_",1)&amp;" вид) "&amp;Substring(Техкарта[[#This Row],[Виділ]],"_",2)&amp;" діл."</f>
        <v>125 кв (26 вид) 1 діл.</v>
      </c>
      <c r="BL79" s="682" t="str">
        <f>Техкарта[[#This Row],[ПолнаяДіл]] &amp;" "&amp;Техкарта[[#This Row],[ЛК]]&amp;" "&amp;Техкарта[[#This Row],[Вид рубки]]</f>
        <v>125 кв (26 вид) 1 діл. 556649 рубка в охоронній зоні ЛЕП</v>
      </c>
      <c r="BM79" s="682">
        <v>1</v>
      </c>
      <c r="BN79" s="636"/>
      <c r="BO79" s="636"/>
      <c r="BP79" s="636"/>
      <c r="BQ79" s="636" t="s">
        <v>105</v>
      </c>
      <c r="BR79" s="636"/>
      <c r="BS79" s="636"/>
      <c r="BT79" s="636"/>
      <c r="BU79" s="636"/>
      <c r="BV79" s="636"/>
      <c r="BW79" s="636"/>
      <c r="BX79" s="636"/>
      <c r="BY79" s="972"/>
    </row>
    <row r="80" spans="1:77">
      <c r="A80" t="s">
        <v>3896</v>
      </c>
      <c r="B80" s="675" t="s">
        <v>112</v>
      </c>
      <c r="C80" s="687" t="s">
        <v>134</v>
      </c>
      <c r="D80" s="675">
        <v>0</v>
      </c>
      <c r="E80" s="675" t="s">
        <v>2305</v>
      </c>
      <c r="F80" s="675"/>
      <c r="G80" s="675" t="s">
        <v>79</v>
      </c>
      <c r="H80" s="675">
        <v>19</v>
      </c>
      <c r="I80" s="676" t="s">
        <v>3791</v>
      </c>
      <c r="J80" s="677">
        <v>0.7</v>
      </c>
      <c r="K80" s="683"/>
      <c r="L80" s="677"/>
      <c r="M80" s="677"/>
      <c r="N80" s="677">
        <v>0</v>
      </c>
      <c r="O80" s="677"/>
      <c r="P80" s="677"/>
      <c r="Q80" s="677">
        <v>208.33</v>
      </c>
      <c r="R80" s="677"/>
      <c r="S80" s="677"/>
      <c r="T80" s="677">
        <v>0</v>
      </c>
      <c r="U80" s="677"/>
      <c r="V80" s="677"/>
      <c r="W80" s="677"/>
      <c r="X80" s="678" t="e">
        <v>#DIV/0!</v>
      </c>
      <c r="Y80" s="682">
        <v>25</v>
      </c>
      <c r="Z80" s="680">
        <v>36</v>
      </c>
      <c r="AA80" s="681">
        <v>160.69</v>
      </c>
      <c r="AB80" s="681"/>
      <c r="AC80" s="417"/>
      <c r="AD80" s="417"/>
      <c r="AE80" s="682" t="s">
        <v>3983</v>
      </c>
      <c r="AG80" s="688">
        <v>43101</v>
      </c>
      <c r="AH80" s="417"/>
      <c r="AI80" s="417"/>
      <c r="AJ80" s="689">
        <v>43109</v>
      </c>
      <c r="AK80" s="417"/>
      <c r="AL80" s="637" t="s">
        <v>3434</v>
      </c>
      <c r="AM80" s="417"/>
      <c r="AN80" s="417"/>
      <c r="AO80" s="636">
        <v>4017.25</v>
      </c>
      <c r="AP80">
        <v>556633</v>
      </c>
      <c r="AQ80" s="690" t="s">
        <v>3856</v>
      </c>
      <c r="AR80" s="417">
        <v>0.5</v>
      </c>
      <c r="AS80" s="417"/>
      <c r="AT80" s="417"/>
      <c r="AU80" s="417"/>
      <c r="AV80" s="417"/>
      <c r="AW80" s="417"/>
      <c r="AX80" s="417"/>
      <c r="AY80" t="s">
        <v>80</v>
      </c>
      <c r="AZ80" s="417"/>
      <c r="BA80" s="417"/>
      <c r="BB80" t="s">
        <v>3584</v>
      </c>
      <c r="BC80" s="636">
        <v>1</v>
      </c>
      <c r="BD80" s="417"/>
      <c r="BE80" s="612"/>
      <c r="BF80" s="613"/>
      <c r="BG80" s="614"/>
      <c r="BH80" s="682">
        <v>0</v>
      </c>
      <c r="BI80" s="417"/>
      <c r="BJ80" s="417">
        <v>7</v>
      </c>
      <c r="BK80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0" s="682" t="str">
        <f>Техкарта[[#This Row],[ПолнаяДіл]] &amp;" "&amp;Техкарта[[#This Row],[ЛК]]&amp;" "&amp;Техкарта[[#This Row],[Вид рубки]]</f>
        <v>19 кв (7 вид) 0 діл. 556633 ПРЧ</v>
      </c>
      <c r="BM80" s="682">
        <v>1</v>
      </c>
      <c r="BN80" s="636"/>
      <c r="BO80" s="636"/>
      <c r="BP80" s="636"/>
      <c r="BQ80" s="636" t="s">
        <v>3896</v>
      </c>
      <c r="BR80" s="636">
        <v>5</v>
      </c>
      <c r="BS80" s="636"/>
      <c r="BT80" s="636"/>
      <c r="BU80" s="636"/>
      <c r="BV80" s="636"/>
      <c r="BW80" s="636"/>
      <c r="BX80" s="636"/>
      <c r="BY80" s="972"/>
    </row>
    <row r="81" spans="1:77">
      <c r="A81" t="s">
        <v>3896</v>
      </c>
      <c r="B81" s="675" t="s">
        <v>112</v>
      </c>
      <c r="C81" s="687" t="s">
        <v>134</v>
      </c>
      <c r="D81" s="675">
        <v>0</v>
      </c>
      <c r="E81" s="675" t="s">
        <v>2305</v>
      </c>
      <c r="F81" s="675"/>
      <c r="G81" s="675" t="s">
        <v>79</v>
      </c>
      <c r="H81" s="675">
        <v>26</v>
      </c>
      <c r="I81" s="676" t="s">
        <v>3850</v>
      </c>
      <c r="J81" s="677">
        <v>1.2</v>
      </c>
      <c r="K81" s="683"/>
      <c r="L81" s="677"/>
      <c r="M81" s="677"/>
      <c r="N81" s="677">
        <v>0</v>
      </c>
      <c r="O81" s="677"/>
      <c r="P81" s="677"/>
      <c r="Q81" s="677">
        <v>216.67</v>
      </c>
      <c r="R81" s="677"/>
      <c r="S81" s="677"/>
      <c r="T81" s="677">
        <v>0</v>
      </c>
      <c r="U81" s="677"/>
      <c r="V81" s="677"/>
      <c r="W81" s="677"/>
      <c r="X81" s="678" t="e">
        <v>#DIV/0!</v>
      </c>
      <c r="Y81" s="682">
        <v>26</v>
      </c>
      <c r="Z81" s="680">
        <v>22</v>
      </c>
      <c r="AA81" s="681">
        <v>171.75</v>
      </c>
      <c r="AB81" s="681"/>
      <c r="AC81" s="417"/>
      <c r="AD81" s="417"/>
      <c r="AE81" s="682" t="s">
        <v>3984</v>
      </c>
      <c r="AG81" s="688">
        <v>43101</v>
      </c>
      <c r="AH81" s="417"/>
      <c r="AI81" s="417"/>
      <c r="AJ81" s="689">
        <v>43109</v>
      </c>
      <c r="AK81" s="417"/>
      <c r="AL81" s="637" t="s">
        <v>3434</v>
      </c>
      <c r="AM81" s="417"/>
      <c r="AN81" s="417"/>
      <c r="AO81" s="636">
        <v>4465.5</v>
      </c>
      <c r="AP81">
        <v>556633</v>
      </c>
      <c r="AQ81" s="690" t="s">
        <v>3856</v>
      </c>
      <c r="AR81" s="417">
        <v>0.5</v>
      </c>
      <c r="AS81" s="417"/>
      <c r="AT81" s="417"/>
      <c r="AU81" s="417"/>
      <c r="AV81" s="417"/>
      <c r="AW81" s="417"/>
      <c r="AX81" s="417"/>
      <c r="AY81" t="s">
        <v>80</v>
      </c>
      <c r="AZ81" s="417"/>
      <c r="BA81" s="417"/>
      <c r="BB81" t="s">
        <v>3584</v>
      </c>
      <c r="BC81" s="636">
        <v>1</v>
      </c>
      <c r="BD81" s="417"/>
      <c r="BE81" s="612"/>
      <c r="BF81" s="613"/>
      <c r="BG81" s="614"/>
      <c r="BH81" s="682">
        <v>0</v>
      </c>
      <c r="BI81" s="417"/>
      <c r="BJ81" s="417">
        <v>8</v>
      </c>
      <c r="BK81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81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81" s="682">
        <v>1</v>
      </c>
      <c r="BN81" s="636"/>
      <c r="BO81" s="636"/>
      <c r="BP81" s="636"/>
      <c r="BQ81" s="636" t="s">
        <v>3896</v>
      </c>
      <c r="BR81" s="636">
        <v>5</v>
      </c>
      <c r="BS81" s="636"/>
      <c r="BT81" s="636"/>
      <c r="BU81" s="636"/>
      <c r="BV81" s="636"/>
      <c r="BW81" s="636"/>
      <c r="BX81" s="636"/>
      <c r="BY81" s="972"/>
    </row>
    <row r="82" spans="1:77">
      <c r="A82" t="s">
        <v>3896</v>
      </c>
      <c r="B82" s="675" t="s">
        <v>112</v>
      </c>
      <c r="C82" s="687" t="s">
        <v>134</v>
      </c>
      <c r="D82" s="675">
        <v>0</v>
      </c>
      <c r="E82" s="675" t="s">
        <v>2305</v>
      </c>
      <c r="F82" s="675"/>
      <c r="G82" s="675" t="s">
        <v>79</v>
      </c>
      <c r="H82" s="675">
        <v>28</v>
      </c>
      <c r="I82" s="676" t="s">
        <v>3900</v>
      </c>
      <c r="J82" s="677">
        <v>0.3</v>
      </c>
      <c r="K82" s="683"/>
      <c r="L82" s="677"/>
      <c r="M82" s="677"/>
      <c r="N82" s="677">
        <v>0</v>
      </c>
      <c r="O82" s="677"/>
      <c r="P82" s="677"/>
      <c r="Q82" s="677">
        <v>58.33</v>
      </c>
      <c r="R82" s="677"/>
      <c r="S82" s="677"/>
      <c r="T82" s="677">
        <v>0</v>
      </c>
      <c r="U82" s="677"/>
      <c r="V82" s="677"/>
      <c r="W82" s="677"/>
      <c r="X82" s="678" t="e">
        <v>#DIV/0!</v>
      </c>
      <c r="Y82" s="682">
        <v>7</v>
      </c>
      <c r="Z82" s="680">
        <v>23</v>
      </c>
      <c r="AA82" s="681">
        <v>171.78</v>
      </c>
      <c r="AB82" s="681"/>
      <c r="AC82" s="417"/>
      <c r="AD82" s="417"/>
      <c r="AE82" s="682" t="s">
        <v>3985</v>
      </c>
      <c r="AG82" s="688">
        <v>43101</v>
      </c>
      <c r="AH82" s="417"/>
      <c r="AI82" s="417"/>
      <c r="AJ82" s="689">
        <v>43109</v>
      </c>
      <c r="AK82" s="417"/>
      <c r="AL82" s="637" t="s">
        <v>3434</v>
      </c>
      <c r="AM82" s="417"/>
      <c r="AN82" s="417"/>
      <c r="AO82" s="636">
        <v>1202.46</v>
      </c>
      <c r="AP82">
        <v>556633</v>
      </c>
      <c r="AQ82" s="690" t="s">
        <v>3856</v>
      </c>
      <c r="AR82" s="417">
        <v>0.5</v>
      </c>
      <c r="AS82" s="417"/>
      <c r="AT82" s="417"/>
      <c r="AU82" s="417"/>
      <c r="AV82" s="417"/>
      <c r="AW82" s="417"/>
      <c r="AX82" s="417"/>
      <c r="AY82" t="s">
        <v>80</v>
      </c>
      <c r="AZ82" s="417"/>
      <c r="BA82" s="417"/>
      <c r="BB82" t="s">
        <v>3584</v>
      </c>
      <c r="BC82" s="636">
        <v>1</v>
      </c>
      <c r="BD82" s="417"/>
      <c r="BE82" s="612"/>
      <c r="BF82" s="613"/>
      <c r="BG82" s="614"/>
      <c r="BH82" s="682">
        <v>0</v>
      </c>
      <c r="BI82" s="417"/>
      <c r="BJ82" s="417">
        <v>9</v>
      </c>
      <c r="BK82" s="682" t="str">
        <f>Техкарта[[#This Row],[Кв-л]]&amp;" кв ("&amp;Substring(Техкарта[[#This Row],[Виділ]],"_",1)&amp;" вид) "&amp;Substring(Техкарта[[#This Row],[Виділ]],"_",2)&amp;" діл."</f>
        <v>28 кв (15 вид) 0 діл.</v>
      </c>
      <c r="BL82" s="682" t="str">
        <f>Техкарта[[#This Row],[ПолнаяДіл]] &amp;" "&amp;Техкарта[[#This Row],[ЛК]]&amp;" "&amp;Техкарта[[#This Row],[Вид рубки]]</f>
        <v>28 кв (15 вид) 0 діл. 556633 ПРЧ</v>
      </c>
      <c r="BM82" s="682">
        <v>1</v>
      </c>
      <c r="BN82" s="636"/>
      <c r="BO82" s="636"/>
      <c r="BP82" s="636"/>
      <c r="BQ82" s="636" t="s">
        <v>3896</v>
      </c>
      <c r="BR82" s="636">
        <v>5</v>
      </c>
      <c r="BS82" s="636"/>
      <c r="BT82" s="636"/>
      <c r="BU82" s="636"/>
      <c r="BV82" s="636"/>
      <c r="BW82" s="636"/>
      <c r="BX82" s="636"/>
      <c r="BY82" s="972"/>
    </row>
    <row r="83" spans="1:77">
      <c r="A83" t="s">
        <v>3896</v>
      </c>
      <c r="B83" s="675" t="s">
        <v>115</v>
      </c>
      <c r="C83" s="687" t="s">
        <v>134</v>
      </c>
      <c r="D83" s="675">
        <v>0</v>
      </c>
      <c r="E83" s="675" t="s">
        <v>2305</v>
      </c>
      <c r="F83" s="675"/>
      <c r="G83" s="675" t="s">
        <v>79</v>
      </c>
      <c r="H83" s="675">
        <v>98</v>
      </c>
      <c r="I83" s="676" t="s">
        <v>3829</v>
      </c>
      <c r="J83" s="677">
        <v>3.7</v>
      </c>
      <c r="K83" s="683"/>
      <c r="L83" s="677"/>
      <c r="M83" s="677"/>
      <c r="N83" s="677">
        <v>0</v>
      </c>
      <c r="O83" s="677"/>
      <c r="P83" s="677"/>
      <c r="Q83" s="677">
        <v>450</v>
      </c>
      <c r="R83" s="677"/>
      <c r="S83" s="677"/>
      <c r="T83" s="677">
        <v>145</v>
      </c>
      <c r="U83" s="677"/>
      <c r="V83" s="677"/>
      <c r="W83" s="677">
        <v>0</v>
      </c>
      <c r="X83" s="678" t="e">
        <v>#DIV/0!</v>
      </c>
      <c r="Y83" s="682">
        <v>83</v>
      </c>
      <c r="Z83" s="680">
        <v>22</v>
      </c>
      <c r="AA83" s="681">
        <v>146.19</v>
      </c>
      <c r="AB83" s="681"/>
      <c r="AC83" s="417"/>
      <c r="AD83" s="417"/>
      <c r="AE83" s="682" t="s">
        <v>3986</v>
      </c>
      <c r="AG83" s="688">
        <v>43101</v>
      </c>
      <c r="AH83" s="417"/>
      <c r="AI83" s="417"/>
      <c r="AJ83" s="689">
        <v>43109</v>
      </c>
      <c r="AK83" s="417"/>
      <c r="AL83" s="637" t="s">
        <v>3444</v>
      </c>
      <c r="AM83" s="417"/>
      <c r="AN83" s="417"/>
      <c r="AO83" s="636">
        <v>12133.77</v>
      </c>
      <c r="AP83">
        <v>556627</v>
      </c>
      <c r="AQ83" s="690" t="s">
        <v>3856</v>
      </c>
      <c r="AR83" s="417">
        <v>0.5</v>
      </c>
      <c r="AS83" s="417"/>
      <c r="AT83" s="417"/>
      <c r="AU83" s="417"/>
      <c r="AV83" s="417"/>
      <c r="AW83" s="417"/>
      <c r="AX83" s="417"/>
      <c r="AY83" t="s">
        <v>3362</v>
      </c>
      <c r="AZ83" s="417"/>
      <c r="BA83" s="417"/>
      <c r="BB83" t="s">
        <v>3585</v>
      </c>
      <c r="BC83" s="636">
        <v>1</v>
      </c>
      <c r="BD83" s="417"/>
      <c r="BE83" s="612"/>
      <c r="BF83" s="613"/>
      <c r="BG83" s="614"/>
      <c r="BH83" s="682">
        <v>0</v>
      </c>
      <c r="BI83" s="417"/>
      <c r="BJ83" s="417">
        <v>7</v>
      </c>
      <c r="BK83" s="682" t="str">
        <f>Техкарта[[#This Row],[Кв-л]]&amp;" кв ("&amp;Substring(Техкарта[[#This Row],[Виділ]],"_",1)&amp;" вид) "&amp;Substring(Техкарта[[#This Row],[Виділ]],"_",2)&amp;" діл."</f>
        <v>98 кв (3 вид) 0 діл.</v>
      </c>
      <c r="BL83" s="682" t="str">
        <f>Техкарта[[#This Row],[ПолнаяДіл]] &amp;" "&amp;Техкарта[[#This Row],[ЛК]]&amp;" "&amp;Техкарта[[#This Row],[Вид рубки]]</f>
        <v>98 кв (3 вид) 0 діл. 556627 ПРЧ</v>
      </c>
      <c r="BM83" s="682">
        <v>1</v>
      </c>
      <c r="BN83" s="636"/>
      <c r="BO83" s="636"/>
      <c r="BP83" s="636"/>
      <c r="BQ83" s="636" t="s">
        <v>3896</v>
      </c>
      <c r="BR83" s="636">
        <v>5</v>
      </c>
      <c r="BS83" s="636"/>
      <c r="BT83" s="636"/>
      <c r="BU83" s="636"/>
      <c r="BV83" s="636"/>
      <c r="BW83" s="636"/>
      <c r="BX83" s="636"/>
      <c r="BY83" s="972"/>
    </row>
    <row r="84" spans="1:77">
      <c r="A84" t="s">
        <v>3896</v>
      </c>
      <c r="B84" s="675" t="s">
        <v>115</v>
      </c>
      <c r="C84" s="687" t="s">
        <v>134</v>
      </c>
      <c r="D84" s="675">
        <v>0</v>
      </c>
      <c r="E84" s="675" t="s">
        <v>2305</v>
      </c>
      <c r="F84" s="675"/>
      <c r="G84" s="675" t="s">
        <v>79</v>
      </c>
      <c r="H84" s="675">
        <v>8</v>
      </c>
      <c r="I84" s="676" t="s">
        <v>3851</v>
      </c>
      <c r="J84" s="677">
        <v>0.5</v>
      </c>
      <c r="K84" s="683"/>
      <c r="L84" s="677"/>
      <c r="M84" s="677"/>
      <c r="N84" s="677">
        <v>10</v>
      </c>
      <c r="O84" s="677"/>
      <c r="P84" s="677"/>
      <c r="Q84" s="677">
        <v>16.670000000000002</v>
      </c>
      <c r="R84" s="677"/>
      <c r="S84" s="677"/>
      <c r="T84" s="677">
        <v>50</v>
      </c>
      <c r="U84" s="677"/>
      <c r="V84" s="677"/>
      <c r="W84" s="677">
        <v>0</v>
      </c>
      <c r="X84" s="678" t="e">
        <v>#DIV/0!</v>
      </c>
      <c r="Y84" s="682">
        <v>13</v>
      </c>
      <c r="Z84" s="680">
        <v>26</v>
      </c>
      <c r="AA84" s="681">
        <v>124.32</v>
      </c>
      <c r="AB84" s="681"/>
      <c r="AC84" s="417"/>
      <c r="AD84" s="417"/>
      <c r="AE84" s="682" t="s">
        <v>3987</v>
      </c>
      <c r="AG84" s="688">
        <v>43101</v>
      </c>
      <c r="AH84" s="417"/>
      <c r="AI84" s="417"/>
      <c r="AJ84" s="689">
        <v>43109</v>
      </c>
      <c r="AK84" s="417"/>
      <c r="AL84" s="637" t="s">
        <v>3471</v>
      </c>
      <c r="AM84" s="417"/>
      <c r="AN84" s="417"/>
      <c r="AO84" s="636">
        <v>1616.16</v>
      </c>
      <c r="AP84">
        <v>556627</v>
      </c>
      <c r="AQ84" s="690" t="s">
        <v>3856</v>
      </c>
      <c r="AR84" s="417">
        <v>0.5</v>
      </c>
      <c r="AS84" s="417"/>
      <c r="AT84" s="417"/>
      <c r="AU84" s="417"/>
      <c r="AV84" s="417"/>
      <c r="AW84" s="417"/>
      <c r="AX84" s="417"/>
      <c r="AY84" t="s">
        <v>3362</v>
      </c>
      <c r="AZ84" s="417"/>
      <c r="BA84" s="417"/>
      <c r="BB84" t="s">
        <v>3585</v>
      </c>
      <c r="BC84" s="636">
        <v>1</v>
      </c>
      <c r="BD84" s="417"/>
      <c r="BE84" s="612"/>
      <c r="BF84" s="613"/>
      <c r="BG84" s="614"/>
      <c r="BH84" s="682">
        <v>0</v>
      </c>
      <c r="BI84" s="417"/>
      <c r="BJ84" s="417">
        <v>8</v>
      </c>
      <c r="BK84" s="682" t="str">
        <f>Техкарта[[#This Row],[Кв-л]]&amp;" кв ("&amp;Substring(Техкарта[[#This Row],[Виділ]],"_",1)&amp;" вид) "&amp;Substring(Техкарта[[#This Row],[Виділ]],"_",2)&amp;" діл."</f>
        <v>8 кв (12 вид) 0 діл.</v>
      </c>
      <c r="BL84" s="682" t="str">
        <f>Техкарта[[#This Row],[ПолнаяДіл]] &amp;" "&amp;Техкарта[[#This Row],[ЛК]]&amp;" "&amp;Техкарта[[#This Row],[Вид рубки]]</f>
        <v>8 кв (12 вид) 0 діл. 556627 ПРЧ</v>
      </c>
      <c r="BM84" s="682">
        <v>1</v>
      </c>
      <c r="BN84" s="636"/>
      <c r="BO84" s="636"/>
      <c r="BP84" s="636"/>
      <c r="BQ84" s="636" t="s">
        <v>3896</v>
      </c>
      <c r="BR84" s="636">
        <v>5</v>
      </c>
      <c r="BS84" s="636"/>
      <c r="BT84" s="636"/>
      <c r="BU84" s="636"/>
      <c r="BV84" s="636"/>
      <c r="BW84" s="636"/>
      <c r="BX84" s="636"/>
      <c r="BY84" s="972"/>
    </row>
    <row r="85" spans="1:77">
      <c r="A85" t="s">
        <v>3896</v>
      </c>
      <c r="B85" s="675" t="s">
        <v>115</v>
      </c>
      <c r="C85" s="687" t="s">
        <v>134</v>
      </c>
      <c r="D85" s="675">
        <v>0</v>
      </c>
      <c r="E85" s="675" t="s">
        <v>2305</v>
      </c>
      <c r="F85" s="675"/>
      <c r="G85" s="675" t="s">
        <v>79</v>
      </c>
      <c r="H85" s="675">
        <v>8</v>
      </c>
      <c r="I85" s="676" t="s">
        <v>3789</v>
      </c>
      <c r="J85" s="677">
        <v>1</v>
      </c>
      <c r="K85" s="683"/>
      <c r="L85" s="677"/>
      <c r="M85" s="677"/>
      <c r="N85" s="677">
        <v>20</v>
      </c>
      <c r="O85" s="677"/>
      <c r="P85" s="677"/>
      <c r="Q85" s="677">
        <v>108.33</v>
      </c>
      <c r="R85" s="677"/>
      <c r="S85" s="677"/>
      <c r="T85" s="677">
        <v>70</v>
      </c>
      <c r="U85" s="677"/>
      <c r="V85" s="677"/>
      <c r="W85" s="677">
        <v>0</v>
      </c>
      <c r="X85" s="678" t="e">
        <v>#DIV/0!</v>
      </c>
      <c r="Y85" s="682">
        <v>29</v>
      </c>
      <c r="Z85" s="680">
        <v>29</v>
      </c>
      <c r="AA85" s="681">
        <v>144.33000000000001</v>
      </c>
      <c r="AB85" s="681"/>
      <c r="AC85" s="417"/>
      <c r="AD85" s="417"/>
      <c r="AE85" s="682" t="s">
        <v>3988</v>
      </c>
      <c r="AG85" s="688">
        <v>43101</v>
      </c>
      <c r="AH85" s="417"/>
      <c r="AI85" s="417"/>
      <c r="AJ85" s="689">
        <v>43109</v>
      </c>
      <c r="AK85" s="417"/>
      <c r="AL85" s="637" t="s">
        <v>3471</v>
      </c>
      <c r="AM85" s="417"/>
      <c r="AN85" s="417"/>
      <c r="AO85" s="636">
        <v>4185.57</v>
      </c>
      <c r="AP85">
        <v>556627</v>
      </c>
      <c r="AQ85" s="690" t="s">
        <v>3856</v>
      </c>
      <c r="AR85" s="417">
        <v>0.5</v>
      </c>
      <c r="AS85" s="417"/>
      <c r="AT85" s="417"/>
      <c r="AU85" s="417"/>
      <c r="AV85" s="417"/>
      <c r="AW85" s="417"/>
      <c r="AX85" s="417"/>
      <c r="AY85" t="s">
        <v>3362</v>
      </c>
      <c r="AZ85" s="417"/>
      <c r="BA85" s="417"/>
      <c r="BB85" t="s">
        <v>3585</v>
      </c>
      <c r="BC85" s="636">
        <v>1</v>
      </c>
      <c r="BD85" s="417"/>
      <c r="BE85" s="612"/>
      <c r="BF85" s="613"/>
      <c r="BG85" s="614"/>
      <c r="BH85" s="682">
        <v>0</v>
      </c>
      <c r="BI85" s="417"/>
      <c r="BJ85" s="417">
        <v>9</v>
      </c>
      <c r="BK85" s="682" t="str">
        <f>Техкарта[[#This Row],[Кв-л]]&amp;" кв ("&amp;Substring(Техкарта[[#This Row],[Виділ]],"_",1)&amp;" вид) "&amp;Substring(Техкарта[[#This Row],[Виділ]],"_",2)&amp;" діл."</f>
        <v>8 кв (10 вид) 0 діл.</v>
      </c>
      <c r="BL85" s="682" t="str">
        <f>Техкарта[[#This Row],[ПолнаяДіл]] &amp;" "&amp;Техкарта[[#This Row],[ЛК]]&amp;" "&amp;Техкарта[[#This Row],[Вид рубки]]</f>
        <v>8 кв (10 вид) 0 діл. 556627 ПРЧ</v>
      </c>
      <c r="BM85" s="682">
        <v>1</v>
      </c>
      <c r="BN85" s="636"/>
      <c r="BO85" s="636"/>
      <c r="BP85" s="636"/>
      <c r="BQ85" s="636" t="s">
        <v>3896</v>
      </c>
      <c r="BR85" s="636">
        <v>5</v>
      </c>
      <c r="BS85" s="636"/>
      <c r="BT85" s="636"/>
      <c r="BU85" s="636"/>
      <c r="BV85" s="636"/>
      <c r="BW85" s="636"/>
      <c r="BX85" s="636"/>
      <c r="BY85" s="972"/>
    </row>
    <row r="86" spans="1:77">
      <c r="A86" t="s">
        <v>3896</v>
      </c>
      <c r="B86" s="675" t="s">
        <v>115</v>
      </c>
      <c r="C86" s="687" t="s">
        <v>134</v>
      </c>
      <c r="D86" s="675">
        <v>0</v>
      </c>
      <c r="E86" s="675" t="s">
        <v>2305</v>
      </c>
      <c r="F86" s="675"/>
      <c r="G86" s="675" t="s">
        <v>79</v>
      </c>
      <c r="H86" s="675">
        <v>31</v>
      </c>
      <c r="I86" s="676" t="s">
        <v>3832</v>
      </c>
      <c r="J86" s="677">
        <v>2.1</v>
      </c>
      <c r="K86" s="683"/>
      <c r="L86" s="677"/>
      <c r="M86" s="677"/>
      <c r="N86" s="677">
        <v>0</v>
      </c>
      <c r="O86" s="677"/>
      <c r="P86" s="677"/>
      <c r="Q86" s="677">
        <v>45.83</v>
      </c>
      <c r="R86" s="677"/>
      <c r="S86" s="677"/>
      <c r="T86" s="677">
        <v>112.5</v>
      </c>
      <c r="U86" s="677"/>
      <c r="V86" s="677"/>
      <c r="W86" s="677">
        <v>0</v>
      </c>
      <c r="X86" s="678" t="e">
        <v>#DIV/0!</v>
      </c>
      <c r="Y86" s="682">
        <v>28</v>
      </c>
      <c r="Z86" s="680">
        <v>13</v>
      </c>
      <c r="AA86" s="681">
        <v>130.66</v>
      </c>
      <c r="AB86" s="681"/>
      <c r="AC86" s="417"/>
      <c r="AD86" s="417"/>
      <c r="AE86" s="682" t="s">
        <v>3989</v>
      </c>
      <c r="AG86" s="688">
        <v>43101</v>
      </c>
      <c r="AH86" s="417"/>
      <c r="AI86" s="417"/>
      <c r="AJ86" s="689">
        <v>43109</v>
      </c>
      <c r="AK86" s="417"/>
      <c r="AL86" s="637" t="s">
        <v>3466</v>
      </c>
      <c r="AM86" s="417"/>
      <c r="AN86" s="417"/>
      <c r="AO86" s="636">
        <v>3658.48</v>
      </c>
      <c r="AP86">
        <v>556627</v>
      </c>
      <c r="AQ86" s="690" t="s">
        <v>3856</v>
      </c>
      <c r="AR86" s="417">
        <v>0.5</v>
      </c>
      <c r="AS86" s="417"/>
      <c r="AT86" s="417"/>
      <c r="AU86" s="417"/>
      <c r="AV86" s="417"/>
      <c r="AW86" s="417"/>
      <c r="AX86" s="417"/>
      <c r="AY86" t="s">
        <v>3362</v>
      </c>
      <c r="AZ86" s="417"/>
      <c r="BA86" s="417"/>
      <c r="BB86" t="s">
        <v>3585</v>
      </c>
      <c r="BC86" s="636">
        <v>1</v>
      </c>
      <c r="BD86" s="417"/>
      <c r="BE86" s="612"/>
      <c r="BF86" s="613"/>
      <c r="BG86" s="614"/>
      <c r="BH86" s="682">
        <v>0</v>
      </c>
      <c r="BI86" s="417"/>
      <c r="BJ86" s="417">
        <v>10</v>
      </c>
      <c r="BK86" s="682" t="str">
        <f>Техкарта[[#This Row],[Кв-л]]&amp;" кв ("&amp;Substring(Техкарта[[#This Row],[Виділ]],"_",1)&amp;" вид) "&amp;Substring(Техкарта[[#This Row],[Виділ]],"_",2)&amp;" діл."</f>
        <v>31 кв (5 вид) 0 діл.</v>
      </c>
      <c r="BL86" s="682" t="str">
        <f>Техкарта[[#This Row],[ПолнаяДіл]] &amp;" "&amp;Техкарта[[#This Row],[ЛК]]&amp;" "&amp;Техкарта[[#This Row],[Вид рубки]]</f>
        <v>31 кв (5 вид) 0 діл. 556627 ПРЧ</v>
      </c>
      <c r="BM86" s="682">
        <v>1</v>
      </c>
      <c r="BN86" s="636"/>
      <c r="BO86" s="636"/>
      <c r="BP86" s="636"/>
      <c r="BQ86" s="636" t="s">
        <v>3896</v>
      </c>
      <c r="BR86" s="636">
        <v>5</v>
      </c>
      <c r="BS86" s="636"/>
      <c r="BT86" s="636"/>
      <c r="BU86" s="636"/>
      <c r="BV86" s="636"/>
      <c r="BW86" s="636"/>
      <c r="BX86" s="636"/>
      <c r="BY86" s="972"/>
    </row>
    <row r="87" spans="1:77">
      <c r="A87" t="s">
        <v>105</v>
      </c>
      <c r="B87" s="675" t="s">
        <v>111</v>
      </c>
      <c r="C87" s="687" t="s">
        <v>126</v>
      </c>
      <c r="D87" s="675">
        <v>0</v>
      </c>
      <c r="E87" s="675" t="s">
        <v>2311</v>
      </c>
      <c r="F87" s="675">
        <v>3</v>
      </c>
      <c r="G87" s="675" t="s">
        <v>79</v>
      </c>
      <c r="H87" s="675">
        <v>106</v>
      </c>
      <c r="I87" s="676" t="s">
        <v>3794</v>
      </c>
      <c r="J87" s="677">
        <v>3.9</v>
      </c>
      <c r="K87" s="683">
        <v>450</v>
      </c>
      <c r="L87" s="677"/>
      <c r="M87" s="677">
        <v>11</v>
      </c>
      <c r="N87" s="677"/>
      <c r="O87" s="677"/>
      <c r="P87" s="677"/>
      <c r="Q87" s="677"/>
      <c r="R87" s="677"/>
      <c r="S87" s="677">
        <v>100</v>
      </c>
      <c r="T87" s="677">
        <v>0</v>
      </c>
      <c r="U87" s="677"/>
      <c r="V87" s="677">
        <v>54</v>
      </c>
      <c r="W87" s="677">
        <v>0</v>
      </c>
      <c r="X87" s="678">
        <v>0.37</v>
      </c>
      <c r="Y87" s="682">
        <v>165</v>
      </c>
      <c r="Z87" s="680">
        <v>48</v>
      </c>
      <c r="AA87" s="681">
        <v>297.07</v>
      </c>
      <c r="AB87" s="681"/>
      <c r="AC87" s="417">
        <v>23</v>
      </c>
      <c r="AD87" s="417"/>
      <c r="AE87" s="682" t="s">
        <v>3923</v>
      </c>
      <c r="AF87">
        <v>1</v>
      </c>
      <c r="AG87" s="688">
        <v>43101</v>
      </c>
      <c r="AH87" s="417"/>
      <c r="AI87" s="417"/>
      <c r="AJ87" s="689">
        <v>43109</v>
      </c>
      <c r="AK87" s="417"/>
      <c r="AL87" s="637" t="s">
        <v>3445</v>
      </c>
      <c r="AM87" s="417"/>
      <c r="AN87" s="417"/>
      <c r="AO87" s="636">
        <v>49016.55</v>
      </c>
      <c r="AP87">
        <v>556642</v>
      </c>
      <c r="AQ87" s="690">
        <v>43105</v>
      </c>
      <c r="AR87" s="417"/>
      <c r="AS87" s="417"/>
      <c r="AT87" s="417"/>
      <c r="AU87" s="417"/>
      <c r="AV87" s="417"/>
      <c r="AW87" s="417"/>
      <c r="AX87" s="417"/>
      <c r="AY87" t="s">
        <v>80</v>
      </c>
      <c r="AZ87" s="417"/>
      <c r="BA87" s="417"/>
      <c r="BB87" t="s">
        <v>3584</v>
      </c>
      <c r="BC87" s="636">
        <v>1</v>
      </c>
      <c r="BD87" s="417"/>
      <c r="BE87" s="612"/>
      <c r="BF87" s="613"/>
      <c r="BG87" s="614"/>
      <c r="BH87" s="682">
        <v>1</v>
      </c>
      <c r="BI87" s="417"/>
      <c r="BJ87" s="417">
        <v>7</v>
      </c>
      <c r="BK87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87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87" s="682">
        <v>1</v>
      </c>
      <c r="BN87" s="636"/>
      <c r="BO87" s="636"/>
      <c r="BP87" s="636"/>
      <c r="BQ87" s="636" t="s">
        <v>105</v>
      </c>
      <c r="BR87" s="636"/>
      <c r="BS87" s="636"/>
      <c r="BT87" s="636"/>
      <c r="BU87" s="636"/>
      <c r="BV87" s="636"/>
      <c r="BW87" s="636"/>
      <c r="BX87" s="636"/>
      <c r="BY87" s="972"/>
    </row>
    <row r="88" spans="1:77">
      <c r="A88" t="s">
        <v>3896</v>
      </c>
      <c r="B88" s="675" t="s">
        <v>113</v>
      </c>
      <c r="C88" s="687" t="s">
        <v>134</v>
      </c>
      <c r="D88" s="675">
        <v>0</v>
      </c>
      <c r="E88" s="675" t="s">
        <v>2305</v>
      </c>
      <c r="F88" s="675"/>
      <c r="G88" s="675" t="s">
        <v>79</v>
      </c>
      <c r="H88" s="675">
        <v>58</v>
      </c>
      <c r="I88" s="676" t="s">
        <v>3830</v>
      </c>
      <c r="J88" s="677">
        <v>1.6</v>
      </c>
      <c r="K88" s="683"/>
      <c r="L88" s="677"/>
      <c r="M88" s="677"/>
      <c r="N88" s="677">
        <v>0</v>
      </c>
      <c r="O88" s="677"/>
      <c r="P88" s="677"/>
      <c r="Q88" s="677">
        <v>300</v>
      </c>
      <c r="R88" s="677"/>
      <c r="S88" s="677"/>
      <c r="T88" s="677">
        <v>0</v>
      </c>
      <c r="U88" s="677"/>
      <c r="V88" s="677"/>
      <c r="W88" s="677">
        <v>0</v>
      </c>
      <c r="X88" s="678" t="e">
        <v>#DIV/0!</v>
      </c>
      <c r="Y88" s="682">
        <v>36</v>
      </c>
      <c r="Z88" s="680">
        <v>23</v>
      </c>
      <c r="AA88" s="681">
        <v>175.66</v>
      </c>
      <c r="AB88" s="681"/>
      <c r="AC88" s="417"/>
      <c r="AD88" s="417"/>
      <c r="AE88" s="682" t="s">
        <v>3990</v>
      </c>
      <c r="AG88" s="688">
        <v>43101</v>
      </c>
      <c r="AH88" s="417"/>
      <c r="AI88" s="417"/>
      <c r="AJ88" s="689">
        <v>43109</v>
      </c>
      <c r="AK88" s="417"/>
      <c r="AL88" s="637" t="s">
        <v>3474</v>
      </c>
      <c r="AM88" s="417"/>
      <c r="AN88" s="417"/>
      <c r="AO88" s="636">
        <v>6323.76</v>
      </c>
      <c r="AP88">
        <v>556639</v>
      </c>
      <c r="AQ88" s="690" t="s">
        <v>3856</v>
      </c>
      <c r="AR88" s="417">
        <v>0.5</v>
      </c>
      <c r="AS88" s="417"/>
      <c r="AT88" s="417"/>
      <c r="AU88" s="417"/>
      <c r="AV88" s="417"/>
      <c r="AW88" s="417"/>
      <c r="AX88" s="417"/>
      <c r="AY88" t="s">
        <v>80</v>
      </c>
      <c r="AZ88" s="417"/>
      <c r="BA88" s="417"/>
      <c r="BB88" t="s">
        <v>3584</v>
      </c>
      <c r="BC88" s="636">
        <v>1</v>
      </c>
      <c r="BD88" s="417"/>
      <c r="BE88" s="612"/>
      <c r="BF88" s="613"/>
      <c r="BG88" s="614"/>
      <c r="BH88" s="682">
        <v>0</v>
      </c>
      <c r="BI88" s="417"/>
      <c r="BJ88" s="417">
        <v>23</v>
      </c>
      <c r="BK88" s="682" t="str">
        <f>Техкарта[[#This Row],[Кв-л]]&amp;" кв ("&amp;Substring(Техкарта[[#This Row],[Виділ]],"_",1)&amp;" вид) "&amp;Substring(Техкарта[[#This Row],[Виділ]],"_",2)&amp;" діл."</f>
        <v>58 кв (1 вид) 0 діл.</v>
      </c>
      <c r="BL88" s="682" t="str">
        <f>Техкарта[[#This Row],[ПолнаяДіл]] &amp;" "&amp;Техкарта[[#This Row],[ЛК]]&amp;" "&amp;Техкарта[[#This Row],[Вид рубки]]</f>
        <v>58 кв (1 вид) 0 діл. 556639 ПРЧ</v>
      </c>
      <c r="BM88" s="682">
        <v>1</v>
      </c>
      <c r="BN88" s="636"/>
      <c r="BO88" s="636"/>
      <c r="BP88" s="636"/>
      <c r="BQ88" s="636" t="s">
        <v>3896</v>
      </c>
      <c r="BR88" s="636">
        <v>2</v>
      </c>
      <c r="BS88" s="636"/>
      <c r="BT88" s="636"/>
      <c r="BU88" s="636"/>
      <c r="BV88" s="636"/>
      <c r="BW88" s="636"/>
      <c r="BX88" s="636"/>
      <c r="BY88" s="972"/>
    </row>
    <row r="89" spans="1:77">
      <c r="A89" t="s">
        <v>3896</v>
      </c>
      <c r="B89" s="675" t="s">
        <v>113</v>
      </c>
      <c r="C89" s="687" t="s">
        <v>134</v>
      </c>
      <c r="D89" s="675">
        <v>0</v>
      </c>
      <c r="E89" s="675" t="s">
        <v>2305</v>
      </c>
      <c r="F89" s="675"/>
      <c r="G89" s="675" t="s">
        <v>79</v>
      </c>
      <c r="H89" s="675">
        <v>19</v>
      </c>
      <c r="I89" s="676" t="s">
        <v>3791</v>
      </c>
      <c r="J89" s="677">
        <v>1.2</v>
      </c>
      <c r="K89" s="683"/>
      <c r="L89" s="677"/>
      <c r="M89" s="677"/>
      <c r="N89" s="677">
        <v>120</v>
      </c>
      <c r="O89" s="677"/>
      <c r="P89" s="677"/>
      <c r="Q89" s="677">
        <v>0</v>
      </c>
      <c r="R89" s="677"/>
      <c r="S89" s="677"/>
      <c r="T89" s="677">
        <v>0</v>
      </c>
      <c r="U89" s="677"/>
      <c r="V89" s="677"/>
      <c r="W89" s="677">
        <v>0</v>
      </c>
      <c r="X89" s="678" t="e">
        <v>#DIV/0!</v>
      </c>
      <c r="Y89" s="682">
        <v>12</v>
      </c>
      <c r="Z89" s="680">
        <v>10</v>
      </c>
      <c r="AA89" s="681">
        <v>185.65</v>
      </c>
      <c r="AB89" s="681"/>
      <c r="AC89" s="417"/>
      <c r="AD89" s="417"/>
      <c r="AE89" s="682" t="s">
        <v>3991</v>
      </c>
      <c r="AG89" s="688">
        <v>43101</v>
      </c>
      <c r="AH89" s="417"/>
      <c r="AI89" s="417"/>
      <c r="AJ89" s="689">
        <v>43109</v>
      </c>
      <c r="AK89" s="417"/>
      <c r="AL89" s="637" t="s">
        <v>3435</v>
      </c>
      <c r="AM89" s="417"/>
      <c r="AN89" s="417"/>
      <c r="AO89" s="636">
        <v>2227.8000000000002</v>
      </c>
      <c r="AP89">
        <v>556639</v>
      </c>
      <c r="AQ89" s="690" t="s">
        <v>3856</v>
      </c>
      <c r="AR89" s="417">
        <v>0.3</v>
      </c>
      <c r="AS89" s="417"/>
      <c r="AT89" s="417"/>
      <c r="AU89" s="417"/>
      <c r="AV89" s="417"/>
      <c r="AW89" s="417"/>
      <c r="AX89" s="417"/>
      <c r="AY89" t="s">
        <v>80</v>
      </c>
      <c r="AZ89" s="417"/>
      <c r="BA89" s="417"/>
      <c r="BB89" t="s">
        <v>3584</v>
      </c>
      <c r="BC89" s="636">
        <v>1</v>
      </c>
      <c r="BD89" s="417"/>
      <c r="BE89" s="612"/>
      <c r="BF89" s="613"/>
      <c r="BG89" s="614"/>
      <c r="BH89" s="682">
        <v>0</v>
      </c>
      <c r="BI89" s="417"/>
      <c r="BJ89" s="417">
        <v>24</v>
      </c>
      <c r="BK89" s="682" t="str">
        <f>Техкарта[[#This Row],[Кв-л]]&amp;" кв ("&amp;Substring(Техкарта[[#This Row],[Виділ]],"_",1)&amp;" вид) "&amp;Substring(Техкарта[[#This Row],[Виділ]],"_",2)&amp;" діл."</f>
        <v>19 кв (7 вид) 0 діл.</v>
      </c>
      <c r="BL89" s="682" t="str">
        <f>Техкарта[[#This Row],[ПолнаяДіл]] &amp;" "&amp;Техкарта[[#This Row],[ЛК]]&amp;" "&amp;Техкарта[[#This Row],[Вид рубки]]</f>
        <v>19 кв (7 вид) 0 діл. 556639 ПРЧ</v>
      </c>
      <c r="BM89" s="682">
        <v>1</v>
      </c>
      <c r="BN89" s="636"/>
      <c r="BO89" s="636"/>
      <c r="BP89" s="636"/>
      <c r="BQ89" s="636" t="s">
        <v>3896</v>
      </c>
      <c r="BR89" s="636">
        <v>2</v>
      </c>
      <c r="BS89" s="636"/>
      <c r="BT89" s="636"/>
      <c r="BU89" s="636"/>
      <c r="BV89" s="636"/>
      <c r="BW89" s="636"/>
      <c r="BX89" s="636"/>
      <c r="BY89" s="972"/>
    </row>
    <row r="90" spans="1:77">
      <c r="A90" t="s">
        <v>105</v>
      </c>
      <c r="B90" s="675" t="s">
        <v>115</v>
      </c>
      <c r="C90" s="687" t="s">
        <v>126</v>
      </c>
      <c r="D90" s="675">
        <v>0</v>
      </c>
      <c r="E90" s="675" t="s">
        <v>2311</v>
      </c>
      <c r="F90" s="675">
        <v>3</v>
      </c>
      <c r="G90" s="675" t="s">
        <v>79</v>
      </c>
      <c r="H90" s="675">
        <v>98</v>
      </c>
      <c r="I90" s="676" t="s">
        <v>3790</v>
      </c>
      <c r="J90" s="677">
        <v>4.2</v>
      </c>
      <c r="K90" s="683">
        <v>281</v>
      </c>
      <c r="L90" s="677"/>
      <c r="M90" s="677">
        <v>0</v>
      </c>
      <c r="N90" s="677">
        <v>0</v>
      </c>
      <c r="O90" s="677"/>
      <c r="P90" s="677"/>
      <c r="Q90" s="677"/>
      <c r="R90" s="677"/>
      <c r="S90" s="677"/>
      <c r="T90" s="677">
        <v>0</v>
      </c>
      <c r="U90" s="677">
        <v>62</v>
      </c>
      <c r="V90" s="677">
        <v>5</v>
      </c>
      <c r="W90" s="677">
        <v>13</v>
      </c>
      <c r="X90" s="678">
        <v>0.28000000000000003</v>
      </c>
      <c r="Y90" s="682">
        <v>80</v>
      </c>
      <c r="Z90" s="680">
        <v>21</v>
      </c>
      <c r="AA90" s="681">
        <v>104.41800000000001</v>
      </c>
      <c r="AB90" s="681"/>
      <c r="AC90" s="417">
        <v>10</v>
      </c>
      <c r="AD90" s="417"/>
      <c r="AE90" s="682" t="s">
        <v>3992</v>
      </c>
      <c r="AF90">
        <v>1</v>
      </c>
      <c r="AG90" s="688">
        <v>43101</v>
      </c>
      <c r="AH90" s="417"/>
      <c r="AI90" s="417"/>
      <c r="AJ90" s="689">
        <v>43122</v>
      </c>
      <c r="AK90" s="417"/>
      <c r="AL90" s="637" t="s">
        <v>3461</v>
      </c>
      <c r="AM90" s="417"/>
      <c r="AN90" s="417"/>
      <c r="AO90" s="636">
        <v>8353.44</v>
      </c>
      <c r="AP90">
        <v>556646</v>
      </c>
      <c r="AQ90" s="690">
        <v>43122</v>
      </c>
      <c r="AR90" s="417"/>
      <c r="AS90" s="417"/>
      <c r="AT90" s="417"/>
      <c r="AU90" s="417"/>
      <c r="AV90" s="417"/>
      <c r="AW90" s="417"/>
      <c r="AX90" s="417"/>
      <c r="AY90" t="s">
        <v>3362</v>
      </c>
      <c r="AZ90" s="417"/>
      <c r="BA90" s="417"/>
      <c r="BB90" t="s">
        <v>3585</v>
      </c>
      <c r="BC90" s="636">
        <v>1</v>
      </c>
      <c r="BD90" s="417"/>
      <c r="BE90" s="612"/>
      <c r="BF90" s="613"/>
      <c r="BG90" s="614"/>
      <c r="BH90" s="682">
        <v>1</v>
      </c>
      <c r="BI90" s="417"/>
      <c r="BJ90" s="417">
        <v>15</v>
      </c>
      <c r="BK90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90" s="682" t="str">
        <f>Техкарта[[#This Row],[ПолнаяДіл]] &amp;" "&amp;Техкарта[[#This Row],[ЛК]]&amp;" "&amp;Техкарта[[#This Row],[Вид рубки]]</f>
        <v>98 кв (2 вид) 0 діл. 556646 СРВ</v>
      </c>
      <c r="BM90" s="682">
        <v>1</v>
      </c>
      <c r="BN90" s="636"/>
      <c r="BO90" s="636"/>
      <c r="BP90" s="636"/>
      <c r="BQ90" s="636" t="s">
        <v>105</v>
      </c>
      <c r="BR90" s="636"/>
      <c r="BS90" s="636"/>
      <c r="BT90" s="636"/>
      <c r="BU90" s="636"/>
      <c r="BV90" s="636"/>
      <c r="BW90" s="636"/>
      <c r="BX90" s="636"/>
      <c r="BY90" s="972"/>
    </row>
    <row r="91" spans="1:77">
      <c r="A91" t="s">
        <v>105</v>
      </c>
      <c r="B91" s="675" t="s">
        <v>115</v>
      </c>
      <c r="C91" s="687" t="s">
        <v>126</v>
      </c>
      <c r="D91" s="675">
        <v>0</v>
      </c>
      <c r="E91" s="675" t="s">
        <v>2305</v>
      </c>
      <c r="F91" s="675">
        <v>3</v>
      </c>
      <c r="G91" s="675" t="s">
        <v>79</v>
      </c>
      <c r="H91" s="675">
        <v>43</v>
      </c>
      <c r="I91" s="676" t="s">
        <v>3830</v>
      </c>
      <c r="J91" s="677">
        <v>16.399999999999999</v>
      </c>
      <c r="K91" s="683">
        <v>416</v>
      </c>
      <c r="L91" s="677"/>
      <c r="M91" s="677">
        <v>0</v>
      </c>
      <c r="N91" s="677">
        <v>10</v>
      </c>
      <c r="O91" s="677"/>
      <c r="P91" s="677"/>
      <c r="Q91" s="677"/>
      <c r="R91" s="677"/>
      <c r="S91" s="677">
        <v>0</v>
      </c>
      <c r="T91" s="677">
        <v>0</v>
      </c>
      <c r="U91" s="677">
        <v>52</v>
      </c>
      <c r="V91" s="677">
        <v>31</v>
      </c>
      <c r="W91" s="677">
        <v>90</v>
      </c>
      <c r="X91" s="678">
        <v>0.44</v>
      </c>
      <c r="Y91" s="682">
        <v>183</v>
      </c>
      <c r="Z91" s="680">
        <v>12</v>
      </c>
      <c r="AA91" s="681">
        <v>89.147000000000006</v>
      </c>
      <c r="AB91" s="681"/>
      <c r="AC91" s="417">
        <v>18</v>
      </c>
      <c r="AD91" s="417"/>
      <c r="AE91" s="682" t="s">
        <v>3993</v>
      </c>
      <c r="AF91">
        <v>1</v>
      </c>
      <c r="AG91" s="688">
        <v>43101</v>
      </c>
      <c r="AH91" s="417"/>
      <c r="AI91" s="417"/>
      <c r="AJ91" s="689">
        <v>43122</v>
      </c>
      <c r="AK91" s="417"/>
      <c r="AL91" s="637" t="s">
        <v>3461</v>
      </c>
      <c r="AM91" s="417"/>
      <c r="AN91" s="417"/>
      <c r="AO91" s="636">
        <v>16313.901</v>
      </c>
      <c r="AP91">
        <v>556646</v>
      </c>
      <c r="AQ91" s="690">
        <v>43122</v>
      </c>
      <c r="AR91" s="417"/>
      <c r="AS91" s="417"/>
      <c r="AT91" s="417"/>
      <c r="AU91" s="417"/>
      <c r="AV91" s="417"/>
      <c r="AW91" s="417"/>
      <c r="AX91" s="417"/>
      <c r="AY91" t="s">
        <v>3362</v>
      </c>
      <c r="AZ91" s="417"/>
      <c r="BA91" s="417"/>
      <c r="BB91" t="s">
        <v>3585</v>
      </c>
      <c r="BC91" s="636">
        <v>1</v>
      </c>
      <c r="BD91" s="417"/>
      <c r="BE91" s="612"/>
      <c r="BF91" s="613"/>
      <c r="BG91" s="614"/>
      <c r="BH91" s="682">
        <v>1</v>
      </c>
      <c r="BI91" s="417"/>
      <c r="BJ91" s="417">
        <v>16</v>
      </c>
      <c r="BK91" s="682" t="str">
        <f>Техкарта[[#This Row],[Кв-л]]&amp;" кв ("&amp;Substring(Техкарта[[#This Row],[Виділ]],"_",1)&amp;" вид) "&amp;Substring(Техкарта[[#This Row],[Виділ]],"_",2)&amp;" діл."</f>
        <v>43 кв (1 вид) 0 діл.</v>
      </c>
      <c r="BL91" s="682" t="str">
        <f>Техкарта[[#This Row],[ПолнаяДіл]] &amp;" "&amp;Техкарта[[#This Row],[ЛК]]&amp;" "&amp;Техкарта[[#This Row],[Вид рубки]]</f>
        <v>43 кв (1 вид) 0 діл. 556646 СРВ</v>
      </c>
      <c r="BM91" s="682">
        <v>1</v>
      </c>
      <c r="BN91" s="636"/>
      <c r="BO91" s="636"/>
      <c r="BP91" s="636"/>
      <c r="BQ91" s="636" t="s">
        <v>105</v>
      </c>
      <c r="BR91" s="636"/>
      <c r="BS91" s="636"/>
      <c r="BT91" s="636"/>
      <c r="BU91" s="636"/>
      <c r="BV91" s="636"/>
      <c r="BW91" s="636"/>
      <c r="BX91" s="636"/>
      <c r="BY91" s="972"/>
    </row>
    <row r="92" spans="1:77">
      <c r="A92" t="s">
        <v>105</v>
      </c>
      <c r="B92" s="675" t="s">
        <v>111</v>
      </c>
      <c r="C92" s="687" t="s">
        <v>126</v>
      </c>
      <c r="D92" s="675">
        <v>0</v>
      </c>
      <c r="E92" s="675" t="s">
        <v>2311</v>
      </c>
      <c r="F92" s="675">
        <v>3</v>
      </c>
      <c r="G92" s="675" t="s">
        <v>79</v>
      </c>
      <c r="H92" s="675">
        <v>106</v>
      </c>
      <c r="I92" s="676" t="s">
        <v>3794</v>
      </c>
      <c r="J92" s="677">
        <v>3.9</v>
      </c>
      <c r="K92" s="683">
        <v>450</v>
      </c>
      <c r="L92" s="677"/>
      <c r="M92" s="677">
        <v>11</v>
      </c>
      <c r="N92" s="677"/>
      <c r="O92" s="677"/>
      <c r="P92" s="677"/>
      <c r="Q92" s="677"/>
      <c r="R92" s="677"/>
      <c r="S92" s="677">
        <v>100</v>
      </c>
      <c r="T92" s="677">
        <v>0</v>
      </c>
      <c r="U92" s="677"/>
      <c r="V92" s="677">
        <v>54</v>
      </c>
      <c r="W92" s="677">
        <v>0</v>
      </c>
      <c r="X92" s="678">
        <v>0.37</v>
      </c>
      <c r="Y92" s="682">
        <v>165</v>
      </c>
      <c r="Z92" s="680">
        <v>48</v>
      </c>
      <c r="AA92" s="681">
        <v>178.25</v>
      </c>
      <c r="AB92" s="681"/>
      <c r="AC92" s="417">
        <v>23</v>
      </c>
      <c r="AD92" s="417"/>
      <c r="AE92" s="682" t="s">
        <v>3923</v>
      </c>
      <c r="AF92">
        <v>1</v>
      </c>
      <c r="AG92" s="688">
        <v>43101</v>
      </c>
      <c r="AH92" s="417"/>
      <c r="AI92" s="417"/>
      <c r="AJ92" s="689">
        <v>43109</v>
      </c>
      <c r="AK92" s="417"/>
      <c r="AL92" s="637" t="s">
        <v>3445</v>
      </c>
      <c r="AM92" s="417"/>
      <c r="AN92" s="417"/>
      <c r="AO92" s="636">
        <v>29411.25</v>
      </c>
      <c r="AP92">
        <v>556642</v>
      </c>
      <c r="AQ92" s="690">
        <v>43105</v>
      </c>
      <c r="AR92" s="417"/>
      <c r="AS92" s="417"/>
      <c r="AT92" s="417"/>
      <c r="AU92" s="417"/>
      <c r="AV92" s="417"/>
      <c r="AW92" s="417"/>
      <c r="AX92" s="417"/>
      <c r="AY92" t="s">
        <v>3362</v>
      </c>
      <c r="AZ92" s="417"/>
      <c r="BA92" s="417"/>
      <c r="BB92" t="s">
        <v>3585</v>
      </c>
      <c r="BC92" s="636">
        <v>1</v>
      </c>
      <c r="BD92" s="417"/>
      <c r="BE92" s="612"/>
      <c r="BF92" s="613"/>
      <c r="BG92" s="614"/>
      <c r="BH92" s="682">
        <v>1</v>
      </c>
      <c r="BI92" s="417"/>
      <c r="BJ92" s="417">
        <v>7</v>
      </c>
      <c r="BK92" s="682" t="str">
        <f>Техкарта[[#This Row],[Кв-л]]&amp;" кв ("&amp;Substring(Техкарта[[#This Row],[Виділ]],"_",1)&amp;" вид) "&amp;Substring(Техкарта[[#This Row],[Виділ]],"_",2)&amp;" діл."</f>
        <v>106 кв (11 вид) 0 діл.</v>
      </c>
      <c r="BL92" s="682" t="str">
        <f>Техкарта[[#This Row],[ПолнаяДіл]] &amp;" "&amp;Техкарта[[#This Row],[ЛК]]&amp;" "&amp;Техкарта[[#This Row],[Вид рубки]]</f>
        <v>106 кв (11 вид) 0 діл. 556642 СРВ</v>
      </c>
      <c r="BM92" s="682">
        <v>1</v>
      </c>
      <c r="BN92" s="636"/>
      <c r="BO92" s="636"/>
      <c r="BP92" s="636"/>
      <c r="BQ92" s="636" t="s">
        <v>105</v>
      </c>
      <c r="BR92" s="636"/>
      <c r="BS92" s="636"/>
      <c r="BT92" s="636"/>
      <c r="BU92" s="636"/>
      <c r="BV92" s="636"/>
      <c r="BW92" s="636"/>
      <c r="BX92" s="636"/>
      <c r="BY92" s="972"/>
    </row>
    <row r="93" spans="1:77">
      <c r="A93" t="s">
        <v>105</v>
      </c>
      <c r="B93" s="675" t="s">
        <v>116</v>
      </c>
      <c r="C93" s="687" t="s">
        <v>126</v>
      </c>
      <c r="D93" s="675">
        <v>0</v>
      </c>
      <c r="E93" s="675" t="s">
        <v>2311</v>
      </c>
      <c r="F93" s="675">
        <v>3</v>
      </c>
      <c r="G93" s="675" t="s">
        <v>79</v>
      </c>
      <c r="H93" s="675">
        <v>89</v>
      </c>
      <c r="I93" s="676" t="s">
        <v>3795</v>
      </c>
      <c r="J93" s="677">
        <v>8.1999999999999993</v>
      </c>
      <c r="K93" s="683">
        <v>258</v>
      </c>
      <c r="L93" s="677"/>
      <c r="M93" s="677">
        <v>9</v>
      </c>
      <c r="N93" s="677">
        <v>0</v>
      </c>
      <c r="O93" s="677"/>
      <c r="P93" s="677"/>
      <c r="Q93" s="677"/>
      <c r="R93" s="677"/>
      <c r="S93" s="677">
        <v>0</v>
      </c>
      <c r="T93" s="677">
        <v>0</v>
      </c>
      <c r="U93" s="677"/>
      <c r="V93" s="677">
        <v>86</v>
      </c>
      <c r="W93" s="677">
        <v>0</v>
      </c>
      <c r="X93" s="678">
        <v>0.37</v>
      </c>
      <c r="Y93" s="682">
        <v>95</v>
      </c>
      <c r="Z93" s="680">
        <v>13</v>
      </c>
      <c r="AA93" s="681">
        <v>36.1</v>
      </c>
      <c r="AB93" s="681"/>
      <c r="AC93" s="417">
        <v>11</v>
      </c>
      <c r="AD93" s="417"/>
      <c r="AE93" s="682" t="s">
        <v>3994</v>
      </c>
      <c r="AF93">
        <v>1</v>
      </c>
      <c r="AG93" s="710">
        <v>43101</v>
      </c>
      <c r="AH93" s="417"/>
      <c r="AI93" s="417"/>
      <c r="AJ93" s="711">
        <v>43124</v>
      </c>
      <c r="AK93" s="417"/>
      <c r="AL93" s="637" t="s">
        <v>3443</v>
      </c>
      <c r="AM93" s="417"/>
      <c r="AN93" s="417"/>
      <c r="AO93" s="636">
        <v>3429.5</v>
      </c>
      <c r="AP93">
        <v>556647</v>
      </c>
      <c r="AQ93" s="712">
        <v>43124</v>
      </c>
      <c r="AR93" s="417"/>
      <c r="AS93" s="417"/>
      <c r="AT93" s="417"/>
      <c r="AU93" s="417"/>
      <c r="AV93" s="417"/>
      <c r="AW93" s="417"/>
      <c r="AX93" s="417"/>
      <c r="AY93" t="s">
        <v>3362</v>
      </c>
      <c r="AZ93" s="417"/>
      <c r="BA93" s="417"/>
      <c r="BB93" t="s">
        <v>3585</v>
      </c>
      <c r="BC93" s="636">
        <v>1</v>
      </c>
      <c r="BD93" s="417"/>
      <c r="BE93" s="612"/>
      <c r="BF93" s="613"/>
      <c r="BG93" s="614"/>
      <c r="BH93" s="682">
        <v>1</v>
      </c>
      <c r="BI93" s="417"/>
      <c r="BJ93" s="417">
        <v>25</v>
      </c>
      <c r="BK93" s="682" t="str">
        <f>Техкарта[[#This Row],[Кв-л]]&amp;" кв ("&amp;Substring(Техкарта[[#This Row],[Виділ]],"_",1)&amp;" вид) "&amp;Substring(Техкарта[[#This Row],[Виділ]],"_",2)&amp;" діл."</f>
        <v>89 кв (9 вид) 0 діл.</v>
      </c>
      <c r="BL93" s="682" t="str">
        <f>Техкарта[[#This Row],[ПолнаяДіл]] &amp;" "&amp;Техкарта[[#This Row],[ЛК]]&amp;" "&amp;Техкарта[[#This Row],[Вид рубки]]</f>
        <v>89 кв (9 вид) 0 діл. 556647 СРВ</v>
      </c>
      <c r="BM93" s="682">
        <v>1</v>
      </c>
      <c r="BN93" s="636"/>
      <c r="BO93" s="636"/>
      <c r="BP93" s="636"/>
      <c r="BQ93" s="636" t="s">
        <v>105</v>
      </c>
      <c r="BR93" s="636"/>
      <c r="BS93" s="636"/>
      <c r="BT93" s="636"/>
      <c r="BU93" s="636"/>
      <c r="BV93" s="636"/>
      <c r="BW93" s="636"/>
      <c r="BX93" s="636"/>
      <c r="BY93" s="972"/>
    </row>
    <row r="94" spans="1:77">
      <c r="A94" t="s">
        <v>104</v>
      </c>
      <c r="B94" s="675" t="s">
        <v>112</v>
      </c>
      <c r="C94" s="687" t="s">
        <v>126</v>
      </c>
      <c r="D94" s="675">
        <v>0</v>
      </c>
      <c r="E94" s="675" t="s">
        <v>2305</v>
      </c>
      <c r="F94" s="675">
        <v>3</v>
      </c>
      <c r="G94" s="675" t="s">
        <v>2238</v>
      </c>
      <c r="H94" s="675">
        <v>20</v>
      </c>
      <c r="I94" s="676" t="s">
        <v>3794</v>
      </c>
      <c r="J94" s="677">
        <v>19.2</v>
      </c>
      <c r="K94" s="683">
        <v>877</v>
      </c>
      <c r="L94" s="677">
        <v>0</v>
      </c>
      <c r="M94" s="677">
        <v>0</v>
      </c>
      <c r="N94" s="677">
        <v>2</v>
      </c>
      <c r="O94" s="677">
        <v>0</v>
      </c>
      <c r="P94" s="677">
        <v>0</v>
      </c>
      <c r="Q94" s="677">
        <v>0</v>
      </c>
      <c r="R94" s="677">
        <v>0</v>
      </c>
      <c r="S94" s="677">
        <v>0</v>
      </c>
      <c r="T94" s="677">
        <v>0</v>
      </c>
      <c r="U94" s="677">
        <v>189</v>
      </c>
      <c r="V94" s="677">
        <v>0</v>
      </c>
      <c r="W94" s="677">
        <v>143</v>
      </c>
      <c r="X94" s="678">
        <v>0.38</v>
      </c>
      <c r="Y94" s="682">
        <v>334</v>
      </c>
      <c r="Z94" s="680">
        <v>19</v>
      </c>
      <c r="AA94" s="681">
        <v>93.07</v>
      </c>
      <c r="AB94" s="681">
        <v>93.07</v>
      </c>
      <c r="AC94" s="417">
        <v>39</v>
      </c>
      <c r="AD94" s="417"/>
      <c r="AE94" s="682" t="s">
        <v>4083</v>
      </c>
      <c r="AF94">
        <v>1</v>
      </c>
      <c r="AG94" s="710">
        <v>43101</v>
      </c>
      <c r="AH94" s="417"/>
      <c r="AI94" s="417"/>
      <c r="AJ94" s="711">
        <v>43122</v>
      </c>
      <c r="AK94" s="417"/>
      <c r="AL94" s="637" t="s">
        <v>3434</v>
      </c>
      <c r="AM94" s="417"/>
      <c r="AN94" s="417"/>
      <c r="AO94" s="636">
        <v>31085.38</v>
      </c>
      <c r="AP94">
        <v>556645</v>
      </c>
      <c r="AQ94" s="712">
        <v>43122</v>
      </c>
      <c r="AR94" s="417"/>
      <c r="AS94" s="417"/>
      <c r="AT94" s="417"/>
      <c r="AU94" s="417"/>
      <c r="AV94" s="417"/>
      <c r="AW94" s="417"/>
      <c r="AX94" s="417"/>
      <c r="AY94" t="s">
        <v>80</v>
      </c>
      <c r="AZ94" s="417"/>
      <c r="BA94" s="417"/>
      <c r="BB94" t="s">
        <v>3584</v>
      </c>
      <c r="BC94" s="636">
        <v>1</v>
      </c>
      <c r="BD94" s="417"/>
      <c r="BE94" s="612">
        <v>0</v>
      </c>
      <c r="BF94" s="613">
        <v>0</v>
      </c>
      <c r="BG94" s="614" t="s">
        <v>78</v>
      </c>
      <c r="BH94" s="682">
        <v>1</v>
      </c>
      <c r="BI94" s="417"/>
      <c r="BJ94" s="417">
        <v>10</v>
      </c>
      <c r="BK94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94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94" s="682">
        <v>1</v>
      </c>
      <c r="BN94" s="636" t="s">
        <v>3784</v>
      </c>
      <c r="BO94" s="636" t="s">
        <v>3784</v>
      </c>
      <c r="BP94" s="636" t="s">
        <v>3784</v>
      </c>
      <c r="BQ94" s="636" t="s">
        <v>104</v>
      </c>
      <c r="BR94" s="636"/>
      <c r="BS94" s="636"/>
      <c r="BT94" s="636"/>
      <c r="BU94" s="636"/>
      <c r="BV94" s="636"/>
      <c r="BW94" s="636" t="s">
        <v>3907</v>
      </c>
      <c r="BX94" s="636"/>
      <c r="BY94" s="972"/>
    </row>
    <row r="95" spans="1:77" s="719" customFormat="1">
      <c r="A95" s="719" t="s">
        <v>105</v>
      </c>
      <c r="B95" s="720" t="s">
        <v>112</v>
      </c>
      <c r="C95" s="721" t="s">
        <v>126</v>
      </c>
      <c r="D95" s="675">
        <v>0</v>
      </c>
      <c r="E95" s="720" t="s">
        <v>2305</v>
      </c>
      <c r="F95" s="720">
        <v>3</v>
      </c>
      <c r="G95" s="720" t="s">
        <v>2238</v>
      </c>
      <c r="H95" s="720">
        <v>6</v>
      </c>
      <c r="I95" s="722" t="s">
        <v>3829</v>
      </c>
      <c r="J95" s="723">
        <v>8.6999999999999993</v>
      </c>
      <c r="K95" s="724">
        <v>283</v>
      </c>
      <c r="L95" s="723">
        <v>0</v>
      </c>
      <c r="M95" s="723">
        <v>0</v>
      </c>
      <c r="N95" s="723">
        <v>2</v>
      </c>
      <c r="O95" s="723">
        <v>0</v>
      </c>
      <c r="P95" s="723">
        <v>0</v>
      </c>
      <c r="Q95" s="723">
        <v>0</v>
      </c>
      <c r="R95" s="723">
        <v>0</v>
      </c>
      <c r="S95" s="723">
        <v>0</v>
      </c>
      <c r="T95" s="723">
        <v>0</v>
      </c>
      <c r="U95" s="723">
        <v>2</v>
      </c>
      <c r="V95" s="723">
        <v>0</v>
      </c>
      <c r="W95" s="723">
        <v>142</v>
      </c>
      <c r="X95" s="725"/>
      <c r="Y95" s="726">
        <f>SUBTOTAL(109,Техкарта[[#This Row],[Знач1]:[Знач12]])</f>
        <v>146</v>
      </c>
      <c r="Z95" s="727"/>
      <c r="AA95" s="728">
        <v>80.704999999999998</v>
      </c>
      <c r="AB95" s="728">
        <v>38.070999999999998</v>
      </c>
      <c r="AC95" s="729">
        <v>9</v>
      </c>
      <c r="AD95" s="729"/>
      <c r="AE95" s="726" t="s">
        <v>3995</v>
      </c>
      <c r="AF95" s="719">
        <v>1</v>
      </c>
      <c r="AG95" s="730">
        <v>43101</v>
      </c>
      <c r="AH95" s="729"/>
      <c r="AI95" s="729"/>
      <c r="AJ95" s="731">
        <v>43122</v>
      </c>
      <c r="AK95" s="729"/>
      <c r="AL95" s="732" t="s">
        <v>3468</v>
      </c>
      <c r="AM95" s="729"/>
      <c r="AN95" s="729"/>
      <c r="AO95" s="733"/>
      <c r="AP95" s="719">
        <v>556645</v>
      </c>
      <c r="AQ95" s="734">
        <v>43122</v>
      </c>
      <c r="AR95" s="729"/>
      <c r="AS95" s="729"/>
      <c r="AT95" s="729"/>
      <c r="AU95" s="729"/>
      <c r="AV95" s="729"/>
      <c r="AW95" s="729"/>
      <c r="AX95" s="729"/>
      <c r="AY95" s="719" t="s">
        <v>80</v>
      </c>
      <c r="AZ95" s="729"/>
      <c r="BA95" s="729"/>
      <c r="BB95" s="719" t="s">
        <v>3584</v>
      </c>
      <c r="BC95" s="733"/>
      <c r="BD95" s="729"/>
      <c r="BE95" s="735">
        <v>0</v>
      </c>
      <c r="BF95" s="736">
        <v>0</v>
      </c>
      <c r="BG95" s="737" t="s">
        <v>78</v>
      </c>
      <c r="BH95" s="726"/>
      <c r="BI95" s="729"/>
      <c r="BJ95" s="729">
        <v>11</v>
      </c>
      <c r="BK95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95" s="682" t="str">
        <f>Техкарта[[#This Row],[ПолнаяДіл]] &amp;" "&amp;Техкарта[[#This Row],[ЛК]]&amp;" "&amp;Техкарта[[#This Row],[Вид рубки]]</f>
        <v>6 кв (3 вид) 0 діл. 556645 СРВ</v>
      </c>
      <c r="BM95" s="726"/>
      <c r="BN95" s="733" t="s">
        <v>3784</v>
      </c>
      <c r="BO95" s="733" t="s">
        <v>3784</v>
      </c>
      <c r="BP95" s="733" t="s">
        <v>3784</v>
      </c>
      <c r="BQ95" s="733" t="s">
        <v>105</v>
      </c>
      <c r="BR95" s="733"/>
      <c r="BS95" s="733"/>
      <c r="BT95" s="733"/>
      <c r="BU95" s="733"/>
      <c r="BV95" s="733"/>
      <c r="BW95" s="733" t="s">
        <v>3907</v>
      </c>
      <c r="BX95" s="733"/>
      <c r="BY95" s="973"/>
    </row>
    <row r="96" spans="1:77">
      <c r="A96" t="s">
        <v>104</v>
      </c>
      <c r="B96" s="675" t="s">
        <v>115</v>
      </c>
      <c r="C96" s="687"/>
      <c r="D96" s="675">
        <v>0</v>
      </c>
      <c r="E96" s="675" t="s">
        <v>2305</v>
      </c>
      <c r="F96" s="675">
        <v>3</v>
      </c>
      <c r="G96" s="675" t="s">
        <v>2238</v>
      </c>
      <c r="H96" s="675">
        <v>101</v>
      </c>
      <c r="I96" s="676" t="s">
        <v>4172</v>
      </c>
      <c r="J96" s="677">
        <v>4</v>
      </c>
      <c r="K96" s="683">
        <v>1513</v>
      </c>
      <c r="L96" s="677">
        <v>21</v>
      </c>
      <c r="M96" s="677">
        <v>355</v>
      </c>
      <c r="N96" s="677">
        <v>0</v>
      </c>
      <c r="O96" s="677">
        <v>0</v>
      </c>
      <c r="P96" s="677">
        <v>8</v>
      </c>
      <c r="Q96" s="677">
        <v>157</v>
      </c>
      <c r="R96" s="677">
        <v>104</v>
      </c>
      <c r="S96" s="677">
        <v>284</v>
      </c>
      <c r="T96" s="677">
        <v>52</v>
      </c>
      <c r="U96" s="677">
        <v>86</v>
      </c>
      <c r="V96" s="677">
        <v>205</v>
      </c>
      <c r="W96" s="677"/>
      <c r="X96" s="678"/>
      <c r="Y96" s="682">
        <f>SUBTOTAL(109,Техкарта[[#This Row],[Знач1]:[Знач12]])</f>
        <v>1272</v>
      </c>
      <c r="Z96" s="680"/>
      <c r="AA96" s="681"/>
      <c r="AB96" s="681"/>
      <c r="AC96" s="417">
        <v>95</v>
      </c>
      <c r="AD96" s="417"/>
      <c r="AE96" s="682"/>
      <c r="AF96">
        <v>1</v>
      </c>
      <c r="AG96" s="713">
        <v>43101</v>
      </c>
      <c r="AH96" s="417"/>
      <c r="AI96" s="417"/>
      <c r="AJ96" s="714"/>
      <c r="AK96" s="417"/>
      <c r="AL96" s="637"/>
      <c r="AM96" s="417"/>
      <c r="AN96" s="417"/>
      <c r="AO96" s="636"/>
      <c r="AP96">
        <v>556622</v>
      </c>
      <c r="AQ96" s="715">
        <v>43077</v>
      </c>
      <c r="AR96" s="417"/>
      <c r="AS96" s="417"/>
      <c r="AT96" s="417"/>
      <c r="AU96" s="417"/>
      <c r="AV96" s="417"/>
      <c r="AW96" s="417"/>
      <c r="AX96" s="417"/>
      <c r="AY96" t="s">
        <v>3362</v>
      </c>
      <c r="AZ96" s="417"/>
      <c r="BA96" s="417"/>
      <c r="BC96" s="636"/>
      <c r="BD96" s="417"/>
      <c r="BE96" s="612">
        <v>10</v>
      </c>
      <c r="BF96" s="613">
        <v>40</v>
      </c>
      <c r="BG96" s="614" t="s">
        <v>4994</v>
      </c>
      <c r="BH96" s="682"/>
      <c r="BI96" s="417"/>
      <c r="BJ96" s="417">
        <v>2</v>
      </c>
      <c r="BK96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96" s="682" t="str">
        <f>Техкарта[[#This Row],[ПолнаяДіл]] &amp;" "&amp;Техкарта[[#This Row],[ЛК]]&amp;" "&amp;Техкарта[[#This Row],[Вид рубки]]</f>
        <v xml:space="preserve">101 кв (12 вид)  діл. 556622 </v>
      </c>
      <c r="BM96" s="682"/>
      <c r="BN96" s="636"/>
      <c r="BO96" s="636"/>
      <c r="BP96" s="636"/>
      <c r="BQ96" s="636" t="s">
        <v>104</v>
      </c>
      <c r="BR96" s="636"/>
      <c r="BS96" s="636"/>
      <c r="BT96" s="636"/>
      <c r="BU96" s="636"/>
      <c r="BV96" s="636"/>
      <c r="BW96" s="636" t="s">
        <v>4580</v>
      </c>
      <c r="BX96" s="636"/>
      <c r="BY96" s="972"/>
    </row>
    <row r="97" spans="1:77">
      <c r="A97" t="s">
        <v>105</v>
      </c>
      <c r="B97" s="675" t="s">
        <v>115</v>
      </c>
      <c r="C97" s="687" t="s">
        <v>126</v>
      </c>
      <c r="D97" s="675">
        <v>0</v>
      </c>
      <c r="E97" s="675" t="s">
        <v>2305</v>
      </c>
      <c r="F97" s="675">
        <v>3</v>
      </c>
      <c r="G97" s="675" t="s">
        <v>2238</v>
      </c>
      <c r="H97" s="675">
        <v>7</v>
      </c>
      <c r="I97" s="676" t="s">
        <v>3789</v>
      </c>
      <c r="J97" s="677">
        <v>0.8</v>
      </c>
      <c r="K97" s="683">
        <v>46</v>
      </c>
      <c r="L97" s="677">
        <v>0</v>
      </c>
      <c r="M97" s="677">
        <v>0</v>
      </c>
      <c r="N97" s="677">
        <v>1</v>
      </c>
      <c r="O97" s="677">
        <v>0</v>
      </c>
      <c r="P97" s="677">
        <v>0</v>
      </c>
      <c r="Q97" s="677">
        <v>0</v>
      </c>
      <c r="R97" s="677">
        <v>0</v>
      </c>
      <c r="S97" s="677">
        <v>0</v>
      </c>
      <c r="T97" s="677">
        <v>0</v>
      </c>
      <c r="U97" s="677">
        <v>0</v>
      </c>
      <c r="V97" s="677">
        <v>0</v>
      </c>
      <c r="W97" s="677">
        <v>25</v>
      </c>
      <c r="X97" s="678"/>
      <c r="Y97" s="682">
        <f>SUBTOTAL(109,Техкарта[[#This Row],[Знач1]:[Знач12]])</f>
        <v>26</v>
      </c>
      <c r="Z97" s="680"/>
      <c r="AA97" s="681">
        <v>75.575000000000003</v>
      </c>
      <c r="AB97" s="681">
        <v>38.070999999999998</v>
      </c>
      <c r="AC97" s="417">
        <v>4</v>
      </c>
      <c r="AD97" s="417"/>
      <c r="AE97" s="682" t="s">
        <v>3996</v>
      </c>
      <c r="AF97">
        <v>1</v>
      </c>
      <c r="AG97" s="713">
        <v>43101</v>
      </c>
      <c r="AH97" s="417"/>
      <c r="AI97" s="417"/>
      <c r="AJ97" s="714">
        <v>43132</v>
      </c>
      <c r="AK97" s="417"/>
      <c r="AL97" s="637" t="s">
        <v>3471</v>
      </c>
      <c r="AM97" s="417"/>
      <c r="AN97" s="417"/>
      <c r="AO97" s="636"/>
      <c r="AP97">
        <v>556646</v>
      </c>
      <c r="AQ97" s="715">
        <v>43122</v>
      </c>
      <c r="AR97" s="417"/>
      <c r="AS97" s="417"/>
      <c r="AT97" s="417"/>
      <c r="AU97" s="417"/>
      <c r="AV97" s="417"/>
      <c r="AW97" s="417"/>
      <c r="AX97" s="417"/>
      <c r="AY97" t="s">
        <v>3362</v>
      </c>
      <c r="AZ97" s="417"/>
      <c r="BA97" s="417"/>
      <c r="BB97" t="s">
        <v>3585</v>
      </c>
      <c r="BC97" s="636"/>
      <c r="BD97" s="417"/>
      <c r="BE97" s="612">
        <v>0</v>
      </c>
      <c r="BF97" s="613">
        <v>0</v>
      </c>
      <c r="BG97" s="614" t="s">
        <v>78</v>
      </c>
      <c r="BH97" s="682"/>
      <c r="BI97" s="417"/>
      <c r="BJ97" s="417">
        <v>2</v>
      </c>
      <c r="BK97" s="682" t="str">
        <f>Техкарта[[#This Row],[Кв-л]]&amp;" кв ("&amp;Substring(Техкарта[[#This Row],[Виділ]],"_",1)&amp;" вид) "&amp;Substring(Техкарта[[#This Row],[Виділ]],"_",2)&amp;" діл."</f>
        <v>7 кв (10 вид) 0 діл.</v>
      </c>
      <c r="BL97" s="682" t="str">
        <f>Техкарта[[#This Row],[ПолнаяДіл]] &amp;" "&amp;Техкарта[[#This Row],[ЛК]]&amp;" "&amp;Техкарта[[#This Row],[Вид рубки]]</f>
        <v>7 кв (10 вид) 0 діл. 556646 СРВ</v>
      </c>
      <c r="BM97" s="682"/>
      <c r="BN97" s="636" t="s">
        <v>3784</v>
      </c>
      <c r="BO97" s="636" t="s">
        <v>3784</v>
      </c>
      <c r="BP97" s="636" t="s">
        <v>3784</v>
      </c>
      <c r="BQ97" s="636" t="s">
        <v>105</v>
      </c>
      <c r="BR97" s="636"/>
      <c r="BS97" s="636"/>
      <c r="BT97" s="636"/>
      <c r="BU97" s="636"/>
      <c r="BV97" s="636"/>
      <c r="BW97" s="636" t="s">
        <v>3907</v>
      </c>
      <c r="BX97" s="636"/>
      <c r="BY97" s="972"/>
    </row>
    <row r="98" spans="1:77">
      <c r="A98" t="s">
        <v>105</v>
      </c>
      <c r="B98" s="675" t="s">
        <v>115</v>
      </c>
      <c r="C98" s="687" t="s">
        <v>126</v>
      </c>
      <c r="D98" s="675">
        <v>0</v>
      </c>
      <c r="E98" s="675" t="s">
        <v>2305</v>
      </c>
      <c r="F98" s="675">
        <v>3</v>
      </c>
      <c r="G98" s="675" t="s">
        <v>2238</v>
      </c>
      <c r="H98" s="675">
        <v>31</v>
      </c>
      <c r="I98" s="676" t="s">
        <v>3831</v>
      </c>
      <c r="J98" s="677">
        <v>1.6</v>
      </c>
      <c r="K98" s="683">
        <v>121</v>
      </c>
      <c r="L98" s="677">
        <v>0</v>
      </c>
      <c r="M98" s="677">
        <v>0</v>
      </c>
      <c r="N98" s="677">
        <v>0</v>
      </c>
      <c r="O98" s="677">
        <v>0</v>
      </c>
      <c r="P98" s="677">
        <v>0</v>
      </c>
      <c r="Q98" s="677">
        <v>0</v>
      </c>
      <c r="R98" s="677">
        <v>0</v>
      </c>
      <c r="S98" s="677">
        <v>0</v>
      </c>
      <c r="T98" s="677">
        <v>0</v>
      </c>
      <c r="U98" s="677">
        <v>0</v>
      </c>
      <c r="V98" s="677">
        <v>0</v>
      </c>
      <c r="W98" s="677">
        <v>57</v>
      </c>
      <c r="X98" s="678"/>
      <c r="Y98" s="682">
        <f>SUBTOTAL(109,Техкарта[[#This Row],[Знач1]:[Знач12]])</f>
        <v>57</v>
      </c>
      <c r="Z98" s="680"/>
      <c r="AA98" s="681">
        <v>80.313999999999993</v>
      </c>
      <c r="AB98" s="681">
        <v>38.070999999999998</v>
      </c>
      <c r="AC98" s="417">
        <v>5</v>
      </c>
      <c r="AD98" s="417"/>
      <c r="AE98" s="682" t="s">
        <v>3997</v>
      </c>
      <c r="AF98">
        <v>1</v>
      </c>
      <c r="AG98" s="713">
        <v>43101</v>
      </c>
      <c r="AH98" s="417"/>
      <c r="AI98" s="417"/>
      <c r="AJ98" s="714">
        <v>43132</v>
      </c>
      <c r="AK98" s="417"/>
      <c r="AL98" s="637" t="s">
        <v>3466</v>
      </c>
      <c r="AM98" s="417"/>
      <c r="AN98" s="417"/>
      <c r="AO98" s="636"/>
      <c r="AP98">
        <v>556646</v>
      </c>
      <c r="AQ98" s="715">
        <v>43122</v>
      </c>
      <c r="AR98" s="417"/>
      <c r="AS98" s="417"/>
      <c r="AT98" s="417"/>
      <c r="AU98" s="417"/>
      <c r="AV98" s="417"/>
      <c r="AW98" s="417"/>
      <c r="AX98" s="417"/>
      <c r="AY98" t="s">
        <v>3362</v>
      </c>
      <c r="AZ98" s="417"/>
      <c r="BA98" s="417"/>
      <c r="BB98" t="s">
        <v>3585</v>
      </c>
      <c r="BC98" s="636"/>
      <c r="BD98" s="417"/>
      <c r="BE98" s="612">
        <v>0</v>
      </c>
      <c r="BF98" s="613">
        <v>0</v>
      </c>
      <c r="BG98" s="614" t="s">
        <v>78</v>
      </c>
      <c r="BH98" s="682"/>
      <c r="BI98" s="417"/>
      <c r="BJ98" s="417">
        <v>3</v>
      </c>
      <c r="BK98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98" s="682" t="str">
        <f>Техкарта[[#This Row],[ПолнаяДіл]] &amp;" "&amp;Техкарта[[#This Row],[ЛК]]&amp;" "&amp;Техкарта[[#This Row],[Вид рубки]]</f>
        <v>31 кв (4 вид) 0 діл. 556646 СРВ</v>
      </c>
      <c r="BM98" s="682"/>
      <c r="BN98" s="636" t="s">
        <v>3784</v>
      </c>
      <c r="BO98" s="636" t="s">
        <v>3784</v>
      </c>
      <c r="BP98" s="636" t="s">
        <v>3784</v>
      </c>
      <c r="BQ98" s="636" t="s">
        <v>105</v>
      </c>
      <c r="BR98" s="636"/>
      <c r="BS98" s="636"/>
      <c r="BT98" s="636"/>
      <c r="BU98" s="636"/>
      <c r="BV98" s="636"/>
      <c r="BW98" s="636" t="s">
        <v>3907</v>
      </c>
      <c r="BX98" s="636"/>
      <c r="BY98" s="972"/>
    </row>
    <row r="99" spans="1:77">
      <c r="A99" t="s">
        <v>105</v>
      </c>
      <c r="B99" s="675" t="s">
        <v>115</v>
      </c>
      <c r="C99" s="687" t="s">
        <v>126</v>
      </c>
      <c r="D99" s="675">
        <v>0</v>
      </c>
      <c r="E99" s="675" t="s">
        <v>2305</v>
      </c>
      <c r="F99" s="675">
        <v>3</v>
      </c>
      <c r="G99" s="675" t="s">
        <v>2238</v>
      </c>
      <c r="H99" s="675">
        <v>68</v>
      </c>
      <c r="I99" s="676" t="s">
        <v>3829</v>
      </c>
      <c r="J99" s="677">
        <v>3.3</v>
      </c>
      <c r="K99" s="683">
        <v>150</v>
      </c>
      <c r="L99" s="677">
        <v>0</v>
      </c>
      <c r="M99" s="677">
        <v>0</v>
      </c>
      <c r="N99" s="677">
        <v>16</v>
      </c>
      <c r="O99" s="677">
        <v>0</v>
      </c>
      <c r="P99" s="677">
        <v>0</v>
      </c>
      <c r="Q99" s="677">
        <v>0</v>
      </c>
      <c r="R99" s="677">
        <v>0</v>
      </c>
      <c r="S99" s="677">
        <v>0</v>
      </c>
      <c r="T99" s="677">
        <v>0</v>
      </c>
      <c r="U99" s="677">
        <v>27</v>
      </c>
      <c r="V99" s="677">
        <v>3</v>
      </c>
      <c r="W99" s="677">
        <v>55</v>
      </c>
      <c r="X99" s="678"/>
      <c r="Y99" s="682">
        <f>SUBTOTAL(109,Техкарта[[#This Row],[Знач1]:[Знач12]])</f>
        <v>101</v>
      </c>
      <c r="Z99" s="680"/>
      <c r="AA99" s="681">
        <v>69.483000000000004</v>
      </c>
      <c r="AB99" s="681">
        <v>38.070999999999998</v>
      </c>
      <c r="AC99" s="417">
        <v>7</v>
      </c>
      <c r="AD99" s="417"/>
      <c r="AE99" s="682" t="s">
        <v>3998</v>
      </c>
      <c r="AF99">
        <v>1</v>
      </c>
      <c r="AG99" s="713">
        <v>43101</v>
      </c>
      <c r="AH99" s="417"/>
      <c r="AI99" s="417"/>
      <c r="AJ99" s="714">
        <v>43132</v>
      </c>
      <c r="AK99" s="417"/>
      <c r="AL99" s="637" t="s">
        <v>3461</v>
      </c>
      <c r="AM99" s="417"/>
      <c r="AN99" s="417"/>
      <c r="AO99" s="636"/>
      <c r="AP99">
        <v>556646</v>
      </c>
      <c r="AQ99" s="715">
        <v>43122</v>
      </c>
      <c r="AR99" s="417"/>
      <c r="AS99" s="417"/>
      <c r="AT99" s="417"/>
      <c r="AU99" s="417"/>
      <c r="AV99" s="417"/>
      <c r="AW99" s="417"/>
      <c r="AX99" s="417"/>
      <c r="AY99" t="s">
        <v>3362</v>
      </c>
      <c r="AZ99" s="417"/>
      <c r="BA99" s="417"/>
      <c r="BB99" t="s">
        <v>3585</v>
      </c>
      <c r="BC99" s="636"/>
      <c r="BD99" s="417"/>
      <c r="BE99" s="612">
        <v>0</v>
      </c>
      <c r="BF99" s="613">
        <v>0</v>
      </c>
      <c r="BG99" s="614" t="s">
        <v>78</v>
      </c>
      <c r="BH99" s="682"/>
      <c r="BI99" s="417"/>
      <c r="BJ99" s="417">
        <v>4</v>
      </c>
      <c r="BK99" s="682" t="str">
        <f>Техкарта[[#This Row],[Кв-л]]&amp;" кв ("&amp;Substring(Техкарта[[#This Row],[Виділ]],"_",1)&amp;" вид) "&amp;Substring(Техкарта[[#This Row],[Виділ]],"_",2)&amp;" діл."</f>
        <v>68 кв (3 вид) 0 діл.</v>
      </c>
      <c r="BL99" s="682" t="str">
        <f>Техкарта[[#This Row],[ПолнаяДіл]] &amp;" "&amp;Техкарта[[#This Row],[ЛК]]&amp;" "&amp;Техкарта[[#This Row],[Вид рубки]]</f>
        <v>68 кв (3 вид) 0 діл. 556646 СРВ</v>
      </c>
      <c r="BM99" s="682"/>
      <c r="BN99" s="636" t="s">
        <v>3784</v>
      </c>
      <c r="BO99" s="636" t="s">
        <v>3784</v>
      </c>
      <c r="BP99" s="636" t="s">
        <v>3784</v>
      </c>
      <c r="BQ99" s="636" t="s">
        <v>105</v>
      </c>
      <c r="BR99" s="636"/>
      <c r="BS99" s="636"/>
      <c r="BT99" s="636"/>
      <c r="BU99" s="636"/>
      <c r="BV99" s="636"/>
      <c r="BW99" s="636" t="s">
        <v>3907</v>
      </c>
      <c r="BX99" s="636"/>
      <c r="BY99" s="972"/>
    </row>
    <row r="100" spans="1:77">
      <c r="A100" t="s">
        <v>105</v>
      </c>
      <c r="B100" s="675" t="s">
        <v>115</v>
      </c>
      <c r="C100" s="687" t="s">
        <v>126</v>
      </c>
      <c r="D100" s="675">
        <v>0</v>
      </c>
      <c r="E100" s="675" t="s">
        <v>2305</v>
      </c>
      <c r="F100" s="675">
        <v>3</v>
      </c>
      <c r="G100" s="675" t="s">
        <v>2238</v>
      </c>
      <c r="H100" s="675">
        <v>68</v>
      </c>
      <c r="I100" s="676" t="s">
        <v>3791</v>
      </c>
      <c r="J100" s="677">
        <v>3.4</v>
      </c>
      <c r="K100" s="683">
        <v>178</v>
      </c>
      <c r="L100" s="677">
        <v>0</v>
      </c>
      <c r="M100" s="677">
        <v>0</v>
      </c>
      <c r="N100" s="677">
        <v>9</v>
      </c>
      <c r="O100" s="677">
        <v>0</v>
      </c>
      <c r="P100" s="677">
        <v>0</v>
      </c>
      <c r="Q100" s="677">
        <v>0</v>
      </c>
      <c r="R100" s="677">
        <v>0</v>
      </c>
      <c r="S100" s="677">
        <v>0</v>
      </c>
      <c r="T100" s="677">
        <v>0</v>
      </c>
      <c r="U100" s="677">
        <v>44</v>
      </c>
      <c r="V100" s="677">
        <v>2</v>
      </c>
      <c r="W100" s="677">
        <v>31</v>
      </c>
      <c r="X100" s="678"/>
      <c r="Y100" s="682">
        <f>SUBTOTAL(109,Техкарта[[#This Row],[Знач1]:[Знач12]])</f>
        <v>86</v>
      </c>
      <c r="Z100" s="680"/>
      <c r="AA100" s="681">
        <v>79.781999999999996</v>
      </c>
      <c r="AB100" s="681">
        <v>38.070999999999998</v>
      </c>
      <c r="AC100" s="417">
        <v>8</v>
      </c>
      <c r="AD100" s="417"/>
      <c r="AE100" s="682" t="s">
        <v>3999</v>
      </c>
      <c r="AF100">
        <v>1</v>
      </c>
      <c r="AG100" s="713">
        <v>43101</v>
      </c>
      <c r="AH100" s="417"/>
      <c r="AI100" s="417"/>
      <c r="AJ100" s="714">
        <v>43132</v>
      </c>
      <c r="AK100" s="417"/>
      <c r="AL100" s="637" t="s">
        <v>3461</v>
      </c>
      <c r="AM100" s="417"/>
      <c r="AN100" s="417"/>
      <c r="AO100" s="636"/>
      <c r="AP100">
        <v>556646</v>
      </c>
      <c r="AQ100" s="715">
        <v>43122</v>
      </c>
      <c r="AR100" s="417"/>
      <c r="AS100" s="417"/>
      <c r="AT100" s="417"/>
      <c r="AU100" s="417"/>
      <c r="AV100" s="417"/>
      <c r="AW100" s="417"/>
      <c r="AX100" s="417"/>
      <c r="AY100" t="s">
        <v>3362</v>
      </c>
      <c r="AZ100" s="417"/>
      <c r="BA100" s="417"/>
      <c r="BB100" t="s">
        <v>3585</v>
      </c>
      <c r="BC100" s="636"/>
      <c r="BD100" s="417"/>
      <c r="BE100" s="612">
        <v>0</v>
      </c>
      <c r="BF100" s="613">
        <v>0</v>
      </c>
      <c r="BG100" s="614" t="s">
        <v>78</v>
      </c>
      <c r="BH100" s="682"/>
      <c r="BI100" s="417"/>
      <c r="BJ100" s="417">
        <v>5</v>
      </c>
      <c r="BK100" s="682" t="str">
        <f>Техкарта[[#This Row],[Кв-л]]&amp;" кв ("&amp;Substring(Техкарта[[#This Row],[Виділ]],"_",1)&amp;" вид) "&amp;Substring(Техкарта[[#This Row],[Виділ]],"_",2)&amp;" діл."</f>
        <v>68 кв (7 вид) 0 діл.</v>
      </c>
      <c r="BL100" s="682" t="str">
        <f>Техкарта[[#This Row],[ПолнаяДіл]] &amp;" "&amp;Техкарта[[#This Row],[ЛК]]&amp;" "&amp;Техкарта[[#This Row],[Вид рубки]]</f>
        <v>68 кв (7 вид) 0 діл. 556646 СРВ</v>
      </c>
      <c r="BM100" s="682"/>
      <c r="BN100" s="636" t="s">
        <v>3784</v>
      </c>
      <c r="BO100" s="636" t="s">
        <v>3784</v>
      </c>
      <c r="BP100" s="636" t="s">
        <v>3784</v>
      </c>
      <c r="BQ100" s="636" t="s">
        <v>105</v>
      </c>
      <c r="BR100" s="636"/>
      <c r="BS100" s="636"/>
      <c r="BT100" s="636"/>
      <c r="BU100" s="636"/>
      <c r="BV100" s="636"/>
      <c r="BW100" s="636" t="s">
        <v>3907</v>
      </c>
      <c r="BX100" s="636"/>
      <c r="BY100" s="972"/>
    </row>
    <row r="101" spans="1:77">
      <c r="A101" t="s">
        <v>105</v>
      </c>
      <c r="B101" s="675" t="s">
        <v>115</v>
      </c>
      <c r="C101" s="687" t="s">
        <v>126</v>
      </c>
      <c r="D101" s="675">
        <v>0</v>
      </c>
      <c r="E101" s="675" t="s">
        <v>2305</v>
      </c>
      <c r="F101" s="675">
        <v>3</v>
      </c>
      <c r="G101" s="675" t="s">
        <v>2238</v>
      </c>
      <c r="H101" s="675">
        <v>94</v>
      </c>
      <c r="I101" s="676" t="s">
        <v>3790</v>
      </c>
      <c r="J101" s="677">
        <v>0.9</v>
      </c>
      <c r="K101" s="683">
        <v>81</v>
      </c>
      <c r="L101" s="677">
        <v>0</v>
      </c>
      <c r="M101" s="677">
        <v>0</v>
      </c>
      <c r="N101" s="677">
        <v>2</v>
      </c>
      <c r="O101" s="677">
        <v>0</v>
      </c>
      <c r="P101" s="677">
        <v>0</v>
      </c>
      <c r="Q101" s="677">
        <v>0</v>
      </c>
      <c r="R101" s="677">
        <v>0</v>
      </c>
      <c r="S101" s="677">
        <v>0</v>
      </c>
      <c r="T101" s="677">
        <v>0</v>
      </c>
      <c r="U101" s="677">
        <v>6</v>
      </c>
      <c r="V101" s="677">
        <v>3</v>
      </c>
      <c r="W101" s="677">
        <v>24</v>
      </c>
      <c r="X101" s="678"/>
      <c r="Y101" s="682">
        <f>SUBTOTAL(109,Техкарта[[#This Row],[Знач1]:[Знач12]])</f>
        <v>35</v>
      </c>
      <c r="Z101" s="680"/>
      <c r="AA101" s="681">
        <v>78.924999999999997</v>
      </c>
      <c r="AB101" s="681">
        <v>38.070999999999998</v>
      </c>
      <c r="AC101" s="417">
        <v>3</v>
      </c>
      <c r="AD101" s="417"/>
      <c r="AE101" s="682" t="s">
        <v>4000</v>
      </c>
      <c r="AF101">
        <v>1</v>
      </c>
      <c r="AG101" s="713">
        <v>43101</v>
      </c>
      <c r="AH101" s="417"/>
      <c r="AI101" s="417"/>
      <c r="AJ101" s="714">
        <v>43132</v>
      </c>
      <c r="AK101" s="417"/>
      <c r="AL101" s="637" t="s">
        <v>3452</v>
      </c>
      <c r="AM101" s="417"/>
      <c r="AN101" s="417"/>
      <c r="AO101" s="636"/>
      <c r="AP101">
        <v>556646</v>
      </c>
      <c r="AQ101" s="715">
        <v>43122</v>
      </c>
      <c r="AR101" s="417"/>
      <c r="AS101" s="417"/>
      <c r="AT101" s="417"/>
      <c r="AU101" s="417"/>
      <c r="AV101" s="417"/>
      <c r="AW101" s="417"/>
      <c r="AX101" s="417"/>
      <c r="AY101" t="s">
        <v>3362</v>
      </c>
      <c r="AZ101" s="417"/>
      <c r="BA101" s="417"/>
      <c r="BB101" t="s">
        <v>3585</v>
      </c>
      <c r="BC101" s="636"/>
      <c r="BD101" s="417"/>
      <c r="BE101" s="612">
        <v>0</v>
      </c>
      <c r="BF101" s="613">
        <v>0</v>
      </c>
      <c r="BG101" s="614" t="s">
        <v>78</v>
      </c>
      <c r="BH101" s="682"/>
      <c r="BI101" s="417"/>
      <c r="BJ101" s="417">
        <v>6</v>
      </c>
      <c r="BK101" s="682" t="str">
        <f>Техкарта[[#This Row],[Кв-л]]&amp;" кв ("&amp;Substring(Техкарта[[#This Row],[Виділ]],"_",1)&amp;" вид) "&amp;Substring(Техкарта[[#This Row],[Виділ]],"_",2)&amp;" діл."</f>
        <v>94 кв (2 вид) 0 діл.</v>
      </c>
      <c r="BL101" s="682" t="str">
        <f>Техкарта[[#This Row],[ПолнаяДіл]] &amp;" "&amp;Техкарта[[#This Row],[ЛК]]&amp;" "&amp;Техкарта[[#This Row],[Вид рубки]]</f>
        <v>94 кв (2 вид) 0 діл. 556646 СРВ</v>
      </c>
      <c r="BM101" s="682"/>
      <c r="BN101" s="636" t="s">
        <v>3784</v>
      </c>
      <c r="BO101" s="636" t="s">
        <v>3784</v>
      </c>
      <c r="BP101" s="636" t="s">
        <v>3784</v>
      </c>
      <c r="BQ101" s="636" t="s">
        <v>105</v>
      </c>
      <c r="BR101" s="636"/>
      <c r="BS101" s="636"/>
      <c r="BT101" s="636"/>
      <c r="BU101" s="636"/>
      <c r="BV101" s="636"/>
      <c r="BW101" s="636" t="s">
        <v>3907</v>
      </c>
      <c r="BX101" s="636"/>
      <c r="BY101" s="972"/>
    </row>
    <row r="102" spans="1:77">
      <c r="A102" t="s">
        <v>105</v>
      </c>
      <c r="B102" s="675" t="s">
        <v>115</v>
      </c>
      <c r="C102" s="687" t="s">
        <v>126</v>
      </c>
      <c r="D102" s="675">
        <v>0</v>
      </c>
      <c r="E102" s="675" t="s">
        <v>2305</v>
      </c>
      <c r="F102" s="675">
        <v>3</v>
      </c>
      <c r="G102" s="675" t="s">
        <v>2238</v>
      </c>
      <c r="H102" s="675">
        <v>97</v>
      </c>
      <c r="I102" s="676" t="s">
        <v>3829</v>
      </c>
      <c r="J102" s="677">
        <v>0.1</v>
      </c>
      <c r="K102" s="683">
        <v>30</v>
      </c>
      <c r="L102" s="677">
        <v>0</v>
      </c>
      <c r="M102" s="677">
        <v>2</v>
      </c>
      <c r="N102" s="677">
        <v>0</v>
      </c>
      <c r="O102" s="677">
        <v>0</v>
      </c>
      <c r="P102" s="677">
        <v>0</v>
      </c>
      <c r="Q102" s="677">
        <v>0</v>
      </c>
      <c r="R102" s="677">
        <v>0</v>
      </c>
      <c r="S102" s="677">
        <v>0</v>
      </c>
      <c r="T102" s="677">
        <v>0</v>
      </c>
      <c r="U102" s="677">
        <v>0</v>
      </c>
      <c r="V102" s="677">
        <v>6</v>
      </c>
      <c r="W102" s="677">
        <v>2</v>
      </c>
      <c r="X102" s="678"/>
      <c r="Y102" s="682">
        <f>SUBTOTAL(109,Техкарта[[#This Row],[Знач1]:[Знач12]])</f>
        <v>10</v>
      </c>
      <c r="Z102" s="680"/>
      <c r="AA102" s="681">
        <v>74.323999999999998</v>
      </c>
      <c r="AB102" s="681">
        <v>38.070999999999998</v>
      </c>
      <c r="AC102" s="417">
        <v>1</v>
      </c>
      <c r="AD102" s="417"/>
      <c r="AE102" s="682" t="s">
        <v>4001</v>
      </c>
      <c r="AF102">
        <v>1</v>
      </c>
      <c r="AG102" s="713">
        <v>43101</v>
      </c>
      <c r="AH102" s="417"/>
      <c r="AI102" s="417"/>
      <c r="AJ102" s="714">
        <v>43132</v>
      </c>
      <c r="AK102" s="417"/>
      <c r="AL102" s="637" t="s">
        <v>3452</v>
      </c>
      <c r="AM102" s="417"/>
      <c r="AN102" s="417"/>
      <c r="AO102" s="636"/>
      <c r="AP102">
        <v>556646</v>
      </c>
      <c r="AQ102" s="715">
        <v>43122</v>
      </c>
      <c r="AR102" s="417"/>
      <c r="AS102" s="417"/>
      <c r="AT102" s="417"/>
      <c r="AU102" s="417"/>
      <c r="AV102" s="417"/>
      <c r="AW102" s="417"/>
      <c r="AX102" s="417"/>
      <c r="AY102" t="s">
        <v>3362</v>
      </c>
      <c r="AZ102" s="417"/>
      <c r="BA102" s="417"/>
      <c r="BB102" t="s">
        <v>3585</v>
      </c>
      <c r="BC102" s="636"/>
      <c r="BD102" s="417"/>
      <c r="BE102" s="612">
        <v>0</v>
      </c>
      <c r="BF102" s="613">
        <v>0</v>
      </c>
      <c r="BG102" s="614" t="s">
        <v>78</v>
      </c>
      <c r="BH102" s="682"/>
      <c r="BI102" s="417"/>
      <c r="BJ102" s="417">
        <v>7</v>
      </c>
      <c r="BK102" s="682" t="str">
        <f>Техкарта[[#This Row],[Кв-л]]&amp;" кв ("&amp;Substring(Техкарта[[#This Row],[Виділ]],"_",1)&amp;" вид) "&amp;Substring(Техкарта[[#This Row],[Виділ]],"_",2)&amp;" діл."</f>
        <v>97 кв (3 вид) 0 діл.</v>
      </c>
      <c r="BL102" s="682" t="str">
        <f>Техкарта[[#This Row],[ПолнаяДіл]] &amp;" "&amp;Техкарта[[#This Row],[ЛК]]&amp;" "&amp;Техкарта[[#This Row],[Вид рубки]]</f>
        <v>97 кв (3 вид) 0 діл. 556646 СРВ</v>
      </c>
      <c r="BM102" s="682"/>
      <c r="BN102" s="636" t="s">
        <v>3784</v>
      </c>
      <c r="BO102" s="636" t="s">
        <v>3784</v>
      </c>
      <c r="BP102" s="636" t="s">
        <v>3784</v>
      </c>
      <c r="BQ102" s="636" t="s">
        <v>105</v>
      </c>
      <c r="BR102" s="636"/>
      <c r="BS102" s="636"/>
      <c r="BT102" s="636"/>
      <c r="BU102" s="636"/>
      <c r="BV102" s="636"/>
      <c r="BW102" s="636" t="s">
        <v>3907</v>
      </c>
      <c r="BX102" s="636"/>
      <c r="BY102" s="972"/>
    </row>
    <row r="103" spans="1:77">
      <c r="A103" t="s">
        <v>105</v>
      </c>
      <c r="B103" s="675" t="s">
        <v>115</v>
      </c>
      <c r="C103" s="687" t="s">
        <v>126</v>
      </c>
      <c r="D103" s="675">
        <v>0</v>
      </c>
      <c r="E103" s="675" t="s">
        <v>2305</v>
      </c>
      <c r="F103" s="675">
        <v>3</v>
      </c>
      <c r="G103" s="675" t="s">
        <v>2238</v>
      </c>
      <c r="H103" s="675">
        <v>101</v>
      </c>
      <c r="I103" s="676" t="s">
        <v>3832</v>
      </c>
      <c r="J103" s="677">
        <v>4.8</v>
      </c>
      <c r="K103" s="683">
        <v>380</v>
      </c>
      <c r="L103" s="677">
        <v>0</v>
      </c>
      <c r="M103" s="677">
        <v>5</v>
      </c>
      <c r="N103" s="677">
        <v>0</v>
      </c>
      <c r="O103" s="677">
        <v>0</v>
      </c>
      <c r="P103" s="677">
        <v>0</v>
      </c>
      <c r="Q103" s="677">
        <v>0</v>
      </c>
      <c r="R103" s="677">
        <v>0</v>
      </c>
      <c r="S103" s="677">
        <v>0</v>
      </c>
      <c r="T103" s="677">
        <v>0</v>
      </c>
      <c r="U103" s="677">
        <v>48</v>
      </c>
      <c r="V103" s="677">
        <v>7</v>
      </c>
      <c r="W103" s="677">
        <v>45</v>
      </c>
      <c r="X103" s="678"/>
      <c r="Y103" s="682">
        <f>SUBTOTAL(109,Техкарта[[#This Row],[Знач1]:[Знач12]])</f>
        <v>105</v>
      </c>
      <c r="Z103" s="680"/>
      <c r="AA103" s="681">
        <v>93.355999999999995</v>
      </c>
      <c r="AB103" s="681">
        <v>38.070999999999998</v>
      </c>
      <c r="AC103" s="417">
        <v>13</v>
      </c>
      <c r="AD103" s="417"/>
      <c r="AE103" s="682" t="s">
        <v>4002</v>
      </c>
      <c r="AF103">
        <v>1</v>
      </c>
      <c r="AG103" s="713">
        <v>43101</v>
      </c>
      <c r="AH103" s="417"/>
      <c r="AI103" s="417"/>
      <c r="AJ103" s="714">
        <v>43132</v>
      </c>
      <c r="AK103" s="417"/>
      <c r="AL103" s="637" t="s">
        <v>3452</v>
      </c>
      <c r="AM103" s="417"/>
      <c r="AN103" s="417"/>
      <c r="AO103" s="636"/>
      <c r="AP103">
        <v>556646</v>
      </c>
      <c r="AQ103" s="715">
        <v>43122</v>
      </c>
      <c r="AR103" s="417"/>
      <c r="AS103" s="417"/>
      <c r="AT103" s="417"/>
      <c r="AU103" s="417"/>
      <c r="AV103" s="417"/>
      <c r="AW103" s="417"/>
      <c r="AX103" s="417"/>
      <c r="AY103" t="s">
        <v>3362</v>
      </c>
      <c r="AZ103" s="417"/>
      <c r="BA103" s="417"/>
      <c r="BB103" t="s">
        <v>3585</v>
      </c>
      <c r="BC103" s="636"/>
      <c r="BD103" s="417"/>
      <c r="BE103" s="612">
        <v>0</v>
      </c>
      <c r="BF103" s="613">
        <v>0</v>
      </c>
      <c r="BG103" s="614" t="s">
        <v>78</v>
      </c>
      <c r="BH103" s="682"/>
      <c r="BI103" s="417"/>
      <c r="BJ103" s="417">
        <v>8</v>
      </c>
      <c r="BK103" s="682" t="str">
        <f>Техкарта[[#This Row],[Кв-л]]&amp;" кв ("&amp;Substring(Техкарта[[#This Row],[Виділ]],"_",1)&amp;" вид) "&amp;Substring(Техкарта[[#This Row],[Виділ]],"_",2)&amp;" діл."</f>
        <v>101 кв (5 вид) 0 діл.</v>
      </c>
      <c r="BL103" s="682" t="str">
        <f>Техкарта[[#This Row],[ПолнаяДіл]] &amp;" "&amp;Техкарта[[#This Row],[ЛК]]&amp;" "&amp;Техкарта[[#This Row],[Вид рубки]]</f>
        <v>101 кв (5 вид) 0 діл. 556646 СРВ</v>
      </c>
      <c r="BM103" s="682"/>
      <c r="BN103" s="636" t="s">
        <v>3784</v>
      </c>
      <c r="BO103" s="636" t="s">
        <v>3784</v>
      </c>
      <c r="BP103" s="636" t="s">
        <v>3784</v>
      </c>
      <c r="BQ103" s="636" t="s">
        <v>105</v>
      </c>
      <c r="BR103" s="636"/>
      <c r="BS103" s="636"/>
      <c r="BT103" s="636"/>
      <c r="BU103" s="636"/>
      <c r="BV103" s="636"/>
      <c r="BW103" s="636" t="s">
        <v>3907</v>
      </c>
      <c r="BX103" s="636"/>
      <c r="BY103" s="972"/>
    </row>
    <row r="104" spans="1:77">
      <c r="A104" t="s">
        <v>105</v>
      </c>
      <c r="B104" s="675" t="s">
        <v>115</v>
      </c>
      <c r="C104" s="687" t="s">
        <v>126</v>
      </c>
      <c r="D104" s="675">
        <v>0</v>
      </c>
      <c r="E104" s="675" t="s">
        <v>2316</v>
      </c>
      <c r="F104" s="675">
        <v>2</v>
      </c>
      <c r="G104" s="675" t="s">
        <v>2238</v>
      </c>
      <c r="H104" s="675">
        <v>132</v>
      </c>
      <c r="I104" s="676" t="s">
        <v>3791</v>
      </c>
      <c r="J104" s="677">
        <v>14.2</v>
      </c>
      <c r="K104" s="683">
        <v>978</v>
      </c>
      <c r="L104" s="677">
        <v>0</v>
      </c>
      <c r="M104" s="677">
        <v>0</v>
      </c>
      <c r="N104" s="677">
        <v>18</v>
      </c>
      <c r="O104" s="677">
        <v>0</v>
      </c>
      <c r="P104" s="677">
        <v>0</v>
      </c>
      <c r="Q104" s="677">
        <v>0</v>
      </c>
      <c r="R104" s="677">
        <v>0</v>
      </c>
      <c r="S104" s="677">
        <v>0</v>
      </c>
      <c r="T104" s="677">
        <v>0</v>
      </c>
      <c r="U104" s="677">
        <v>0</v>
      </c>
      <c r="V104" s="677">
        <v>4</v>
      </c>
      <c r="W104" s="677">
        <v>364</v>
      </c>
      <c r="X104" s="678"/>
      <c r="Y104" s="682">
        <f>SUBTOTAL(109,Техкарта[[#This Row],[Знач1]:[Знач12]])</f>
        <v>386</v>
      </c>
      <c r="Z104" s="680"/>
      <c r="AA104" s="681">
        <v>74.959000000000003</v>
      </c>
      <c r="AB104" s="681">
        <v>29.978000000000002</v>
      </c>
      <c r="AC104" s="417">
        <v>31</v>
      </c>
      <c r="AD104" s="417"/>
      <c r="AE104" s="682" t="s">
        <v>4003</v>
      </c>
      <c r="AF104">
        <v>1</v>
      </c>
      <c r="AG104" s="713">
        <v>43101</v>
      </c>
      <c r="AH104" s="417"/>
      <c r="AI104" s="417"/>
      <c r="AJ104" s="714">
        <v>43132</v>
      </c>
      <c r="AK104" s="417"/>
      <c r="AL104" s="637" t="s">
        <v>3483</v>
      </c>
      <c r="AM104" s="417"/>
      <c r="AN104" s="417"/>
      <c r="AO104" s="636"/>
      <c r="AP104">
        <v>556646</v>
      </c>
      <c r="AQ104" s="715">
        <v>43122</v>
      </c>
      <c r="AR104" s="417"/>
      <c r="AS104" s="417"/>
      <c r="AT104" s="417"/>
      <c r="AU104" s="417"/>
      <c r="AV104" s="417"/>
      <c r="AW104" s="417"/>
      <c r="AX104" s="417"/>
      <c r="AY104" t="s">
        <v>3362</v>
      </c>
      <c r="AZ104" s="417"/>
      <c r="BA104" s="417"/>
      <c r="BB104" t="s">
        <v>3585</v>
      </c>
      <c r="BC104" s="636"/>
      <c r="BD104" s="417"/>
      <c r="BE104" s="612">
        <v>5</v>
      </c>
      <c r="BF104" s="613">
        <v>40</v>
      </c>
      <c r="BG104" s="614" t="s">
        <v>78</v>
      </c>
      <c r="BH104" s="682"/>
      <c r="BI104" s="417"/>
      <c r="BJ104" s="417">
        <v>9</v>
      </c>
      <c r="BK104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104" s="682" t="str">
        <f>Техкарта[[#This Row],[ПолнаяДіл]] &amp;" "&amp;Техкарта[[#This Row],[ЛК]]&amp;" "&amp;Техкарта[[#This Row],[Вид рубки]]</f>
        <v>132 кв (7 вид) 0 діл. 556646 СРВ</v>
      </c>
      <c r="BM104" s="682"/>
      <c r="BN104" s="636" t="s">
        <v>3784</v>
      </c>
      <c r="BO104" s="636" t="s">
        <v>3784</v>
      </c>
      <c r="BP104" s="636" t="s">
        <v>3784</v>
      </c>
      <c r="BQ104" s="636" t="s">
        <v>105</v>
      </c>
      <c r="BR104" s="636"/>
      <c r="BS104" s="636"/>
      <c r="BT104" s="636"/>
      <c r="BU104" s="636"/>
      <c r="BV104" s="636"/>
      <c r="BW104" s="636" t="s">
        <v>3907</v>
      </c>
      <c r="BX104" s="636"/>
      <c r="BY104" s="972"/>
    </row>
    <row r="105" spans="1:77">
      <c r="A105" t="s">
        <v>104</v>
      </c>
      <c r="B105" s="675" t="s">
        <v>112</v>
      </c>
      <c r="C105" s="687" t="s">
        <v>104</v>
      </c>
      <c r="D105" s="675">
        <v>0</v>
      </c>
      <c r="E105" s="675" t="s">
        <v>2305</v>
      </c>
      <c r="F105" s="675">
        <v>2</v>
      </c>
      <c r="G105" s="675" t="s">
        <v>2238</v>
      </c>
      <c r="H105" s="675">
        <v>78</v>
      </c>
      <c r="I105" s="676" t="s">
        <v>3790</v>
      </c>
      <c r="J105" s="677">
        <v>2</v>
      </c>
      <c r="K105" s="683">
        <v>1066</v>
      </c>
      <c r="L105" s="677">
        <v>0</v>
      </c>
      <c r="M105" s="677">
        <v>0</v>
      </c>
      <c r="N105" s="677">
        <v>234</v>
      </c>
      <c r="O105" s="677">
        <v>0</v>
      </c>
      <c r="P105" s="677">
        <v>0</v>
      </c>
      <c r="Q105" s="677">
        <v>7</v>
      </c>
      <c r="R105" s="677">
        <v>38</v>
      </c>
      <c r="S105" s="677">
        <v>12</v>
      </c>
      <c r="T105" s="677">
        <v>228</v>
      </c>
      <c r="U105" s="677">
        <v>13</v>
      </c>
      <c r="V105" s="677">
        <v>9</v>
      </c>
      <c r="W105" s="677">
        <v>156</v>
      </c>
      <c r="X105" s="678"/>
      <c r="Y105" s="682">
        <f>SUBTOTAL(109,Техкарта[[#This Row],[Знач1]:[Знач12]])</f>
        <v>697</v>
      </c>
      <c r="Z105" s="680"/>
      <c r="AA105" s="681">
        <v>73.117000000000004</v>
      </c>
      <c r="AB105" s="681">
        <v>35.396999999999998</v>
      </c>
      <c r="AC105" s="417">
        <v>50</v>
      </c>
      <c r="AD105" s="417"/>
      <c r="AE105" s="682" t="s">
        <v>4005</v>
      </c>
      <c r="AF105">
        <v>1</v>
      </c>
      <c r="AG105" s="713">
        <v>43101</v>
      </c>
      <c r="AH105" s="417"/>
      <c r="AI105" s="417"/>
      <c r="AJ105" s="714">
        <v>43132</v>
      </c>
      <c r="AK105" s="417"/>
      <c r="AL105" s="637" t="s">
        <v>3473</v>
      </c>
      <c r="AM105" s="417"/>
      <c r="AN105" s="417"/>
      <c r="AO105" s="636"/>
      <c r="AP105">
        <v>556617</v>
      </c>
      <c r="AQ105" s="715">
        <v>43077</v>
      </c>
      <c r="AR105" s="417"/>
      <c r="AS105" s="417"/>
      <c r="AT105" s="417"/>
      <c r="AU105" s="417"/>
      <c r="AV105" s="417"/>
      <c r="AW105" s="417"/>
      <c r="AX105" s="417"/>
      <c r="AY105" t="s">
        <v>80</v>
      </c>
      <c r="AZ105" s="417"/>
      <c r="BA105" s="417"/>
      <c r="BB105" t="s">
        <v>3584</v>
      </c>
      <c r="BC105" s="636"/>
      <c r="BD105" s="417"/>
      <c r="BE105" s="612">
        <v>0</v>
      </c>
      <c r="BF105" s="613">
        <v>40</v>
      </c>
      <c r="BG105" s="614" t="s">
        <v>78</v>
      </c>
      <c r="BH105" s="682"/>
      <c r="BI105" s="417"/>
      <c r="BJ105" s="417">
        <v>1</v>
      </c>
      <c r="BK10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105" s="682" t="str">
        <f>Техкарта[[#This Row],[ПолнаяДіл]] &amp;" "&amp;Техкарта[[#This Row],[ЛК]]&amp;" "&amp;Техкарта[[#This Row],[Вид рубки]]</f>
        <v>78 кв (2 вид) 0 діл. 556617 РГК</v>
      </c>
      <c r="BM105" s="682"/>
      <c r="BN105" s="636" t="s">
        <v>3784</v>
      </c>
      <c r="BO105" s="636" t="s">
        <v>3784</v>
      </c>
      <c r="BP105" s="636" t="s">
        <v>3784</v>
      </c>
      <c r="BQ105" s="636" t="s">
        <v>104</v>
      </c>
      <c r="BR105" s="636"/>
      <c r="BS105" s="636"/>
      <c r="BT105" s="636"/>
      <c r="BU105" s="636"/>
      <c r="BV105" s="636"/>
      <c r="BW105" s="636" t="s">
        <v>4004</v>
      </c>
      <c r="BX105" s="636"/>
      <c r="BY105" s="972"/>
    </row>
    <row r="106" spans="1:77">
      <c r="A106" t="s">
        <v>105</v>
      </c>
      <c r="B106" s="675" t="s">
        <v>116</v>
      </c>
      <c r="C106" s="687" t="s">
        <v>126</v>
      </c>
      <c r="D106" s="675">
        <v>0</v>
      </c>
      <c r="E106" s="675" t="s">
        <v>2316</v>
      </c>
      <c r="F106" s="675">
        <v>3</v>
      </c>
      <c r="G106" s="675" t="s">
        <v>2238</v>
      </c>
      <c r="H106" s="675">
        <v>17</v>
      </c>
      <c r="I106" s="676" t="s">
        <v>3829</v>
      </c>
      <c r="J106" s="677">
        <v>3.7</v>
      </c>
      <c r="K106" s="683">
        <v>226</v>
      </c>
      <c r="L106" s="677">
        <v>0</v>
      </c>
      <c r="M106" s="677">
        <v>1</v>
      </c>
      <c r="N106" s="677">
        <v>10</v>
      </c>
      <c r="O106" s="677">
        <v>0</v>
      </c>
      <c r="P106" s="677">
        <v>0</v>
      </c>
      <c r="Q106" s="677">
        <v>0</v>
      </c>
      <c r="R106" s="677">
        <v>0</v>
      </c>
      <c r="S106" s="677">
        <v>0</v>
      </c>
      <c r="T106" s="677">
        <v>0</v>
      </c>
      <c r="U106" s="677">
        <v>24</v>
      </c>
      <c r="V106" s="677">
        <v>7</v>
      </c>
      <c r="W106" s="677">
        <v>74</v>
      </c>
      <c r="X106" s="678"/>
      <c r="Y106" s="682">
        <f>SUBTOTAL(109,Техкарта[[#This Row],[Знач1]:[Знач12]])</f>
        <v>116</v>
      </c>
      <c r="Z106" s="680"/>
      <c r="AA106" s="681">
        <v>74.436999999999998</v>
      </c>
      <c r="AB106" s="681">
        <v>29.978000000000002</v>
      </c>
      <c r="AC106" s="417">
        <v>9</v>
      </c>
      <c r="AD106" s="417"/>
      <c r="AE106" s="682" t="s">
        <v>4006</v>
      </c>
      <c r="AF106">
        <v>1</v>
      </c>
      <c r="AG106" s="713">
        <v>43101</v>
      </c>
      <c r="AH106" s="417"/>
      <c r="AI106" s="417"/>
      <c r="AJ106" s="714">
        <v>43137</v>
      </c>
      <c r="AK106" s="417"/>
      <c r="AL106" s="637" t="s">
        <v>3449</v>
      </c>
      <c r="AM106" s="417"/>
      <c r="AN106" s="417"/>
      <c r="AO106" s="636"/>
      <c r="AP106">
        <v>556650</v>
      </c>
      <c r="AQ106" s="715">
        <v>43137</v>
      </c>
      <c r="AR106" s="417"/>
      <c r="AS106" s="417"/>
      <c r="AT106" s="417"/>
      <c r="AU106" s="417"/>
      <c r="AV106" s="417"/>
      <c r="AW106" s="417"/>
      <c r="AX106" s="417"/>
      <c r="AY106" t="s">
        <v>80</v>
      </c>
      <c r="AZ106" s="417"/>
      <c r="BA106" s="417"/>
      <c r="BB106" t="s">
        <v>3584</v>
      </c>
      <c r="BC106" s="636"/>
      <c r="BD106" s="417"/>
      <c r="BE106" s="612">
        <v>0</v>
      </c>
      <c r="BF106" s="613">
        <v>0</v>
      </c>
      <c r="BG106" s="614" t="s">
        <v>78</v>
      </c>
      <c r="BH106" s="682"/>
      <c r="BI106" s="417"/>
      <c r="BJ106" s="417">
        <v>1</v>
      </c>
      <c r="BK106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06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106" s="682"/>
      <c r="BN106" s="636" t="s">
        <v>3784</v>
      </c>
      <c r="BO106" s="636" t="s">
        <v>3784</v>
      </c>
      <c r="BP106" s="636" t="s">
        <v>3784</v>
      </c>
      <c r="BQ106" s="636" t="s">
        <v>105</v>
      </c>
      <c r="BR106" s="636"/>
      <c r="BS106" s="636"/>
      <c r="BT106" s="636"/>
      <c r="BU106" s="636"/>
      <c r="BV106" s="636"/>
      <c r="BW106" s="636" t="s">
        <v>4004</v>
      </c>
      <c r="BX106" s="636"/>
      <c r="BY106" s="972"/>
    </row>
    <row r="107" spans="1:77">
      <c r="A107" t="s">
        <v>105</v>
      </c>
      <c r="B107" s="675" t="s">
        <v>116</v>
      </c>
      <c r="C107" s="687" t="s">
        <v>126</v>
      </c>
      <c r="D107" s="675">
        <v>0</v>
      </c>
      <c r="E107" s="675" t="s">
        <v>2305</v>
      </c>
      <c r="F107" s="675">
        <v>3</v>
      </c>
      <c r="G107" s="675" t="s">
        <v>2238</v>
      </c>
      <c r="H107" s="675">
        <v>33</v>
      </c>
      <c r="I107" s="676" t="s">
        <v>3829</v>
      </c>
      <c r="J107" s="677">
        <v>1.7</v>
      </c>
      <c r="K107" s="683">
        <v>111</v>
      </c>
      <c r="L107" s="677">
        <v>0</v>
      </c>
      <c r="M107" s="677">
        <v>0</v>
      </c>
      <c r="N107" s="677">
        <v>13</v>
      </c>
      <c r="O107" s="677">
        <v>0</v>
      </c>
      <c r="P107" s="677">
        <v>0</v>
      </c>
      <c r="Q107" s="677">
        <v>0</v>
      </c>
      <c r="R107" s="677">
        <v>0</v>
      </c>
      <c r="S107" s="677">
        <v>0</v>
      </c>
      <c r="T107" s="677">
        <v>0</v>
      </c>
      <c r="U107" s="677">
        <v>2</v>
      </c>
      <c r="V107" s="677">
        <v>0</v>
      </c>
      <c r="W107" s="677">
        <v>72</v>
      </c>
      <c r="X107" s="678"/>
      <c r="Y107" s="682">
        <f>SUBTOTAL(109,Техкарта[[#This Row],[Знач1]:[Знач12]])</f>
        <v>87</v>
      </c>
      <c r="Z107" s="680"/>
      <c r="AA107" s="681">
        <v>68.626999999999995</v>
      </c>
      <c r="AB107" s="681">
        <v>29.978000000000002</v>
      </c>
      <c r="AC107" s="417">
        <v>5</v>
      </c>
      <c r="AD107" s="417"/>
      <c r="AE107" s="682" t="s">
        <v>4007</v>
      </c>
      <c r="AF107">
        <v>1</v>
      </c>
      <c r="AG107" s="713">
        <v>43101</v>
      </c>
      <c r="AH107" s="417"/>
      <c r="AI107" s="417"/>
      <c r="AJ107" s="714">
        <v>43137</v>
      </c>
      <c r="AK107" s="417"/>
      <c r="AL107" s="637" t="s">
        <v>3437</v>
      </c>
      <c r="AM107" s="417"/>
      <c r="AN107" s="417"/>
      <c r="AO107" s="636"/>
      <c r="AP107">
        <v>556650</v>
      </c>
      <c r="AQ107" s="715">
        <v>43137</v>
      </c>
      <c r="AR107" s="417"/>
      <c r="AS107" s="417"/>
      <c r="AT107" s="417"/>
      <c r="AU107" s="417"/>
      <c r="AV107" s="417"/>
      <c r="AW107" s="417"/>
      <c r="AX107" s="417"/>
      <c r="AY107" t="s">
        <v>80</v>
      </c>
      <c r="AZ107" s="417"/>
      <c r="BA107" s="417"/>
      <c r="BB107" t="s">
        <v>3584</v>
      </c>
      <c r="BC107" s="636"/>
      <c r="BD107" s="417"/>
      <c r="BE107" s="612">
        <v>0</v>
      </c>
      <c r="BF107" s="613">
        <v>0</v>
      </c>
      <c r="BG107" s="614" t="s">
        <v>78</v>
      </c>
      <c r="BH107" s="682"/>
      <c r="BI107" s="417"/>
      <c r="BJ107" s="417">
        <v>2</v>
      </c>
      <c r="BK107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107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107" s="682"/>
      <c r="BN107" s="636" t="s">
        <v>3784</v>
      </c>
      <c r="BO107" s="636" t="s">
        <v>3784</v>
      </c>
      <c r="BP107" s="636" t="s">
        <v>3784</v>
      </c>
      <c r="BQ107" s="636" t="s">
        <v>105</v>
      </c>
      <c r="BR107" s="636"/>
      <c r="BS107" s="636"/>
      <c r="BT107" s="636"/>
      <c r="BU107" s="636"/>
      <c r="BV107" s="636"/>
      <c r="BW107" s="636" t="s">
        <v>4004</v>
      </c>
      <c r="BX107" s="636"/>
      <c r="BY107" s="972"/>
    </row>
    <row r="108" spans="1:77">
      <c r="A108" t="s">
        <v>105</v>
      </c>
      <c r="B108" s="675" t="s">
        <v>116</v>
      </c>
      <c r="C108" s="687" t="s">
        <v>126</v>
      </c>
      <c r="D108" s="675">
        <v>0</v>
      </c>
      <c r="E108" s="675" t="s">
        <v>2305</v>
      </c>
      <c r="F108" s="675">
        <v>3</v>
      </c>
      <c r="G108" s="675" t="s">
        <v>2238</v>
      </c>
      <c r="H108" s="675">
        <v>65</v>
      </c>
      <c r="I108" s="676" t="s">
        <v>3831</v>
      </c>
      <c r="J108" s="677">
        <v>3.2</v>
      </c>
      <c r="K108" s="683">
        <v>209</v>
      </c>
      <c r="L108" s="677">
        <v>0</v>
      </c>
      <c r="M108" s="677">
        <v>41</v>
      </c>
      <c r="N108" s="677">
        <v>0</v>
      </c>
      <c r="O108" s="677">
        <v>0</v>
      </c>
      <c r="P108" s="677">
        <v>0</v>
      </c>
      <c r="Q108" s="677">
        <v>0</v>
      </c>
      <c r="R108" s="677">
        <v>0</v>
      </c>
      <c r="S108" s="677">
        <v>0</v>
      </c>
      <c r="T108" s="677">
        <v>0</v>
      </c>
      <c r="U108" s="677">
        <v>1</v>
      </c>
      <c r="V108" s="677">
        <v>90</v>
      </c>
      <c r="W108" s="677">
        <v>4</v>
      </c>
      <c r="X108" s="678"/>
      <c r="Y108" s="682">
        <f>SUBTOTAL(109,Техкарта[[#This Row],[Знач1]:[Знач12]])</f>
        <v>136</v>
      </c>
      <c r="Z108" s="680"/>
      <c r="AA108" s="681">
        <v>57.695</v>
      </c>
      <c r="AB108" s="681">
        <v>29.978000000000002</v>
      </c>
      <c r="AC108" s="417">
        <v>5</v>
      </c>
      <c r="AD108" s="417"/>
      <c r="AE108" s="682" t="s">
        <v>4008</v>
      </c>
      <c r="AF108">
        <v>1</v>
      </c>
      <c r="AG108" s="713">
        <v>43101</v>
      </c>
      <c r="AH108" s="417"/>
      <c r="AI108" s="417"/>
      <c r="AJ108" s="714">
        <v>43137</v>
      </c>
      <c r="AK108" s="417"/>
      <c r="AL108" s="637" t="s">
        <v>3470</v>
      </c>
      <c r="AM108" s="417"/>
      <c r="AN108" s="417"/>
      <c r="AO108" s="636"/>
      <c r="AP108">
        <v>556650</v>
      </c>
      <c r="AQ108" s="715">
        <v>43137</v>
      </c>
      <c r="AR108" s="417"/>
      <c r="AS108" s="417"/>
      <c r="AT108" s="417"/>
      <c r="AU108" s="417"/>
      <c r="AV108" s="417"/>
      <c r="AW108" s="417"/>
      <c r="AX108" s="417"/>
      <c r="AY108" t="s">
        <v>80</v>
      </c>
      <c r="AZ108" s="417"/>
      <c r="BA108" s="417"/>
      <c r="BB108" t="s">
        <v>3584</v>
      </c>
      <c r="BC108" s="636"/>
      <c r="BD108" s="417"/>
      <c r="BE108" s="612">
        <v>0</v>
      </c>
      <c r="BF108" s="613">
        <v>0</v>
      </c>
      <c r="BG108" s="614" t="s">
        <v>78</v>
      </c>
      <c r="BH108" s="682"/>
      <c r="BI108" s="417"/>
      <c r="BJ108" s="417">
        <v>3</v>
      </c>
      <c r="BK108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108" s="682" t="str">
        <f>Техкарта[[#This Row],[ПолнаяДіл]] &amp;" "&amp;Техкарта[[#This Row],[ЛК]]&amp;" "&amp;Техкарта[[#This Row],[Вид рубки]]</f>
        <v>65 кв (4 вид) 0 діл. 556650 СРВ</v>
      </c>
      <c r="BM108" s="682"/>
      <c r="BN108" s="636" t="s">
        <v>3784</v>
      </c>
      <c r="BO108" s="636" t="s">
        <v>3784</v>
      </c>
      <c r="BP108" s="636" t="s">
        <v>3784</v>
      </c>
      <c r="BQ108" s="636" t="s">
        <v>105</v>
      </c>
      <c r="BR108" s="636"/>
      <c r="BS108" s="636"/>
      <c r="BT108" s="636"/>
      <c r="BU108" s="636"/>
      <c r="BV108" s="636"/>
      <c r="BW108" s="636" t="s">
        <v>4004</v>
      </c>
      <c r="BX108" s="636"/>
      <c r="BY108" s="972"/>
    </row>
    <row r="109" spans="1:77">
      <c r="A109" t="s">
        <v>105</v>
      </c>
      <c r="B109" s="675" t="s">
        <v>116</v>
      </c>
      <c r="C109" s="687" t="s">
        <v>126</v>
      </c>
      <c r="D109" s="675">
        <v>0</v>
      </c>
      <c r="E109" s="675" t="s">
        <v>2305</v>
      </c>
      <c r="F109" s="675">
        <v>3</v>
      </c>
      <c r="G109" s="675" t="s">
        <v>2238</v>
      </c>
      <c r="H109" s="675">
        <v>67</v>
      </c>
      <c r="I109" s="676" t="s">
        <v>3832</v>
      </c>
      <c r="J109" s="677">
        <v>3.2</v>
      </c>
      <c r="K109" s="683">
        <v>251</v>
      </c>
      <c r="L109" s="677">
        <v>0</v>
      </c>
      <c r="M109" s="677">
        <v>45</v>
      </c>
      <c r="N109" s="677">
        <v>0</v>
      </c>
      <c r="O109" s="677">
        <v>0</v>
      </c>
      <c r="P109" s="677">
        <v>0</v>
      </c>
      <c r="Q109" s="677">
        <v>0</v>
      </c>
      <c r="R109" s="677">
        <v>0</v>
      </c>
      <c r="S109" s="677">
        <v>0</v>
      </c>
      <c r="T109" s="677">
        <v>0</v>
      </c>
      <c r="U109" s="677">
        <v>2</v>
      </c>
      <c r="V109" s="677">
        <v>91</v>
      </c>
      <c r="W109" s="677">
        <v>18</v>
      </c>
      <c r="X109" s="678"/>
      <c r="Y109" s="682">
        <f>SUBTOTAL(109,Техкарта[[#This Row],[Знач1]:[Знач12]])</f>
        <v>156</v>
      </c>
      <c r="Z109" s="680"/>
      <c r="AA109" s="681">
        <v>61.311</v>
      </c>
      <c r="AB109" s="681">
        <v>29.978000000000002</v>
      </c>
      <c r="AC109" s="417">
        <v>11</v>
      </c>
      <c r="AD109" s="417"/>
      <c r="AE109" s="682" t="s">
        <v>4010</v>
      </c>
      <c r="AF109">
        <v>1</v>
      </c>
      <c r="AG109" s="713">
        <v>43101</v>
      </c>
      <c r="AH109" s="417"/>
      <c r="AI109" s="417"/>
      <c r="AJ109" s="714">
        <v>43137</v>
      </c>
      <c r="AK109" s="417"/>
      <c r="AL109" s="637" t="s">
        <v>3475</v>
      </c>
      <c r="AM109" s="417"/>
      <c r="AN109" s="417"/>
      <c r="AO109" s="636"/>
      <c r="AP109">
        <v>556650</v>
      </c>
      <c r="AQ109" s="715">
        <v>43137</v>
      </c>
      <c r="AR109" s="417"/>
      <c r="AS109" s="417"/>
      <c r="AT109" s="417"/>
      <c r="AU109" s="417"/>
      <c r="AV109" s="417"/>
      <c r="AW109" s="417"/>
      <c r="AX109" s="417"/>
      <c r="AY109" t="s">
        <v>80</v>
      </c>
      <c r="AZ109" s="417"/>
      <c r="BA109" s="417"/>
      <c r="BB109" t="s">
        <v>3584</v>
      </c>
      <c r="BC109" s="636"/>
      <c r="BD109" s="417"/>
      <c r="BE109" s="612">
        <v>0</v>
      </c>
      <c r="BF109" s="613">
        <v>0</v>
      </c>
      <c r="BG109" s="614" t="s">
        <v>78</v>
      </c>
      <c r="BH109" s="682"/>
      <c r="BI109" s="417"/>
      <c r="BJ109" s="417">
        <v>4</v>
      </c>
      <c r="BK109" s="682" t="str">
        <f>Техкарта[[#This Row],[Кв-л]]&amp;" кв ("&amp;Substring(Техкарта[[#This Row],[Виділ]],"_",1)&amp;" вид) "&amp;Substring(Техкарта[[#This Row],[Виділ]],"_",2)&amp;" діл."</f>
        <v>67 кв (5 вид) 0 діл.</v>
      </c>
      <c r="BL109" s="682" t="str">
        <f>Техкарта[[#This Row],[ПолнаяДіл]] &amp;" "&amp;Техкарта[[#This Row],[ЛК]]&amp;" "&amp;Техкарта[[#This Row],[Вид рубки]]</f>
        <v>67 кв (5 вид) 0 діл. 556650 СРВ</v>
      </c>
      <c r="BM109" s="682"/>
      <c r="BN109" s="636" t="s">
        <v>3784</v>
      </c>
      <c r="BO109" s="636" t="s">
        <v>3784</v>
      </c>
      <c r="BP109" s="636" t="s">
        <v>3784</v>
      </c>
      <c r="BQ109" s="636" t="s">
        <v>105</v>
      </c>
      <c r="BR109" s="636"/>
      <c r="BS109" s="636"/>
      <c r="BT109" s="636"/>
      <c r="BU109" s="636"/>
      <c r="BV109" s="636"/>
      <c r="BW109" s="636" t="s">
        <v>4004</v>
      </c>
      <c r="BX109" s="636"/>
      <c r="BY109" s="972"/>
    </row>
    <row r="110" spans="1:77">
      <c r="A110" t="s">
        <v>105</v>
      </c>
      <c r="B110" s="675" t="s">
        <v>116</v>
      </c>
      <c r="C110" s="687" t="s">
        <v>126</v>
      </c>
      <c r="D110" s="675">
        <v>0</v>
      </c>
      <c r="E110" s="675" t="s">
        <v>2305</v>
      </c>
      <c r="F110" s="675">
        <v>3</v>
      </c>
      <c r="G110" s="675" t="s">
        <v>2238</v>
      </c>
      <c r="H110" s="675">
        <v>94</v>
      </c>
      <c r="I110" s="676" t="s">
        <v>3829</v>
      </c>
      <c r="J110" s="677">
        <v>5.3</v>
      </c>
      <c r="K110" s="683">
        <v>371</v>
      </c>
      <c r="L110" s="677">
        <v>0</v>
      </c>
      <c r="M110" s="677">
        <v>0</v>
      </c>
      <c r="N110" s="677">
        <v>15</v>
      </c>
      <c r="O110" s="677">
        <v>0</v>
      </c>
      <c r="P110" s="677">
        <v>0</v>
      </c>
      <c r="Q110" s="677">
        <v>0</v>
      </c>
      <c r="R110" s="677">
        <v>0</v>
      </c>
      <c r="S110" s="677">
        <v>0</v>
      </c>
      <c r="T110" s="677">
        <v>0</v>
      </c>
      <c r="U110" s="677">
        <v>38</v>
      </c>
      <c r="V110" s="677">
        <v>1</v>
      </c>
      <c r="W110" s="677">
        <v>134</v>
      </c>
      <c r="X110" s="678"/>
      <c r="Y110" s="682">
        <f>SUBTOTAL(109,Техкарта[[#This Row],[Знач1]:[Знач12]])</f>
        <v>188</v>
      </c>
      <c r="Z110" s="680"/>
      <c r="AA110" s="681">
        <v>75.290999999999997</v>
      </c>
      <c r="AB110" s="681">
        <v>29.978000000000002</v>
      </c>
      <c r="AC110" s="417">
        <v>11</v>
      </c>
      <c r="AD110" s="417"/>
      <c r="AE110" s="682" t="s">
        <v>4011</v>
      </c>
      <c r="AF110">
        <v>1</v>
      </c>
      <c r="AG110" s="713">
        <v>43101</v>
      </c>
      <c r="AH110" s="417"/>
      <c r="AI110" s="417"/>
      <c r="AJ110" s="714">
        <v>43137</v>
      </c>
      <c r="AK110" s="417"/>
      <c r="AL110" s="637" t="s">
        <v>3475</v>
      </c>
      <c r="AM110" s="417"/>
      <c r="AN110" s="417"/>
      <c r="AO110" s="636"/>
      <c r="AP110">
        <v>556650</v>
      </c>
      <c r="AQ110" s="715">
        <v>43137</v>
      </c>
      <c r="AR110" s="417"/>
      <c r="AS110" s="417"/>
      <c r="AT110" s="417"/>
      <c r="AU110" s="417"/>
      <c r="AV110" s="417"/>
      <c r="AW110" s="417"/>
      <c r="AX110" s="417"/>
      <c r="AY110" t="s">
        <v>80</v>
      </c>
      <c r="AZ110" s="417"/>
      <c r="BA110" s="417"/>
      <c r="BB110" t="s">
        <v>3584</v>
      </c>
      <c r="BC110" s="636"/>
      <c r="BD110" s="417"/>
      <c r="BE110" s="612">
        <v>0</v>
      </c>
      <c r="BF110" s="613">
        <v>0</v>
      </c>
      <c r="BG110" s="614" t="s">
        <v>78</v>
      </c>
      <c r="BH110" s="682"/>
      <c r="BI110" s="417"/>
      <c r="BJ110" s="417">
        <v>5</v>
      </c>
      <c r="BK11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110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110" s="682"/>
      <c r="BN110" s="636" t="s">
        <v>3784</v>
      </c>
      <c r="BO110" s="636" t="s">
        <v>3784</v>
      </c>
      <c r="BP110" s="636" t="s">
        <v>3784</v>
      </c>
      <c r="BQ110" s="636" t="s">
        <v>105</v>
      </c>
      <c r="BR110" s="636"/>
      <c r="BS110" s="636"/>
      <c r="BT110" s="636"/>
      <c r="BU110" s="636"/>
      <c r="BV110" s="636"/>
      <c r="BW110" s="636" t="s">
        <v>4004</v>
      </c>
      <c r="BX110" s="636"/>
      <c r="BY110" s="972"/>
    </row>
    <row r="111" spans="1:77">
      <c r="A111" t="s">
        <v>105</v>
      </c>
      <c r="B111" s="675" t="s">
        <v>116</v>
      </c>
      <c r="C111" s="687" t="s">
        <v>126</v>
      </c>
      <c r="D111" s="675">
        <v>0</v>
      </c>
      <c r="E111" s="675" t="s">
        <v>2305</v>
      </c>
      <c r="F111" s="675">
        <v>3</v>
      </c>
      <c r="G111" s="675" t="s">
        <v>2238</v>
      </c>
      <c r="H111" s="675">
        <v>109</v>
      </c>
      <c r="I111" s="676" t="s">
        <v>3831</v>
      </c>
      <c r="J111" s="677">
        <v>9.6</v>
      </c>
      <c r="K111" s="683">
        <v>582</v>
      </c>
      <c r="L111" s="677">
        <v>0</v>
      </c>
      <c r="M111" s="677">
        <v>0</v>
      </c>
      <c r="N111" s="677">
        <v>23</v>
      </c>
      <c r="O111" s="677">
        <v>0</v>
      </c>
      <c r="P111" s="677">
        <v>0</v>
      </c>
      <c r="Q111" s="677">
        <v>0</v>
      </c>
      <c r="R111" s="677">
        <v>0</v>
      </c>
      <c r="S111" s="677">
        <v>0</v>
      </c>
      <c r="T111" s="677">
        <v>0</v>
      </c>
      <c r="U111" s="677">
        <v>0</v>
      </c>
      <c r="V111" s="677">
        <v>4</v>
      </c>
      <c r="W111" s="677">
        <v>211</v>
      </c>
      <c r="X111" s="678"/>
      <c r="Y111" s="682">
        <f>SUBTOTAL(109,Техкарта[[#This Row],[Знач1]:[Знач12]])</f>
        <v>238</v>
      </c>
      <c r="Z111" s="680"/>
      <c r="AA111" s="681">
        <v>80.712000000000003</v>
      </c>
      <c r="AB111" s="681">
        <v>29.978000000000002</v>
      </c>
      <c r="AC111" s="417">
        <v>17</v>
      </c>
      <c r="AD111" s="417"/>
      <c r="AE111" s="682" t="s">
        <v>4012</v>
      </c>
      <c r="AF111">
        <v>1</v>
      </c>
      <c r="AG111" s="713">
        <v>43101</v>
      </c>
      <c r="AH111" s="417"/>
      <c r="AI111" s="417"/>
      <c r="AJ111" s="714">
        <v>43137</v>
      </c>
      <c r="AK111" s="417"/>
      <c r="AL111" s="637" t="s">
        <v>3475</v>
      </c>
      <c r="AM111" s="417"/>
      <c r="AN111" s="417"/>
      <c r="AO111" s="636"/>
      <c r="AP111">
        <v>556650</v>
      </c>
      <c r="AQ111" s="715">
        <v>43137</v>
      </c>
      <c r="AR111" s="417"/>
      <c r="AS111" s="417"/>
      <c r="AT111" s="417"/>
      <c r="AU111" s="417"/>
      <c r="AV111" s="417"/>
      <c r="AW111" s="417"/>
      <c r="AX111" s="417"/>
      <c r="AY111" t="s">
        <v>80</v>
      </c>
      <c r="AZ111" s="417"/>
      <c r="BA111" s="417"/>
      <c r="BB111" t="s">
        <v>3584</v>
      </c>
      <c r="BC111" s="636"/>
      <c r="BD111" s="417"/>
      <c r="BE111" s="612">
        <v>0</v>
      </c>
      <c r="BF111" s="613">
        <v>0</v>
      </c>
      <c r="BG111" s="614" t="s">
        <v>78</v>
      </c>
      <c r="BH111" s="682"/>
      <c r="BI111" s="417"/>
      <c r="BJ111" s="417">
        <v>6</v>
      </c>
      <c r="BK111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111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111" s="682"/>
      <c r="BN111" s="636" t="s">
        <v>3784</v>
      </c>
      <c r="BO111" s="636" t="s">
        <v>3784</v>
      </c>
      <c r="BP111" s="636" t="s">
        <v>3784</v>
      </c>
      <c r="BQ111" s="636" t="s">
        <v>105</v>
      </c>
      <c r="BR111" s="636"/>
      <c r="BS111" s="636"/>
      <c r="BT111" s="636"/>
      <c r="BU111" s="636"/>
      <c r="BV111" s="636"/>
      <c r="BW111" s="636" t="s">
        <v>4004</v>
      </c>
      <c r="BX111" s="636"/>
      <c r="BY111" s="972"/>
    </row>
    <row r="112" spans="1:77">
      <c r="A112" t="s">
        <v>105</v>
      </c>
      <c r="B112" s="675" t="s">
        <v>116</v>
      </c>
      <c r="C112" s="687" t="s">
        <v>126</v>
      </c>
      <c r="D112" s="675">
        <v>0</v>
      </c>
      <c r="E112" s="675" t="s">
        <v>2305</v>
      </c>
      <c r="F112" s="675">
        <v>3</v>
      </c>
      <c r="G112" s="675" t="s">
        <v>2238</v>
      </c>
      <c r="H112" s="675">
        <v>138</v>
      </c>
      <c r="I112" s="676" t="s">
        <v>4013</v>
      </c>
      <c r="J112" s="677">
        <v>7.7</v>
      </c>
      <c r="K112" s="683">
        <v>713</v>
      </c>
      <c r="L112" s="677">
        <v>0</v>
      </c>
      <c r="M112" s="677">
        <v>0</v>
      </c>
      <c r="N112" s="677">
        <v>0</v>
      </c>
      <c r="O112" s="677">
        <v>0</v>
      </c>
      <c r="P112" s="677">
        <v>0</v>
      </c>
      <c r="Q112" s="677">
        <v>0</v>
      </c>
      <c r="R112" s="677">
        <v>0</v>
      </c>
      <c r="S112" s="677">
        <v>0</v>
      </c>
      <c r="T112" s="677">
        <v>0</v>
      </c>
      <c r="U112" s="677">
        <v>0</v>
      </c>
      <c r="V112" s="677">
        <v>0</v>
      </c>
      <c r="W112" s="677">
        <v>185</v>
      </c>
      <c r="X112" s="678"/>
      <c r="Y112" s="682">
        <f>SUBTOTAL(109,Техкарта[[#This Row],[Знач1]:[Знач12]])</f>
        <v>185</v>
      </c>
      <c r="Z112" s="680"/>
      <c r="AA112" s="681">
        <v>92.515000000000001</v>
      </c>
      <c r="AB112" s="681">
        <v>29.978000000000002</v>
      </c>
      <c r="AC112" s="417">
        <v>28</v>
      </c>
      <c r="AD112" s="417"/>
      <c r="AE112" s="682" t="s">
        <v>4014</v>
      </c>
      <c r="AF112">
        <v>1</v>
      </c>
      <c r="AG112" s="713">
        <v>43101</v>
      </c>
      <c r="AH112" s="417"/>
      <c r="AI112" s="417"/>
      <c r="AJ112" s="714">
        <v>43137</v>
      </c>
      <c r="AK112" s="417"/>
      <c r="AL112" s="637" t="s">
        <v>3460</v>
      </c>
      <c r="AM112" s="417"/>
      <c r="AN112" s="417"/>
      <c r="AO112" s="636"/>
      <c r="AP112">
        <v>556650</v>
      </c>
      <c r="AQ112" s="715">
        <v>43137</v>
      </c>
      <c r="AR112" s="417"/>
      <c r="AS112" s="417"/>
      <c r="AT112" s="417"/>
      <c r="AU112" s="417"/>
      <c r="AV112" s="417"/>
      <c r="AW112" s="417"/>
      <c r="AX112" s="417"/>
      <c r="AY112" t="s">
        <v>80</v>
      </c>
      <c r="AZ112" s="417"/>
      <c r="BA112" s="417"/>
      <c r="BB112" t="s">
        <v>3584</v>
      </c>
      <c r="BC112" s="636"/>
      <c r="BD112" s="417"/>
      <c r="BE112" s="612">
        <v>0</v>
      </c>
      <c r="BF112" s="613">
        <v>0</v>
      </c>
      <c r="BG112" s="614" t="s">
        <v>78</v>
      </c>
      <c r="BH112" s="682"/>
      <c r="BI112" s="417"/>
      <c r="BJ112" s="417">
        <v>7</v>
      </c>
      <c r="BK112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112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112" s="682"/>
      <c r="BN112" s="636" t="s">
        <v>3784</v>
      </c>
      <c r="BO112" s="636" t="s">
        <v>3784</v>
      </c>
      <c r="BP112" s="636" t="s">
        <v>3784</v>
      </c>
      <c r="BQ112" s="636" t="s">
        <v>105</v>
      </c>
      <c r="BR112" s="636"/>
      <c r="BS112" s="636"/>
      <c r="BT112" s="636"/>
      <c r="BU112" s="636"/>
      <c r="BV112" s="636"/>
      <c r="BW112" s="636" t="s">
        <v>4004</v>
      </c>
      <c r="BX112" s="636"/>
      <c r="BY112" s="972"/>
    </row>
    <row r="113" spans="1:77">
      <c r="A113" t="s">
        <v>105</v>
      </c>
      <c r="B113" s="675" t="s">
        <v>116</v>
      </c>
      <c r="C113" s="687" t="s">
        <v>134</v>
      </c>
      <c r="D113" s="675">
        <v>0</v>
      </c>
      <c r="E113" s="675" t="s">
        <v>2305</v>
      </c>
      <c r="F113" s="675">
        <v>3</v>
      </c>
      <c r="G113" s="675" t="s">
        <v>2238</v>
      </c>
      <c r="H113" s="675">
        <v>5</v>
      </c>
      <c r="I113" s="676" t="s">
        <v>3790</v>
      </c>
      <c r="J113" s="677">
        <v>1.8</v>
      </c>
      <c r="K113" s="683">
        <v>73</v>
      </c>
      <c r="L113" s="677">
        <v>0</v>
      </c>
      <c r="M113" s="677">
        <v>0</v>
      </c>
      <c r="N113" s="677">
        <v>0</v>
      </c>
      <c r="O113" s="677">
        <v>0</v>
      </c>
      <c r="P113" s="677">
        <v>0</v>
      </c>
      <c r="Q113" s="677">
        <v>0</v>
      </c>
      <c r="R113" s="677">
        <v>0</v>
      </c>
      <c r="S113" s="677">
        <v>0</v>
      </c>
      <c r="T113" s="677">
        <v>0</v>
      </c>
      <c r="U113" s="677">
        <v>0</v>
      </c>
      <c r="V113" s="677">
        <v>0</v>
      </c>
      <c r="W113" s="677">
        <v>5</v>
      </c>
      <c r="X113" s="678"/>
      <c r="Y113" s="682">
        <f>SUBTOTAL(109,Техкарта[[#This Row],[Знач1]:[Знач12]])</f>
        <v>5</v>
      </c>
      <c r="Z113" s="680"/>
      <c r="AA113" s="681">
        <v>196.876</v>
      </c>
      <c r="AB113" s="681">
        <v>29.978000000000002</v>
      </c>
      <c r="AC113" s="417">
        <v>34</v>
      </c>
      <c r="AD113" s="417"/>
      <c r="AE113" s="682" t="s">
        <v>4015</v>
      </c>
      <c r="AF113">
        <v>1</v>
      </c>
      <c r="AG113" s="713">
        <v>43101</v>
      </c>
      <c r="AH113" s="417"/>
      <c r="AI113" s="417"/>
      <c r="AJ113" s="714">
        <v>43132</v>
      </c>
      <c r="AK113" s="417"/>
      <c r="AL113" s="637" t="s">
        <v>3455</v>
      </c>
      <c r="AM113" s="417"/>
      <c r="AN113" s="417"/>
      <c r="AO113" s="636"/>
      <c r="AP113">
        <v>556624</v>
      </c>
      <c r="AQ113" s="715">
        <v>43102</v>
      </c>
      <c r="AR113" s="417"/>
      <c r="AS113" s="417"/>
      <c r="AT113" s="417"/>
      <c r="AU113" s="417"/>
      <c r="AV113" s="417"/>
      <c r="AW113" s="417"/>
      <c r="AX113" s="417"/>
      <c r="AY113" t="s">
        <v>80</v>
      </c>
      <c r="AZ113" s="417"/>
      <c r="BA113" s="417"/>
      <c r="BB113" t="s">
        <v>3584</v>
      </c>
      <c r="BC113" s="636"/>
      <c r="BD113" s="417"/>
      <c r="BE113" s="612">
        <v>0</v>
      </c>
      <c r="BF113" s="613">
        <v>0</v>
      </c>
      <c r="BG113" s="614" t="s">
        <v>78</v>
      </c>
      <c r="BH113" s="682"/>
      <c r="BI113" s="417"/>
      <c r="BJ113" s="417">
        <v>8</v>
      </c>
      <c r="BK113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13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13" s="682"/>
      <c r="BN113" s="636" t="s">
        <v>3784</v>
      </c>
      <c r="BO113" s="636" t="s">
        <v>3784</v>
      </c>
      <c r="BP113" s="636" t="s">
        <v>3784</v>
      </c>
      <c r="BQ113" s="636" t="s">
        <v>105</v>
      </c>
      <c r="BR113" s="636"/>
      <c r="BS113" s="636"/>
      <c r="BT113" s="636"/>
      <c r="BU113" s="636"/>
      <c r="BV113" s="636"/>
      <c r="BW113" s="636" t="s">
        <v>4004</v>
      </c>
      <c r="BX113" s="636"/>
      <c r="BY113" s="972"/>
    </row>
    <row r="114" spans="1:77">
      <c r="A114" t="s">
        <v>105</v>
      </c>
      <c r="B114" s="675" t="s">
        <v>116</v>
      </c>
      <c r="C114" s="687" t="s">
        <v>134</v>
      </c>
      <c r="D114" s="675">
        <v>0</v>
      </c>
      <c r="E114" s="675" t="s">
        <v>2305</v>
      </c>
      <c r="F114" s="675">
        <v>3</v>
      </c>
      <c r="G114" s="675" t="s">
        <v>2238</v>
      </c>
      <c r="H114" s="675">
        <v>127</v>
      </c>
      <c r="I114" s="676" t="s">
        <v>3831</v>
      </c>
      <c r="J114" s="677">
        <v>4.0999999999999996</v>
      </c>
      <c r="K114" s="683">
        <v>73</v>
      </c>
      <c r="L114" s="677">
        <v>0</v>
      </c>
      <c r="M114" s="677">
        <v>0</v>
      </c>
      <c r="N114" s="677">
        <v>0</v>
      </c>
      <c r="O114" s="677">
        <v>0</v>
      </c>
      <c r="P114" s="677">
        <v>0</v>
      </c>
      <c r="Q114" s="677">
        <v>0</v>
      </c>
      <c r="R114" s="677">
        <v>0</v>
      </c>
      <c r="S114" s="677">
        <v>0</v>
      </c>
      <c r="T114" s="677">
        <v>0</v>
      </c>
      <c r="U114" s="677">
        <v>0</v>
      </c>
      <c r="V114" s="677">
        <v>0</v>
      </c>
      <c r="W114" s="677">
        <v>6</v>
      </c>
      <c r="X114" s="678"/>
      <c r="Y114" s="682">
        <f>SUBTOTAL(109,Техкарта[[#This Row],[Знач1]:[Знач12]])</f>
        <v>6</v>
      </c>
      <c r="Z114" s="680"/>
      <c r="AA114" s="681">
        <v>210.16300000000001</v>
      </c>
      <c r="AB114" s="681">
        <v>29.978000000000002</v>
      </c>
      <c r="AC114" s="417">
        <v>30</v>
      </c>
      <c r="AD114" s="417"/>
      <c r="AE114" s="682" t="s">
        <v>4016</v>
      </c>
      <c r="AF114">
        <v>1</v>
      </c>
      <c r="AG114" s="713">
        <v>43101</v>
      </c>
      <c r="AH114" s="417"/>
      <c r="AI114" s="417"/>
      <c r="AJ114" s="714">
        <v>43132</v>
      </c>
      <c r="AK114" s="417"/>
      <c r="AL114" s="637" t="s">
        <v>3475</v>
      </c>
      <c r="AM114" s="417"/>
      <c r="AN114" s="417"/>
      <c r="AO114" s="636"/>
      <c r="AP114">
        <v>556624</v>
      </c>
      <c r="AQ114" s="715">
        <v>43102</v>
      </c>
      <c r="AR114" s="417"/>
      <c r="AS114" s="417"/>
      <c r="AT114" s="417"/>
      <c r="AU114" s="417"/>
      <c r="AV114" s="417"/>
      <c r="AW114" s="417"/>
      <c r="AX114" s="417"/>
      <c r="AY114" t="s">
        <v>80</v>
      </c>
      <c r="AZ114" s="417"/>
      <c r="BA114" s="417"/>
      <c r="BB114" t="s">
        <v>3584</v>
      </c>
      <c r="BC114" s="636"/>
      <c r="BD114" s="417"/>
      <c r="BE114" s="612">
        <v>0</v>
      </c>
      <c r="BF114" s="613">
        <v>0</v>
      </c>
      <c r="BG114" s="614" t="s">
        <v>78</v>
      </c>
      <c r="BH114" s="682"/>
      <c r="BI114" s="417"/>
      <c r="BJ114" s="417">
        <v>9</v>
      </c>
      <c r="BK114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14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14" s="682"/>
      <c r="BN114" s="636" t="s">
        <v>3784</v>
      </c>
      <c r="BO114" s="636" t="s">
        <v>3784</v>
      </c>
      <c r="BP114" s="636" t="s">
        <v>3784</v>
      </c>
      <c r="BQ114" s="636" t="s">
        <v>105</v>
      </c>
      <c r="BR114" s="636"/>
      <c r="BS114" s="636"/>
      <c r="BT114" s="636"/>
      <c r="BU114" s="636"/>
      <c r="BV114" s="636"/>
      <c r="BW114" s="636" t="s">
        <v>4004</v>
      </c>
      <c r="BX114" s="636"/>
      <c r="BY114" s="972"/>
    </row>
    <row r="115" spans="1:77">
      <c r="A115" t="s">
        <v>105</v>
      </c>
      <c r="B115" s="675" t="s">
        <v>114</v>
      </c>
      <c r="C115" s="687" t="s">
        <v>126</v>
      </c>
      <c r="D115" s="675">
        <v>0</v>
      </c>
      <c r="E115" s="675" t="s">
        <v>2305</v>
      </c>
      <c r="F115" s="675">
        <v>3</v>
      </c>
      <c r="G115" s="675" t="s">
        <v>2238</v>
      </c>
      <c r="H115" s="675">
        <v>72</v>
      </c>
      <c r="I115" s="676" t="s">
        <v>3829</v>
      </c>
      <c r="J115" s="677">
        <v>1.1000000000000001</v>
      </c>
      <c r="K115" s="683">
        <v>56</v>
      </c>
      <c r="L115" s="677">
        <v>0</v>
      </c>
      <c r="M115" s="677">
        <v>1</v>
      </c>
      <c r="N115" s="677">
        <v>5</v>
      </c>
      <c r="O115" s="677">
        <v>0</v>
      </c>
      <c r="P115" s="677">
        <v>0</v>
      </c>
      <c r="Q115" s="677">
        <v>0</v>
      </c>
      <c r="R115" s="677">
        <v>0</v>
      </c>
      <c r="S115" s="677">
        <v>6</v>
      </c>
      <c r="T115" s="677">
        <v>11</v>
      </c>
      <c r="U115" s="677">
        <v>0</v>
      </c>
      <c r="V115" s="677">
        <v>0</v>
      </c>
      <c r="W115" s="677">
        <v>2</v>
      </c>
      <c r="X115" s="678"/>
      <c r="Y115" s="682">
        <f>SUBTOTAL(109,Техкарта[[#This Row],[Знач1]:[Знач12]])</f>
        <v>25</v>
      </c>
      <c r="Z115" s="680"/>
      <c r="AA115" s="681">
        <v>74.629000000000005</v>
      </c>
      <c r="AB115" s="681">
        <v>29.978000000000002</v>
      </c>
      <c r="AC115" s="417">
        <v>1</v>
      </c>
      <c r="AD115" s="417"/>
      <c r="AE115" s="682" t="s">
        <v>4017</v>
      </c>
      <c r="AF115">
        <v>1</v>
      </c>
      <c r="AG115" s="713">
        <v>43101</v>
      </c>
      <c r="AH115" s="417"/>
      <c r="AI115" s="417"/>
      <c r="AJ115" s="714">
        <v>43132</v>
      </c>
      <c r="AK115" s="417"/>
      <c r="AL115" s="637" t="s">
        <v>3436</v>
      </c>
      <c r="AM115" s="417"/>
      <c r="AN115" s="417"/>
      <c r="AO115" s="636"/>
      <c r="AP115">
        <v>556643</v>
      </c>
      <c r="AQ115" s="715">
        <v>43122</v>
      </c>
      <c r="AR115" s="417"/>
      <c r="AS115" s="417"/>
      <c r="AT115" s="417"/>
      <c r="AU115" s="417"/>
      <c r="AV115" s="417"/>
      <c r="AW115" s="417"/>
      <c r="AX115" s="417"/>
      <c r="AY115" t="s">
        <v>3424</v>
      </c>
      <c r="AZ115" s="417"/>
      <c r="BA115" s="417"/>
      <c r="BB115" t="s">
        <v>3583</v>
      </c>
      <c r="BC115" s="636"/>
      <c r="BD115" s="417"/>
      <c r="BE115" s="612">
        <v>0</v>
      </c>
      <c r="BF115" s="613">
        <v>0</v>
      </c>
      <c r="BG115" s="614" t="s">
        <v>78</v>
      </c>
      <c r="BH115" s="682"/>
      <c r="BI115" s="417"/>
      <c r="BJ115" s="417">
        <v>1</v>
      </c>
      <c r="BK115" s="682" t="str">
        <f>Техкарта[[#This Row],[Кв-л]]&amp;" кв ("&amp;Substring(Техкарта[[#This Row],[Виділ]],"_",1)&amp;" вид) "&amp;Substring(Техкарта[[#This Row],[Виділ]],"_",2)&amp;" діл."</f>
        <v>72 кв (3 вид) 0 діл.</v>
      </c>
      <c r="BL115" s="682" t="str">
        <f>Техкарта[[#This Row],[ПолнаяДіл]] &amp;" "&amp;Техкарта[[#This Row],[ЛК]]&amp;" "&amp;Техкарта[[#This Row],[Вид рубки]]</f>
        <v>72 кв (3 вид) 0 діл. 556643 СРВ</v>
      </c>
      <c r="BM115" s="682"/>
      <c r="BN115" s="636" t="s">
        <v>3784</v>
      </c>
      <c r="BO115" s="636" t="s">
        <v>3784</v>
      </c>
      <c r="BP115" s="636" t="s">
        <v>3784</v>
      </c>
      <c r="BQ115" s="636" t="s">
        <v>105</v>
      </c>
      <c r="BR115" s="636"/>
      <c r="BS115" s="636"/>
      <c r="BT115" s="636"/>
      <c r="BU115" s="636"/>
      <c r="BV115" s="636"/>
      <c r="BW115" s="636" t="s">
        <v>4004</v>
      </c>
      <c r="BX115" s="636"/>
      <c r="BY115" s="972"/>
    </row>
    <row r="116" spans="1:77">
      <c r="A116" t="s">
        <v>105</v>
      </c>
      <c r="B116" s="675" t="s">
        <v>114</v>
      </c>
      <c r="C116" s="687" t="s">
        <v>126</v>
      </c>
      <c r="D116" s="675">
        <v>0</v>
      </c>
      <c r="E116" s="675" t="s">
        <v>2305</v>
      </c>
      <c r="F116" s="675">
        <v>3</v>
      </c>
      <c r="G116" s="675" t="s">
        <v>2238</v>
      </c>
      <c r="H116" s="675">
        <v>72</v>
      </c>
      <c r="I116" s="676" t="s">
        <v>3790</v>
      </c>
      <c r="J116" s="677">
        <v>0.9</v>
      </c>
      <c r="K116" s="683">
        <v>50</v>
      </c>
      <c r="L116" s="677">
        <v>0</v>
      </c>
      <c r="M116" s="677">
        <v>2</v>
      </c>
      <c r="N116" s="677">
        <v>3</v>
      </c>
      <c r="O116" s="677">
        <v>0</v>
      </c>
      <c r="P116" s="677">
        <v>0</v>
      </c>
      <c r="Q116" s="677">
        <v>0</v>
      </c>
      <c r="R116" s="677">
        <v>0</v>
      </c>
      <c r="S116" s="677">
        <v>8</v>
      </c>
      <c r="T116" s="677">
        <v>6</v>
      </c>
      <c r="U116" s="677">
        <v>0</v>
      </c>
      <c r="V116" s="677">
        <v>0</v>
      </c>
      <c r="W116" s="677">
        <v>1</v>
      </c>
      <c r="X116" s="678"/>
      <c r="Y116" s="682">
        <f>SUBTOTAL(109,Техкарта[[#This Row],[Знач1]:[Знач12]])</f>
        <v>20</v>
      </c>
      <c r="Z116" s="680"/>
      <c r="AA116" s="681">
        <v>75.953999999999994</v>
      </c>
      <c r="AB116" s="681">
        <v>29.978000000000002</v>
      </c>
      <c r="AC116" s="417">
        <v>2</v>
      </c>
      <c r="AD116" s="417"/>
      <c r="AE116" s="682" t="s">
        <v>4018</v>
      </c>
      <c r="AF116">
        <v>1</v>
      </c>
      <c r="AG116" s="713">
        <v>43101</v>
      </c>
      <c r="AH116" s="417"/>
      <c r="AI116" s="417"/>
      <c r="AJ116" s="714">
        <v>43132</v>
      </c>
      <c r="AK116" s="417"/>
      <c r="AL116" s="637" t="s">
        <v>3436</v>
      </c>
      <c r="AM116" s="417"/>
      <c r="AN116" s="417"/>
      <c r="AO116" s="636"/>
      <c r="AP116">
        <v>556643</v>
      </c>
      <c r="AQ116" s="715">
        <v>43122</v>
      </c>
      <c r="AR116" s="417"/>
      <c r="AS116" s="417"/>
      <c r="AT116" s="417"/>
      <c r="AU116" s="417"/>
      <c r="AV116" s="417"/>
      <c r="AW116" s="417"/>
      <c r="AX116" s="417"/>
      <c r="AY116" t="s">
        <v>3424</v>
      </c>
      <c r="AZ116" s="417"/>
      <c r="BA116" s="417"/>
      <c r="BB116" t="s">
        <v>3583</v>
      </c>
      <c r="BC116" s="636"/>
      <c r="BD116" s="417"/>
      <c r="BE116" s="612">
        <v>0</v>
      </c>
      <c r="BF116" s="613">
        <v>0</v>
      </c>
      <c r="BG116" s="614" t="s">
        <v>78</v>
      </c>
      <c r="BH116" s="682"/>
      <c r="BI116" s="417"/>
      <c r="BJ116" s="417">
        <v>2</v>
      </c>
      <c r="BK116" s="682" t="str">
        <f>Техкарта[[#This Row],[Кв-л]]&amp;" кв ("&amp;Substring(Техкарта[[#This Row],[Виділ]],"_",1)&amp;" вид) "&amp;Substring(Техкарта[[#This Row],[Виділ]],"_",2)&amp;" діл."</f>
        <v>72 кв (2 вид) 0 діл.</v>
      </c>
      <c r="BL116" s="682" t="str">
        <f>Техкарта[[#This Row],[ПолнаяДіл]] &amp;" "&amp;Техкарта[[#This Row],[ЛК]]&amp;" "&amp;Техкарта[[#This Row],[Вид рубки]]</f>
        <v>72 кв (2 вид) 0 діл. 556643 СРВ</v>
      </c>
      <c r="BM116" s="682"/>
      <c r="BN116" s="636" t="s">
        <v>3784</v>
      </c>
      <c r="BO116" s="636" t="s">
        <v>3784</v>
      </c>
      <c r="BP116" s="636" t="s">
        <v>3784</v>
      </c>
      <c r="BQ116" s="636" t="s">
        <v>105</v>
      </c>
      <c r="BR116" s="636"/>
      <c r="BS116" s="636"/>
      <c r="BT116" s="636"/>
      <c r="BU116" s="636"/>
      <c r="BV116" s="636"/>
      <c r="BW116" s="636" t="s">
        <v>4004</v>
      </c>
      <c r="BX116" s="636"/>
      <c r="BY116" s="972"/>
    </row>
    <row r="117" spans="1:77">
      <c r="A117" t="s">
        <v>105</v>
      </c>
      <c r="B117" s="675" t="s">
        <v>114</v>
      </c>
      <c r="C117" s="687" t="s">
        <v>126</v>
      </c>
      <c r="D117" s="675">
        <v>0</v>
      </c>
      <c r="E117" s="675" t="s">
        <v>2305</v>
      </c>
      <c r="F117" s="675">
        <v>3</v>
      </c>
      <c r="G117" s="675" t="s">
        <v>2238</v>
      </c>
      <c r="H117" s="675">
        <v>41</v>
      </c>
      <c r="I117" s="676" t="s">
        <v>3851</v>
      </c>
      <c r="J117" s="677">
        <v>2.9</v>
      </c>
      <c r="K117" s="683">
        <v>135</v>
      </c>
      <c r="L117" s="677">
        <v>0</v>
      </c>
      <c r="M117" s="677">
        <v>0</v>
      </c>
      <c r="N117" s="677">
        <v>7</v>
      </c>
      <c r="O117" s="677">
        <v>0</v>
      </c>
      <c r="P117" s="677">
        <v>0</v>
      </c>
      <c r="Q117" s="677">
        <v>0</v>
      </c>
      <c r="R117" s="677">
        <v>0</v>
      </c>
      <c r="S117" s="677">
        <v>4</v>
      </c>
      <c r="T117" s="677">
        <v>32</v>
      </c>
      <c r="U117" s="677">
        <v>0</v>
      </c>
      <c r="V117" s="677">
        <v>0</v>
      </c>
      <c r="W117" s="677">
        <v>3</v>
      </c>
      <c r="X117" s="678"/>
      <c r="Y117" s="682">
        <f>SUBTOTAL(109,Техкарта[[#This Row],[Знач1]:[Знач12]])</f>
        <v>46</v>
      </c>
      <c r="Z117" s="680"/>
      <c r="AA117" s="681">
        <v>88.131</v>
      </c>
      <c r="AB117" s="681">
        <v>29.978000000000002</v>
      </c>
      <c r="AC117" s="417">
        <v>4</v>
      </c>
      <c r="AD117" s="417"/>
      <c r="AE117" s="682" t="s">
        <v>4019</v>
      </c>
      <c r="AF117">
        <v>1</v>
      </c>
      <c r="AG117" s="713">
        <v>43101</v>
      </c>
      <c r="AH117" s="417"/>
      <c r="AI117" s="417"/>
      <c r="AJ117" s="714">
        <v>43132</v>
      </c>
      <c r="AK117" s="417"/>
      <c r="AL117" s="637" t="s">
        <v>3448</v>
      </c>
      <c r="AM117" s="417"/>
      <c r="AN117" s="417"/>
      <c r="AO117" s="636"/>
      <c r="AP117">
        <v>556643</v>
      </c>
      <c r="AQ117" s="715">
        <v>43122</v>
      </c>
      <c r="AR117" s="417"/>
      <c r="AS117" s="417"/>
      <c r="AT117" s="417"/>
      <c r="AU117" s="417"/>
      <c r="AV117" s="417"/>
      <c r="AW117" s="417"/>
      <c r="AX117" s="417"/>
      <c r="AY117" t="s">
        <v>3424</v>
      </c>
      <c r="AZ117" s="417"/>
      <c r="BA117" s="417"/>
      <c r="BB117" t="s">
        <v>3583</v>
      </c>
      <c r="BC117" s="636"/>
      <c r="BD117" s="417"/>
      <c r="BE117" s="612">
        <v>0</v>
      </c>
      <c r="BF117" s="613">
        <v>0</v>
      </c>
      <c r="BG117" s="614" t="s">
        <v>78</v>
      </c>
      <c r="BH117" s="682"/>
      <c r="BI117" s="417"/>
      <c r="BJ117" s="417">
        <v>3</v>
      </c>
      <c r="BK117" s="682" t="str">
        <f>Техкарта[[#This Row],[Кв-л]]&amp;" кв ("&amp;Substring(Техкарта[[#This Row],[Виділ]],"_",1)&amp;" вид) "&amp;Substring(Техкарта[[#This Row],[Виділ]],"_",2)&amp;" діл."</f>
        <v>41 кв (12 вид) 0 діл.</v>
      </c>
      <c r="BL117" s="682" t="str">
        <f>Техкарта[[#This Row],[ПолнаяДіл]] &amp;" "&amp;Техкарта[[#This Row],[ЛК]]&amp;" "&amp;Техкарта[[#This Row],[Вид рубки]]</f>
        <v>41 кв (12 вид) 0 діл. 556643 СРВ</v>
      </c>
      <c r="BM117" s="682"/>
      <c r="BN117" s="636" t="s">
        <v>3784</v>
      </c>
      <c r="BO117" s="636" t="s">
        <v>3784</v>
      </c>
      <c r="BP117" s="636" t="s">
        <v>3784</v>
      </c>
      <c r="BQ117" s="636" t="s">
        <v>105</v>
      </c>
      <c r="BR117" s="636"/>
      <c r="BS117" s="636"/>
      <c r="BT117" s="636"/>
      <c r="BU117" s="636"/>
      <c r="BV117" s="636"/>
      <c r="BW117" s="636" t="s">
        <v>4004</v>
      </c>
      <c r="BX117" s="636"/>
      <c r="BY117" s="972"/>
    </row>
    <row r="118" spans="1:77">
      <c r="A118" t="s">
        <v>105</v>
      </c>
      <c r="B118" s="675" t="s">
        <v>114</v>
      </c>
      <c r="C118" s="687" t="s">
        <v>126</v>
      </c>
      <c r="D118" s="675">
        <v>0</v>
      </c>
      <c r="E118" s="675" t="s">
        <v>2305</v>
      </c>
      <c r="F118" s="675">
        <v>3</v>
      </c>
      <c r="G118" s="675" t="s">
        <v>2238</v>
      </c>
      <c r="H118" s="675">
        <v>32</v>
      </c>
      <c r="I118" s="676" t="s">
        <v>3794</v>
      </c>
      <c r="J118" s="677">
        <v>1.3</v>
      </c>
      <c r="K118" s="683">
        <v>53</v>
      </c>
      <c r="L118" s="677">
        <v>0</v>
      </c>
      <c r="M118" s="677">
        <v>0</v>
      </c>
      <c r="N118" s="677">
        <v>5</v>
      </c>
      <c r="O118" s="677">
        <v>0</v>
      </c>
      <c r="P118" s="677">
        <v>0</v>
      </c>
      <c r="Q118" s="677">
        <v>0</v>
      </c>
      <c r="R118" s="677">
        <v>0</v>
      </c>
      <c r="S118" s="677">
        <v>0</v>
      </c>
      <c r="T118" s="677">
        <v>24</v>
      </c>
      <c r="U118" s="677">
        <v>0</v>
      </c>
      <c r="V118" s="677">
        <v>0</v>
      </c>
      <c r="W118" s="677">
        <v>2</v>
      </c>
      <c r="X118" s="678"/>
      <c r="Y118" s="682">
        <f>SUBTOTAL(109,Техкарта[[#This Row],[Знач1]:[Знач12]])</f>
        <v>31</v>
      </c>
      <c r="Z118" s="680"/>
      <c r="AA118" s="681">
        <v>71.531000000000006</v>
      </c>
      <c r="AB118" s="681">
        <v>29.978000000000002</v>
      </c>
      <c r="AC118" s="417">
        <v>2</v>
      </c>
      <c r="AD118" s="417"/>
      <c r="AE118" s="682" t="s">
        <v>4020</v>
      </c>
      <c r="AF118">
        <v>1</v>
      </c>
      <c r="AG118" s="713">
        <v>43101</v>
      </c>
      <c r="AH118" s="417"/>
      <c r="AI118" s="417"/>
      <c r="AJ118" s="714">
        <v>43132</v>
      </c>
      <c r="AK118" s="417"/>
      <c r="AL118" s="637" t="s">
        <v>3448</v>
      </c>
      <c r="AM118" s="417"/>
      <c r="AN118" s="417"/>
      <c r="AO118" s="636"/>
      <c r="AP118">
        <v>556643</v>
      </c>
      <c r="AQ118" s="715">
        <v>43122</v>
      </c>
      <c r="AR118" s="417"/>
      <c r="AS118" s="417"/>
      <c r="AT118" s="417"/>
      <c r="AU118" s="417"/>
      <c r="AV118" s="417"/>
      <c r="AW118" s="417"/>
      <c r="AX118" s="417"/>
      <c r="AY118" t="s">
        <v>3424</v>
      </c>
      <c r="AZ118" s="417"/>
      <c r="BA118" s="417"/>
      <c r="BB118" t="s">
        <v>3583</v>
      </c>
      <c r="BC118" s="636"/>
      <c r="BD118" s="417"/>
      <c r="BE118" s="612">
        <v>0</v>
      </c>
      <c r="BF118" s="613">
        <v>0</v>
      </c>
      <c r="BG118" s="614" t="s">
        <v>78</v>
      </c>
      <c r="BH118" s="682"/>
      <c r="BI118" s="417"/>
      <c r="BJ118" s="417">
        <v>4</v>
      </c>
      <c r="BK118" s="682" t="str">
        <f>Техкарта[[#This Row],[Кв-л]]&amp;" кв ("&amp;Substring(Техкарта[[#This Row],[Виділ]],"_",1)&amp;" вид) "&amp;Substring(Техкарта[[#This Row],[Виділ]],"_",2)&amp;" діл."</f>
        <v>32 кв (11 вид) 0 діл.</v>
      </c>
      <c r="BL118" s="682" t="str">
        <f>Техкарта[[#This Row],[ПолнаяДіл]] &amp;" "&amp;Техкарта[[#This Row],[ЛК]]&amp;" "&amp;Техкарта[[#This Row],[Вид рубки]]</f>
        <v>32 кв (11 вид) 0 діл. 556643 СРВ</v>
      </c>
      <c r="BM118" s="682"/>
      <c r="BN118" s="636" t="s">
        <v>3784</v>
      </c>
      <c r="BO118" s="636" t="s">
        <v>3784</v>
      </c>
      <c r="BP118" s="636" t="s">
        <v>3784</v>
      </c>
      <c r="BQ118" s="636" t="s">
        <v>105</v>
      </c>
      <c r="BR118" s="636"/>
      <c r="BS118" s="636"/>
      <c r="BT118" s="636"/>
      <c r="BU118" s="636"/>
      <c r="BV118" s="636"/>
      <c r="BW118" s="636" t="s">
        <v>4004</v>
      </c>
      <c r="BX118" s="636"/>
      <c r="BY118" s="972"/>
    </row>
    <row r="119" spans="1:77">
      <c r="A119" t="s">
        <v>105</v>
      </c>
      <c r="B119" s="675" t="s">
        <v>114</v>
      </c>
      <c r="C119" s="687" t="s">
        <v>126</v>
      </c>
      <c r="D119" s="675">
        <v>0</v>
      </c>
      <c r="E119" s="675" t="s">
        <v>2305</v>
      </c>
      <c r="F119" s="675">
        <v>3</v>
      </c>
      <c r="G119" s="675" t="s">
        <v>2238</v>
      </c>
      <c r="H119" s="675">
        <v>58</v>
      </c>
      <c r="I119" s="676" t="s">
        <v>3832</v>
      </c>
      <c r="J119" s="677">
        <v>4.9000000000000004</v>
      </c>
      <c r="K119" s="683">
        <v>122</v>
      </c>
      <c r="L119" s="677">
        <v>0</v>
      </c>
      <c r="M119" s="677">
        <v>0</v>
      </c>
      <c r="N119" s="677">
        <v>1</v>
      </c>
      <c r="O119" s="677">
        <v>0</v>
      </c>
      <c r="P119" s="677">
        <v>0</v>
      </c>
      <c r="Q119" s="677">
        <v>0</v>
      </c>
      <c r="R119" s="677">
        <v>0</v>
      </c>
      <c r="S119" s="677">
        <v>4</v>
      </c>
      <c r="T119" s="677">
        <v>23</v>
      </c>
      <c r="U119" s="677">
        <v>0</v>
      </c>
      <c r="V119" s="677">
        <v>0</v>
      </c>
      <c r="W119" s="677">
        <v>1</v>
      </c>
      <c r="X119" s="678"/>
      <c r="Y119" s="682">
        <f>SUBTOTAL(109,Техкарта[[#This Row],[Знач1]:[Знач12]])</f>
        <v>29</v>
      </c>
      <c r="Z119" s="680"/>
      <c r="AA119" s="681">
        <v>116.971</v>
      </c>
      <c r="AB119" s="681">
        <v>29.978000000000002</v>
      </c>
      <c r="AC119" s="417">
        <v>4</v>
      </c>
      <c r="AD119" s="417"/>
      <c r="AE119" s="682" t="s">
        <v>4021</v>
      </c>
      <c r="AF119">
        <v>1</v>
      </c>
      <c r="AG119" s="713">
        <v>43101</v>
      </c>
      <c r="AH119" s="417"/>
      <c r="AI119" s="417"/>
      <c r="AJ119" s="714">
        <v>43132</v>
      </c>
      <c r="AK119" s="417"/>
      <c r="AL119" s="637" t="s">
        <v>3442</v>
      </c>
      <c r="AM119" s="417"/>
      <c r="AN119" s="417"/>
      <c r="AO119" s="636"/>
      <c r="AP119">
        <v>556643</v>
      </c>
      <c r="AQ119" s="715">
        <v>43122</v>
      </c>
      <c r="AR119" s="417"/>
      <c r="AS119" s="417"/>
      <c r="AT119" s="417"/>
      <c r="AU119" s="417"/>
      <c r="AV119" s="417"/>
      <c r="AW119" s="417"/>
      <c r="AX119" s="417"/>
      <c r="AY119" t="s">
        <v>3424</v>
      </c>
      <c r="AZ119" s="417"/>
      <c r="BA119" s="417"/>
      <c r="BB119" t="s">
        <v>3583</v>
      </c>
      <c r="BC119" s="636"/>
      <c r="BD119" s="417"/>
      <c r="BE119" s="612">
        <v>0</v>
      </c>
      <c r="BF119" s="613">
        <v>0</v>
      </c>
      <c r="BG119" s="614" t="s">
        <v>78</v>
      </c>
      <c r="BH119" s="682"/>
      <c r="BI119" s="417"/>
      <c r="BJ119" s="417">
        <v>5</v>
      </c>
      <c r="BK119" s="682" t="str">
        <f>Техкарта[[#This Row],[Кв-л]]&amp;" кв ("&amp;Substring(Техкарта[[#This Row],[Виділ]],"_",1)&amp;" вид) "&amp;Substring(Техкарта[[#This Row],[Виділ]],"_",2)&amp;" діл."</f>
        <v>58 кв (5 вид) 0 діл.</v>
      </c>
      <c r="BL119" s="682" t="str">
        <f>Техкарта[[#This Row],[ПолнаяДіл]] &amp;" "&amp;Техкарта[[#This Row],[ЛК]]&amp;" "&amp;Техкарта[[#This Row],[Вид рубки]]</f>
        <v>58 кв (5 вид) 0 діл. 556643 СРВ</v>
      </c>
      <c r="BM119" s="682"/>
      <c r="BN119" s="636" t="s">
        <v>3784</v>
      </c>
      <c r="BO119" s="636" t="s">
        <v>3784</v>
      </c>
      <c r="BP119" s="636" t="s">
        <v>3784</v>
      </c>
      <c r="BQ119" s="636" t="s">
        <v>105</v>
      </c>
      <c r="BR119" s="636"/>
      <c r="BS119" s="636"/>
      <c r="BT119" s="636"/>
      <c r="BU119" s="636"/>
      <c r="BV119" s="636"/>
      <c r="BW119" s="636" t="s">
        <v>4004</v>
      </c>
      <c r="BX119" s="636"/>
      <c r="BY119" s="972"/>
    </row>
    <row r="120" spans="1:77">
      <c r="A120" t="s">
        <v>105</v>
      </c>
      <c r="B120" s="675" t="s">
        <v>112</v>
      </c>
      <c r="C120" s="687" t="s">
        <v>126</v>
      </c>
      <c r="D120" s="675">
        <v>0</v>
      </c>
      <c r="E120" s="675" t="s">
        <v>2305</v>
      </c>
      <c r="F120" s="675">
        <v>3</v>
      </c>
      <c r="G120" s="675" t="s">
        <v>2238</v>
      </c>
      <c r="H120" s="675">
        <v>47</v>
      </c>
      <c r="I120" s="676" t="s">
        <v>3832</v>
      </c>
      <c r="J120" s="677">
        <v>0.5</v>
      </c>
      <c r="K120" s="683">
        <v>38</v>
      </c>
      <c r="L120" s="677">
        <v>0</v>
      </c>
      <c r="M120" s="677">
        <v>0</v>
      </c>
      <c r="N120" s="677">
        <v>0</v>
      </c>
      <c r="O120" s="677">
        <v>0</v>
      </c>
      <c r="P120" s="677">
        <v>0</v>
      </c>
      <c r="Q120" s="677">
        <v>0</v>
      </c>
      <c r="R120" s="677">
        <v>0</v>
      </c>
      <c r="S120" s="677">
        <v>0</v>
      </c>
      <c r="T120" s="677">
        <v>0</v>
      </c>
      <c r="U120" s="677">
        <v>3</v>
      </c>
      <c r="V120" s="677">
        <v>0</v>
      </c>
      <c r="W120" s="677">
        <v>9</v>
      </c>
      <c r="X120" s="678"/>
      <c r="Y120" s="682">
        <f>SUBTOTAL(109,Техкарта[[#This Row],[Знач1]:[Знач12]])</f>
        <v>12</v>
      </c>
      <c r="Z120" s="680"/>
      <c r="AA120" s="681">
        <v>89.721999999999994</v>
      </c>
      <c r="AB120" s="681">
        <v>29.978000000000002</v>
      </c>
      <c r="AC120" s="417">
        <v>1</v>
      </c>
      <c r="AD120" s="417"/>
      <c r="AE120" s="682" t="s">
        <v>4022</v>
      </c>
      <c r="AF120">
        <v>1</v>
      </c>
      <c r="AG120" s="713">
        <v>43101</v>
      </c>
      <c r="AH120" s="417"/>
      <c r="AI120" s="417"/>
      <c r="AJ120" s="714">
        <v>43143</v>
      </c>
      <c r="AK120" s="417"/>
      <c r="AL120" s="637" t="s">
        <v>3452</v>
      </c>
      <c r="AM120" s="417"/>
      <c r="AN120" s="417"/>
      <c r="AO120" s="636"/>
      <c r="AP120">
        <v>556651</v>
      </c>
      <c r="AQ120" s="715">
        <v>43143</v>
      </c>
      <c r="AR120" s="417"/>
      <c r="AS120" s="417"/>
      <c r="AT120" s="417"/>
      <c r="AU120" s="417"/>
      <c r="AV120" s="417"/>
      <c r="AW120" s="417"/>
      <c r="AX120" s="417"/>
      <c r="AY120" t="s">
        <v>80</v>
      </c>
      <c r="AZ120" s="417"/>
      <c r="BA120" s="417"/>
      <c r="BB120" t="s">
        <v>3584</v>
      </c>
      <c r="BC120" s="636"/>
      <c r="BD120" s="417"/>
      <c r="BE120" s="612">
        <v>0</v>
      </c>
      <c r="BF120" s="613">
        <v>0</v>
      </c>
      <c r="BG120" s="614" t="s">
        <v>78</v>
      </c>
      <c r="BH120" s="682"/>
      <c r="BI120" s="417"/>
      <c r="BJ120" s="417">
        <v>2</v>
      </c>
      <c r="BK120" s="682" t="str">
        <f>Техкарта[[#This Row],[Кв-л]]&amp;" кв ("&amp;Substring(Техкарта[[#This Row],[Виділ]],"_",1)&amp;" вид) "&amp;Substring(Техкарта[[#This Row],[Виділ]],"_",2)&amp;" діл."</f>
        <v>47 кв (5 вид) 0 діл.</v>
      </c>
      <c r="BL120" s="682" t="str">
        <f>Техкарта[[#This Row],[ПолнаяДіл]] &amp;" "&amp;Техкарта[[#This Row],[ЛК]]&amp;" "&amp;Техкарта[[#This Row],[Вид рубки]]</f>
        <v>47 кв (5 вид) 0 діл. 556651 СРВ</v>
      </c>
      <c r="BM120" s="682"/>
      <c r="BN120" s="636" t="s">
        <v>3784</v>
      </c>
      <c r="BO120" s="636" t="s">
        <v>3784</v>
      </c>
      <c r="BP120" s="636" t="s">
        <v>3784</v>
      </c>
      <c r="BQ120" s="636" t="s">
        <v>105</v>
      </c>
      <c r="BR120" s="636"/>
      <c r="BS120" s="636"/>
      <c r="BT120" s="636"/>
      <c r="BU120" s="636"/>
      <c r="BV120" s="636"/>
      <c r="BW120" s="636" t="s">
        <v>4004</v>
      </c>
      <c r="BX120" s="636"/>
      <c r="BY120" s="972"/>
    </row>
    <row r="121" spans="1:77">
      <c r="A121" t="s">
        <v>105</v>
      </c>
      <c r="B121" s="675" t="s">
        <v>112</v>
      </c>
      <c r="C121" s="687" t="s">
        <v>126</v>
      </c>
      <c r="D121" s="675">
        <v>0</v>
      </c>
      <c r="E121" s="675" t="s">
        <v>2305</v>
      </c>
      <c r="F121" s="675">
        <v>3</v>
      </c>
      <c r="G121" s="675" t="s">
        <v>2238</v>
      </c>
      <c r="H121" s="675">
        <v>47</v>
      </c>
      <c r="I121" s="676" t="s">
        <v>3850</v>
      </c>
      <c r="J121" s="677">
        <v>0.6</v>
      </c>
      <c r="K121" s="683">
        <v>13</v>
      </c>
      <c r="L121" s="677">
        <v>0</v>
      </c>
      <c r="M121" s="677">
        <v>0</v>
      </c>
      <c r="N121" s="677">
        <v>0</v>
      </c>
      <c r="O121" s="677">
        <v>0</v>
      </c>
      <c r="P121" s="677">
        <v>0</v>
      </c>
      <c r="Q121" s="677">
        <v>0</v>
      </c>
      <c r="R121" s="677">
        <v>0</v>
      </c>
      <c r="S121" s="677">
        <v>0</v>
      </c>
      <c r="T121" s="677">
        <v>0</v>
      </c>
      <c r="U121" s="677">
        <v>0</v>
      </c>
      <c r="V121" s="677">
        <v>0</v>
      </c>
      <c r="W121" s="677">
        <v>4</v>
      </c>
      <c r="X121" s="678"/>
      <c r="Y121" s="682">
        <f>SUBTOTAL(109,Техкарта[[#This Row],[Знач1]:[Знач12]])</f>
        <v>4</v>
      </c>
      <c r="Z121" s="680"/>
      <c r="AA121" s="681">
        <v>105.574</v>
      </c>
      <c r="AB121" s="681">
        <v>29.978000000000002</v>
      </c>
      <c r="AC121" s="417">
        <v>0</v>
      </c>
      <c r="AD121" s="417"/>
      <c r="AE121" s="682" t="s">
        <v>4023</v>
      </c>
      <c r="AF121">
        <v>1</v>
      </c>
      <c r="AG121" s="713">
        <v>43101</v>
      </c>
      <c r="AH121" s="417"/>
      <c r="AI121" s="417"/>
      <c r="AJ121" s="714">
        <v>43143</v>
      </c>
      <c r="AK121" s="417"/>
      <c r="AL121" s="637" t="s">
        <v>3452</v>
      </c>
      <c r="AM121" s="417"/>
      <c r="AN121" s="417"/>
      <c r="AO121" s="636"/>
      <c r="AP121">
        <v>556651</v>
      </c>
      <c r="AQ121" s="715">
        <v>43143</v>
      </c>
      <c r="AR121" s="417"/>
      <c r="AS121" s="417"/>
      <c r="AT121" s="417"/>
      <c r="AU121" s="417"/>
      <c r="AV121" s="417"/>
      <c r="AW121" s="417"/>
      <c r="AX121" s="417"/>
      <c r="AY121" t="s">
        <v>80</v>
      </c>
      <c r="AZ121" s="417"/>
      <c r="BA121" s="417"/>
      <c r="BB121" t="s">
        <v>3584</v>
      </c>
      <c r="BC121" s="636"/>
      <c r="BD121" s="417"/>
      <c r="BE121" s="612">
        <v>0</v>
      </c>
      <c r="BF121" s="613">
        <v>0</v>
      </c>
      <c r="BG121" s="614" t="s">
        <v>78</v>
      </c>
      <c r="BH121" s="682"/>
      <c r="BI121" s="417"/>
      <c r="BJ121" s="417">
        <v>3</v>
      </c>
      <c r="BK121" s="682" t="str">
        <f>Техкарта[[#This Row],[Кв-л]]&amp;" кв ("&amp;Substring(Техкарта[[#This Row],[Виділ]],"_",1)&amp;" вид) "&amp;Substring(Техкарта[[#This Row],[Виділ]],"_",2)&amp;" діл."</f>
        <v>47 кв (6 вид) 0 діл.</v>
      </c>
      <c r="BL121" s="682" t="str">
        <f>Техкарта[[#This Row],[ПолнаяДіл]] &amp;" "&amp;Техкарта[[#This Row],[ЛК]]&amp;" "&amp;Техкарта[[#This Row],[Вид рубки]]</f>
        <v>47 кв (6 вид) 0 діл. 556651 СРВ</v>
      </c>
      <c r="BM121" s="682"/>
      <c r="BN121" s="636" t="s">
        <v>3784</v>
      </c>
      <c r="BO121" s="636" t="s">
        <v>3784</v>
      </c>
      <c r="BP121" s="636" t="s">
        <v>3784</v>
      </c>
      <c r="BQ121" s="636" t="s">
        <v>105</v>
      </c>
      <c r="BR121" s="636"/>
      <c r="BS121" s="636"/>
      <c r="BT121" s="636"/>
      <c r="BU121" s="636"/>
      <c r="BV121" s="636"/>
      <c r="BW121" s="636" t="s">
        <v>4004</v>
      </c>
      <c r="BX121" s="636"/>
      <c r="BY121" s="972"/>
    </row>
    <row r="122" spans="1:77">
      <c r="A122" t="s">
        <v>105</v>
      </c>
      <c r="B122" s="675" t="s">
        <v>112</v>
      </c>
      <c r="C122" s="687" t="s">
        <v>126</v>
      </c>
      <c r="D122" s="675">
        <v>0</v>
      </c>
      <c r="E122" s="675" t="s">
        <v>2305</v>
      </c>
      <c r="F122" s="675">
        <v>3</v>
      </c>
      <c r="G122" s="675" t="s">
        <v>2238</v>
      </c>
      <c r="H122" s="675">
        <v>47</v>
      </c>
      <c r="I122" s="676" t="s">
        <v>3789</v>
      </c>
      <c r="J122" s="677">
        <v>0.8</v>
      </c>
      <c r="K122" s="683">
        <v>44</v>
      </c>
      <c r="L122" s="677">
        <v>0</v>
      </c>
      <c r="M122" s="677">
        <v>0</v>
      </c>
      <c r="N122" s="677">
        <v>0</v>
      </c>
      <c r="O122" s="677">
        <v>0</v>
      </c>
      <c r="P122" s="677">
        <v>0</v>
      </c>
      <c r="Q122" s="677">
        <v>0</v>
      </c>
      <c r="R122" s="677">
        <v>0</v>
      </c>
      <c r="S122" s="677">
        <v>0</v>
      </c>
      <c r="T122" s="677">
        <v>0</v>
      </c>
      <c r="U122" s="677">
        <v>0</v>
      </c>
      <c r="V122" s="677">
        <v>0</v>
      </c>
      <c r="W122" s="677">
        <v>15</v>
      </c>
      <c r="X122" s="678"/>
      <c r="Y122" s="682">
        <f>SUBTOTAL(109,Техкарта[[#This Row],[Знач1]:[Знач12]])</f>
        <v>15</v>
      </c>
      <c r="Z122" s="680"/>
      <c r="AA122" s="681">
        <v>93.215999999999994</v>
      </c>
      <c r="AB122" s="681">
        <v>29.978000000000002</v>
      </c>
      <c r="AC122" s="417">
        <v>2</v>
      </c>
      <c r="AD122" s="417"/>
      <c r="AE122" s="682" t="s">
        <v>4024</v>
      </c>
      <c r="AF122">
        <v>1</v>
      </c>
      <c r="AG122" s="713">
        <v>43101</v>
      </c>
      <c r="AH122" s="417"/>
      <c r="AI122" s="417"/>
      <c r="AJ122" s="714">
        <v>43143</v>
      </c>
      <c r="AK122" s="417"/>
      <c r="AL122" s="637" t="s">
        <v>3452</v>
      </c>
      <c r="AM122" s="417"/>
      <c r="AN122" s="417"/>
      <c r="AO122" s="636"/>
      <c r="AP122">
        <v>556651</v>
      </c>
      <c r="AQ122" s="715">
        <v>43143</v>
      </c>
      <c r="AR122" s="417"/>
      <c r="AS122" s="417"/>
      <c r="AT122" s="417"/>
      <c r="AU122" s="417"/>
      <c r="AV122" s="417"/>
      <c r="AW122" s="417"/>
      <c r="AX122" s="417"/>
      <c r="AY122" t="s">
        <v>80</v>
      </c>
      <c r="AZ122" s="417"/>
      <c r="BA122" s="417"/>
      <c r="BB122" t="s">
        <v>3584</v>
      </c>
      <c r="BC122" s="636"/>
      <c r="BD122" s="417"/>
      <c r="BE122" s="612">
        <v>0</v>
      </c>
      <c r="BF122" s="613">
        <v>0</v>
      </c>
      <c r="BG122" s="614" t="s">
        <v>78</v>
      </c>
      <c r="BH122" s="682"/>
      <c r="BI122" s="417"/>
      <c r="BJ122" s="417">
        <v>4</v>
      </c>
      <c r="BK122" s="682" t="str">
        <f>Техкарта[[#This Row],[Кв-л]]&amp;" кв ("&amp;Substring(Техкарта[[#This Row],[Виділ]],"_",1)&amp;" вид) "&amp;Substring(Техкарта[[#This Row],[Виділ]],"_",2)&amp;" діл."</f>
        <v>47 кв (10 вид) 0 діл.</v>
      </c>
      <c r="BL122" s="682" t="str">
        <f>Техкарта[[#This Row],[ПолнаяДіл]] &amp;" "&amp;Техкарта[[#This Row],[ЛК]]&amp;" "&amp;Техкарта[[#This Row],[Вид рубки]]</f>
        <v>47 кв (10 вид) 0 діл. 556651 СРВ</v>
      </c>
      <c r="BM122" s="682"/>
      <c r="BN122" s="636" t="s">
        <v>3784</v>
      </c>
      <c r="BO122" s="636" t="s">
        <v>3784</v>
      </c>
      <c r="BP122" s="636" t="s">
        <v>3784</v>
      </c>
      <c r="BQ122" s="636" t="s">
        <v>105</v>
      </c>
      <c r="BR122" s="636"/>
      <c r="BS122" s="636"/>
      <c r="BT122" s="636"/>
      <c r="BU122" s="636"/>
      <c r="BV122" s="636"/>
      <c r="BW122" s="636" t="s">
        <v>4004</v>
      </c>
      <c r="BX122" s="636"/>
      <c r="BY122" s="972"/>
    </row>
    <row r="123" spans="1:77">
      <c r="A123" t="s">
        <v>105</v>
      </c>
      <c r="B123" s="675" t="s">
        <v>112</v>
      </c>
      <c r="C123" s="687" t="s">
        <v>126</v>
      </c>
      <c r="D123" s="675">
        <v>0</v>
      </c>
      <c r="E123" s="675" t="s">
        <v>2305</v>
      </c>
      <c r="F123" s="675">
        <v>3</v>
      </c>
      <c r="G123" s="675" t="s">
        <v>2238</v>
      </c>
      <c r="H123" s="675">
        <v>56</v>
      </c>
      <c r="I123" s="676" t="s">
        <v>3790</v>
      </c>
      <c r="J123" s="677">
        <v>9.6999999999999993</v>
      </c>
      <c r="K123" s="683">
        <v>651</v>
      </c>
      <c r="L123" s="677">
        <v>0</v>
      </c>
      <c r="M123" s="677">
        <v>0</v>
      </c>
      <c r="N123" s="677">
        <v>7</v>
      </c>
      <c r="O123" s="677">
        <v>0</v>
      </c>
      <c r="P123" s="677">
        <v>0</v>
      </c>
      <c r="Q123" s="677">
        <v>0</v>
      </c>
      <c r="R123" s="677">
        <v>0</v>
      </c>
      <c r="S123" s="677">
        <v>0</v>
      </c>
      <c r="T123" s="677">
        <v>0</v>
      </c>
      <c r="U123" s="677">
        <v>13</v>
      </c>
      <c r="V123" s="677">
        <v>0</v>
      </c>
      <c r="W123" s="677">
        <v>244</v>
      </c>
      <c r="X123" s="678"/>
      <c r="Y123" s="682">
        <f>SUBTOTAL(109,Техкарта[[#This Row],[Знач1]:[Знач12]])</f>
        <v>264</v>
      </c>
      <c r="Z123" s="680"/>
      <c r="AA123" s="681">
        <v>83.545000000000002</v>
      </c>
      <c r="AB123" s="681">
        <v>29.978000000000002</v>
      </c>
      <c r="AC123" s="417">
        <v>20</v>
      </c>
      <c r="AD123" s="417"/>
      <c r="AE123" s="682" t="s">
        <v>4026</v>
      </c>
      <c r="AF123">
        <v>1</v>
      </c>
      <c r="AG123" s="713">
        <v>43101</v>
      </c>
      <c r="AH123" s="417"/>
      <c r="AI123" s="417"/>
      <c r="AJ123" s="714">
        <v>43143</v>
      </c>
      <c r="AK123" s="417"/>
      <c r="AL123" s="637" t="s">
        <v>3452</v>
      </c>
      <c r="AM123" s="417"/>
      <c r="AN123" s="417"/>
      <c r="AO123" s="636"/>
      <c r="AP123">
        <v>556651</v>
      </c>
      <c r="AQ123" s="715">
        <v>43143</v>
      </c>
      <c r="AR123" s="417"/>
      <c r="AS123" s="417"/>
      <c r="AT123" s="417"/>
      <c r="AU123" s="417"/>
      <c r="AV123" s="417"/>
      <c r="AW123" s="417"/>
      <c r="AX123" s="417"/>
      <c r="AY123" t="s">
        <v>80</v>
      </c>
      <c r="AZ123" s="417"/>
      <c r="BA123" s="417"/>
      <c r="BB123" t="s">
        <v>3584</v>
      </c>
      <c r="BC123" s="636"/>
      <c r="BD123" s="417"/>
      <c r="BE123" s="612">
        <v>0</v>
      </c>
      <c r="BF123" s="613">
        <v>0</v>
      </c>
      <c r="BG123" s="614" t="s">
        <v>78</v>
      </c>
      <c r="BH123" s="682"/>
      <c r="BI123" s="417"/>
      <c r="BJ123" s="417">
        <v>5</v>
      </c>
      <c r="BK1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1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123" s="682"/>
      <c r="BN123" s="636" t="s">
        <v>3784</v>
      </c>
      <c r="BO123" s="636" t="s">
        <v>3784</v>
      </c>
      <c r="BP123" s="636" t="s">
        <v>3784</v>
      </c>
      <c r="BQ123" s="636" t="s">
        <v>105</v>
      </c>
      <c r="BR123" s="636"/>
      <c r="BS123" s="636"/>
      <c r="BT123" s="636"/>
      <c r="BU123" s="636"/>
      <c r="BV123" s="636"/>
      <c r="BW123" s="636" t="s">
        <v>4004</v>
      </c>
      <c r="BX123" s="636"/>
      <c r="BY123" s="972"/>
    </row>
    <row r="124" spans="1:77">
      <c r="A124" t="s">
        <v>105</v>
      </c>
      <c r="B124" s="675" t="s">
        <v>112</v>
      </c>
      <c r="C124" s="687" t="s">
        <v>126</v>
      </c>
      <c r="D124" s="675">
        <v>0</v>
      </c>
      <c r="E124" s="675" t="s">
        <v>2305</v>
      </c>
      <c r="F124" s="675">
        <v>3</v>
      </c>
      <c r="G124" s="675" t="s">
        <v>2238</v>
      </c>
      <c r="H124" s="675">
        <v>93</v>
      </c>
      <c r="I124" s="676" t="s">
        <v>3829</v>
      </c>
      <c r="J124" s="677">
        <v>10.1</v>
      </c>
      <c r="K124" s="683">
        <v>245</v>
      </c>
      <c r="L124" s="677">
        <v>0</v>
      </c>
      <c r="M124" s="677">
        <v>0</v>
      </c>
      <c r="N124" s="677">
        <v>0</v>
      </c>
      <c r="O124" s="677">
        <v>0</v>
      </c>
      <c r="P124" s="677">
        <v>0</v>
      </c>
      <c r="Q124" s="677">
        <v>0</v>
      </c>
      <c r="R124" s="677">
        <v>0</v>
      </c>
      <c r="S124" s="677">
        <v>0</v>
      </c>
      <c r="T124" s="677">
        <v>0</v>
      </c>
      <c r="U124" s="677">
        <v>0</v>
      </c>
      <c r="V124" s="677">
        <v>0</v>
      </c>
      <c r="W124" s="677">
        <v>70</v>
      </c>
      <c r="X124" s="678"/>
      <c r="Y124" s="682">
        <f>SUBTOTAL(109,Техкарта[[#This Row],[Знач1]:[Знач12]])</f>
        <v>70</v>
      </c>
      <c r="Z124" s="680"/>
      <c r="AA124" s="681">
        <v>111.727</v>
      </c>
      <c r="AB124" s="681">
        <v>29.978000000000002</v>
      </c>
      <c r="AC124" s="417">
        <v>11</v>
      </c>
      <c r="AD124" s="417"/>
      <c r="AE124" s="682" t="s">
        <v>4025</v>
      </c>
      <c r="AF124">
        <v>1</v>
      </c>
      <c r="AG124" s="713">
        <v>43101</v>
      </c>
      <c r="AH124" s="417"/>
      <c r="AI124" s="417"/>
      <c r="AJ124" s="714">
        <v>43143</v>
      </c>
      <c r="AK124" s="417"/>
      <c r="AL124" s="637" t="s">
        <v>3458</v>
      </c>
      <c r="AM124" s="417"/>
      <c r="AN124" s="417"/>
      <c r="AO124" s="636"/>
      <c r="AP124">
        <v>556651</v>
      </c>
      <c r="AQ124" s="715">
        <v>43143</v>
      </c>
      <c r="AR124" s="417"/>
      <c r="AS124" s="417"/>
      <c r="AT124" s="417"/>
      <c r="AU124" s="417"/>
      <c r="AV124" s="417"/>
      <c r="AW124" s="417"/>
      <c r="AX124" s="417"/>
      <c r="AY124" t="s">
        <v>80</v>
      </c>
      <c r="AZ124" s="417"/>
      <c r="BA124" s="417"/>
      <c r="BB124" t="s">
        <v>3584</v>
      </c>
      <c r="BC124" s="636"/>
      <c r="BD124" s="417"/>
      <c r="BE124" s="612">
        <v>0</v>
      </c>
      <c r="BF124" s="613">
        <v>0</v>
      </c>
      <c r="BG124" s="614" t="s">
        <v>78</v>
      </c>
      <c r="BH124" s="682"/>
      <c r="BI124" s="417"/>
      <c r="BJ124" s="417">
        <v>6</v>
      </c>
      <c r="BK1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1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124" s="682"/>
      <c r="BN124" s="636" t="s">
        <v>3784</v>
      </c>
      <c r="BO124" s="636" t="s">
        <v>3784</v>
      </c>
      <c r="BP124" s="636" t="s">
        <v>3784</v>
      </c>
      <c r="BQ124" s="636" t="s">
        <v>105</v>
      </c>
      <c r="BR124" s="636"/>
      <c r="BS124" s="636"/>
      <c r="BT124" s="636"/>
      <c r="BU124" s="636"/>
      <c r="BV124" s="636"/>
      <c r="BW124" s="636" t="s">
        <v>4004</v>
      </c>
      <c r="BX124" s="636"/>
      <c r="BY124" s="972"/>
    </row>
    <row r="125" spans="1:77">
      <c r="A125" t="s">
        <v>105</v>
      </c>
      <c r="B125" s="675" t="s">
        <v>116</v>
      </c>
      <c r="C125" s="687" t="s">
        <v>124</v>
      </c>
      <c r="D125" s="675">
        <v>0</v>
      </c>
      <c r="E125" s="675" t="s">
        <v>2316</v>
      </c>
      <c r="F125" s="675">
        <v>3</v>
      </c>
      <c r="G125" s="675" t="s">
        <v>2238</v>
      </c>
      <c r="H125" s="675">
        <v>22</v>
      </c>
      <c r="I125" s="676" t="s">
        <v>3851</v>
      </c>
      <c r="J125" s="677">
        <v>11.5</v>
      </c>
      <c r="K125" s="683">
        <v>3220</v>
      </c>
      <c r="L125" s="677">
        <v>0</v>
      </c>
      <c r="M125" s="677">
        <v>1</v>
      </c>
      <c r="N125" s="677">
        <v>2</v>
      </c>
      <c r="O125" s="677">
        <v>0</v>
      </c>
      <c r="P125" s="677">
        <v>0</v>
      </c>
      <c r="Q125" s="677">
        <v>0</v>
      </c>
      <c r="R125" s="677">
        <v>52</v>
      </c>
      <c r="S125" s="677">
        <v>123</v>
      </c>
      <c r="T125" s="677">
        <v>207</v>
      </c>
      <c r="U125" s="677">
        <v>0</v>
      </c>
      <c r="V125" s="677">
        <v>0</v>
      </c>
      <c r="W125" s="677">
        <v>0</v>
      </c>
      <c r="X125" s="678"/>
      <c r="Y125" s="682">
        <f>SUBTOTAL(109,Техкарта[[#This Row],[Знач1]:[Знач12]])</f>
        <v>385</v>
      </c>
      <c r="Z125" s="680"/>
      <c r="AA125" s="681">
        <v>130.989</v>
      </c>
      <c r="AB125" s="681">
        <v>29.978000000000002</v>
      </c>
      <c r="AC125" s="417">
        <v>5</v>
      </c>
      <c r="AD125" s="417"/>
      <c r="AE125" s="682" t="s">
        <v>4027</v>
      </c>
      <c r="AF125">
        <v>1</v>
      </c>
      <c r="AG125" s="713">
        <v>43101</v>
      </c>
      <c r="AH125" s="417"/>
      <c r="AI125" s="417"/>
      <c r="AJ125" s="714">
        <v>43132</v>
      </c>
      <c r="AK125" s="417"/>
      <c r="AL125" s="637" t="s">
        <v>3449</v>
      </c>
      <c r="AM125" s="417"/>
      <c r="AN125" s="417"/>
      <c r="AO125" s="636"/>
      <c r="AP125">
        <v>556650</v>
      </c>
      <c r="AQ125" s="715">
        <v>43102</v>
      </c>
      <c r="AR125" s="417"/>
      <c r="AS125" s="417"/>
      <c r="AT125" s="417"/>
      <c r="AU125" s="417"/>
      <c r="AV125" s="417"/>
      <c r="AW125" s="417"/>
      <c r="AX125" s="417"/>
      <c r="AY125" t="s">
        <v>80</v>
      </c>
      <c r="AZ125" s="417"/>
      <c r="BA125" s="417"/>
      <c r="BB125" t="s">
        <v>3584</v>
      </c>
      <c r="BC125" s="636"/>
      <c r="BD125" s="417"/>
      <c r="BE125" s="612">
        <v>0</v>
      </c>
      <c r="BF125" s="613">
        <v>0</v>
      </c>
      <c r="BG125" s="614" t="s">
        <v>78</v>
      </c>
      <c r="BH125" s="682"/>
      <c r="BI125" s="417"/>
      <c r="BJ125" s="417">
        <v>10</v>
      </c>
      <c r="BK125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125" s="682" t="str">
        <f>Техкарта[[#This Row],[ПолнаяДіл]] &amp;" "&amp;Техкарта[[#This Row],[ЛК]]&amp;" "&amp;Техкарта[[#This Row],[Вид рубки]]</f>
        <v>22 кв (12 вид) 0 діл. 556650 ПРЖ</v>
      </c>
      <c r="BM125" s="682"/>
      <c r="BN125" s="636" t="s">
        <v>3784</v>
      </c>
      <c r="BO125" s="636" t="s">
        <v>3784</v>
      </c>
      <c r="BP125" s="636" t="s">
        <v>3784</v>
      </c>
      <c r="BQ125" s="636" t="s">
        <v>105</v>
      </c>
      <c r="BR125" s="636"/>
      <c r="BS125" s="636"/>
      <c r="BT125" s="636"/>
      <c r="BU125" s="636"/>
      <c r="BV125" s="636"/>
      <c r="BW125" s="636" t="s">
        <v>4004</v>
      </c>
      <c r="BX125" s="636"/>
      <c r="BY125" s="972"/>
    </row>
    <row r="126" spans="1:77">
      <c r="A126" t="s">
        <v>105</v>
      </c>
      <c r="B126" s="675" t="s">
        <v>116</v>
      </c>
      <c r="C126" s="687" t="s">
        <v>134</v>
      </c>
      <c r="D126" s="675">
        <v>0</v>
      </c>
      <c r="E126" s="675" t="s">
        <v>2311</v>
      </c>
      <c r="F126" s="675">
        <v>3</v>
      </c>
      <c r="G126" s="675" t="s">
        <v>79</v>
      </c>
      <c r="H126" s="675">
        <v>127</v>
      </c>
      <c r="I126" s="676" t="s">
        <v>3831</v>
      </c>
      <c r="J126" s="677">
        <v>4.0999999999999996</v>
      </c>
      <c r="K126" s="683">
        <v>450</v>
      </c>
      <c r="L126" s="677"/>
      <c r="M126" s="677">
        <v>0</v>
      </c>
      <c r="N126" s="677">
        <v>120</v>
      </c>
      <c r="O126" s="677"/>
      <c r="P126" s="677"/>
      <c r="Q126" s="677">
        <v>150</v>
      </c>
      <c r="R126" s="677"/>
      <c r="S126" s="677">
        <v>0</v>
      </c>
      <c r="T126" s="677">
        <v>0</v>
      </c>
      <c r="U126" s="677"/>
      <c r="V126" s="677">
        <v>0</v>
      </c>
      <c r="W126" s="677">
        <v>0</v>
      </c>
      <c r="X126" s="678"/>
      <c r="Y126" s="682">
        <f>SUBTOTAL(109,Техкарта[[#This Row],[Знач1]:[Знач12]])</f>
        <v>270</v>
      </c>
      <c r="Z126" s="680"/>
      <c r="AA126" s="681">
        <v>221.93</v>
      </c>
      <c r="AB126" s="681"/>
      <c r="AC126" s="417">
        <v>23</v>
      </c>
      <c r="AD126" s="417"/>
      <c r="AE126" s="682" t="s">
        <v>4028</v>
      </c>
      <c r="AF126">
        <v>1</v>
      </c>
      <c r="AG126" s="713">
        <v>43101</v>
      </c>
      <c r="AH126" s="417"/>
      <c r="AI126" s="417"/>
      <c r="AJ126" s="714">
        <v>43132</v>
      </c>
      <c r="AK126" s="417"/>
      <c r="AL126" s="637" t="s">
        <v>3475</v>
      </c>
      <c r="AM126" s="417"/>
      <c r="AN126" s="417"/>
      <c r="AO126" s="636"/>
      <c r="AP126">
        <v>556624</v>
      </c>
      <c r="AQ126" s="715">
        <v>43102</v>
      </c>
      <c r="AR126" s="417">
        <v>0.4</v>
      </c>
      <c r="AS126" s="417"/>
      <c r="AT126" s="417"/>
      <c r="AU126" s="417"/>
      <c r="AV126" s="417"/>
      <c r="AW126" s="417"/>
      <c r="AX126" s="417"/>
      <c r="AY126" t="s">
        <v>80</v>
      </c>
      <c r="AZ126" s="417"/>
      <c r="BA126" s="417"/>
      <c r="BB126" t="s">
        <v>3584</v>
      </c>
      <c r="BC126" s="636"/>
      <c r="BD126" s="417"/>
      <c r="BE126" s="612"/>
      <c r="BF126" s="613"/>
      <c r="BG126" s="614"/>
      <c r="BH126" s="682"/>
      <c r="BI126" s="417"/>
      <c r="BJ126" s="417">
        <v>11</v>
      </c>
      <c r="BK126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126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126" s="682"/>
      <c r="BN126" s="636"/>
      <c r="BO126" s="636"/>
      <c r="BP126" s="636"/>
      <c r="BQ126" s="636" t="s">
        <v>105</v>
      </c>
      <c r="BR126" s="636">
        <v>5</v>
      </c>
      <c r="BS126" s="636"/>
      <c r="BT126" s="636"/>
      <c r="BU126" s="636"/>
      <c r="BV126" s="636"/>
      <c r="BW126" s="636" t="s">
        <v>4004</v>
      </c>
      <c r="BX126" s="636"/>
      <c r="BY126" s="972"/>
    </row>
    <row r="127" spans="1:77">
      <c r="A127" t="s">
        <v>105</v>
      </c>
      <c r="B127" s="675" t="s">
        <v>116</v>
      </c>
      <c r="C127" s="687" t="s">
        <v>134</v>
      </c>
      <c r="D127" s="675">
        <v>0</v>
      </c>
      <c r="E127" s="675" t="s">
        <v>2311</v>
      </c>
      <c r="F127" s="675">
        <v>3</v>
      </c>
      <c r="G127" s="675" t="s">
        <v>79</v>
      </c>
      <c r="H127" s="675">
        <v>5</v>
      </c>
      <c r="I127" s="676" t="s">
        <v>3790</v>
      </c>
      <c r="J127" s="677">
        <v>1.8</v>
      </c>
      <c r="K127" s="683">
        <v>450</v>
      </c>
      <c r="L127" s="677"/>
      <c r="M127" s="677">
        <v>0</v>
      </c>
      <c r="N127" s="677">
        <v>0</v>
      </c>
      <c r="O127" s="677"/>
      <c r="P127" s="677"/>
      <c r="Q127" s="677">
        <v>116.67</v>
      </c>
      <c r="R127" s="677"/>
      <c r="S127" s="677">
        <v>0</v>
      </c>
      <c r="T127" s="677">
        <v>100</v>
      </c>
      <c r="U127" s="677"/>
      <c r="V127" s="677">
        <v>0</v>
      </c>
      <c r="W127" s="677">
        <v>0</v>
      </c>
      <c r="X127" s="678"/>
      <c r="Y127" s="682">
        <f>SUBTOTAL(109,Техкарта[[#This Row],[Знач1]:[Знач12]])</f>
        <v>216.67000000000002</v>
      </c>
      <c r="Z127" s="680"/>
      <c r="AA127" s="681">
        <v>128.74</v>
      </c>
      <c r="AB127" s="681"/>
      <c r="AC127" s="417">
        <v>23</v>
      </c>
      <c r="AD127" s="417"/>
      <c r="AE127" s="682" t="s">
        <v>4029</v>
      </c>
      <c r="AF127">
        <v>1</v>
      </c>
      <c r="AG127" s="713">
        <v>43101</v>
      </c>
      <c r="AH127" s="417"/>
      <c r="AI127" s="417"/>
      <c r="AJ127" s="714">
        <v>43132</v>
      </c>
      <c r="AK127" s="417"/>
      <c r="AL127" s="637" t="s">
        <v>3455</v>
      </c>
      <c r="AM127" s="417"/>
      <c r="AN127" s="417"/>
      <c r="AO127" s="636"/>
      <c r="AP127">
        <v>556624</v>
      </c>
      <c r="AQ127" s="715">
        <v>43102</v>
      </c>
      <c r="AR127" s="417">
        <v>0.5</v>
      </c>
      <c r="AS127" s="417"/>
      <c r="AT127" s="417"/>
      <c r="AU127" s="417"/>
      <c r="AV127" s="417"/>
      <c r="AW127" s="417"/>
      <c r="AX127" s="417"/>
      <c r="AY127" t="s">
        <v>80</v>
      </c>
      <c r="AZ127" s="417"/>
      <c r="BA127" s="417"/>
      <c r="BB127" t="s">
        <v>3584</v>
      </c>
      <c r="BC127" s="636"/>
      <c r="BD127" s="417"/>
      <c r="BE127" s="612"/>
      <c r="BF127" s="613"/>
      <c r="BG127" s="614"/>
      <c r="BH127" s="682"/>
      <c r="BI127" s="417"/>
      <c r="BJ127" s="417">
        <v>10</v>
      </c>
      <c r="BK127" s="682" t="str">
        <f>Техкарта[[#This Row],[Кв-л]]&amp;" кв ("&amp;Substring(Техкарта[[#This Row],[Виділ]],"_",1)&amp;" вид) "&amp;Substring(Техкарта[[#This Row],[Виділ]],"_",2)&amp;" діл."</f>
        <v>5 кв (2 вид) 0 діл.</v>
      </c>
      <c r="BL127" s="682" t="str">
        <f>Техкарта[[#This Row],[ПолнаяДіл]] &amp;" "&amp;Техкарта[[#This Row],[ЛК]]&amp;" "&amp;Техкарта[[#This Row],[Вид рубки]]</f>
        <v>5 кв (2 вид) 0 діл. 556624 ПРЧ</v>
      </c>
      <c r="BM127" s="682"/>
      <c r="BN127" s="636"/>
      <c r="BO127" s="636"/>
      <c r="BP127" s="636"/>
      <c r="BQ127" s="636" t="s">
        <v>105</v>
      </c>
      <c r="BR127" s="636">
        <v>5</v>
      </c>
      <c r="BS127" s="636"/>
      <c r="BT127" s="636"/>
      <c r="BU127" s="636"/>
      <c r="BV127" s="636"/>
      <c r="BW127" s="636" t="s">
        <v>4004</v>
      </c>
      <c r="BX127" s="636"/>
      <c r="BY127" s="972"/>
    </row>
    <row r="128" spans="1:77">
      <c r="A128" t="s">
        <v>105</v>
      </c>
      <c r="B128" s="675" t="s">
        <v>116</v>
      </c>
      <c r="C128" s="687" t="s">
        <v>134</v>
      </c>
      <c r="D128" s="675">
        <v>0</v>
      </c>
      <c r="E128" s="675" t="s">
        <v>2311</v>
      </c>
      <c r="F128" s="675">
        <v>3</v>
      </c>
      <c r="G128" s="675" t="s">
        <v>79</v>
      </c>
      <c r="H128" s="675">
        <v>34</v>
      </c>
      <c r="I128" s="676" t="s">
        <v>3832</v>
      </c>
      <c r="J128" s="677">
        <v>0.5</v>
      </c>
      <c r="K128" s="683">
        <v>450</v>
      </c>
      <c r="L128" s="677"/>
      <c r="M128" s="677">
        <v>0</v>
      </c>
      <c r="N128" s="677">
        <v>60</v>
      </c>
      <c r="O128" s="677"/>
      <c r="P128" s="677"/>
      <c r="Q128" s="677">
        <v>0</v>
      </c>
      <c r="R128" s="677"/>
      <c r="S128" s="677">
        <v>0</v>
      </c>
      <c r="T128" s="677">
        <v>0</v>
      </c>
      <c r="U128" s="677"/>
      <c r="V128" s="677">
        <v>0</v>
      </c>
      <c r="W128" s="677">
        <v>0</v>
      </c>
      <c r="X128" s="678"/>
      <c r="Y128" s="682">
        <f>SUBTOTAL(109,Техкарта[[#This Row],[Знач1]:[Знач12]])</f>
        <v>60</v>
      </c>
      <c r="Z128" s="680"/>
      <c r="AA128" s="681">
        <v>212.86</v>
      </c>
      <c r="AB128" s="681"/>
      <c r="AC128" s="417">
        <v>23</v>
      </c>
      <c r="AD128" s="417"/>
      <c r="AE128" s="682" t="s">
        <v>4030</v>
      </c>
      <c r="AF128">
        <v>1</v>
      </c>
      <c r="AG128" s="713">
        <v>43101</v>
      </c>
      <c r="AH128" s="417"/>
      <c r="AI128" s="417"/>
      <c r="AJ128" s="714">
        <v>43132</v>
      </c>
      <c r="AK128" s="417"/>
      <c r="AL128" s="637" t="s">
        <v>3437</v>
      </c>
      <c r="AM128" s="417"/>
      <c r="AN128" s="417"/>
      <c r="AO128" s="636"/>
      <c r="AP128">
        <v>556624</v>
      </c>
      <c r="AQ128" s="715">
        <v>43102</v>
      </c>
      <c r="AR128" s="417">
        <v>0.4</v>
      </c>
      <c r="AS128" s="417"/>
      <c r="AT128" s="417"/>
      <c r="AU128" s="417"/>
      <c r="AV128" s="417"/>
      <c r="AW128" s="417"/>
      <c r="AX128" s="417"/>
      <c r="AY128" t="s">
        <v>80</v>
      </c>
      <c r="AZ128" s="417"/>
      <c r="BA128" s="417"/>
      <c r="BB128" t="s">
        <v>3584</v>
      </c>
      <c r="BC128" s="636"/>
      <c r="BD128" s="417"/>
      <c r="BE128" s="612"/>
      <c r="BF128" s="613"/>
      <c r="BG128" s="614"/>
      <c r="BH128" s="682"/>
      <c r="BI128" s="417"/>
      <c r="BJ128" s="417">
        <v>12</v>
      </c>
      <c r="BK128" s="682" t="str">
        <f>Техкарта[[#This Row],[Кв-л]]&amp;" кв ("&amp;Substring(Техкарта[[#This Row],[Виділ]],"_",1)&amp;" вид) "&amp;Substring(Техкарта[[#This Row],[Виділ]],"_",2)&amp;" діл."</f>
        <v>34 кв (5 вид) 0 діл.</v>
      </c>
      <c r="BL128" s="682" t="str">
        <f>Техкарта[[#This Row],[ПолнаяДіл]] &amp;" "&amp;Техкарта[[#This Row],[ЛК]]&amp;" "&amp;Техкарта[[#This Row],[Вид рубки]]</f>
        <v>34 кв (5 вид) 0 діл. 556624 ПРЧ</v>
      </c>
      <c r="BM128" s="682"/>
      <c r="BN128" s="636"/>
      <c r="BO128" s="636"/>
      <c r="BP128" s="636"/>
      <c r="BQ128" s="636" t="s">
        <v>105</v>
      </c>
      <c r="BR128" s="636">
        <v>2</v>
      </c>
      <c r="BS128" s="636"/>
      <c r="BT128" s="636"/>
      <c r="BU128" s="636"/>
      <c r="BV128" s="636"/>
      <c r="BW128" s="636" t="s">
        <v>4004</v>
      </c>
      <c r="BX128" s="636"/>
      <c r="BY128" s="972"/>
    </row>
    <row r="129" spans="1:77">
      <c r="A129" t="s">
        <v>3896</v>
      </c>
      <c r="B129" s="675" t="s">
        <v>116</v>
      </c>
      <c r="C129" s="687" t="s">
        <v>134</v>
      </c>
      <c r="D129" s="675">
        <v>0</v>
      </c>
      <c r="E129" s="675" t="s">
        <v>2311</v>
      </c>
      <c r="F129" s="675">
        <v>3</v>
      </c>
      <c r="G129" s="675" t="s">
        <v>79</v>
      </c>
      <c r="H129" s="675">
        <v>34</v>
      </c>
      <c r="I129" s="676" t="s">
        <v>3850</v>
      </c>
      <c r="J129" s="677">
        <v>1.4</v>
      </c>
      <c r="K129" s="683">
        <v>450</v>
      </c>
      <c r="L129" s="677"/>
      <c r="M129" s="677">
        <v>0</v>
      </c>
      <c r="N129" s="677">
        <v>0</v>
      </c>
      <c r="O129" s="677"/>
      <c r="P129" s="677"/>
      <c r="Q129" s="677">
        <v>200</v>
      </c>
      <c r="R129" s="677"/>
      <c r="S129" s="677">
        <v>0</v>
      </c>
      <c r="T129" s="677">
        <v>0</v>
      </c>
      <c r="U129" s="677"/>
      <c r="V129" s="677">
        <v>0</v>
      </c>
      <c r="W129" s="677">
        <v>0</v>
      </c>
      <c r="X129" s="678"/>
      <c r="Y129" s="682">
        <f>SUBTOTAL(109,Техкарта[[#This Row],[Знач1]:[Знач12]])</f>
        <v>200</v>
      </c>
      <c r="Z129" s="680"/>
      <c r="AA129" s="681">
        <v>175.65</v>
      </c>
      <c r="AB129" s="681"/>
      <c r="AC129" s="417">
        <v>23</v>
      </c>
      <c r="AD129" s="417"/>
      <c r="AE129" s="682" t="s">
        <v>4335</v>
      </c>
      <c r="AF129">
        <v>1</v>
      </c>
      <c r="AG129" s="713">
        <v>43101</v>
      </c>
      <c r="AH129" s="417"/>
      <c r="AI129" s="417"/>
      <c r="AJ129" s="714">
        <v>43132</v>
      </c>
      <c r="AK129" s="417"/>
      <c r="AL129" s="637" t="s">
        <v>3437</v>
      </c>
      <c r="AM129" s="417"/>
      <c r="AN129" s="417"/>
      <c r="AO129" s="636"/>
      <c r="AP129">
        <v>556624</v>
      </c>
      <c r="AQ129" s="715">
        <v>43102</v>
      </c>
      <c r="AR129" s="417">
        <v>0.5</v>
      </c>
      <c r="AS129" s="417"/>
      <c r="AT129" s="417"/>
      <c r="AU129" s="417"/>
      <c r="AV129" s="417"/>
      <c r="AW129" s="417"/>
      <c r="AX129" s="417"/>
      <c r="AY129" t="s">
        <v>80</v>
      </c>
      <c r="AZ129" s="417"/>
      <c r="BA129" s="417"/>
      <c r="BB129" t="s">
        <v>3584</v>
      </c>
      <c r="BC129" s="636"/>
      <c r="BD129" s="417"/>
      <c r="BE129" s="612"/>
      <c r="BF129" s="613"/>
      <c r="BG129" s="614"/>
      <c r="BH129" s="682"/>
      <c r="BI129" s="417"/>
      <c r="BJ129" s="417">
        <v>14</v>
      </c>
      <c r="BK12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129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129" s="682"/>
      <c r="BN129" s="636"/>
      <c r="BO129" s="636"/>
      <c r="BP129" s="636"/>
      <c r="BQ129" s="636" t="s">
        <v>3896</v>
      </c>
      <c r="BR129" s="636">
        <v>2</v>
      </c>
      <c r="BS129" s="636"/>
      <c r="BT129" s="636"/>
      <c r="BU129" s="636"/>
      <c r="BV129" s="636"/>
      <c r="BW129" s="636" t="s">
        <v>4004</v>
      </c>
      <c r="BX129" s="636"/>
      <c r="BY129" s="972"/>
    </row>
    <row r="130" spans="1:77">
      <c r="A130" t="s">
        <v>105</v>
      </c>
      <c r="B130" s="675" t="s">
        <v>111</v>
      </c>
      <c r="C130" s="687" t="s">
        <v>126</v>
      </c>
      <c r="D130" s="675">
        <v>0</v>
      </c>
      <c r="E130" s="675" t="s">
        <v>2316</v>
      </c>
      <c r="F130" s="675">
        <v>3</v>
      </c>
      <c r="G130" s="675" t="s">
        <v>2238</v>
      </c>
      <c r="H130" s="675">
        <v>34</v>
      </c>
      <c r="I130" s="676" t="s">
        <v>3830</v>
      </c>
      <c r="J130" s="677">
        <v>31.1</v>
      </c>
      <c r="K130" s="683">
        <v>1300</v>
      </c>
      <c r="L130" s="677">
        <v>0</v>
      </c>
      <c r="M130" s="677">
        <v>50</v>
      </c>
      <c r="N130" s="677">
        <v>0</v>
      </c>
      <c r="O130" s="677">
        <v>0</v>
      </c>
      <c r="P130" s="677">
        <v>0</v>
      </c>
      <c r="Q130" s="677">
        <v>0</v>
      </c>
      <c r="R130" s="677">
        <v>0</v>
      </c>
      <c r="S130" s="677">
        <v>693</v>
      </c>
      <c r="T130" s="677">
        <v>0</v>
      </c>
      <c r="U130" s="677">
        <v>0</v>
      </c>
      <c r="V130" s="677">
        <v>300</v>
      </c>
      <c r="W130" s="677">
        <v>0</v>
      </c>
      <c r="X130" s="678"/>
      <c r="Y130" s="682">
        <f>SUBTOTAL(109,Техкарта[[#This Row],[Знач1]:[Знач12]])</f>
        <v>1043</v>
      </c>
      <c r="Z130" s="680"/>
      <c r="AA130" s="681">
        <v>64.561999999999998</v>
      </c>
      <c r="AB130" s="681">
        <v>29.978000000000002</v>
      </c>
      <c r="AC130" s="417">
        <v>111</v>
      </c>
      <c r="AD130" s="417"/>
      <c r="AE130" s="682" t="s">
        <v>4031</v>
      </c>
      <c r="AF130">
        <v>1</v>
      </c>
      <c r="AG130" s="713">
        <v>43101</v>
      </c>
      <c r="AH130" s="417"/>
      <c r="AI130" s="417"/>
      <c r="AJ130" s="714">
        <v>43151</v>
      </c>
      <c r="AK130" s="417"/>
      <c r="AL130" s="637" t="s">
        <v>3462</v>
      </c>
      <c r="AM130" s="417"/>
      <c r="AN130" s="417"/>
      <c r="AO130" s="636"/>
      <c r="AP130">
        <v>556652</v>
      </c>
      <c r="AQ130" s="715">
        <v>43151</v>
      </c>
      <c r="AR130" s="417"/>
      <c r="AS130" s="417"/>
      <c r="AT130" s="417"/>
      <c r="AU130" s="417"/>
      <c r="AV130" s="417"/>
      <c r="AW130" s="417"/>
      <c r="AX130" s="417"/>
      <c r="AY130" t="s">
        <v>3424</v>
      </c>
      <c r="AZ130" s="417"/>
      <c r="BA130" s="417"/>
      <c r="BB130" t="s">
        <v>3583</v>
      </c>
      <c r="BC130" s="636"/>
      <c r="BD130" s="417"/>
      <c r="BE130" s="612">
        <v>0</v>
      </c>
      <c r="BF130" s="613">
        <v>0</v>
      </c>
      <c r="BG130" s="614" t="s">
        <v>78</v>
      </c>
      <c r="BH130" s="682"/>
      <c r="BI130" s="417"/>
      <c r="BJ130" s="417">
        <v>1</v>
      </c>
      <c r="BK130" s="682" t="str">
        <f>Техкарта[[#This Row],[Кв-л]]&amp;" кв ("&amp;Substring(Техкарта[[#This Row],[Виділ]],"_",1)&amp;" вид) "&amp;Substring(Техкарта[[#This Row],[Виділ]],"_",2)&amp;" діл."</f>
        <v>34 кв (1 вид) 0 діл.</v>
      </c>
      <c r="BL130" s="682" t="str">
        <f>Техкарта[[#This Row],[ПолнаяДіл]] &amp;" "&amp;Техкарта[[#This Row],[ЛК]]&amp;" "&amp;Техкарта[[#This Row],[Вид рубки]]</f>
        <v>34 кв (1 вид) 0 діл. 556652 СРВ</v>
      </c>
      <c r="BM130" s="682"/>
      <c r="BN130" s="636" t="s">
        <v>3784</v>
      </c>
      <c r="BO130" s="636" t="s">
        <v>3784</v>
      </c>
      <c r="BP130" s="636" t="s">
        <v>3784</v>
      </c>
      <c r="BQ130" s="636" t="s">
        <v>105</v>
      </c>
      <c r="BR130" s="636"/>
      <c r="BS130" s="636"/>
      <c r="BT130" s="636"/>
      <c r="BU130" s="636"/>
      <c r="BV130" s="636"/>
      <c r="BW130" s="636" t="s">
        <v>4004</v>
      </c>
      <c r="BX130" s="636"/>
      <c r="BY130" s="972"/>
    </row>
    <row r="131" spans="1:77">
      <c r="A131" t="s">
        <v>105</v>
      </c>
      <c r="B131" s="675" t="s">
        <v>111</v>
      </c>
      <c r="C131" s="687" t="s">
        <v>126</v>
      </c>
      <c r="D131" s="675">
        <v>0</v>
      </c>
      <c r="E131" s="675" t="s">
        <v>2316</v>
      </c>
      <c r="F131" s="675">
        <v>3</v>
      </c>
      <c r="G131" s="675" t="s">
        <v>2238</v>
      </c>
      <c r="H131" s="675">
        <v>38</v>
      </c>
      <c r="I131" s="676" t="s">
        <v>4032</v>
      </c>
      <c r="J131" s="677">
        <v>20.7</v>
      </c>
      <c r="K131" s="683">
        <v>686</v>
      </c>
      <c r="L131" s="677">
        <v>0</v>
      </c>
      <c r="M131" s="677">
        <v>311</v>
      </c>
      <c r="N131" s="677">
        <v>0</v>
      </c>
      <c r="O131" s="677">
        <v>0</v>
      </c>
      <c r="P131" s="677">
        <v>0</v>
      </c>
      <c r="Q131" s="677">
        <v>0</v>
      </c>
      <c r="R131" s="677">
        <v>0</v>
      </c>
      <c r="S131" s="677">
        <v>140</v>
      </c>
      <c r="T131" s="677">
        <v>0</v>
      </c>
      <c r="U131" s="677">
        <v>0</v>
      </c>
      <c r="V131" s="677">
        <v>150</v>
      </c>
      <c r="W131" s="677">
        <v>37</v>
      </c>
      <c r="X131" s="678"/>
      <c r="Y131" s="682">
        <f>SUBTOTAL(109,Техкарта[[#This Row],[Знач1]:[Знач12]])</f>
        <v>638</v>
      </c>
      <c r="Z131" s="680"/>
      <c r="AA131" s="681">
        <v>48.04</v>
      </c>
      <c r="AB131" s="681">
        <v>29.978000000000002</v>
      </c>
      <c r="AC131" s="417">
        <v>69</v>
      </c>
      <c r="AD131" s="417"/>
      <c r="AE131" s="682" t="s">
        <v>4033</v>
      </c>
      <c r="AF131">
        <v>1</v>
      </c>
      <c r="AG131" s="713">
        <v>43101</v>
      </c>
      <c r="AH131" s="417"/>
      <c r="AI131" s="417"/>
      <c r="AJ131" s="714">
        <v>43151</v>
      </c>
      <c r="AK131" s="417"/>
      <c r="AL131" s="637" t="s">
        <v>3462</v>
      </c>
      <c r="AM131" s="417"/>
      <c r="AN131" s="417"/>
      <c r="AO131" s="636"/>
      <c r="AP131">
        <v>556652</v>
      </c>
      <c r="AQ131" s="715">
        <v>43151</v>
      </c>
      <c r="AR131" s="417"/>
      <c r="AS131" s="417"/>
      <c r="AT131" s="417"/>
      <c r="AU131" s="417"/>
      <c r="AV131" s="417"/>
      <c r="AW131" s="417"/>
      <c r="AX131" s="417"/>
      <c r="AY131" t="s">
        <v>3424</v>
      </c>
      <c r="AZ131" s="417"/>
      <c r="BA131" s="417"/>
      <c r="BB131" t="s">
        <v>3583</v>
      </c>
      <c r="BC131" s="636"/>
      <c r="BD131" s="417"/>
      <c r="BE131" s="612">
        <v>0</v>
      </c>
      <c r="BF131" s="613">
        <v>0</v>
      </c>
      <c r="BG131" s="614" t="s">
        <v>78</v>
      </c>
      <c r="BH131" s="682"/>
      <c r="BI131" s="417"/>
      <c r="BJ131" s="417">
        <v>2</v>
      </c>
      <c r="BK131" s="682" t="str">
        <f>Техкарта[[#This Row],[Кв-л]]&amp;" кв ("&amp;Substring(Техкарта[[#This Row],[Виділ]],"_",1)&amp;" вид) "&amp;Substring(Техкарта[[#This Row],[Виділ]],"_",2)&amp;" діл."</f>
        <v>38 кв (3 вид) 1 діл.</v>
      </c>
      <c r="BL131" s="682" t="str">
        <f>Техкарта[[#This Row],[ПолнаяДіл]] &amp;" "&amp;Техкарта[[#This Row],[ЛК]]&amp;" "&amp;Техкарта[[#This Row],[Вид рубки]]</f>
        <v>38 кв (3 вид) 1 діл. 556652 СРВ</v>
      </c>
      <c r="BM131" s="682"/>
      <c r="BN131" s="636" t="s">
        <v>3784</v>
      </c>
      <c r="BO131" s="636" t="s">
        <v>3784</v>
      </c>
      <c r="BP131" s="636" t="s">
        <v>3784</v>
      </c>
      <c r="BQ131" s="636" t="s">
        <v>105</v>
      </c>
      <c r="BR131" s="636"/>
      <c r="BS131" s="636"/>
      <c r="BT131" s="636"/>
      <c r="BU131" s="636"/>
      <c r="BV131" s="636"/>
      <c r="BW131" s="636" t="s">
        <v>4004</v>
      </c>
      <c r="BX131" s="636"/>
      <c r="BY131" s="972"/>
    </row>
    <row r="132" spans="1:77">
      <c r="A132" t="s">
        <v>105</v>
      </c>
      <c r="B132" s="675" t="s">
        <v>111</v>
      </c>
      <c r="C132" s="687" t="s">
        <v>126</v>
      </c>
      <c r="D132" s="675">
        <v>0</v>
      </c>
      <c r="E132" s="675" t="s">
        <v>2316</v>
      </c>
      <c r="F132" s="675">
        <v>3</v>
      </c>
      <c r="G132" s="675" t="s">
        <v>2238</v>
      </c>
      <c r="H132" s="675">
        <v>98</v>
      </c>
      <c r="I132" s="676" t="s">
        <v>3795</v>
      </c>
      <c r="J132" s="677">
        <v>9.1999999999999993</v>
      </c>
      <c r="K132" s="683">
        <v>1931</v>
      </c>
      <c r="L132" s="677">
        <v>0</v>
      </c>
      <c r="M132" s="677">
        <v>55</v>
      </c>
      <c r="N132" s="677">
        <v>0</v>
      </c>
      <c r="O132" s="677">
        <v>0</v>
      </c>
      <c r="P132" s="677">
        <v>0</v>
      </c>
      <c r="Q132" s="677">
        <v>0</v>
      </c>
      <c r="R132" s="677">
        <v>0</v>
      </c>
      <c r="S132" s="677">
        <v>409</v>
      </c>
      <c r="T132" s="677">
        <v>0</v>
      </c>
      <c r="U132" s="677">
        <v>0</v>
      </c>
      <c r="V132" s="677">
        <v>200</v>
      </c>
      <c r="W132" s="677">
        <v>0</v>
      </c>
      <c r="X132" s="678"/>
      <c r="Y132" s="682">
        <f>SUBTOTAL(109,Техкарта[[#This Row],[Знач1]:[Знач12]])</f>
        <v>664</v>
      </c>
      <c r="Z132" s="680"/>
      <c r="AA132" s="681">
        <v>77.137</v>
      </c>
      <c r="AB132" s="681">
        <v>29.978000000000002</v>
      </c>
      <c r="AC132" s="417">
        <v>94</v>
      </c>
      <c r="AD132" s="417"/>
      <c r="AE132" s="682" t="s">
        <v>4034</v>
      </c>
      <c r="AF132">
        <v>1</v>
      </c>
      <c r="AG132" s="713">
        <v>43101</v>
      </c>
      <c r="AH132" s="417"/>
      <c r="AI132" s="417"/>
      <c r="AJ132" s="714">
        <v>43151</v>
      </c>
      <c r="AK132" s="417"/>
      <c r="AL132" s="637" t="s">
        <v>3462</v>
      </c>
      <c r="AM132" s="417"/>
      <c r="AN132" s="417"/>
      <c r="AO132" s="636"/>
      <c r="AP132">
        <v>556652</v>
      </c>
      <c r="AQ132" s="715">
        <v>43151</v>
      </c>
      <c r="AR132" s="417"/>
      <c r="AS132" s="417"/>
      <c r="AT132" s="417"/>
      <c r="AU132" s="417"/>
      <c r="AV132" s="417"/>
      <c r="AW132" s="417"/>
      <c r="AX132" s="417"/>
      <c r="AY132" t="s">
        <v>3424</v>
      </c>
      <c r="AZ132" s="417"/>
      <c r="BA132" s="417"/>
      <c r="BB132" t="s">
        <v>3583</v>
      </c>
      <c r="BC132" s="636"/>
      <c r="BD132" s="417"/>
      <c r="BE132" s="612">
        <v>0</v>
      </c>
      <c r="BF132" s="613">
        <v>0</v>
      </c>
      <c r="BG132" s="614" t="s">
        <v>78</v>
      </c>
      <c r="BH132" s="682"/>
      <c r="BI132" s="417"/>
      <c r="BJ132" s="417">
        <v>3</v>
      </c>
      <c r="BK132" s="682" t="str">
        <f>Техкарта[[#This Row],[Кв-л]]&amp;" кв ("&amp;Substring(Техкарта[[#This Row],[Виділ]],"_",1)&amp;" вид) "&amp;Substring(Техкарта[[#This Row],[Виділ]],"_",2)&amp;" діл."</f>
        <v>98 кв (9 вид) 0 діл.</v>
      </c>
      <c r="BL132" s="682" t="str">
        <f>Техкарта[[#This Row],[ПолнаяДіл]] &amp;" "&amp;Техкарта[[#This Row],[ЛК]]&amp;" "&amp;Техкарта[[#This Row],[Вид рубки]]</f>
        <v>98 кв (9 вид) 0 діл. 556652 СРВ</v>
      </c>
      <c r="BM132" s="682"/>
      <c r="BN132" s="636" t="s">
        <v>3784</v>
      </c>
      <c r="BO132" s="636" t="s">
        <v>3784</v>
      </c>
      <c r="BP132" s="636" t="s">
        <v>3784</v>
      </c>
      <c r="BQ132" s="636" t="s">
        <v>105</v>
      </c>
      <c r="BR132" s="636"/>
      <c r="BS132" s="636"/>
      <c r="BT132" s="636"/>
      <c r="BU132" s="636"/>
      <c r="BV132" s="636"/>
      <c r="BW132" s="636" t="s">
        <v>4004</v>
      </c>
      <c r="BX132" s="636"/>
      <c r="BY132" s="972"/>
    </row>
    <row r="133" spans="1:77">
      <c r="A133" t="s">
        <v>105</v>
      </c>
      <c r="B133" s="675" t="s">
        <v>111</v>
      </c>
      <c r="C133" s="687" t="s">
        <v>126</v>
      </c>
      <c r="D133" s="675">
        <v>0</v>
      </c>
      <c r="E133" s="675" t="s">
        <v>2316</v>
      </c>
      <c r="F133" s="675">
        <v>3</v>
      </c>
      <c r="G133" s="675" t="s">
        <v>2238</v>
      </c>
      <c r="H133" s="675">
        <v>106</v>
      </c>
      <c r="I133" s="676" t="s">
        <v>4035</v>
      </c>
      <c r="J133" s="677">
        <v>3.9</v>
      </c>
      <c r="K133" s="683">
        <v>540</v>
      </c>
      <c r="L133" s="677">
        <v>0</v>
      </c>
      <c r="M133" s="677">
        <v>79</v>
      </c>
      <c r="N133" s="677">
        <v>0</v>
      </c>
      <c r="O133" s="677">
        <v>0</v>
      </c>
      <c r="P133" s="677">
        <v>0</v>
      </c>
      <c r="Q133" s="677">
        <v>0</v>
      </c>
      <c r="R133" s="677">
        <v>0</v>
      </c>
      <c r="S133" s="677">
        <v>62</v>
      </c>
      <c r="T133" s="677">
        <v>0</v>
      </c>
      <c r="U133" s="677">
        <v>0</v>
      </c>
      <c r="V133" s="677">
        <v>61</v>
      </c>
      <c r="W133" s="677">
        <v>0</v>
      </c>
      <c r="X133" s="678"/>
      <c r="Y133" s="682">
        <f>SUBTOTAL(109,Техкарта[[#This Row],[Знач1]:[Знач12]])</f>
        <v>202</v>
      </c>
      <c r="Z133" s="680"/>
      <c r="AA133" s="681">
        <v>61.58</v>
      </c>
      <c r="AB133" s="681">
        <v>29.978000000000002</v>
      </c>
      <c r="AC133" s="417">
        <v>29</v>
      </c>
      <c r="AD133" s="417"/>
      <c r="AE133" s="682" t="s">
        <v>4036</v>
      </c>
      <c r="AF133">
        <v>1</v>
      </c>
      <c r="AG133" s="713">
        <v>43101</v>
      </c>
      <c r="AH133" s="417"/>
      <c r="AI133" s="417"/>
      <c r="AJ133" s="714">
        <v>43151</v>
      </c>
      <c r="AK133" s="417"/>
      <c r="AL133" s="637" t="s">
        <v>3462</v>
      </c>
      <c r="AM133" s="417"/>
      <c r="AN133" s="417"/>
      <c r="AO133" s="636"/>
      <c r="AP133">
        <v>556652</v>
      </c>
      <c r="AQ133" s="715">
        <v>43151</v>
      </c>
      <c r="AR133" s="417"/>
      <c r="AS133" s="417"/>
      <c r="AT133" s="417"/>
      <c r="AU133" s="417"/>
      <c r="AV133" s="417"/>
      <c r="AW133" s="417"/>
      <c r="AX133" s="417"/>
      <c r="AY133" t="s">
        <v>3424</v>
      </c>
      <c r="AZ133" s="417"/>
      <c r="BA133" s="417"/>
      <c r="BB133" t="s">
        <v>3583</v>
      </c>
      <c r="BC133" s="636"/>
      <c r="BD133" s="417"/>
      <c r="BE133" s="612">
        <v>0</v>
      </c>
      <c r="BF133" s="613">
        <v>0</v>
      </c>
      <c r="BG133" s="614" t="s">
        <v>78</v>
      </c>
      <c r="BH133" s="682"/>
      <c r="BI133" s="417"/>
      <c r="BJ133" s="417">
        <v>4</v>
      </c>
      <c r="BK133" s="682" t="str">
        <f>Техкарта[[#This Row],[Кв-л]]&amp;" кв ("&amp;Substring(Техкарта[[#This Row],[Виділ]],"_",1)&amp;" вид) "&amp;Substring(Техкарта[[#This Row],[Виділ]],"_",2)&amp;" діл."</f>
        <v>106 кв (11 вид) 1 діл.</v>
      </c>
      <c r="BL133" s="682" t="str">
        <f>Техкарта[[#This Row],[ПолнаяДіл]] &amp;" "&amp;Техкарта[[#This Row],[ЛК]]&amp;" "&amp;Техкарта[[#This Row],[Вид рубки]]</f>
        <v>106 кв (11 вид) 1 діл. 556652 СРВ</v>
      </c>
      <c r="BM133" s="682"/>
      <c r="BN133" s="636" t="s">
        <v>3784</v>
      </c>
      <c r="BO133" s="636" t="s">
        <v>3784</v>
      </c>
      <c r="BP133" s="636" t="s">
        <v>3784</v>
      </c>
      <c r="BQ133" s="636" t="s">
        <v>105</v>
      </c>
      <c r="BR133" s="636"/>
      <c r="BS133" s="636"/>
      <c r="BT133" s="636"/>
      <c r="BU133" s="636"/>
      <c r="BV133" s="636"/>
      <c r="BW133" s="636" t="s">
        <v>4004</v>
      </c>
      <c r="BX133" s="636"/>
      <c r="BY133" s="972"/>
    </row>
    <row r="134" spans="1:77">
      <c r="A134" t="s">
        <v>105</v>
      </c>
      <c r="B134" s="675" t="s">
        <v>111</v>
      </c>
      <c r="C134" s="687" t="s">
        <v>134</v>
      </c>
      <c r="D134" s="675">
        <v>0</v>
      </c>
      <c r="E134" s="675" t="s">
        <v>2311</v>
      </c>
      <c r="F134" s="675">
        <v>3</v>
      </c>
      <c r="G134" s="675" t="s">
        <v>79</v>
      </c>
      <c r="H134" s="675">
        <v>67</v>
      </c>
      <c r="I134" s="676" t="s">
        <v>3829</v>
      </c>
      <c r="J134" s="677">
        <v>1.4</v>
      </c>
      <c r="K134" s="683">
        <v>0</v>
      </c>
      <c r="L134" s="677"/>
      <c r="M134" s="677">
        <v>0</v>
      </c>
      <c r="N134" s="677">
        <v>190</v>
      </c>
      <c r="O134" s="677"/>
      <c r="P134" s="677"/>
      <c r="Q134" s="677">
        <v>0</v>
      </c>
      <c r="R134" s="677"/>
      <c r="S134" s="677">
        <v>0</v>
      </c>
      <c r="T134" s="677">
        <v>0</v>
      </c>
      <c r="U134" s="677"/>
      <c r="V134" s="677">
        <v>0</v>
      </c>
      <c r="W134" s="677">
        <v>0</v>
      </c>
      <c r="X134" s="678"/>
      <c r="Y134" s="682">
        <f>SUBTOTAL(109,Техкарта[[#This Row],[Знач1]:[Знач12]])</f>
        <v>190</v>
      </c>
      <c r="Z134" s="680"/>
      <c r="AA134" s="681">
        <v>185.62</v>
      </c>
      <c r="AB134" s="681"/>
      <c r="AC134" s="417">
        <v>23</v>
      </c>
      <c r="AD134" s="417"/>
      <c r="AE134" s="682" t="s">
        <v>4039</v>
      </c>
      <c r="AF134">
        <v>1</v>
      </c>
      <c r="AG134" s="713">
        <v>43101</v>
      </c>
      <c r="AH134" s="417"/>
      <c r="AI134" s="417"/>
      <c r="AJ134" s="714">
        <v>43132</v>
      </c>
      <c r="AK134" s="417"/>
      <c r="AL134" s="637" t="s">
        <v>3451</v>
      </c>
      <c r="AM134" s="417"/>
      <c r="AN134" s="417"/>
      <c r="AO134" s="636"/>
      <c r="AP134">
        <v>556630</v>
      </c>
      <c r="AQ134" s="715">
        <v>43102</v>
      </c>
      <c r="AR134" s="417">
        <v>0.3</v>
      </c>
      <c r="AS134" s="417"/>
      <c r="AT134" s="417"/>
      <c r="AU134" s="417"/>
      <c r="AV134" s="417"/>
      <c r="AW134" s="417"/>
      <c r="AX134" s="417"/>
      <c r="AY134" t="s">
        <v>3424</v>
      </c>
      <c r="AZ134" s="417"/>
      <c r="BA134" s="417"/>
      <c r="BB134" t="s">
        <v>3583</v>
      </c>
      <c r="BC134" s="636"/>
      <c r="BD134" s="417"/>
      <c r="BE134" s="612"/>
      <c r="BF134" s="613"/>
      <c r="BG134" s="614"/>
      <c r="BH134" s="682"/>
      <c r="BI134" s="417"/>
      <c r="BJ134" s="417">
        <v>6</v>
      </c>
      <c r="BK134" s="682" t="str">
        <f>Техкарта[[#This Row],[Кв-л]]&amp;" кв ("&amp;Substring(Техкарта[[#This Row],[Виділ]],"_",1)&amp;" вид) "&amp;Substring(Техкарта[[#This Row],[Виділ]],"_",2)&amp;" діл."</f>
        <v>67 кв (3 вид) 0 діл.</v>
      </c>
      <c r="BL134" s="682" t="str">
        <f>Техкарта[[#This Row],[ПолнаяДіл]] &amp;" "&amp;Техкарта[[#This Row],[ЛК]]&amp;" "&amp;Техкарта[[#This Row],[Вид рубки]]</f>
        <v>67 кв (3 вид) 0 діл. 556630 ПРЧ</v>
      </c>
      <c r="BM134" s="682"/>
      <c r="BN134" s="636"/>
      <c r="BO134" s="636"/>
      <c r="BP134" s="636"/>
      <c r="BQ134" s="636" t="s">
        <v>105</v>
      </c>
      <c r="BR134" s="636">
        <v>2</v>
      </c>
      <c r="BS134" s="636"/>
      <c r="BT134" s="636"/>
      <c r="BU134" s="636"/>
      <c r="BV134" s="636"/>
      <c r="BW134" s="636" t="s">
        <v>4004</v>
      </c>
      <c r="BX134" s="636"/>
      <c r="BY134" s="972"/>
    </row>
    <row r="135" spans="1:77">
      <c r="A135" t="s">
        <v>105</v>
      </c>
      <c r="B135" s="675" t="s">
        <v>114</v>
      </c>
      <c r="C135" s="687" t="s">
        <v>134</v>
      </c>
      <c r="D135" s="675">
        <v>0</v>
      </c>
      <c r="E135" s="675" t="s">
        <v>2311</v>
      </c>
      <c r="F135" s="675">
        <v>3</v>
      </c>
      <c r="G135" s="675" t="s">
        <v>79</v>
      </c>
      <c r="H135" s="675">
        <v>59</v>
      </c>
      <c r="I135" s="676" t="s">
        <v>3790</v>
      </c>
      <c r="J135" s="677">
        <v>1.4</v>
      </c>
      <c r="K135" s="683">
        <v>0</v>
      </c>
      <c r="L135" s="677"/>
      <c r="M135" s="677">
        <v>0</v>
      </c>
      <c r="N135" s="677">
        <v>200</v>
      </c>
      <c r="O135" s="677"/>
      <c r="P135" s="677"/>
      <c r="Q135" s="677">
        <v>0</v>
      </c>
      <c r="R135" s="677"/>
      <c r="S135" s="677">
        <v>0</v>
      </c>
      <c r="T135" s="677">
        <v>0</v>
      </c>
      <c r="U135" s="677"/>
      <c r="V135" s="677">
        <v>0</v>
      </c>
      <c r="W135" s="677">
        <v>0</v>
      </c>
      <c r="X135" s="678"/>
      <c r="Y135" s="682">
        <f>SUBTOTAL(109,Техкарта[[#This Row],[Знач1]:[Знач12]])</f>
        <v>200</v>
      </c>
      <c r="Z135" s="680"/>
      <c r="AA135" s="681">
        <v>185.62</v>
      </c>
      <c r="AB135" s="681"/>
      <c r="AC135" s="417">
        <v>23</v>
      </c>
      <c r="AD135" s="417"/>
      <c r="AE135" s="682" t="s">
        <v>4038</v>
      </c>
      <c r="AF135">
        <v>1</v>
      </c>
      <c r="AG135" s="713">
        <v>43101</v>
      </c>
      <c r="AH135" s="417"/>
      <c r="AI135" s="417"/>
      <c r="AJ135" s="714">
        <v>43132</v>
      </c>
      <c r="AK135" s="417"/>
      <c r="AL135" s="637" t="s">
        <v>3442</v>
      </c>
      <c r="AM135" s="417"/>
      <c r="AN135" s="417"/>
      <c r="AO135" s="636"/>
      <c r="AP135">
        <v>556636</v>
      </c>
      <c r="AQ135" s="715">
        <v>43102</v>
      </c>
      <c r="AR135" s="417">
        <v>0.3</v>
      </c>
      <c r="AS135" s="417"/>
      <c r="AT135" s="417"/>
      <c r="AU135" s="417"/>
      <c r="AV135" s="417"/>
      <c r="AW135" s="417"/>
      <c r="AX135" s="417"/>
      <c r="AY135" t="s">
        <v>3424</v>
      </c>
      <c r="AZ135" s="417"/>
      <c r="BA135" s="417"/>
      <c r="BB135" t="s">
        <v>3583</v>
      </c>
      <c r="BC135" s="636"/>
      <c r="BD135" s="417"/>
      <c r="BE135" s="612"/>
      <c r="BF135" s="613"/>
      <c r="BG135" s="614"/>
      <c r="BH135" s="682"/>
      <c r="BI135" s="417"/>
      <c r="BJ135" s="417">
        <v>6</v>
      </c>
      <c r="BK135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5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5" s="682"/>
      <c r="BN135" s="636"/>
      <c r="BO135" s="636"/>
      <c r="BP135" s="636"/>
      <c r="BQ135" s="636" t="s">
        <v>105</v>
      </c>
      <c r="BR135" s="636">
        <v>2</v>
      </c>
      <c r="BS135" s="636"/>
      <c r="BT135" s="636"/>
      <c r="BU135" s="636"/>
      <c r="BV135" s="636"/>
      <c r="BW135" s="636" t="s">
        <v>4004</v>
      </c>
      <c r="BX135" s="636"/>
      <c r="BY135" s="972"/>
    </row>
    <row r="136" spans="1:77">
      <c r="A136" t="s">
        <v>105</v>
      </c>
      <c r="B136" s="675" t="s">
        <v>114</v>
      </c>
      <c r="C136" s="687" t="s">
        <v>134</v>
      </c>
      <c r="D136" s="675">
        <v>0</v>
      </c>
      <c r="E136" s="675" t="s">
        <v>2311</v>
      </c>
      <c r="F136" s="675">
        <v>3</v>
      </c>
      <c r="G136" s="675" t="s">
        <v>79</v>
      </c>
      <c r="H136" s="675">
        <v>68</v>
      </c>
      <c r="I136" s="676" t="s">
        <v>3832</v>
      </c>
      <c r="J136" s="677">
        <v>1.8</v>
      </c>
      <c r="K136" s="683">
        <v>0</v>
      </c>
      <c r="L136" s="677"/>
      <c r="M136" s="677">
        <v>0</v>
      </c>
      <c r="N136" s="677">
        <v>0</v>
      </c>
      <c r="O136" s="677"/>
      <c r="P136" s="677"/>
      <c r="Q136" s="677">
        <v>300</v>
      </c>
      <c r="R136" s="677"/>
      <c r="S136" s="677">
        <v>0</v>
      </c>
      <c r="T136" s="677">
        <v>0</v>
      </c>
      <c r="U136" s="677"/>
      <c r="V136" s="677">
        <v>0</v>
      </c>
      <c r="W136" s="677">
        <v>0</v>
      </c>
      <c r="X136" s="678"/>
      <c r="Y136" s="682">
        <f>SUBTOTAL(109,Техкарта[[#This Row],[Знач1]:[Знач12]])</f>
        <v>300</v>
      </c>
      <c r="Z136" s="680"/>
      <c r="AA136" s="681">
        <v>171.75</v>
      </c>
      <c r="AB136" s="681"/>
      <c r="AC136" s="417">
        <v>23</v>
      </c>
      <c r="AD136" s="417"/>
      <c r="AE136" s="682" t="s">
        <v>4040</v>
      </c>
      <c r="AF136">
        <v>1</v>
      </c>
      <c r="AG136" s="713">
        <v>43101</v>
      </c>
      <c r="AH136" s="417"/>
      <c r="AI136" s="417"/>
      <c r="AJ136" s="714">
        <v>43132</v>
      </c>
      <c r="AK136" s="417"/>
      <c r="AL136" s="637" t="s">
        <v>3442</v>
      </c>
      <c r="AM136" s="417"/>
      <c r="AN136" s="417"/>
      <c r="AO136" s="636"/>
      <c r="AP136">
        <v>556636</v>
      </c>
      <c r="AQ136" s="715">
        <v>43102</v>
      </c>
      <c r="AR136" s="417">
        <v>0.5</v>
      </c>
      <c r="AS136" s="417"/>
      <c r="AT136" s="417"/>
      <c r="AU136" s="417"/>
      <c r="AV136" s="417"/>
      <c r="AW136" s="417"/>
      <c r="AX136" s="417"/>
      <c r="AY136" t="s">
        <v>3424</v>
      </c>
      <c r="AZ136" s="417"/>
      <c r="BA136" s="417"/>
      <c r="BB136" t="s">
        <v>3583</v>
      </c>
      <c r="BC136" s="636"/>
      <c r="BD136" s="417"/>
      <c r="BE136" s="612"/>
      <c r="BF136" s="613"/>
      <c r="BG136" s="614"/>
      <c r="BH136" s="682"/>
      <c r="BI136" s="417"/>
      <c r="BJ136" s="417">
        <v>7</v>
      </c>
      <c r="BK136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136" s="682" t="str">
        <f>Техкарта[[#This Row],[ПолнаяДіл]] &amp;" "&amp;Техкарта[[#This Row],[ЛК]]&amp;" "&amp;Техкарта[[#This Row],[Вид рубки]]</f>
        <v>68 кв (5 вид) 0 діл. 556636 ПРЧ</v>
      </c>
      <c r="BM136" s="682"/>
      <c r="BN136" s="636"/>
      <c r="BO136" s="636"/>
      <c r="BP136" s="636"/>
      <c r="BQ136" s="636" t="s">
        <v>105</v>
      </c>
      <c r="BR136" s="636">
        <v>5</v>
      </c>
      <c r="BS136" s="636"/>
      <c r="BT136" s="636"/>
      <c r="BU136" s="636"/>
      <c r="BV136" s="636"/>
      <c r="BW136" s="636" t="s">
        <v>4004</v>
      </c>
      <c r="BX136" s="636"/>
      <c r="BY136" s="972"/>
    </row>
    <row r="137" spans="1:77">
      <c r="A137" t="s">
        <v>3896</v>
      </c>
      <c r="B137" s="675" t="s">
        <v>114</v>
      </c>
      <c r="C137" s="687" t="s">
        <v>124</v>
      </c>
      <c r="D137" s="675">
        <v>0</v>
      </c>
      <c r="E137" s="675" t="s">
        <v>2311</v>
      </c>
      <c r="F137" s="675">
        <v>3</v>
      </c>
      <c r="G137" s="675" t="s">
        <v>79</v>
      </c>
      <c r="H137" s="675">
        <v>61</v>
      </c>
      <c r="I137" s="676" t="s">
        <v>3795</v>
      </c>
      <c r="J137" s="677">
        <v>3.5</v>
      </c>
      <c r="K137" s="683">
        <v>0</v>
      </c>
      <c r="L137" s="677"/>
      <c r="M137" s="677">
        <v>0</v>
      </c>
      <c r="N137" s="677">
        <v>170</v>
      </c>
      <c r="O137" s="677"/>
      <c r="P137" s="677"/>
      <c r="Q137" s="677">
        <v>441.67</v>
      </c>
      <c r="R137" s="677"/>
      <c r="S137" s="677">
        <v>0</v>
      </c>
      <c r="T137" s="677">
        <v>0</v>
      </c>
      <c r="U137" s="677"/>
      <c r="V137" s="677">
        <v>0</v>
      </c>
      <c r="W137" s="677">
        <v>0</v>
      </c>
      <c r="X137" s="678"/>
      <c r="Y137" s="682">
        <f>SUBTOTAL(109,Техкарта[[#This Row],[Знач1]:[Знач12]])</f>
        <v>611.67000000000007</v>
      </c>
      <c r="Z137" s="680"/>
      <c r="AA137" s="681">
        <v>141.25</v>
      </c>
      <c r="AB137" s="681"/>
      <c r="AC137" s="417">
        <v>23</v>
      </c>
      <c r="AD137" s="417"/>
      <c r="AE137" s="682" t="s">
        <v>4037</v>
      </c>
      <c r="AF137">
        <v>1</v>
      </c>
      <c r="AG137" s="713">
        <v>43101</v>
      </c>
      <c r="AH137" s="417"/>
      <c r="AI137" s="417"/>
      <c r="AJ137" s="714">
        <v>43132</v>
      </c>
      <c r="AK137" s="417"/>
      <c r="AL137" s="637" t="s">
        <v>3448</v>
      </c>
      <c r="AM137" s="417"/>
      <c r="AN137" s="417"/>
      <c r="AO137" s="636"/>
      <c r="AP137">
        <v>556637</v>
      </c>
      <c r="AQ137" s="715">
        <v>43102</v>
      </c>
      <c r="AR137" s="417">
        <v>0.3</v>
      </c>
      <c r="AS137" s="417"/>
      <c r="AT137" s="417"/>
      <c r="AU137" s="417"/>
      <c r="AV137" s="417"/>
      <c r="AW137" s="417"/>
      <c r="AX137" s="417"/>
      <c r="AY137" t="s">
        <v>3424</v>
      </c>
      <c r="AZ137" s="417"/>
      <c r="BA137" s="417"/>
      <c r="BB137" t="s">
        <v>3583</v>
      </c>
      <c r="BC137" s="636"/>
      <c r="BD137" s="417"/>
      <c r="BE137" s="612"/>
      <c r="BF137" s="613"/>
      <c r="BG137" s="614"/>
      <c r="BH137" s="682"/>
      <c r="BI137" s="417"/>
      <c r="BJ137" s="417">
        <v>8</v>
      </c>
      <c r="BK137" s="682" t="str">
        <f>Техкарта[[#This Row],[Кв-л]]&amp;" кв ("&amp;Substring(Техкарта[[#This Row],[Виділ]],"_",1)&amp;" вид) "&amp;Substring(Техкарта[[#This Row],[Виділ]],"_",2)&amp;" діл."</f>
        <v>61 кв (9 вид) 0 діл.</v>
      </c>
      <c r="BL137" s="682" t="str">
        <f>Техкарта[[#This Row],[ПолнаяДіл]] &amp;" "&amp;Техкарта[[#This Row],[ЛК]]&amp;" "&amp;Техкарта[[#This Row],[Вид рубки]]</f>
        <v>61 кв (9 вид) 0 діл. 556637 ПРЖ</v>
      </c>
      <c r="BM137" s="682"/>
      <c r="BN137" s="636"/>
      <c r="BO137" s="636"/>
      <c r="BP137" s="636"/>
      <c r="BQ137" s="636" t="s">
        <v>3896</v>
      </c>
      <c r="BR137" s="636">
        <v>5</v>
      </c>
      <c r="BS137" s="636"/>
      <c r="BT137" s="636"/>
      <c r="BU137" s="636"/>
      <c r="BV137" s="636"/>
      <c r="BW137" s="636" t="s">
        <v>4004</v>
      </c>
      <c r="BX137" s="636"/>
      <c r="BY137" s="972"/>
    </row>
    <row r="138" spans="1:77">
      <c r="A138" t="s">
        <v>105</v>
      </c>
      <c r="B138" s="675" t="s">
        <v>114</v>
      </c>
      <c r="C138" s="687" t="s">
        <v>134</v>
      </c>
      <c r="D138" s="675">
        <v>0</v>
      </c>
      <c r="E138" s="675" t="s">
        <v>2316</v>
      </c>
      <c r="F138" s="675">
        <v>3</v>
      </c>
      <c r="G138" s="675" t="s">
        <v>2238</v>
      </c>
      <c r="H138" s="675">
        <v>59</v>
      </c>
      <c r="I138" s="676" t="s">
        <v>3790</v>
      </c>
      <c r="J138" s="677">
        <v>1.4</v>
      </c>
      <c r="K138" s="683">
        <v>52</v>
      </c>
      <c r="L138" s="677">
        <v>0</v>
      </c>
      <c r="M138" s="677">
        <v>0</v>
      </c>
      <c r="N138" s="677">
        <v>0</v>
      </c>
      <c r="O138" s="677">
        <v>0</v>
      </c>
      <c r="P138" s="677">
        <v>0</v>
      </c>
      <c r="Q138" s="677">
        <v>0</v>
      </c>
      <c r="R138" s="677">
        <v>0</v>
      </c>
      <c r="S138" s="677">
        <v>0</v>
      </c>
      <c r="T138" s="677">
        <v>0</v>
      </c>
      <c r="U138" s="677">
        <v>0</v>
      </c>
      <c r="V138" s="677">
        <v>0</v>
      </c>
      <c r="W138" s="677">
        <v>3</v>
      </c>
      <c r="X138" s="678"/>
      <c r="Y138" s="682">
        <f>SUBTOTAL(109,Техкарта[[#This Row],[Знач1]:[Знач12]])</f>
        <v>3</v>
      </c>
      <c r="Z138" s="680"/>
      <c r="AA138" s="681">
        <v>221.84299999999999</v>
      </c>
      <c r="AB138" s="681">
        <v>29.978000000000002</v>
      </c>
      <c r="AC138" s="417">
        <v>26</v>
      </c>
      <c r="AD138" s="417"/>
      <c r="AE138" s="682" t="s">
        <v>4041</v>
      </c>
      <c r="AF138">
        <v>1</v>
      </c>
      <c r="AG138" s="713">
        <v>43101</v>
      </c>
      <c r="AH138" s="417"/>
      <c r="AI138" s="417"/>
      <c r="AJ138" s="714">
        <v>43132</v>
      </c>
      <c r="AK138" s="417"/>
      <c r="AL138" s="637" t="s">
        <v>3442</v>
      </c>
      <c r="AM138" s="417"/>
      <c r="AN138" s="417"/>
      <c r="AO138" s="636"/>
      <c r="AP138">
        <v>556636</v>
      </c>
      <c r="AQ138" s="715">
        <v>43102</v>
      </c>
      <c r="AR138" s="417"/>
      <c r="AS138" s="417"/>
      <c r="AT138" s="417"/>
      <c r="AU138" s="417"/>
      <c r="AV138" s="417"/>
      <c r="AW138" s="417"/>
      <c r="AX138" s="417"/>
      <c r="AY138" t="s">
        <v>3424</v>
      </c>
      <c r="AZ138" s="417"/>
      <c r="BA138" s="417"/>
      <c r="BB138" t="s">
        <v>3583</v>
      </c>
      <c r="BC138" s="636"/>
      <c r="BD138" s="417"/>
      <c r="BE138" s="612">
        <v>0</v>
      </c>
      <c r="BF138" s="613">
        <v>0</v>
      </c>
      <c r="BG138" s="614" t="s">
        <v>78</v>
      </c>
      <c r="BH138" s="682"/>
      <c r="BI138" s="417"/>
      <c r="BJ138" s="417">
        <v>9</v>
      </c>
      <c r="BK138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8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8" s="682"/>
      <c r="BN138" s="636" t="s">
        <v>3784</v>
      </c>
      <c r="BO138" s="636" t="s">
        <v>3784</v>
      </c>
      <c r="BP138" s="636" t="s">
        <v>3784</v>
      </c>
      <c r="BQ138" s="636" t="s">
        <v>105</v>
      </c>
      <c r="BR138" s="636"/>
      <c r="BS138" s="636"/>
      <c r="BT138" s="636"/>
      <c r="BU138" s="636"/>
      <c r="BV138" s="636"/>
      <c r="BW138" s="636" t="s">
        <v>4004</v>
      </c>
      <c r="BX138" s="636"/>
      <c r="BY138" s="972"/>
    </row>
    <row r="139" spans="1:77">
      <c r="A139" t="s">
        <v>105</v>
      </c>
      <c r="B139" s="675" t="s">
        <v>114</v>
      </c>
      <c r="C139" s="687" t="s">
        <v>134</v>
      </c>
      <c r="D139" s="675">
        <v>0</v>
      </c>
      <c r="E139" s="675" t="s">
        <v>2316</v>
      </c>
      <c r="F139" s="675">
        <v>3</v>
      </c>
      <c r="G139" s="675" t="s">
        <v>2238</v>
      </c>
      <c r="H139" s="675">
        <v>59</v>
      </c>
      <c r="I139" s="676" t="s">
        <v>3790</v>
      </c>
      <c r="J139" s="677">
        <v>1.4</v>
      </c>
      <c r="K139" s="683">
        <v>52</v>
      </c>
      <c r="L139" s="677">
        <v>0</v>
      </c>
      <c r="M139" s="677">
        <v>0</v>
      </c>
      <c r="N139" s="677">
        <v>0</v>
      </c>
      <c r="O139" s="677">
        <v>0</v>
      </c>
      <c r="P139" s="677">
        <v>0</v>
      </c>
      <c r="Q139" s="677">
        <v>0</v>
      </c>
      <c r="R139" s="677">
        <v>0</v>
      </c>
      <c r="S139" s="677">
        <v>0</v>
      </c>
      <c r="T139" s="677">
        <v>0</v>
      </c>
      <c r="U139" s="677">
        <v>0</v>
      </c>
      <c r="V139" s="677">
        <v>0</v>
      </c>
      <c r="W139" s="677">
        <v>3</v>
      </c>
      <c r="X139" s="678"/>
      <c r="Y139" s="682">
        <f>SUBTOTAL(109,Техкарта[[#This Row],[Знач1]:[Знач12]])</f>
        <v>3</v>
      </c>
      <c r="Z139" s="680"/>
      <c r="AA139" s="681">
        <v>221.84299999999999</v>
      </c>
      <c r="AB139" s="681">
        <v>29.978000000000002</v>
      </c>
      <c r="AC139" s="417">
        <v>26</v>
      </c>
      <c r="AD139" s="417"/>
      <c r="AE139" s="682" t="s">
        <v>4041</v>
      </c>
      <c r="AF139">
        <v>1</v>
      </c>
      <c r="AG139" s="713">
        <v>43101</v>
      </c>
      <c r="AH139" s="417"/>
      <c r="AI139" s="417"/>
      <c r="AJ139" s="714">
        <v>43132</v>
      </c>
      <c r="AK139" s="417"/>
      <c r="AL139" s="637" t="s">
        <v>3442</v>
      </c>
      <c r="AM139" s="417"/>
      <c r="AN139" s="417"/>
      <c r="AO139" s="636"/>
      <c r="AP139">
        <v>556636</v>
      </c>
      <c r="AQ139" s="715">
        <v>43102</v>
      </c>
      <c r="AR139" s="417"/>
      <c r="AS139" s="417"/>
      <c r="AT139" s="417"/>
      <c r="AU139" s="417"/>
      <c r="AV139" s="417"/>
      <c r="AW139" s="417"/>
      <c r="AX139" s="417"/>
      <c r="AY139" t="s">
        <v>3424</v>
      </c>
      <c r="AZ139" s="417"/>
      <c r="BA139" s="417"/>
      <c r="BB139" t="s">
        <v>3583</v>
      </c>
      <c r="BC139" s="636"/>
      <c r="BD139" s="417"/>
      <c r="BE139" s="612">
        <v>0</v>
      </c>
      <c r="BF139" s="613">
        <v>0</v>
      </c>
      <c r="BG139" s="614" t="s">
        <v>78</v>
      </c>
      <c r="BH139" s="682"/>
      <c r="BI139" s="417"/>
      <c r="BJ139" s="417">
        <v>9</v>
      </c>
      <c r="BK139" s="682" t="str">
        <f>Техкарта[[#This Row],[Кв-л]]&amp;" кв ("&amp;Substring(Техкарта[[#This Row],[Виділ]],"_",1)&amp;" вид) "&amp;Substring(Техкарта[[#This Row],[Виділ]],"_",2)&amp;" діл."</f>
        <v>59 кв (2 вид) 0 діл.</v>
      </c>
      <c r="BL139" s="682" t="str">
        <f>Техкарта[[#This Row],[ПолнаяДіл]] &amp;" "&amp;Техкарта[[#This Row],[ЛК]]&amp;" "&amp;Техкарта[[#This Row],[Вид рубки]]</f>
        <v>59 кв (2 вид) 0 діл. 556636 ПРЧ</v>
      </c>
      <c r="BM139" s="682"/>
      <c r="BN139" s="636" t="s">
        <v>3784</v>
      </c>
      <c r="BO139" s="636" t="s">
        <v>3784</v>
      </c>
      <c r="BP139" s="636" t="s">
        <v>3784</v>
      </c>
      <c r="BQ139" s="636" t="s">
        <v>105</v>
      </c>
      <c r="BR139" s="636"/>
      <c r="BS139" s="636"/>
      <c r="BT139" s="636"/>
      <c r="BU139" s="636"/>
      <c r="BV139" s="636"/>
      <c r="BW139" s="636" t="s">
        <v>4043</v>
      </c>
      <c r="BX139" s="636"/>
      <c r="BY139" s="972"/>
    </row>
    <row r="140" spans="1:77">
      <c r="A140" t="s">
        <v>104</v>
      </c>
      <c r="B140" s="675" t="s">
        <v>115</v>
      </c>
      <c r="C140" s="687" t="s">
        <v>104</v>
      </c>
      <c r="D140" s="675">
        <v>0</v>
      </c>
      <c r="E140" s="675" t="s">
        <v>2305</v>
      </c>
      <c r="F140" s="675">
        <v>2</v>
      </c>
      <c r="G140" s="675" t="s">
        <v>2238</v>
      </c>
      <c r="H140" s="675">
        <v>34</v>
      </c>
      <c r="I140" s="676" t="s">
        <v>4042</v>
      </c>
      <c r="J140" s="677">
        <v>4</v>
      </c>
      <c r="K140" s="683">
        <v>1221</v>
      </c>
      <c r="L140" s="677">
        <v>3</v>
      </c>
      <c r="M140" s="677">
        <v>31</v>
      </c>
      <c r="N140" s="677">
        <v>417</v>
      </c>
      <c r="O140" s="677">
        <v>0</v>
      </c>
      <c r="P140" s="677">
        <v>0</v>
      </c>
      <c r="Q140" s="677">
        <v>44</v>
      </c>
      <c r="R140" s="677">
        <v>164</v>
      </c>
      <c r="S140" s="677">
        <v>111</v>
      </c>
      <c r="T140" s="677">
        <v>224</v>
      </c>
      <c r="U140" s="677">
        <v>54</v>
      </c>
      <c r="V140" s="677">
        <v>91</v>
      </c>
      <c r="W140" s="677">
        <v>168</v>
      </c>
      <c r="X140" s="678"/>
      <c r="Y140" s="682">
        <f>SUBTOTAL(109,Техкарта[[#This Row],[Знач1]:[Знач12]])</f>
        <v>1307</v>
      </c>
      <c r="Z140" s="680"/>
      <c r="AA140" s="681">
        <v>71.311000000000007</v>
      </c>
      <c r="AB140" s="681">
        <v>27.3</v>
      </c>
      <c r="AC140" s="417">
        <v>97</v>
      </c>
      <c r="AD140" s="417"/>
      <c r="AE140" s="682" t="s">
        <v>4044</v>
      </c>
      <c r="AF140">
        <v>1</v>
      </c>
      <c r="AG140" s="713">
        <v>43101</v>
      </c>
      <c r="AH140" s="417"/>
      <c r="AI140" s="417"/>
      <c r="AJ140" s="714">
        <v>43151</v>
      </c>
      <c r="AK140" s="417"/>
      <c r="AL140" s="637" t="s">
        <v>3478</v>
      </c>
      <c r="AM140" s="417"/>
      <c r="AN140" s="417"/>
      <c r="AO140" s="636"/>
      <c r="AP140">
        <v>556622</v>
      </c>
      <c r="AQ140" s="715">
        <v>43077</v>
      </c>
      <c r="AR140" s="417"/>
      <c r="AS140" s="417"/>
      <c r="AT140" s="417"/>
      <c r="AU140" s="417"/>
      <c r="AV140" s="417"/>
      <c r="AW140" s="417"/>
      <c r="AX140" s="417"/>
      <c r="AY140" t="s">
        <v>3362</v>
      </c>
      <c r="AZ140" s="417"/>
      <c r="BA140" s="417"/>
      <c r="BB140" t="s">
        <v>3585</v>
      </c>
      <c r="BC140" s="636"/>
      <c r="BD140" s="417"/>
      <c r="BE140" s="612">
        <v>12</v>
      </c>
      <c r="BF140" s="613">
        <v>40</v>
      </c>
      <c r="BG140" s="614" t="s">
        <v>78</v>
      </c>
      <c r="BH140" s="682"/>
      <c r="BI140" s="417"/>
      <c r="BJ140" s="417">
        <v>10</v>
      </c>
      <c r="BK140" s="682" t="str">
        <f>Техкарта[[#This Row],[Кв-л]]&amp;" кв ("&amp;Substring(Техкарта[[#This Row],[Виділ]],"_",1)&amp;" вид) "&amp;Substring(Техкарта[[#This Row],[Виділ]],"_",2)&amp;" діл."</f>
        <v>34 кв (7 вид) 1 діл.</v>
      </c>
      <c r="BL140" s="682" t="str">
        <f>Техкарта[[#This Row],[ПолнаяДіл]] &amp;" "&amp;Техкарта[[#This Row],[ЛК]]&amp;" "&amp;Техкарта[[#This Row],[Вид рубки]]</f>
        <v>34 кв (7 вид) 1 діл. 556622 РГК</v>
      </c>
      <c r="BM140" s="682"/>
      <c r="BN140" s="636" t="s">
        <v>3784</v>
      </c>
      <c r="BO140" s="636" t="s">
        <v>3784</v>
      </c>
      <c r="BP140" s="636" t="s">
        <v>3784</v>
      </c>
      <c r="BQ140" s="636" t="s">
        <v>104</v>
      </c>
      <c r="BR140" s="636"/>
      <c r="BS140" s="636"/>
      <c r="BT140" s="636"/>
      <c r="BU140" s="636"/>
      <c r="BV140" s="636"/>
      <c r="BW140" s="636" t="s">
        <v>4043</v>
      </c>
      <c r="BX140" s="636"/>
      <c r="BY140" s="972"/>
    </row>
    <row r="141" spans="1:77">
      <c r="A141" t="s">
        <v>104</v>
      </c>
      <c r="B141" s="675" t="s">
        <v>115</v>
      </c>
      <c r="C141" s="687" t="s">
        <v>104</v>
      </c>
      <c r="D141" s="675">
        <v>0</v>
      </c>
      <c r="E141" s="675" t="s">
        <v>2305</v>
      </c>
      <c r="F141" s="675">
        <v>3</v>
      </c>
      <c r="G141" s="675" t="s">
        <v>2238</v>
      </c>
      <c r="H141" s="675">
        <v>50</v>
      </c>
      <c r="I141" s="676" t="s">
        <v>3796</v>
      </c>
      <c r="J141" s="677">
        <v>5</v>
      </c>
      <c r="K141" s="683">
        <v>1299</v>
      </c>
      <c r="L141" s="677">
        <v>1</v>
      </c>
      <c r="M141" s="677">
        <v>47</v>
      </c>
      <c r="N141" s="677">
        <v>458</v>
      </c>
      <c r="O141" s="677">
        <v>0</v>
      </c>
      <c r="P141" s="677">
        <v>0</v>
      </c>
      <c r="Q141" s="677">
        <v>20</v>
      </c>
      <c r="R141" s="677">
        <v>55</v>
      </c>
      <c r="S141" s="677">
        <v>194</v>
      </c>
      <c r="T141" s="677">
        <v>413</v>
      </c>
      <c r="U141" s="677">
        <v>18</v>
      </c>
      <c r="V141" s="677">
        <v>158</v>
      </c>
      <c r="W141" s="677">
        <v>321</v>
      </c>
      <c r="X141" s="678"/>
      <c r="Y141" s="682">
        <f>SUBTOTAL(109,Техкарта[[#This Row],[Знач1]:[Знач12]])</f>
        <v>1685</v>
      </c>
      <c r="Z141" s="680"/>
      <c r="AA141" s="681">
        <v>76.989000000000004</v>
      </c>
      <c r="AB141" s="681">
        <v>27.414000000000001</v>
      </c>
      <c r="AC141" s="417">
        <v>0</v>
      </c>
      <c r="AD141" s="417"/>
      <c r="AE141" s="682" t="s">
        <v>4045</v>
      </c>
      <c r="AF141">
        <v>1</v>
      </c>
      <c r="AG141" s="713">
        <v>43101</v>
      </c>
      <c r="AH141" s="417"/>
      <c r="AI141" s="417"/>
      <c r="AJ141" s="714">
        <v>43151</v>
      </c>
      <c r="AK141" s="417"/>
      <c r="AL141" s="637" t="s">
        <v>3480</v>
      </c>
      <c r="AM141" s="417"/>
      <c r="AN141" s="417"/>
      <c r="AO141" s="636"/>
      <c r="AP141">
        <v>556622</v>
      </c>
      <c r="AQ141" s="715">
        <v>43077</v>
      </c>
      <c r="AR141" s="417"/>
      <c r="AS141" s="417"/>
      <c r="AT141" s="417"/>
      <c r="AU141" s="417"/>
      <c r="AV141" s="417"/>
      <c r="AW141" s="417"/>
      <c r="AX141" s="417"/>
      <c r="AY141" t="s">
        <v>3362</v>
      </c>
      <c r="AZ141" s="417"/>
      <c r="BA141" s="417"/>
      <c r="BB141" t="s">
        <v>3585</v>
      </c>
      <c r="BC141" s="636"/>
      <c r="BD141" s="417"/>
      <c r="BE141" s="612">
        <v>10</v>
      </c>
      <c r="BF141" s="613">
        <v>40</v>
      </c>
      <c r="BG141" s="614" t="s">
        <v>78</v>
      </c>
      <c r="BH141" s="682"/>
      <c r="BI141" s="417"/>
      <c r="BJ141" s="417">
        <v>11</v>
      </c>
      <c r="BK141" s="682" t="str">
        <f>Техкарта[[#This Row],[Кв-л]]&amp;" кв ("&amp;Substring(Техкарта[[#This Row],[Виділ]],"_",1)&amp;" вид) "&amp;Substring(Техкарта[[#This Row],[Виділ]],"_",2)&amp;" діл."</f>
        <v>50 кв (5 вид) 1 діл.</v>
      </c>
      <c r="BL141" s="682" t="str">
        <f>Техкарта[[#This Row],[ПолнаяДіл]] &amp;" "&amp;Техкарта[[#This Row],[ЛК]]&amp;" "&amp;Техкарта[[#This Row],[Вид рубки]]</f>
        <v>50 кв (5 вид) 1 діл. 556622 РГК</v>
      </c>
      <c r="BM141" s="682"/>
      <c r="BN141" s="636" t="s">
        <v>3784</v>
      </c>
      <c r="BO141" s="636" t="s">
        <v>3784</v>
      </c>
      <c r="BP141" s="636" t="s">
        <v>3784</v>
      </c>
      <c r="BQ141" s="636" t="s">
        <v>104</v>
      </c>
      <c r="BR141" s="636"/>
      <c r="BS141" s="636"/>
      <c r="BT141" s="636"/>
      <c r="BU141" s="636"/>
      <c r="BV141" s="636"/>
      <c r="BW141" s="636" t="s">
        <v>4046</v>
      </c>
      <c r="BX141" s="636"/>
      <c r="BY141" s="972"/>
    </row>
    <row r="142" spans="1:77">
      <c r="A142" t="s">
        <v>104</v>
      </c>
      <c r="B142" s="675" t="s">
        <v>113</v>
      </c>
      <c r="C142" s="687" t="s">
        <v>104</v>
      </c>
      <c r="D142" s="675">
        <v>0</v>
      </c>
      <c r="E142" s="675" t="s">
        <v>2305</v>
      </c>
      <c r="F142" s="675">
        <v>2</v>
      </c>
      <c r="G142" s="675" t="s">
        <v>2238</v>
      </c>
      <c r="H142" s="675">
        <v>100</v>
      </c>
      <c r="I142" s="676" t="s">
        <v>3809</v>
      </c>
      <c r="J142" s="677">
        <v>3</v>
      </c>
      <c r="K142" s="683">
        <v>1397</v>
      </c>
      <c r="L142" s="677">
        <v>0</v>
      </c>
      <c r="M142" s="677">
        <v>7</v>
      </c>
      <c r="N142" s="677">
        <v>273</v>
      </c>
      <c r="O142" s="677">
        <v>0</v>
      </c>
      <c r="P142" s="677">
        <v>0</v>
      </c>
      <c r="Q142" s="677">
        <v>20</v>
      </c>
      <c r="R142" s="677">
        <v>70</v>
      </c>
      <c r="S142" s="677">
        <v>17</v>
      </c>
      <c r="T142" s="677">
        <v>213</v>
      </c>
      <c r="U142" s="677">
        <v>23</v>
      </c>
      <c r="V142" s="677">
        <v>13</v>
      </c>
      <c r="W142" s="677">
        <v>144</v>
      </c>
      <c r="X142" s="678"/>
      <c r="Y142" s="682">
        <f>SUBTOTAL(109,Техкарта[[#This Row],[Знач1]:[Знач12]])</f>
        <v>780</v>
      </c>
      <c r="Z142" s="680"/>
      <c r="AA142" s="681">
        <v>83.397000000000006</v>
      </c>
      <c r="AB142" s="681">
        <v>40.396999999999998</v>
      </c>
      <c r="AC142" s="417">
        <v>56</v>
      </c>
      <c r="AD142" s="417"/>
      <c r="AE142" s="682" t="s">
        <v>4047</v>
      </c>
      <c r="AF142">
        <v>1</v>
      </c>
      <c r="AG142" s="713">
        <v>43101</v>
      </c>
      <c r="AH142" s="417"/>
      <c r="AI142" s="417"/>
      <c r="AJ142" s="714">
        <v>43154</v>
      </c>
      <c r="AK142" s="417"/>
      <c r="AL142" s="637" t="s">
        <v>3469</v>
      </c>
      <c r="AM142" s="417"/>
      <c r="AN142" s="417"/>
      <c r="AO142" s="636"/>
      <c r="AP142">
        <v>556620</v>
      </c>
      <c r="AQ142" s="715">
        <v>43077</v>
      </c>
      <c r="AR142" s="417"/>
      <c r="AS142" s="417"/>
      <c r="AT142" s="417"/>
      <c r="AU142" s="417"/>
      <c r="AV142" s="417"/>
      <c r="AW142" s="417"/>
      <c r="AX142" s="417"/>
      <c r="AY142" t="s">
        <v>80</v>
      </c>
      <c r="AZ142" s="417"/>
      <c r="BA142" s="417"/>
      <c r="BB142" t="s">
        <v>3584</v>
      </c>
      <c r="BC142" s="636"/>
      <c r="BD142" s="417"/>
      <c r="BE142" s="612">
        <v>5</v>
      </c>
      <c r="BF142" s="613">
        <v>40</v>
      </c>
      <c r="BG142" s="614" t="s">
        <v>78</v>
      </c>
      <c r="BH142" s="682"/>
      <c r="BI142" s="417"/>
      <c r="BJ142" s="417">
        <v>1</v>
      </c>
      <c r="BK142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142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142" s="682"/>
      <c r="BN142" s="636" t="s">
        <v>3784</v>
      </c>
      <c r="BO142" s="636" t="s">
        <v>3784</v>
      </c>
      <c r="BP142" s="636" t="s">
        <v>3784</v>
      </c>
      <c r="BQ142" s="636" t="s">
        <v>104</v>
      </c>
      <c r="BR142" s="636"/>
      <c r="BS142" s="636"/>
      <c r="BT142" s="636"/>
      <c r="BU142" s="636"/>
      <c r="BV142" s="636"/>
      <c r="BW142" s="636" t="s">
        <v>4048</v>
      </c>
      <c r="BX142" s="636"/>
      <c r="BY142" s="972"/>
    </row>
    <row r="143" spans="1:77">
      <c r="A143" t="s">
        <v>105</v>
      </c>
      <c r="B143" s="675" t="s">
        <v>113</v>
      </c>
      <c r="C143" s="687" t="s">
        <v>126</v>
      </c>
      <c r="D143" s="675">
        <v>0</v>
      </c>
      <c r="E143" s="675" t="s">
        <v>2316</v>
      </c>
      <c r="F143" s="675">
        <v>3</v>
      </c>
      <c r="G143" s="675" t="s">
        <v>2238</v>
      </c>
      <c r="H143" s="675">
        <v>14</v>
      </c>
      <c r="I143" s="676" t="s">
        <v>3790</v>
      </c>
      <c r="J143" s="677">
        <v>2.2000000000000002</v>
      </c>
      <c r="K143" s="683">
        <v>185</v>
      </c>
      <c r="L143" s="677">
        <v>0</v>
      </c>
      <c r="M143" s="677">
        <v>0</v>
      </c>
      <c r="N143" s="677">
        <v>11</v>
      </c>
      <c r="O143" s="677">
        <v>0</v>
      </c>
      <c r="P143" s="677">
        <v>0</v>
      </c>
      <c r="Q143" s="677">
        <v>0</v>
      </c>
      <c r="R143" s="677">
        <v>0</v>
      </c>
      <c r="S143" s="677">
        <v>0</v>
      </c>
      <c r="T143" s="677">
        <v>0</v>
      </c>
      <c r="U143" s="677">
        <v>0</v>
      </c>
      <c r="V143" s="677">
        <v>0</v>
      </c>
      <c r="W143" s="677">
        <v>60</v>
      </c>
      <c r="X143" s="678"/>
      <c r="Y143" s="682">
        <f>SUBTOTAL(109,Техкарта[[#This Row],[Знач1]:[Знач12]])</f>
        <v>71</v>
      </c>
      <c r="Z143" s="680"/>
      <c r="AA143" s="681">
        <v>78.855000000000004</v>
      </c>
      <c r="AB143" s="681">
        <v>29.978000000000002</v>
      </c>
      <c r="AC143" s="417">
        <v>9</v>
      </c>
      <c r="AD143" s="417"/>
      <c r="AE143" s="682" t="s">
        <v>4052</v>
      </c>
      <c r="AF143">
        <v>1</v>
      </c>
      <c r="AG143" s="713">
        <v>43101</v>
      </c>
      <c r="AH143" s="417"/>
      <c r="AI143" s="417"/>
      <c r="AJ143" s="714">
        <v>43171</v>
      </c>
      <c r="AK143" s="417"/>
      <c r="AL143" s="637" t="s">
        <v>3435</v>
      </c>
      <c r="AM143" s="417"/>
      <c r="AN143" s="417"/>
      <c r="AO143" s="636"/>
      <c r="AP143">
        <v>556654</v>
      </c>
      <c r="AQ143" s="715">
        <v>43171</v>
      </c>
      <c r="AR143" s="417"/>
      <c r="AS143" s="417"/>
      <c r="AT143" s="417"/>
      <c r="AU143" s="417"/>
      <c r="AV143" s="417"/>
      <c r="AW143" s="417"/>
      <c r="AX143" s="417"/>
      <c r="AY143" t="s">
        <v>80</v>
      </c>
      <c r="AZ143" s="417"/>
      <c r="BA143" s="417"/>
      <c r="BB143" t="s">
        <v>3584</v>
      </c>
      <c r="BC143" s="636"/>
      <c r="BD143" s="417"/>
      <c r="BE143" s="612">
        <v>0</v>
      </c>
      <c r="BF143" s="613">
        <v>0</v>
      </c>
      <c r="BG143" s="614" t="s">
        <v>78</v>
      </c>
      <c r="BH143" s="682"/>
      <c r="BI143" s="417"/>
      <c r="BJ143" s="417">
        <v>1</v>
      </c>
      <c r="BK14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14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143" s="682"/>
      <c r="BN143" s="636" t="s">
        <v>3784</v>
      </c>
      <c r="BO143" s="636" t="s">
        <v>3784</v>
      </c>
      <c r="BP143" s="636" t="s">
        <v>3784</v>
      </c>
      <c r="BQ143" s="636" t="s">
        <v>105</v>
      </c>
      <c r="BR143" s="636"/>
      <c r="BS143" s="636"/>
      <c r="BT143" s="636"/>
      <c r="BU143" s="636"/>
      <c r="BV143" s="636"/>
      <c r="BW143" s="636" t="s">
        <v>4048</v>
      </c>
      <c r="BX143" s="636"/>
      <c r="BY143" s="972"/>
    </row>
    <row r="144" spans="1:77">
      <c r="A144" t="s">
        <v>105</v>
      </c>
      <c r="B144" s="675" t="s">
        <v>113</v>
      </c>
      <c r="C144" s="687" t="s">
        <v>126</v>
      </c>
      <c r="D144" s="675">
        <v>0</v>
      </c>
      <c r="E144" s="675" t="s">
        <v>2316</v>
      </c>
      <c r="F144" s="675">
        <v>3</v>
      </c>
      <c r="G144" s="675" t="s">
        <v>2238</v>
      </c>
      <c r="H144" s="675">
        <v>108</v>
      </c>
      <c r="I144" s="676" t="s">
        <v>3806</v>
      </c>
      <c r="J144" s="677">
        <v>2.1</v>
      </c>
      <c r="K144" s="683">
        <v>271</v>
      </c>
      <c r="L144" s="677">
        <v>0</v>
      </c>
      <c r="M144" s="677">
        <v>0</v>
      </c>
      <c r="N144" s="677">
        <v>1</v>
      </c>
      <c r="O144" s="677">
        <v>0</v>
      </c>
      <c r="P144" s="677">
        <v>0</v>
      </c>
      <c r="Q144" s="677">
        <v>0</v>
      </c>
      <c r="R144" s="677">
        <v>0</v>
      </c>
      <c r="S144" s="677">
        <v>0</v>
      </c>
      <c r="T144" s="677">
        <v>63</v>
      </c>
      <c r="U144" s="677">
        <v>0</v>
      </c>
      <c r="V144" s="677">
        <v>0</v>
      </c>
      <c r="W144" s="677">
        <v>0</v>
      </c>
      <c r="X144" s="678"/>
      <c r="Y144" s="682">
        <f>SUBTOTAL(109,Техкарта[[#This Row],[Знач1]:[Знач12]])</f>
        <v>64</v>
      </c>
      <c r="Z144" s="680"/>
      <c r="AA144" s="681">
        <v>98.486999999999995</v>
      </c>
      <c r="AB144" s="681">
        <v>29.978000000000002</v>
      </c>
      <c r="AC144" s="417">
        <v>10</v>
      </c>
      <c r="AD144" s="417"/>
      <c r="AE144" s="682" t="s">
        <v>4051</v>
      </c>
      <c r="AF144">
        <v>1</v>
      </c>
      <c r="AG144" s="713">
        <v>43101</v>
      </c>
      <c r="AH144" s="417"/>
      <c r="AI144" s="417"/>
      <c r="AJ144" s="714">
        <v>43171</v>
      </c>
      <c r="AK144" s="417"/>
      <c r="AL144" s="637" t="s">
        <v>3441</v>
      </c>
      <c r="AM144" s="417"/>
      <c r="AN144" s="417"/>
      <c r="AO144" s="636"/>
      <c r="AP144">
        <v>556654</v>
      </c>
      <c r="AQ144" s="715">
        <v>43171</v>
      </c>
      <c r="AR144" s="417"/>
      <c r="AS144" s="417"/>
      <c r="AT144" s="417"/>
      <c r="AU144" s="417"/>
      <c r="AV144" s="417"/>
      <c r="AW144" s="417"/>
      <c r="AX144" s="417"/>
      <c r="AY144" t="s">
        <v>80</v>
      </c>
      <c r="AZ144" s="417"/>
      <c r="BA144" s="417"/>
      <c r="BB144" t="s">
        <v>3584</v>
      </c>
      <c r="BC144" s="636"/>
      <c r="BD144" s="417"/>
      <c r="BE144" s="612">
        <v>0</v>
      </c>
      <c r="BF144" s="613">
        <v>0</v>
      </c>
      <c r="BG144" s="614" t="s">
        <v>78</v>
      </c>
      <c r="BH144" s="682"/>
      <c r="BI144" s="417"/>
      <c r="BJ144" s="417">
        <v>3</v>
      </c>
      <c r="BK14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14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144" s="682"/>
      <c r="BN144" s="636" t="s">
        <v>3784</v>
      </c>
      <c r="BO144" s="636" t="s">
        <v>3784</v>
      </c>
      <c r="BP144" s="636" t="s">
        <v>3784</v>
      </c>
      <c r="BQ144" s="636" t="s">
        <v>105</v>
      </c>
      <c r="BR144" s="636"/>
      <c r="BS144" s="636"/>
      <c r="BT144" s="636"/>
      <c r="BU144" s="636"/>
      <c r="BV144" s="636"/>
      <c r="BW144" s="636" t="s">
        <v>4048</v>
      </c>
      <c r="BX144" s="636"/>
      <c r="BY144" s="972"/>
    </row>
    <row r="145" spans="1:77">
      <c r="A145" t="s">
        <v>105</v>
      </c>
      <c r="B145" s="675" t="s">
        <v>113</v>
      </c>
      <c r="C145" s="687" t="s">
        <v>126</v>
      </c>
      <c r="D145" s="675">
        <v>0</v>
      </c>
      <c r="E145" s="675" t="s">
        <v>2316</v>
      </c>
      <c r="F145" s="675">
        <v>3</v>
      </c>
      <c r="G145" s="675" t="s">
        <v>2238</v>
      </c>
      <c r="H145" s="675">
        <v>65</v>
      </c>
      <c r="I145" s="676" t="s">
        <v>3791</v>
      </c>
      <c r="J145" s="677">
        <v>3.3</v>
      </c>
      <c r="K145" s="683">
        <v>160</v>
      </c>
      <c r="L145" s="677">
        <v>0</v>
      </c>
      <c r="M145" s="677">
        <v>0</v>
      </c>
      <c r="N145" s="677">
        <v>7</v>
      </c>
      <c r="O145" s="677">
        <v>0</v>
      </c>
      <c r="P145" s="677">
        <v>0</v>
      </c>
      <c r="Q145" s="677">
        <v>0</v>
      </c>
      <c r="R145" s="677">
        <v>0</v>
      </c>
      <c r="S145" s="677">
        <v>0</v>
      </c>
      <c r="T145" s="677">
        <v>46</v>
      </c>
      <c r="U145" s="677">
        <v>0</v>
      </c>
      <c r="V145" s="677">
        <v>0</v>
      </c>
      <c r="W145" s="677">
        <v>0</v>
      </c>
      <c r="X145" s="678"/>
      <c r="Y145" s="682">
        <f>SUBTOTAL(109,Техкарта[[#This Row],[Знач1]:[Знач12]])</f>
        <v>53</v>
      </c>
      <c r="Z145" s="680"/>
      <c r="AA145" s="681">
        <v>89.765000000000001</v>
      </c>
      <c r="AB145" s="681">
        <v>29.978000000000002</v>
      </c>
      <c r="AC145" s="417">
        <v>6</v>
      </c>
      <c r="AD145" s="417"/>
      <c r="AE145" s="682" t="s">
        <v>4050</v>
      </c>
      <c r="AF145">
        <v>1</v>
      </c>
      <c r="AG145" s="713">
        <v>43101</v>
      </c>
      <c r="AH145" s="417"/>
      <c r="AI145" s="417"/>
      <c r="AJ145" s="714">
        <v>43171</v>
      </c>
      <c r="AK145" s="417"/>
      <c r="AL145" s="637" t="s">
        <v>3453</v>
      </c>
      <c r="AM145" s="417"/>
      <c r="AN145" s="417"/>
      <c r="AO145" s="636"/>
      <c r="AP145">
        <v>556654</v>
      </c>
      <c r="AQ145" s="715">
        <v>43171</v>
      </c>
      <c r="AR145" s="417"/>
      <c r="AS145" s="417"/>
      <c r="AT145" s="417"/>
      <c r="AU145" s="417"/>
      <c r="AV145" s="417"/>
      <c r="AW145" s="417"/>
      <c r="AX145" s="417"/>
      <c r="AY145" t="s">
        <v>80</v>
      </c>
      <c r="AZ145" s="417"/>
      <c r="BA145" s="417"/>
      <c r="BB145" t="s">
        <v>3584</v>
      </c>
      <c r="BC145" s="636"/>
      <c r="BD145" s="417"/>
      <c r="BE145" s="612">
        <v>0</v>
      </c>
      <c r="BF145" s="613">
        <v>0</v>
      </c>
      <c r="BG145" s="614" t="s">
        <v>78</v>
      </c>
      <c r="BH145" s="682"/>
      <c r="BI145" s="417"/>
      <c r="BJ145" s="417">
        <v>2</v>
      </c>
      <c r="BK145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145" s="682" t="str">
        <f>Техкарта[[#This Row],[ПолнаяДіл]] &amp;" "&amp;Техкарта[[#This Row],[ЛК]]&amp;" "&amp;Техкарта[[#This Row],[Вид рубки]]</f>
        <v>65 кв (7 вид) 0 діл. 556654 СРВ</v>
      </c>
      <c r="BM145" s="682"/>
      <c r="BN145" s="636" t="s">
        <v>3784</v>
      </c>
      <c r="BO145" s="636" t="s">
        <v>3784</v>
      </c>
      <c r="BP145" s="636" t="s">
        <v>3784</v>
      </c>
      <c r="BQ145" s="636" t="s">
        <v>105</v>
      </c>
      <c r="BR145" s="636"/>
      <c r="BS145" s="636"/>
      <c r="BT145" s="636"/>
      <c r="BU145" s="636"/>
      <c r="BV145" s="636"/>
      <c r="BW145" s="636" t="s">
        <v>4048</v>
      </c>
      <c r="BX145" s="636"/>
      <c r="BY145" s="972"/>
    </row>
    <row r="146" spans="1:77">
      <c r="A146" t="s">
        <v>105</v>
      </c>
      <c r="B146" s="675" t="s">
        <v>111</v>
      </c>
      <c r="C146" s="687" t="s">
        <v>126</v>
      </c>
      <c r="D146" s="675">
        <v>0</v>
      </c>
      <c r="E146" s="675" t="s">
        <v>2311</v>
      </c>
      <c r="F146" s="675">
        <v>3</v>
      </c>
      <c r="G146" s="675" t="s">
        <v>2238</v>
      </c>
      <c r="H146" s="675">
        <v>17</v>
      </c>
      <c r="I146" s="676" t="s">
        <v>3833</v>
      </c>
      <c r="J146" s="677">
        <v>0.7</v>
      </c>
      <c r="K146" s="683">
        <v>62</v>
      </c>
      <c r="L146" s="677">
        <v>0</v>
      </c>
      <c r="M146" s="677">
        <v>12</v>
      </c>
      <c r="N146" s="677">
        <v>0</v>
      </c>
      <c r="O146" s="677">
        <v>0</v>
      </c>
      <c r="P146" s="677">
        <v>0</v>
      </c>
      <c r="Q146" s="677">
        <v>0</v>
      </c>
      <c r="R146" s="677">
        <v>0</v>
      </c>
      <c r="S146" s="677">
        <v>12</v>
      </c>
      <c r="T146" s="677">
        <v>0</v>
      </c>
      <c r="U146" s="677">
        <v>0</v>
      </c>
      <c r="V146" s="677">
        <v>0</v>
      </c>
      <c r="W146" s="677">
        <v>0</v>
      </c>
      <c r="X146" s="678"/>
      <c r="Y146" s="682">
        <f>SUBTOTAL(109,Техкарта[[#This Row],[Знач1]:[Знач12]])</f>
        <v>24</v>
      </c>
      <c r="Z146" s="680"/>
      <c r="AA146" s="681">
        <v>57.261000000000003</v>
      </c>
      <c r="AB146" s="681">
        <v>29.978000000000002</v>
      </c>
      <c r="AC146" s="417">
        <v>4</v>
      </c>
      <c r="AD146" s="417"/>
      <c r="AE146" s="682" t="s">
        <v>4053</v>
      </c>
      <c r="AF146">
        <v>1</v>
      </c>
      <c r="AG146" s="713">
        <v>43101</v>
      </c>
      <c r="AH146" s="417"/>
      <c r="AI146" s="417"/>
      <c r="AJ146" s="714">
        <v>43172</v>
      </c>
      <c r="AK146" s="417"/>
      <c r="AL146" s="637" t="s">
        <v>3462</v>
      </c>
      <c r="AM146" s="417"/>
      <c r="AN146" s="417"/>
      <c r="AO146" s="636"/>
      <c r="AP146">
        <v>556659</v>
      </c>
      <c r="AQ146" s="715">
        <v>43172</v>
      </c>
      <c r="AR146" s="417"/>
      <c r="AS146" s="417"/>
      <c r="AT146" s="417"/>
      <c r="AU146" s="417"/>
      <c r="AV146" s="417"/>
      <c r="AW146" s="417"/>
      <c r="AX146" s="417"/>
      <c r="AY146" t="s">
        <v>3424</v>
      </c>
      <c r="AZ146" s="417"/>
      <c r="BA146" s="417"/>
      <c r="BB146" t="s">
        <v>3583</v>
      </c>
      <c r="BC146" s="636"/>
      <c r="BD146" s="417"/>
      <c r="BE146" s="612">
        <v>0</v>
      </c>
      <c r="BF146" s="613">
        <v>0</v>
      </c>
      <c r="BG146" s="614" t="s">
        <v>78</v>
      </c>
      <c r="BH146" s="682"/>
      <c r="BI146" s="417"/>
      <c r="BJ146" s="417">
        <v>7</v>
      </c>
      <c r="BK146" s="682" t="str">
        <f>Техкарта[[#This Row],[Кв-л]]&amp;" кв ("&amp;Substring(Техкарта[[#This Row],[Виділ]],"_",1)&amp;" вид) "&amp;Substring(Техкарта[[#This Row],[Виділ]],"_",2)&amp;" діл."</f>
        <v>17 кв (8 вид) 0 діл.</v>
      </c>
      <c r="BL146" s="682" t="str">
        <f>Техкарта[[#This Row],[ПолнаяДіл]] &amp;" "&amp;Техкарта[[#This Row],[ЛК]]&amp;" "&amp;Техкарта[[#This Row],[Вид рубки]]</f>
        <v>17 кв (8 вид) 0 діл. 556659 СРВ</v>
      </c>
      <c r="BM146" s="682"/>
      <c r="BN146" s="636" t="s">
        <v>3784</v>
      </c>
      <c r="BO146" s="636" t="s">
        <v>3784</v>
      </c>
      <c r="BP146" s="636" t="s">
        <v>3784</v>
      </c>
      <c r="BQ146" s="636" t="s">
        <v>105</v>
      </c>
      <c r="BR146" s="636"/>
      <c r="BS146" s="636"/>
      <c r="BT146" s="636"/>
      <c r="BU146" s="636"/>
      <c r="BV146" s="636"/>
      <c r="BW146" s="636" t="s">
        <v>4048</v>
      </c>
      <c r="BX146" s="636"/>
      <c r="BY146" s="972"/>
    </row>
    <row r="147" spans="1:77">
      <c r="A147" t="s">
        <v>105</v>
      </c>
      <c r="B147" s="675" t="s">
        <v>111</v>
      </c>
      <c r="C147" s="687" t="s">
        <v>126</v>
      </c>
      <c r="D147" s="675">
        <v>0</v>
      </c>
      <c r="E147" s="675" t="s">
        <v>2311</v>
      </c>
      <c r="F147" s="675">
        <v>3</v>
      </c>
      <c r="G147" s="675" t="s">
        <v>2238</v>
      </c>
      <c r="H147" s="675">
        <v>17</v>
      </c>
      <c r="I147" s="676" t="s">
        <v>3794</v>
      </c>
      <c r="J147" s="677">
        <v>2</v>
      </c>
      <c r="K147" s="683">
        <v>187</v>
      </c>
      <c r="L147" s="677">
        <v>0</v>
      </c>
      <c r="M147" s="677">
        <v>68</v>
      </c>
      <c r="N147" s="677">
        <v>0</v>
      </c>
      <c r="O147" s="677">
        <v>0</v>
      </c>
      <c r="P147" s="677">
        <v>0</v>
      </c>
      <c r="Q147" s="677">
        <v>0</v>
      </c>
      <c r="R147" s="677">
        <v>0</v>
      </c>
      <c r="S147" s="677">
        <v>27</v>
      </c>
      <c r="T147" s="677">
        <v>0</v>
      </c>
      <c r="U147" s="677">
        <v>0</v>
      </c>
      <c r="V147" s="677">
        <v>25</v>
      </c>
      <c r="W147" s="677">
        <v>1</v>
      </c>
      <c r="X147" s="678"/>
      <c r="Y147" s="682">
        <f>SUBTOTAL(109,Техкарта[[#This Row],[Знач1]:[Знач12]])</f>
        <v>121</v>
      </c>
      <c r="Z147" s="680"/>
      <c r="AA147" s="681">
        <v>47.258000000000003</v>
      </c>
      <c r="AB147" s="681">
        <v>29.978000000000002</v>
      </c>
      <c r="AC147" s="417">
        <v>15</v>
      </c>
      <c r="AD147" s="417"/>
      <c r="AE147" s="682" t="s">
        <v>4054</v>
      </c>
      <c r="AF147">
        <v>1</v>
      </c>
      <c r="AG147" s="713">
        <v>43101</v>
      </c>
      <c r="AH147" s="417"/>
      <c r="AI147" s="417"/>
      <c r="AJ147" s="714">
        <v>43172</v>
      </c>
      <c r="AK147" s="417"/>
      <c r="AL147" s="637" t="s">
        <v>3462</v>
      </c>
      <c r="AM147" s="417"/>
      <c r="AN147" s="417"/>
      <c r="AO147" s="636"/>
      <c r="AP147">
        <v>556659</v>
      </c>
      <c r="AQ147" s="715">
        <v>43172</v>
      </c>
      <c r="AR147" s="417"/>
      <c r="AS147" s="417"/>
      <c r="AT147" s="417"/>
      <c r="AU147" s="417"/>
      <c r="AV147" s="417"/>
      <c r="AW147" s="417"/>
      <c r="AX147" s="417"/>
      <c r="AY147" t="s">
        <v>3424</v>
      </c>
      <c r="AZ147" s="417"/>
      <c r="BA147" s="417"/>
      <c r="BB147" t="s">
        <v>3583</v>
      </c>
      <c r="BC147" s="636"/>
      <c r="BD147" s="417"/>
      <c r="BE147" s="612">
        <v>0</v>
      </c>
      <c r="BF147" s="613">
        <v>0</v>
      </c>
      <c r="BG147" s="614" t="s">
        <v>78</v>
      </c>
      <c r="BH147" s="682"/>
      <c r="BI147" s="417"/>
      <c r="BJ147" s="417">
        <v>9</v>
      </c>
      <c r="BK147" s="682" t="str">
        <f>Техкарта[[#This Row],[Кв-л]]&amp;" кв ("&amp;Substring(Техкарта[[#This Row],[Виділ]],"_",1)&amp;" вид) "&amp;Substring(Техкарта[[#This Row],[Виділ]],"_",2)&amp;" діл."</f>
        <v>17 кв (11 вид) 0 діл.</v>
      </c>
      <c r="BL147" s="682" t="str">
        <f>Техкарта[[#This Row],[ПолнаяДіл]] &amp;" "&amp;Техкарта[[#This Row],[ЛК]]&amp;" "&amp;Техкарта[[#This Row],[Вид рубки]]</f>
        <v>17 кв (11 вид) 0 діл. 556659 СРВ</v>
      </c>
      <c r="BM147" s="682"/>
      <c r="BN147" s="636" t="s">
        <v>3784</v>
      </c>
      <c r="BO147" s="636" t="s">
        <v>3784</v>
      </c>
      <c r="BP147" s="636" t="s">
        <v>3784</v>
      </c>
      <c r="BQ147" s="636" t="s">
        <v>105</v>
      </c>
      <c r="BR147" s="636"/>
      <c r="BS147" s="636"/>
      <c r="BT147" s="636"/>
      <c r="BU147" s="636"/>
      <c r="BV147" s="636"/>
      <c r="BW147" s="636" t="s">
        <v>4048</v>
      </c>
      <c r="BX147" s="636"/>
      <c r="BY147" s="972"/>
    </row>
    <row r="148" spans="1:77">
      <c r="A148" t="s">
        <v>105</v>
      </c>
      <c r="B148" s="675" t="s">
        <v>111</v>
      </c>
      <c r="C148" s="687" t="s">
        <v>126</v>
      </c>
      <c r="D148" s="675">
        <v>0</v>
      </c>
      <c r="E148" s="675" t="s">
        <v>2311</v>
      </c>
      <c r="F148" s="675">
        <v>3</v>
      </c>
      <c r="G148" s="675" t="s">
        <v>2238</v>
      </c>
      <c r="H148" s="675">
        <v>17</v>
      </c>
      <c r="I148" s="676" t="s">
        <v>3829</v>
      </c>
      <c r="J148" s="677">
        <v>6.5</v>
      </c>
      <c r="K148" s="683">
        <v>423</v>
      </c>
      <c r="L148" s="677">
        <v>0</v>
      </c>
      <c r="M148" s="677">
        <v>95</v>
      </c>
      <c r="N148" s="677">
        <v>0</v>
      </c>
      <c r="O148" s="677">
        <v>0</v>
      </c>
      <c r="P148" s="677">
        <v>0</v>
      </c>
      <c r="Q148" s="677">
        <v>0</v>
      </c>
      <c r="R148" s="677">
        <v>0</v>
      </c>
      <c r="S148" s="677">
        <v>55</v>
      </c>
      <c r="T148" s="677">
        <v>0</v>
      </c>
      <c r="U148" s="677">
        <v>0</v>
      </c>
      <c r="V148" s="677">
        <v>49</v>
      </c>
      <c r="W148" s="677">
        <v>6</v>
      </c>
      <c r="X148" s="678"/>
      <c r="Y148" s="682">
        <f>SUBTOTAL(109,Техкарта[[#This Row],[Знач1]:[Знач12]])</f>
        <v>205</v>
      </c>
      <c r="Z148" s="680"/>
      <c r="AA148" s="681">
        <v>56.543999999999997</v>
      </c>
      <c r="AB148" s="681">
        <v>29.978000000000002</v>
      </c>
      <c r="AC148" s="417">
        <v>27</v>
      </c>
      <c r="AD148" s="417"/>
      <c r="AE148" s="682" t="s">
        <v>4055</v>
      </c>
      <c r="AF148">
        <v>1</v>
      </c>
      <c r="AG148" s="713">
        <v>43101</v>
      </c>
      <c r="AH148" s="417"/>
      <c r="AI148" s="417"/>
      <c r="AJ148" s="714">
        <v>43172</v>
      </c>
      <c r="AK148" s="417"/>
      <c r="AL148" s="637" t="s">
        <v>3462</v>
      </c>
      <c r="AM148" s="417"/>
      <c r="AN148" s="417"/>
      <c r="AO148" s="636"/>
      <c r="AP148">
        <v>556659</v>
      </c>
      <c r="AQ148" s="715">
        <v>43172</v>
      </c>
      <c r="AR148" s="417"/>
      <c r="AS148" s="417"/>
      <c r="AT148" s="417"/>
      <c r="AU148" s="417"/>
      <c r="AV148" s="417"/>
      <c r="AW148" s="417"/>
      <c r="AX148" s="417"/>
      <c r="AY148" t="s">
        <v>3424</v>
      </c>
      <c r="AZ148" s="417"/>
      <c r="BA148" s="417"/>
      <c r="BB148" t="s">
        <v>3583</v>
      </c>
      <c r="BC148" s="636"/>
      <c r="BD148" s="417"/>
      <c r="BE148" s="612">
        <v>0</v>
      </c>
      <c r="BF148" s="613">
        <v>0</v>
      </c>
      <c r="BG148" s="614" t="s">
        <v>78</v>
      </c>
      <c r="BH148" s="682"/>
      <c r="BI148" s="417"/>
      <c r="BJ148" s="417">
        <v>3</v>
      </c>
      <c r="BK148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148" s="682" t="str">
        <f>Техкарта[[#This Row],[ПолнаяДіл]] &amp;" "&amp;Техкарта[[#This Row],[ЛК]]&amp;" "&amp;Техкарта[[#This Row],[Вид рубки]]</f>
        <v>17 кв (3 вид) 0 діл. 556659 СРВ</v>
      </c>
      <c r="BM148" s="682"/>
      <c r="BN148" s="636" t="s">
        <v>3784</v>
      </c>
      <c r="BO148" s="636" t="s">
        <v>3784</v>
      </c>
      <c r="BP148" s="636" t="s">
        <v>3784</v>
      </c>
      <c r="BQ148" s="636" t="s">
        <v>105</v>
      </c>
      <c r="BR148" s="636"/>
      <c r="BS148" s="636"/>
      <c r="BT148" s="636"/>
      <c r="BU148" s="636"/>
      <c r="BV148" s="636"/>
      <c r="BW148" s="636" t="s">
        <v>4048</v>
      </c>
      <c r="BX148" s="636"/>
      <c r="BY148" s="972"/>
    </row>
    <row r="149" spans="1:77">
      <c r="A149" t="s">
        <v>105</v>
      </c>
      <c r="B149" s="675" t="s">
        <v>111</v>
      </c>
      <c r="C149" s="687" t="s">
        <v>126</v>
      </c>
      <c r="D149" s="675">
        <v>0</v>
      </c>
      <c r="E149" s="675" t="s">
        <v>2311</v>
      </c>
      <c r="F149" s="675">
        <v>3</v>
      </c>
      <c r="G149" s="675" t="s">
        <v>2238</v>
      </c>
      <c r="H149" s="675">
        <v>17</v>
      </c>
      <c r="I149" s="676" t="s">
        <v>3791</v>
      </c>
      <c r="J149" s="677">
        <v>2.4</v>
      </c>
      <c r="K149" s="683">
        <v>156</v>
      </c>
      <c r="L149" s="677">
        <v>0</v>
      </c>
      <c r="M149" s="677">
        <v>95</v>
      </c>
      <c r="N149" s="677">
        <v>0</v>
      </c>
      <c r="O149" s="677">
        <v>0</v>
      </c>
      <c r="P149" s="677">
        <v>0</v>
      </c>
      <c r="Q149" s="677">
        <v>0</v>
      </c>
      <c r="R149" s="677">
        <v>0</v>
      </c>
      <c r="S149" s="677">
        <v>43</v>
      </c>
      <c r="T149" s="677">
        <v>0</v>
      </c>
      <c r="U149" s="677">
        <v>0</v>
      </c>
      <c r="V149" s="677">
        <v>43</v>
      </c>
      <c r="W149" s="677">
        <v>0</v>
      </c>
      <c r="X149" s="678"/>
      <c r="Y149" s="682">
        <f>SUBTOTAL(109,Техкарта[[#This Row],[Знач1]:[Знач12]])</f>
        <v>181</v>
      </c>
      <c r="Z149" s="680"/>
      <c r="AA149" s="681">
        <v>43.905000000000001</v>
      </c>
      <c r="AB149" s="681">
        <v>29.978000000000002</v>
      </c>
      <c r="AC149" s="417">
        <v>17</v>
      </c>
      <c r="AD149" s="417"/>
      <c r="AE149" s="682" t="s">
        <v>4056</v>
      </c>
      <c r="AF149">
        <v>1</v>
      </c>
      <c r="AG149" s="713">
        <v>43101</v>
      </c>
      <c r="AH149" s="417"/>
      <c r="AI149" s="417"/>
      <c r="AJ149" s="714">
        <v>43172</v>
      </c>
      <c r="AK149" s="417"/>
      <c r="AL149" s="637" t="s">
        <v>3462</v>
      </c>
      <c r="AM149" s="417"/>
      <c r="AN149" s="417"/>
      <c r="AO149" s="636"/>
      <c r="AP149">
        <v>556659</v>
      </c>
      <c r="AQ149" s="715">
        <v>43172</v>
      </c>
      <c r="AR149" s="417"/>
      <c r="AS149" s="417"/>
      <c r="AT149" s="417"/>
      <c r="AU149" s="417"/>
      <c r="AV149" s="417"/>
      <c r="AW149" s="417"/>
      <c r="AX149" s="417"/>
      <c r="AY149" t="s">
        <v>3424</v>
      </c>
      <c r="AZ149" s="417"/>
      <c r="BA149" s="417"/>
      <c r="BB149" t="s">
        <v>3583</v>
      </c>
      <c r="BC149" s="636"/>
      <c r="BD149" s="417"/>
      <c r="BE149" s="612">
        <v>0</v>
      </c>
      <c r="BF149" s="613">
        <v>0</v>
      </c>
      <c r="BG149" s="614" t="s">
        <v>78</v>
      </c>
      <c r="BH149" s="682"/>
      <c r="BI149" s="417"/>
      <c r="BJ149" s="417">
        <v>6</v>
      </c>
      <c r="BK149" s="682" t="str">
        <f>Техкарта[[#This Row],[Кв-л]]&amp;" кв ("&amp;Substring(Техкарта[[#This Row],[Виділ]],"_",1)&amp;" вид) "&amp;Substring(Техкарта[[#This Row],[Виділ]],"_",2)&amp;" діл."</f>
        <v>17 кв (7 вид) 0 діл.</v>
      </c>
      <c r="BL149" s="682" t="str">
        <f>Техкарта[[#This Row],[ПолнаяДіл]] &amp;" "&amp;Техкарта[[#This Row],[ЛК]]&amp;" "&amp;Техкарта[[#This Row],[Вид рубки]]</f>
        <v>17 кв (7 вид) 0 діл. 556659 СРВ</v>
      </c>
      <c r="BM149" s="682"/>
      <c r="BN149" s="636" t="s">
        <v>3784</v>
      </c>
      <c r="BO149" s="636" t="s">
        <v>3784</v>
      </c>
      <c r="BP149" s="636" t="s">
        <v>3784</v>
      </c>
      <c r="BQ149" s="636" t="s">
        <v>105</v>
      </c>
      <c r="BR149" s="636"/>
      <c r="BS149" s="636"/>
      <c r="BT149" s="636"/>
      <c r="BU149" s="636"/>
      <c r="BV149" s="636"/>
      <c r="BW149" s="636" t="s">
        <v>4048</v>
      </c>
      <c r="BX149" s="636"/>
      <c r="BY149" s="972"/>
    </row>
    <row r="150" spans="1:77">
      <c r="A150" t="s">
        <v>105</v>
      </c>
      <c r="B150" s="675" t="s">
        <v>111</v>
      </c>
      <c r="C150" s="687" t="s">
        <v>126</v>
      </c>
      <c r="D150" s="675">
        <v>0</v>
      </c>
      <c r="E150" s="675" t="s">
        <v>2311</v>
      </c>
      <c r="F150" s="675">
        <v>3</v>
      </c>
      <c r="G150" s="675" t="s">
        <v>2238</v>
      </c>
      <c r="H150" s="675">
        <v>17</v>
      </c>
      <c r="I150" s="676" t="s">
        <v>3795</v>
      </c>
      <c r="J150" s="677">
        <v>4.5</v>
      </c>
      <c r="K150" s="683">
        <v>356</v>
      </c>
      <c r="L150" s="677">
        <v>0</v>
      </c>
      <c r="M150" s="677">
        <v>104</v>
      </c>
      <c r="N150" s="677">
        <v>0</v>
      </c>
      <c r="O150" s="677">
        <v>0</v>
      </c>
      <c r="P150" s="677">
        <v>0</v>
      </c>
      <c r="Q150" s="677">
        <v>0</v>
      </c>
      <c r="R150" s="677">
        <v>0</v>
      </c>
      <c r="S150" s="677">
        <v>55</v>
      </c>
      <c r="T150" s="677">
        <v>0</v>
      </c>
      <c r="U150" s="677">
        <v>0</v>
      </c>
      <c r="V150" s="677">
        <v>55</v>
      </c>
      <c r="W150" s="677">
        <v>1</v>
      </c>
      <c r="X150" s="678"/>
      <c r="Y150" s="682">
        <f>SUBTOTAL(109,Техкарта[[#This Row],[Знач1]:[Знач12]])</f>
        <v>215</v>
      </c>
      <c r="Z150" s="680"/>
      <c r="AA150" s="681">
        <v>52.835999999999999</v>
      </c>
      <c r="AB150" s="681">
        <v>29.978000000000002</v>
      </c>
      <c r="AC150" s="417">
        <v>27</v>
      </c>
      <c r="AD150" s="417"/>
      <c r="AE150" s="682" t="s">
        <v>4057</v>
      </c>
      <c r="AF150">
        <v>1</v>
      </c>
      <c r="AG150" s="713">
        <v>43101</v>
      </c>
      <c r="AH150" s="417"/>
      <c r="AI150" s="417"/>
      <c r="AJ150" s="714">
        <v>43172</v>
      </c>
      <c r="AK150" s="417"/>
      <c r="AL150" s="637" t="s">
        <v>3462</v>
      </c>
      <c r="AM150" s="417"/>
      <c r="AN150" s="417"/>
      <c r="AO150" s="636"/>
      <c r="AP150">
        <v>556659</v>
      </c>
      <c r="AQ150" s="715">
        <v>43172</v>
      </c>
      <c r="AR150" s="417"/>
      <c r="AS150" s="417"/>
      <c r="AT150" s="417"/>
      <c r="AU150" s="417"/>
      <c r="AV150" s="417"/>
      <c r="AW150" s="417"/>
      <c r="AX150" s="417"/>
      <c r="AY150" t="s">
        <v>3424</v>
      </c>
      <c r="AZ150" s="417"/>
      <c r="BA150" s="417"/>
      <c r="BB150" t="s">
        <v>3583</v>
      </c>
      <c r="BC150" s="636"/>
      <c r="BD150" s="417"/>
      <c r="BE150" s="612">
        <v>0</v>
      </c>
      <c r="BF150" s="613">
        <v>0</v>
      </c>
      <c r="BG150" s="614" t="s">
        <v>78</v>
      </c>
      <c r="BH150" s="682"/>
      <c r="BI150" s="417"/>
      <c r="BJ150" s="417">
        <v>8</v>
      </c>
      <c r="BK150" s="682" t="str">
        <f>Техкарта[[#This Row],[Кв-л]]&amp;" кв ("&amp;Substring(Техкарта[[#This Row],[Виділ]],"_",1)&amp;" вид) "&amp;Substring(Техкарта[[#This Row],[Виділ]],"_",2)&amp;" діл."</f>
        <v>17 кв (9 вид) 0 діл.</v>
      </c>
      <c r="BL150" s="682" t="str">
        <f>Техкарта[[#This Row],[ПолнаяДіл]] &amp;" "&amp;Техкарта[[#This Row],[ЛК]]&amp;" "&amp;Техкарта[[#This Row],[Вид рубки]]</f>
        <v>17 кв (9 вид) 0 діл. 556659 СРВ</v>
      </c>
      <c r="BM150" s="682"/>
      <c r="BN150" s="636" t="s">
        <v>3784</v>
      </c>
      <c r="BO150" s="636" t="s">
        <v>3784</v>
      </c>
      <c r="BP150" s="636" t="s">
        <v>3784</v>
      </c>
      <c r="BQ150" s="636" t="s">
        <v>105</v>
      </c>
      <c r="BR150" s="636"/>
      <c r="BS150" s="636"/>
      <c r="BT150" s="636"/>
      <c r="BU150" s="636"/>
      <c r="BV150" s="636"/>
      <c r="BW150" s="636" t="s">
        <v>4048</v>
      </c>
      <c r="BX150" s="636"/>
      <c r="BY150" s="972"/>
    </row>
    <row r="151" spans="1:77">
      <c r="A151" t="s">
        <v>105</v>
      </c>
      <c r="B151" s="675" t="s">
        <v>111</v>
      </c>
      <c r="C151" s="687" t="s">
        <v>126</v>
      </c>
      <c r="D151" s="675">
        <v>0</v>
      </c>
      <c r="E151" s="675" t="s">
        <v>2311</v>
      </c>
      <c r="F151" s="675">
        <v>3</v>
      </c>
      <c r="G151" s="675" t="s">
        <v>2238</v>
      </c>
      <c r="H151" s="675">
        <v>17</v>
      </c>
      <c r="I151" s="676" t="s">
        <v>3832</v>
      </c>
      <c r="J151" s="677">
        <v>1.2</v>
      </c>
      <c r="K151" s="683">
        <v>143</v>
      </c>
      <c r="L151" s="677">
        <v>0</v>
      </c>
      <c r="M151" s="677">
        <v>35</v>
      </c>
      <c r="N151" s="677">
        <v>0</v>
      </c>
      <c r="O151" s="677">
        <v>0</v>
      </c>
      <c r="P151" s="677">
        <v>0</v>
      </c>
      <c r="Q151" s="677">
        <v>0</v>
      </c>
      <c r="R151" s="677">
        <v>0</v>
      </c>
      <c r="S151" s="677">
        <v>20</v>
      </c>
      <c r="T151" s="677">
        <v>0</v>
      </c>
      <c r="U151" s="677">
        <v>0</v>
      </c>
      <c r="V151" s="677">
        <v>18</v>
      </c>
      <c r="W151" s="677">
        <v>2</v>
      </c>
      <c r="X151" s="678"/>
      <c r="Y151" s="682">
        <f>SUBTOTAL(109,Техкарта[[#This Row],[Знач1]:[Знач12]])</f>
        <v>75</v>
      </c>
      <c r="Z151" s="680"/>
      <c r="AA151" s="681">
        <v>53.603000000000002</v>
      </c>
      <c r="AB151" s="681">
        <v>29.978000000000002</v>
      </c>
      <c r="AC151" s="417">
        <v>10</v>
      </c>
      <c r="AD151" s="417"/>
      <c r="AE151" s="682" t="s">
        <v>4058</v>
      </c>
      <c r="AF151">
        <v>1</v>
      </c>
      <c r="AG151" s="713">
        <v>43101</v>
      </c>
      <c r="AH151" s="417"/>
      <c r="AI151" s="417"/>
      <c r="AJ151" s="714">
        <v>43172</v>
      </c>
      <c r="AK151" s="417"/>
      <c r="AL151" s="637" t="s">
        <v>3462</v>
      </c>
      <c r="AM151" s="417"/>
      <c r="AN151" s="417"/>
      <c r="AO151" s="636"/>
      <c r="AP151">
        <v>556659</v>
      </c>
      <c r="AQ151" s="715">
        <v>43172</v>
      </c>
      <c r="AR151" s="417"/>
      <c r="AS151" s="417"/>
      <c r="AT151" s="417"/>
      <c r="AU151" s="417"/>
      <c r="AV151" s="417"/>
      <c r="AW151" s="417"/>
      <c r="AX151" s="417"/>
      <c r="AY151" t="s">
        <v>3424</v>
      </c>
      <c r="AZ151" s="417"/>
      <c r="BA151" s="417"/>
      <c r="BB151" t="s">
        <v>3583</v>
      </c>
      <c r="BC151" s="636"/>
      <c r="BD151" s="417"/>
      <c r="BE151" s="612">
        <v>0</v>
      </c>
      <c r="BF151" s="613">
        <v>0</v>
      </c>
      <c r="BG151" s="614" t="s">
        <v>78</v>
      </c>
      <c r="BH151" s="682"/>
      <c r="BI151" s="417"/>
      <c r="BJ151" s="417">
        <v>4</v>
      </c>
      <c r="BK151" s="682" t="str">
        <f>Техкарта[[#This Row],[Кв-л]]&amp;" кв ("&amp;Substring(Техкарта[[#This Row],[Виділ]],"_",1)&amp;" вид) "&amp;Substring(Техкарта[[#This Row],[Виділ]],"_",2)&amp;" діл."</f>
        <v>17 кв (5 вид) 0 діл.</v>
      </c>
      <c r="BL151" s="682" t="str">
        <f>Техкарта[[#This Row],[ПолнаяДіл]] &amp;" "&amp;Техкарта[[#This Row],[ЛК]]&amp;" "&amp;Техкарта[[#This Row],[Вид рубки]]</f>
        <v>17 кв (5 вид) 0 діл. 556659 СРВ</v>
      </c>
      <c r="BM151" s="682"/>
      <c r="BN151" s="636" t="s">
        <v>3784</v>
      </c>
      <c r="BO151" s="636" t="s">
        <v>3784</v>
      </c>
      <c r="BP151" s="636" t="s">
        <v>3784</v>
      </c>
      <c r="BQ151" s="636" t="s">
        <v>105</v>
      </c>
      <c r="BR151" s="636"/>
      <c r="BS151" s="636"/>
      <c r="BT151" s="636"/>
      <c r="BU151" s="636"/>
      <c r="BV151" s="636"/>
      <c r="BW151" s="636" t="s">
        <v>4048</v>
      </c>
      <c r="BX151" s="636"/>
      <c r="BY151" s="972"/>
    </row>
    <row r="152" spans="1:77">
      <c r="A152" t="s">
        <v>105</v>
      </c>
      <c r="B152" s="675" t="s">
        <v>111</v>
      </c>
      <c r="C152" s="687" t="s">
        <v>126</v>
      </c>
      <c r="D152" s="675">
        <v>0</v>
      </c>
      <c r="E152" s="675" t="s">
        <v>2311</v>
      </c>
      <c r="F152" s="675">
        <v>3</v>
      </c>
      <c r="G152" s="675" t="s">
        <v>2238</v>
      </c>
      <c r="H152" s="675">
        <v>17</v>
      </c>
      <c r="I152" s="676" t="s">
        <v>3790</v>
      </c>
      <c r="J152" s="677">
        <v>3.2</v>
      </c>
      <c r="K152" s="683">
        <v>130</v>
      </c>
      <c r="L152" s="677">
        <v>0</v>
      </c>
      <c r="M152" s="677">
        <v>131</v>
      </c>
      <c r="N152" s="677">
        <v>0</v>
      </c>
      <c r="O152" s="677">
        <v>0</v>
      </c>
      <c r="P152" s="677">
        <v>0</v>
      </c>
      <c r="Q152" s="677">
        <v>0</v>
      </c>
      <c r="R152" s="677">
        <v>0</v>
      </c>
      <c r="S152" s="677">
        <v>14</v>
      </c>
      <c r="T152" s="677">
        <v>0</v>
      </c>
      <c r="U152" s="677">
        <v>0</v>
      </c>
      <c r="V152" s="677">
        <v>13</v>
      </c>
      <c r="W152" s="677">
        <v>0</v>
      </c>
      <c r="X152" s="678"/>
      <c r="Y152" s="682">
        <f>SUBTOTAL(109,Техкарта[[#This Row],[Знач1]:[Знач12]])</f>
        <v>158</v>
      </c>
      <c r="Z152" s="680"/>
      <c r="AA152" s="681">
        <v>32.182000000000002</v>
      </c>
      <c r="AB152" s="681">
        <v>29.978000000000002</v>
      </c>
      <c r="AC152" s="417">
        <v>17</v>
      </c>
      <c r="AD152" s="417"/>
      <c r="AE152" s="682" t="s">
        <v>4059</v>
      </c>
      <c r="AF152">
        <v>1</v>
      </c>
      <c r="AG152" s="713">
        <v>43101</v>
      </c>
      <c r="AH152" s="417"/>
      <c r="AI152" s="417"/>
      <c r="AJ152" s="714">
        <v>43172</v>
      </c>
      <c r="AK152" s="417"/>
      <c r="AL152" s="637" t="s">
        <v>3462</v>
      </c>
      <c r="AM152" s="417"/>
      <c r="AN152" s="417"/>
      <c r="AO152" s="636"/>
      <c r="AP152">
        <v>556659</v>
      </c>
      <c r="AQ152" s="715">
        <v>43172</v>
      </c>
      <c r="AR152" s="417"/>
      <c r="AS152" s="417"/>
      <c r="AT152" s="417"/>
      <c r="AU152" s="417"/>
      <c r="AV152" s="417"/>
      <c r="AW152" s="417"/>
      <c r="AX152" s="417"/>
      <c r="AY152" t="s">
        <v>3424</v>
      </c>
      <c r="AZ152" s="417"/>
      <c r="BA152" s="417"/>
      <c r="BB152" t="s">
        <v>3583</v>
      </c>
      <c r="BC152" s="636"/>
      <c r="BD152" s="417"/>
      <c r="BE152" s="612">
        <v>0</v>
      </c>
      <c r="BF152" s="613">
        <v>0</v>
      </c>
      <c r="BG152" s="614" t="s">
        <v>78</v>
      </c>
      <c r="BH152" s="682"/>
      <c r="BI152" s="417"/>
      <c r="BJ152" s="417">
        <v>2</v>
      </c>
      <c r="BK152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152" s="682" t="str">
        <f>Техкарта[[#This Row],[ПолнаяДіл]] &amp;" "&amp;Техкарта[[#This Row],[ЛК]]&amp;" "&amp;Техкарта[[#This Row],[Вид рубки]]</f>
        <v>17 кв (2 вид) 0 діл. 556659 СРВ</v>
      </c>
      <c r="BM152" s="682"/>
      <c r="BN152" s="636" t="s">
        <v>3784</v>
      </c>
      <c r="BO152" s="636" t="s">
        <v>3784</v>
      </c>
      <c r="BP152" s="636" t="s">
        <v>3784</v>
      </c>
      <c r="BQ152" s="636" t="s">
        <v>105</v>
      </c>
      <c r="BR152" s="636"/>
      <c r="BS152" s="636"/>
      <c r="BT152" s="636"/>
      <c r="BU152" s="636"/>
      <c r="BV152" s="636"/>
      <c r="BW152" s="636" t="s">
        <v>4048</v>
      </c>
      <c r="BX152" s="636"/>
      <c r="BY152" s="972"/>
    </row>
    <row r="153" spans="1:77">
      <c r="A153" t="s">
        <v>105</v>
      </c>
      <c r="B153" s="675" t="s">
        <v>111</v>
      </c>
      <c r="C153" s="687" t="s">
        <v>126</v>
      </c>
      <c r="D153" s="675">
        <v>0</v>
      </c>
      <c r="E153" s="675" t="s">
        <v>2311</v>
      </c>
      <c r="F153" s="675">
        <v>3</v>
      </c>
      <c r="G153" s="675" t="s">
        <v>2238</v>
      </c>
      <c r="H153" s="675">
        <v>17</v>
      </c>
      <c r="I153" s="676" t="s">
        <v>3850</v>
      </c>
      <c r="J153" s="677">
        <v>0.5</v>
      </c>
      <c r="K153" s="683">
        <v>22</v>
      </c>
      <c r="L153" s="677">
        <v>0</v>
      </c>
      <c r="M153" s="677">
        <v>2</v>
      </c>
      <c r="N153" s="677">
        <v>0</v>
      </c>
      <c r="O153" s="677">
        <v>0</v>
      </c>
      <c r="P153" s="677">
        <v>0</v>
      </c>
      <c r="Q153" s="677">
        <v>0</v>
      </c>
      <c r="R153" s="677">
        <v>0</v>
      </c>
      <c r="S153" s="677">
        <v>5</v>
      </c>
      <c r="T153" s="677">
        <v>0</v>
      </c>
      <c r="U153" s="677">
        <v>0</v>
      </c>
      <c r="V153" s="677">
        <v>0</v>
      </c>
      <c r="W153" s="677">
        <v>0</v>
      </c>
      <c r="X153" s="678"/>
      <c r="Y153" s="682">
        <f>SUBTOTAL(109,Техкарта[[#This Row],[Знач1]:[Знач12]])</f>
        <v>7</v>
      </c>
      <c r="Z153" s="680"/>
      <c r="AA153" s="681">
        <v>73.501999999999995</v>
      </c>
      <c r="AB153" s="681">
        <v>29.978000000000002</v>
      </c>
      <c r="AC153" s="417">
        <v>2</v>
      </c>
      <c r="AD153" s="417"/>
      <c r="AE153" s="682" t="s">
        <v>4060</v>
      </c>
      <c r="AF153">
        <v>1</v>
      </c>
      <c r="AG153" s="713">
        <v>43101</v>
      </c>
      <c r="AH153" s="417"/>
      <c r="AI153" s="417"/>
      <c r="AJ153" s="714">
        <v>43172</v>
      </c>
      <c r="AK153" s="417"/>
      <c r="AL153" s="637" t="s">
        <v>3462</v>
      </c>
      <c r="AM153" s="417"/>
      <c r="AN153" s="417"/>
      <c r="AO153" s="636"/>
      <c r="AP153">
        <v>556659</v>
      </c>
      <c r="AQ153" s="715">
        <v>43172</v>
      </c>
      <c r="AR153" s="417"/>
      <c r="AS153" s="417"/>
      <c r="AT153" s="417"/>
      <c r="AU153" s="417"/>
      <c r="AV153" s="417"/>
      <c r="AW153" s="417"/>
      <c r="AX153" s="417"/>
      <c r="AY153" t="s">
        <v>3424</v>
      </c>
      <c r="AZ153" s="417"/>
      <c r="BA153" s="417"/>
      <c r="BB153" t="s">
        <v>3583</v>
      </c>
      <c r="BC153" s="636"/>
      <c r="BD153" s="417"/>
      <c r="BE153" s="612">
        <v>0</v>
      </c>
      <c r="BF153" s="613">
        <v>0</v>
      </c>
      <c r="BG153" s="614" t="s">
        <v>78</v>
      </c>
      <c r="BH153" s="682"/>
      <c r="BI153" s="417"/>
      <c r="BJ153" s="417">
        <v>5</v>
      </c>
      <c r="BK153" s="682" t="str">
        <f>Техкарта[[#This Row],[Кв-л]]&amp;" кв ("&amp;Substring(Техкарта[[#This Row],[Виділ]],"_",1)&amp;" вид) "&amp;Substring(Техкарта[[#This Row],[Виділ]],"_",2)&amp;" діл."</f>
        <v>17 кв (6 вид) 0 діл.</v>
      </c>
      <c r="BL153" s="682" t="str">
        <f>Техкарта[[#This Row],[ПолнаяДіл]] &amp;" "&amp;Техкарта[[#This Row],[ЛК]]&amp;" "&amp;Техкарта[[#This Row],[Вид рубки]]</f>
        <v>17 кв (6 вид) 0 діл. 556659 СРВ</v>
      </c>
      <c r="BM153" s="682"/>
      <c r="BN153" s="636" t="s">
        <v>3784</v>
      </c>
      <c r="BO153" s="636" t="s">
        <v>3784</v>
      </c>
      <c r="BP153" s="636" t="s">
        <v>3784</v>
      </c>
      <c r="BQ153" s="636" t="s">
        <v>105</v>
      </c>
      <c r="BR153" s="636"/>
      <c r="BS153" s="636"/>
      <c r="BT153" s="636"/>
      <c r="BU153" s="636"/>
      <c r="BV153" s="636"/>
      <c r="BW153" s="636" t="s">
        <v>4048</v>
      </c>
      <c r="BX153" s="636"/>
      <c r="BY153" s="972"/>
    </row>
    <row r="154" spans="1:77">
      <c r="A154" t="s">
        <v>105</v>
      </c>
      <c r="B154" s="675" t="s">
        <v>111</v>
      </c>
      <c r="C154" s="687" t="s">
        <v>3588</v>
      </c>
      <c r="D154" s="675">
        <v>0</v>
      </c>
      <c r="E154" s="675" t="s">
        <v>2311</v>
      </c>
      <c r="F154" s="675">
        <v>3</v>
      </c>
      <c r="G154" s="675" t="s">
        <v>2238</v>
      </c>
      <c r="H154" s="675">
        <v>117</v>
      </c>
      <c r="I154" s="676" t="s">
        <v>4035</v>
      </c>
      <c r="J154" s="677">
        <v>2.4</v>
      </c>
      <c r="K154" s="683">
        <v>458</v>
      </c>
      <c r="L154" s="677">
        <v>0</v>
      </c>
      <c r="M154" s="677">
        <v>70</v>
      </c>
      <c r="N154" s="677">
        <v>0</v>
      </c>
      <c r="O154" s="677">
        <v>0</v>
      </c>
      <c r="P154" s="677">
        <v>0</v>
      </c>
      <c r="Q154" s="677">
        <v>0</v>
      </c>
      <c r="R154" s="677">
        <v>0</v>
      </c>
      <c r="S154" s="677">
        <v>55</v>
      </c>
      <c r="T154" s="677">
        <v>0</v>
      </c>
      <c r="U154" s="677">
        <v>0</v>
      </c>
      <c r="V154" s="677">
        <v>56</v>
      </c>
      <c r="W154" s="677">
        <v>0</v>
      </c>
      <c r="X154" s="678"/>
      <c r="Y154" s="682">
        <f>SUBTOTAL(109,Техкарта[[#This Row],[Знач1]:[Знач12]])</f>
        <v>181</v>
      </c>
      <c r="Z154" s="680"/>
      <c r="AA154" s="681">
        <v>61.749000000000002</v>
      </c>
      <c r="AB154" s="681">
        <v>29.978000000000002</v>
      </c>
      <c r="AC154" s="417">
        <v>25</v>
      </c>
      <c r="AD154" s="417"/>
      <c r="AE154" s="682" t="s">
        <v>4061</v>
      </c>
      <c r="AF154">
        <v>1</v>
      </c>
      <c r="AG154" s="713">
        <v>43101</v>
      </c>
      <c r="AH154" s="417"/>
      <c r="AI154" s="417"/>
      <c r="AJ154" s="714">
        <v>43174</v>
      </c>
      <c r="AK154" s="417"/>
      <c r="AL154" s="637" t="s">
        <v>3467</v>
      </c>
      <c r="AM154" s="417"/>
      <c r="AN154" s="417"/>
      <c r="AO154" s="636"/>
      <c r="AP154">
        <v>556661</v>
      </c>
      <c r="AQ154" s="715">
        <v>43174</v>
      </c>
      <c r="AR154" s="417"/>
      <c r="AS154" s="417"/>
      <c r="AT154" s="417"/>
      <c r="AU154" s="417"/>
      <c r="AV154" s="417"/>
      <c r="AW154" s="417"/>
      <c r="AX154" s="417"/>
      <c r="AY154" t="s">
        <v>3424</v>
      </c>
      <c r="AZ154" s="417"/>
      <c r="BA154" s="417"/>
      <c r="BB154" t="s">
        <v>3583</v>
      </c>
      <c r="BC154" s="636"/>
      <c r="BD154" s="417"/>
      <c r="BE154" s="612">
        <v>0</v>
      </c>
      <c r="BF154" s="613">
        <v>0</v>
      </c>
      <c r="BG154" s="614" t="s">
        <v>78</v>
      </c>
      <c r="BH154" s="682"/>
      <c r="BI154" s="417"/>
      <c r="BJ154" s="417">
        <v>12</v>
      </c>
      <c r="BK154" s="682" t="str">
        <f>Техкарта[[#This Row],[Кв-л]]&amp;" кв ("&amp;Substring(Техкарта[[#This Row],[Виділ]],"_",1)&amp;" вид) "&amp;Substring(Техкарта[[#This Row],[Виділ]],"_",2)&amp;" діл."</f>
        <v>117 кв (11 вид) 1 діл.</v>
      </c>
      <c r="BL154" s="682" t="str">
        <f>Техкарта[[#This Row],[ПолнаяДіл]] &amp;" "&amp;Техкарта[[#This Row],[ЛК]]&amp;" "&amp;Техкарта[[#This Row],[Вид рубки]]</f>
        <v>117 кв (11 вид) 1 діл. 556661 рубка в охоронній зоні ЛЕП</v>
      </c>
      <c r="BM154" s="682"/>
      <c r="BN154" s="636" t="s">
        <v>3784</v>
      </c>
      <c r="BO154" s="636" t="s">
        <v>3784</v>
      </c>
      <c r="BP154" s="636" t="s">
        <v>3784</v>
      </c>
      <c r="BQ154" s="636" t="s">
        <v>105</v>
      </c>
      <c r="BR154" s="636"/>
      <c r="BS154" s="636"/>
      <c r="BT154" s="636"/>
      <c r="BU154" s="636"/>
      <c r="BV154" s="636"/>
      <c r="BW154" s="636" t="s">
        <v>4048</v>
      </c>
      <c r="BX154" s="636"/>
      <c r="BY154" s="972"/>
    </row>
    <row r="155" spans="1:77">
      <c r="A155" t="s">
        <v>105</v>
      </c>
      <c r="B155" s="675" t="s">
        <v>111</v>
      </c>
      <c r="C155" s="687" t="s">
        <v>3588</v>
      </c>
      <c r="D155" s="675">
        <v>0</v>
      </c>
      <c r="E155" s="675" t="s">
        <v>2311</v>
      </c>
      <c r="F155" s="675">
        <v>3</v>
      </c>
      <c r="G155" s="675" t="s">
        <v>2238</v>
      </c>
      <c r="H155" s="675">
        <v>117</v>
      </c>
      <c r="I155" s="676" t="s">
        <v>3833</v>
      </c>
      <c r="J155" s="677">
        <v>1.1000000000000001</v>
      </c>
      <c r="K155" s="683">
        <v>130</v>
      </c>
      <c r="L155" s="677">
        <v>0</v>
      </c>
      <c r="M155" s="677">
        <v>36</v>
      </c>
      <c r="N155" s="677">
        <v>0</v>
      </c>
      <c r="O155" s="677">
        <v>0</v>
      </c>
      <c r="P155" s="677">
        <v>0</v>
      </c>
      <c r="Q155" s="677">
        <v>0</v>
      </c>
      <c r="R155" s="677">
        <v>0</v>
      </c>
      <c r="S155" s="677">
        <v>20</v>
      </c>
      <c r="T155" s="677">
        <v>0</v>
      </c>
      <c r="U155" s="677">
        <v>0</v>
      </c>
      <c r="V155" s="677">
        <v>19</v>
      </c>
      <c r="W155" s="677">
        <v>0</v>
      </c>
      <c r="X155" s="678"/>
      <c r="Y155" s="682">
        <f>SUBTOTAL(109,Техкарта[[#This Row],[Знач1]:[Знач12]])</f>
        <v>75</v>
      </c>
      <c r="Z155" s="680"/>
      <c r="AA155" s="681">
        <v>52.948999999999998</v>
      </c>
      <c r="AB155" s="681">
        <v>29.978000000000002</v>
      </c>
      <c r="AC155" s="417">
        <v>9</v>
      </c>
      <c r="AD155" s="417"/>
      <c r="AE155" s="682" t="s">
        <v>4062</v>
      </c>
      <c r="AF155">
        <v>1</v>
      </c>
      <c r="AG155" s="713">
        <v>43101</v>
      </c>
      <c r="AH155" s="417"/>
      <c r="AI155" s="417"/>
      <c r="AJ155" s="714">
        <v>43174</v>
      </c>
      <c r="AK155" s="417"/>
      <c r="AL155" s="637" t="s">
        <v>3467</v>
      </c>
      <c r="AM155" s="417"/>
      <c r="AN155" s="417"/>
      <c r="AO155" s="636"/>
      <c r="AP155">
        <v>556661</v>
      </c>
      <c r="AQ155" s="715">
        <v>43174</v>
      </c>
      <c r="AR155" s="417"/>
      <c r="AS155" s="417"/>
      <c r="AT155" s="417"/>
      <c r="AU155" s="417"/>
      <c r="AV155" s="417"/>
      <c r="AW155" s="417"/>
      <c r="AX155" s="417"/>
      <c r="AY155" t="s">
        <v>3424</v>
      </c>
      <c r="AZ155" s="417"/>
      <c r="BA155" s="417"/>
      <c r="BB155" t="s">
        <v>3583</v>
      </c>
      <c r="BC155" s="636"/>
      <c r="BD155" s="417"/>
      <c r="BE155" s="612">
        <v>0</v>
      </c>
      <c r="BF155" s="613">
        <v>0</v>
      </c>
      <c r="BG155" s="614" t="s">
        <v>78</v>
      </c>
      <c r="BH155" s="682"/>
      <c r="BI155" s="417"/>
      <c r="BJ155" s="417">
        <v>10</v>
      </c>
      <c r="BK155" s="682" t="str">
        <f>Техкарта[[#This Row],[Кв-л]]&amp;" кв ("&amp;Substring(Техкарта[[#This Row],[Виділ]],"_",1)&amp;" вид) "&amp;Substring(Техкарта[[#This Row],[Виділ]],"_",2)&amp;" діл."</f>
        <v>117 кв (8 вид) 0 діл.</v>
      </c>
      <c r="BL155" s="682" t="str">
        <f>Техкарта[[#This Row],[ПолнаяДіл]] &amp;" "&amp;Техкарта[[#This Row],[ЛК]]&amp;" "&amp;Техкарта[[#This Row],[Вид рубки]]</f>
        <v>117 кв (8 вид) 0 діл. 556661 рубка в охоронній зоні ЛЕП</v>
      </c>
      <c r="BM155" s="682"/>
      <c r="BN155" s="636" t="s">
        <v>3784</v>
      </c>
      <c r="BO155" s="636" t="s">
        <v>3784</v>
      </c>
      <c r="BP155" s="636" t="s">
        <v>3784</v>
      </c>
      <c r="BQ155" s="636" t="s">
        <v>105</v>
      </c>
      <c r="BR155" s="636"/>
      <c r="BS155" s="636"/>
      <c r="BT155" s="636"/>
      <c r="BU155" s="636"/>
      <c r="BV155" s="636"/>
      <c r="BW155" s="636" t="s">
        <v>4048</v>
      </c>
      <c r="BX155" s="636"/>
      <c r="BY155" s="972"/>
    </row>
    <row r="156" spans="1:77">
      <c r="A156" t="s">
        <v>105</v>
      </c>
      <c r="B156" s="675" t="s">
        <v>111</v>
      </c>
      <c r="C156" s="687" t="s">
        <v>3588</v>
      </c>
      <c r="D156" s="675">
        <v>0</v>
      </c>
      <c r="E156" s="675" t="s">
        <v>2311</v>
      </c>
      <c r="F156" s="675">
        <v>3</v>
      </c>
      <c r="G156" s="675" t="s">
        <v>2238</v>
      </c>
      <c r="H156" s="675">
        <v>117</v>
      </c>
      <c r="I156" s="676" t="s">
        <v>3795</v>
      </c>
      <c r="J156" s="677">
        <v>0.5</v>
      </c>
      <c r="K156" s="683">
        <v>103</v>
      </c>
      <c r="L156" s="677">
        <v>0</v>
      </c>
      <c r="M156" s="677">
        <v>19</v>
      </c>
      <c r="N156" s="677">
        <v>0</v>
      </c>
      <c r="O156" s="677">
        <v>0</v>
      </c>
      <c r="P156" s="677">
        <v>0</v>
      </c>
      <c r="Q156" s="677">
        <v>0</v>
      </c>
      <c r="R156" s="677">
        <v>0</v>
      </c>
      <c r="S156" s="677">
        <v>10</v>
      </c>
      <c r="T156" s="677">
        <v>0</v>
      </c>
      <c r="U156" s="677">
        <v>0</v>
      </c>
      <c r="V156" s="677">
        <v>16</v>
      </c>
      <c r="W156" s="677">
        <v>0</v>
      </c>
      <c r="X156" s="678"/>
      <c r="Y156" s="682">
        <f>SUBTOTAL(109,Техкарта[[#This Row],[Знач1]:[Знач12]])</f>
        <v>45</v>
      </c>
      <c r="Z156" s="680"/>
      <c r="AA156" s="681">
        <v>57.999000000000002</v>
      </c>
      <c r="AB156" s="681">
        <v>29.978000000000002</v>
      </c>
      <c r="AC156" s="417">
        <v>6</v>
      </c>
      <c r="AD156" s="417"/>
      <c r="AE156" s="682" t="s">
        <v>4063</v>
      </c>
      <c r="AF156">
        <v>1</v>
      </c>
      <c r="AG156" s="713">
        <v>43101</v>
      </c>
      <c r="AH156" s="417"/>
      <c r="AI156" s="417"/>
      <c r="AJ156" s="714">
        <v>43174</v>
      </c>
      <c r="AK156" s="417"/>
      <c r="AL156" s="637" t="s">
        <v>3467</v>
      </c>
      <c r="AM156" s="417"/>
      <c r="AN156" s="417"/>
      <c r="AO156" s="636"/>
      <c r="AP156">
        <v>556661</v>
      </c>
      <c r="AQ156" s="715">
        <v>43174</v>
      </c>
      <c r="AR156" s="417"/>
      <c r="AS156" s="417"/>
      <c r="AT156" s="417"/>
      <c r="AU156" s="417"/>
      <c r="AV156" s="417"/>
      <c r="AW156" s="417"/>
      <c r="AX156" s="417"/>
      <c r="AY156" t="s">
        <v>3424</v>
      </c>
      <c r="AZ156" s="417"/>
      <c r="BA156" s="417"/>
      <c r="BB156" t="s">
        <v>3583</v>
      </c>
      <c r="BC156" s="636"/>
      <c r="BD156" s="417"/>
      <c r="BE156" s="612">
        <v>0</v>
      </c>
      <c r="BF156" s="613">
        <v>0</v>
      </c>
      <c r="BG156" s="614" t="s">
        <v>78</v>
      </c>
      <c r="BH156" s="682"/>
      <c r="BI156" s="417"/>
      <c r="BJ156" s="417">
        <v>11</v>
      </c>
      <c r="BK156" s="682" t="str">
        <f>Техкарта[[#This Row],[Кв-л]]&amp;" кв ("&amp;Substring(Техкарта[[#This Row],[Виділ]],"_",1)&amp;" вид) "&amp;Substring(Техкарта[[#This Row],[Виділ]],"_",2)&amp;" діл."</f>
        <v>117 кв (9 вид) 0 діл.</v>
      </c>
      <c r="BL156" s="682" t="str">
        <f>Техкарта[[#This Row],[ПолнаяДіл]] &amp;" "&amp;Техкарта[[#This Row],[ЛК]]&amp;" "&amp;Техкарта[[#This Row],[Вид рубки]]</f>
        <v>117 кв (9 вид) 0 діл. 556661 рубка в охоронній зоні ЛЕП</v>
      </c>
      <c r="BM156" s="682"/>
      <c r="BN156" s="636" t="s">
        <v>3784</v>
      </c>
      <c r="BO156" s="636" t="s">
        <v>3784</v>
      </c>
      <c r="BP156" s="636" t="s">
        <v>3784</v>
      </c>
      <c r="BQ156" s="636" t="s">
        <v>105</v>
      </c>
      <c r="BR156" s="636"/>
      <c r="BS156" s="636"/>
      <c r="BT156" s="636"/>
      <c r="BU156" s="636"/>
      <c r="BV156" s="636"/>
      <c r="BW156" s="636" t="s">
        <v>4048</v>
      </c>
      <c r="BX156" s="636"/>
      <c r="BY156" s="972"/>
    </row>
    <row r="157" spans="1:77">
      <c r="A157" t="s">
        <v>105</v>
      </c>
      <c r="B157" s="675" t="s">
        <v>114</v>
      </c>
      <c r="C157" s="687" t="s">
        <v>126</v>
      </c>
      <c r="D157" s="675">
        <v>0</v>
      </c>
      <c r="E157" s="675" t="s">
        <v>2305</v>
      </c>
      <c r="F157" s="675">
        <v>3</v>
      </c>
      <c r="G157" s="675" t="s">
        <v>2238</v>
      </c>
      <c r="H157" s="675">
        <v>47</v>
      </c>
      <c r="I157" s="676" t="s">
        <v>3790</v>
      </c>
      <c r="J157" s="677">
        <v>1.8</v>
      </c>
      <c r="K157" s="683">
        <v>147</v>
      </c>
      <c r="L157" s="677">
        <v>0</v>
      </c>
      <c r="M157" s="677">
        <v>0</v>
      </c>
      <c r="N157" s="677">
        <v>1</v>
      </c>
      <c r="O157" s="677">
        <v>0</v>
      </c>
      <c r="P157" s="677">
        <v>0</v>
      </c>
      <c r="Q157" s="677">
        <v>0</v>
      </c>
      <c r="R157" s="677">
        <v>0</v>
      </c>
      <c r="S157" s="677">
        <v>0</v>
      </c>
      <c r="T157" s="677">
        <v>26</v>
      </c>
      <c r="U157" s="677">
        <v>0</v>
      </c>
      <c r="V157" s="677">
        <v>0</v>
      </c>
      <c r="W157" s="677">
        <v>1</v>
      </c>
      <c r="X157" s="678"/>
      <c r="Y157" s="682">
        <f>SUBTOTAL(109,Техкарта[[#This Row],[Знач1]:[Знач12]])</f>
        <v>28</v>
      </c>
      <c r="Z157" s="680"/>
      <c r="AA157" s="681">
        <v>116.983</v>
      </c>
      <c r="AB157" s="681">
        <v>29.978000000000002</v>
      </c>
      <c r="AC157" s="417">
        <v>4</v>
      </c>
      <c r="AD157" s="417"/>
      <c r="AE157" s="682" t="s">
        <v>4064</v>
      </c>
      <c r="AF157">
        <v>1</v>
      </c>
      <c r="AG157" s="713">
        <v>43101</v>
      </c>
      <c r="AH157" s="417"/>
      <c r="AI157" s="417"/>
      <c r="AJ157" s="714">
        <v>43171</v>
      </c>
      <c r="AK157" s="417"/>
      <c r="AL157" s="637" t="s">
        <v>3436</v>
      </c>
      <c r="AM157" s="417"/>
      <c r="AN157" s="417"/>
      <c r="AO157" s="636"/>
      <c r="AP157">
        <v>556657</v>
      </c>
      <c r="AQ157" s="715">
        <v>43171</v>
      </c>
      <c r="AR157" s="417"/>
      <c r="AS157" s="417"/>
      <c r="AT157" s="417"/>
      <c r="AU157" s="417"/>
      <c r="AV157" s="417"/>
      <c r="AW157" s="417"/>
      <c r="AX157" s="417"/>
      <c r="AY157" t="s">
        <v>3424</v>
      </c>
      <c r="AZ157" s="417"/>
      <c r="BA157" s="417"/>
      <c r="BB157" t="s">
        <v>3583</v>
      </c>
      <c r="BC157" s="636"/>
      <c r="BD157" s="417"/>
      <c r="BE157" s="612">
        <v>0</v>
      </c>
      <c r="BF157" s="613">
        <v>0</v>
      </c>
      <c r="BG157" s="614" t="s">
        <v>78</v>
      </c>
      <c r="BH157" s="682"/>
      <c r="BI157" s="417"/>
      <c r="BJ157" s="417">
        <v>1</v>
      </c>
      <c r="BK157" s="682" t="str">
        <f>Техкарта[[#This Row],[Кв-л]]&amp;" кв ("&amp;Substring(Техкарта[[#This Row],[Виділ]],"_",1)&amp;" вид) "&amp;Substring(Техкарта[[#This Row],[Виділ]],"_",2)&amp;" діл."</f>
        <v>47 кв (2 вид) 0 діл.</v>
      </c>
      <c r="BL157" s="682" t="str">
        <f>Техкарта[[#This Row],[ПолнаяДіл]] &amp;" "&amp;Техкарта[[#This Row],[ЛК]]&amp;" "&amp;Техкарта[[#This Row],[Вид рубки]]</f>
        <v>47 кв (2 вид) 0 діл. 556657 СРВ</v>
      </c>
      <c r="BM157" s="682"/>
      <c r="BN157" s="636" t="s">
        <v>3784</v>
      </c>
      <c r="BO157" s="636" t="s">
        <v>3784</v>
      </c>
      <c r="BP157" s="636" t="s">
        <v>3784</v>
      </c>
      <c r="BQ157" s="636" t="s">
        <v>105</v>
      </c>
      <c r="BR157" s="636"/>
      <c r="BS157" s="636"/>
      <c r="BT157" s="636"/>
      <c r="BU157" s="636"/>
      <c r="BV157" s="636"/>
      <c r="BW157" s="636" t="s">
        <v>4048</v>
      </c>
      <c r="BX157" s="636"/>
      <c r="BY157" s="972"/>
    </row>
    <row r="158" spans="1:77">
      <c r="A158" t="s">
        <v>105</v>
      </c>
      <c r="B158" s="675" t="s">
        <v>114</v>
      </c>
      <c r="C158" s="687" t="s">
        <v>126</v>
      </c>
      <c r="D158" s="675">
        <v>0</v>
      </c>
      <c r="E158" s="675" t="s">
        <v>2305</v>
      </c>
      <c r="F158" s="675">
        <v>3</v>
      </c>
      <c r="G158" s="675" t="s">
        <v>2238</v>
      </c>
      <c r="H158" s="675">
        <v>53</v>
      </c>
      <c r="I158" s="676" t="s">
        <v>3832</v>
      </c>
      <c r="J158" s="677">
        <v>4.3</v>
      </c>
      <c r="K158" s="683">
        <v>259</v>
      </c>
      <c r="L158" s="677">
        <v>0</v>
      </c>
      <c r="M158" s="677">
        <v>0</v>
      </c>
      <c r="N158" s="677">
        <v>0</v>
      </c>
      <c r="O158" s="677">
        <v>0</v>
      </c>
      <c r="P158" s="677">
        <v>0</v>
      </c>
      <c r="Q158" s="677">
        <v>0</v>
      </c>
      <c r="R158" s="677">
        <v>0</v>
      </c>
      <c r="S158" s="677">
        <v>0</v>
      </c>
      <c r="T158" s="677">
        <v>41</v>
      </c>
      <c r="U158" s="677">
        <v>0</v>
      </c>
      <c r="V158" s="677">
        <v>0</v>
      </c>
      <c r="W158" s="677">
        <v>2</v>
      </c>
      <c r="X158" s="678"/>
      <c r="Y158" s="682">
        <f>SUBTOTAL(109,Техкарта[[#This Row],[Знач1]:[Знач12]])</f>
        <v>43</v>
      </c>
      <c r="Z158" s="680"/>
      <c r="AA158" s="681">
        <v>126.605</v>
      </c>
      <c r="AB158" s="681">
        <v>29.978000000000002</v>
      </c>
      <c r="AC158" s="417">
        <v>4</v>
      </c>
      <c r="AD158" s="417"/>
      <c r="AE158" s="682" t="s">
        <v>4065</v>
      </c>
      <c r="AF158">
        <v>1</v>
      </c>
      <c r="AG158" s="713">
        <v>43101</v>
      </c>
      <c r="AH158" s="417"/>
      <c r="AI158" s="417"/>
      <c r="AJ158" s="714">
        <v>43171</v>
      </c>
      <c r="AK158" s="417"/>
      <c r="AL158" s="637" t="s">
        <v>3448</v>
      </c>
      <c r="AM158" s="417"/>
      <c r="AN158" s="417"/>
      <c r="AO158" s="636"/>
      <c r="AP158">
        <v>556657</v>
      </c>
      <c r="AQ158" s="715">
        <v>43171</v>
      </c>
      <c r="AR158" s="417"/>
      <c r="AS158" s="417"/>
      <c r="AT158" s="417"/>
      <c r="AU158" s="417"/>
      <c r="AV158" s="417"/>
      <c r="AW158" s="417"/>
      <c r="AX158" s="417"/>
      <c r="AY158" t="s">
        <v>3424</v>
      </c>
      <c r="AZ158" s="417"/>
      <c r="BA158" s="417"/>
      <c r="BB158" t="s">
        <v>3583</v>
      </c>
      <c r="BC158" s="636"/>
      <c r="BD158" s="417"/>
      <c r="BE158" s="612">
        <v>0</v>
      </c>
      <c r="BF158" s="613">
        <v>0</v>
      </c>
      <c r="BG158" s="614" t="s">
        <v>78</v>
      </c>
      <c r="BH158" s="682"/>
      <c r="BI158" s="417"/>
      <c r="BJ158" s="417">
        <v>2</v>
      </c>
      <c r="BK158" s="682" t="str">
        <f>Техкарта[[#This Row],[Кв-л]]&amp;" кв ("&amp;Substring(Техкарта[[#This Row],[Виділ]],"_",1)&amp;" вид) "&amp;Substring(Техкарта[[#This Row],[Виділ]],"_",2)&amp;" діл."</f>
        <v>53 кв (5 вид) 0 діл.</v>
      </c>
      <c r="BL158" s="682" t="str">
        <f>Техкарта[[#This Row],[ПолнаяДіл]] &amp;" "&amp;Техкарта[[#This Row],[ЛК]]&amp;" "&amp;Техкарта[[#This Row],[Вид рубки]]</f>
        <v>53 кв (5 вид) 0 діл. 556657 СРВ</v>
      </c>
      <c r="BM158" s="682"/>
      <c r="BN158" s="636" t="s">
        <v>3784</v>
      </c>
      <c r="BO158" s="636" t="s">
        <v>3784</v>
      </c>
      <c r="BP158" s="636" t="s">
        <v>3784</v>
      </c>
      <c r="BQ158" s="636" t="s">
        <v>105</v>
      </c>
      <c r="BR158" s="636"/>
      <c r="BS158" s="636"/>
      <c r="BT158" s="636"/>
      <c r="BU158" s="636"/>
      <c r="BV158" s="636"/>
      <c r="BW158" s="636" t="s">
        <v>4048</v>
      </c>
      <c r="BX158" s="636"/>
      <c r="BY158" s="972"/>
    </row>
    <row r="159" spans="1:77">
      <c r="A159" t="s">
        <v>105</v>
      </c>
      <c r="B159" s="675" t="s">
        <v>114</v>
      </c>
      <c r="C159" s="687" t="s">
        <v>126</v>
      </c>
      <c r="D159" s="675">
        <v>0</v>
      </c>
      <c r="E159" s="675" t="s">
        <v>2305</v>
      </c>
      <c r="F159" s="675">
        <v>3</v>
      </c>
      <c r="G159" s="675" t="s">
        <v>2238</v>
      </c>
      <c r="H159" s="675">
        <v>58</v>
      </c>
      <c r="I159" s="676" t="s">
        <v>3795</v>
      </c>
      <c r="J159" s="677">
        <v>3.6</v>
      </c>
      <c r="K159" s="683">
        <v>149</v>
      </c>
      <c r="L159" s="677">
        <v>0</v>
      </c>
      <c r="M159" s="677">
        <v>1</v>
      </c>
      <c r="N159" s="677">
        <v>4</v>
      </c>
      <c r="O159" s="677">
        <v>0</v>
      </c>
      <c r="P159" s="677">
        <v>0</v>
      </c>
      <c r="Q159" s="677">
        <v>0</v>
      </c>
      <c r="R159" s="677">
        <v>0</v>
      </c>
      <c r="S159" s="677">
        <v>9</v>
      </c>
      <c r="T159" s="677">
        <v>33</v>
      </c>
      <c r="U159" s="677">
        <v>0</v>
      </c>
      <c r="V159" s="677">
        <v>1</v>
      </c>
      <c r="W159" s="677">
        <v>2</v>
      </c>
      <c r="X159" s="678"/>
      <c r="Y159" s="682">
        <f>SUBTOTAL(109,Техкарта[[#This Row],[Знач1]:[Знач12]])</f>
        <v>50</v>
      </c>
      <c r="Z159" s="680"/>
      <c r="AA159" s="681">
        <v>88.582999999999998</v>
      </c>
      <c r="AB159" s="681">
        <v>29.978000000000002</v>
      </c>
      <c r="AC159" s="417">
        <v>5</v>
      </c>
      <c r="AD159" s="417"/>
      <c r="AE159" s="682" t="s">
        <v>4066</v>
      </c>
      <c r="AF159">
        <v>1</v>
      </c>
      <c r="AG159" s="713">
        <v>43101</v>
      </c>
      <c r="AH159" s="417"/>
      <c r="AI159" s="417"/>
      <c r="AJ159" s="714">
        <v>43171</v>
      </c>
      <c r="AK159" s="417"/>
      <c r="AL159" s="637" t="s">
        <v>3442</v>
      </c>
      <c r="AM159" s="417"/>
      <c r="AN159" s="417"/>
      <c r="AO159" s="636"/>
      <c r="AP159">
        <v>556657</v>
      </c>
      <c r="AQ159" s="715">
        <v>43171</v>
      </c>
      <c r="AR159" s="417"/>
      <c r="AS159" s="417"/>
      <c r="AT159" s="417"/>
      <c r="AU159" s="417"/>
      <c r="AV159" s="417"/>
      <c r="AW159" s="417"/>
      <c r="AX159" s="417"/>
      <c r="AY159" t="s">
        <v>3424</v>
      </c>
      <c r="AZ159" s="417"/>
      <c r="BA159" s="417"/>
      <c r="BB159" t="s">
        <v>3583</v>
      </c>
      <c r="BC159" s="636"/>
      <c r="BD159" s="417"/>
      <c r="BE159" s="612">
        <v>0</v>
      </c>
      <c r="BF159" s="613">
        <v>0</v>
      </c>
      <c r="BG159" s="614" t="s">
        <v>78</v>
      </c>
      <c r="BH159" s="682"/>
      <c r="BI159" s="417"/>
      <c r="BJ159" s="417">
        <v>3</v>
      </c>
      <c r="BK159" s="682" t="str">
        <f>Техкарта[[#This Row],[Кв-л]]&amp;" кв ("&amp;Substring(Техкарта[[#This Row],[Виділ]],"_",1)&amp;" вид) "&amp;Substring(Техкарта[[#This Row],[Виділ]],"_",2)&amp;" діл."</f>
        <v>58 кв (9 вид) 0 діл.</v>
      </c>
      <c r="BL159" s="682" t="str">
        <f>Техкарта[[#This Row],[ПолнаяДіл]] &amp;" "&amp;Техкарта[[#This Row],[ЛК]]&amp;" "&amp;Техкарта[[#This Row],[Вид рубки]]</f>
        <v>58 кв (9 вид) 0 діл. 556657 СРВ</v>
      </c>
      <c r="BM159" s="682"/>
      <c r="BN159" s="636" t="s">
        <v>3784</v>
      </c>
      <c r="BO159" s="636" t="s">
        <v>3784</v>
      </c>
      <c r="BP159" s="636" t="s">
        <v>3784</v>
      </c>
      <c r="BQ159" s="636" t="s">
        <v>105</v>
      </c>
      <c r="BR159" s="636"/>
      <c r="BS159" s="636"/>
      <c r="BT159" s="636"/>
      <c r="BU159" s="636"/>
      <c r="BV159" s="636"/>
      <c r="BW159" s="636" t="s">
        <v>4048</v>
      </c>
      <c r="BX159" s="636"/>
      <c r="BY159" s="972"/>
    </row>
    <row r="160" spans="1:77">
      <c r="A160" t="s">
        <v>105</v>
      </c>
      <c r="B160" s="675" t="s">
        <v>115</v>
      </c>
      <c r="C160" s="687" t="s">
        <v>126</v>
      </c>
      <c r="D160" s="675">
        <v>0</v>
      </c>
      <c r="E160" s="675" t="s">
        <v>2305</v>
      </c>
      <c r="F160" s="675">
        <v>3</v>
      </c>
      <c r="G160" s="675" t="s">
        <v>2238</v>
      </c>
      <c r="H160" s="675">
        <v>8</v>
      </c>
      <c r="I160" s="676" t="s">
        <v>3794</v>
      </c>
      <c r="J160" s="677">
        <v>3.9</v>
      </c>
      <c r="K160" s="683">
        <v>102</v>
      </c>
      <c r="L160" s="677">
        <v>0</v>
      </c>
      <c r="M160" s="677">
        <v>0</v>
      </c>
      <c r="N160" s="677">
        <v>10</v>
      </c>
      <c r="O160" s="677">
        <v>0</v>
      </c>
      <c r="P160" s="677">
        <v>0</v>
      </c>
      <c r="Q160" s="677">
        <v>0</v>
      </c>
      <c r="R160" s="677">
        <v>0</v>
      </c>
      <c r="S160" s="677">
        <v>0</v>
      </c>
      <c r="T160" s="677">
        <v>0</v>
      </c>
      <c r="U160" s="677">
        <v>9</v>
      </c>
      <c r="V160" s="677">
        <v>0</v>
      </c>
      <c r="W160" s="677">
        <v>45</v>
      </c>
      <c r="X160" s="678"/>
      <c r="Y160" s="682">
        <f>SUBTOTAL(109,Техкарта[[#This Row],[Знач1]:[Знач12]])</f>
        <v>64</v>
      </c>
      <c r="Z160" s="680"/>
      <c r="AA160" s="681">
        <v>73.003</v>
      </c>
      <c r="AB160" s="681">
        <v>29.978000000000002</v>
      </c>
      <c r="AC160" s="417">
        <v>4</v>
      </c>
      <c r="AD160" s="417"/>
      <c r="AE160" s="682" t="s">
        <v>4067</v>
      </c>
      <c r="AF160">
        <v>1</v>
      </c>
      <c r="AG160" s="713">
        <v>43101</v>
      </c>
      <c r="AH160" s="417"/>
      <c r="AI160" s="417"/>
      <c r="AJ160" s="714">
        <v>43174</v>
      </c>
      <c r="AK160" s="417"/>
      <c r="AL160" s="637" t="s">
        <v>3471</v>
      </c>
      <c r="AM160" s="417"/>
      <c r="AN160" s="417"/>
      <c r="AO160" s="636"/>
      <c r="AP160">
        <v>556660</v>
      </c>
      <c r="AQ160" s="715">
        <v>43174</v>
      </c>
      <c r="AR160" s="417"/>
      <c r="AS160" s="417"/>
      <c r="AT160" s="417"/>
      <c r="AU160" s="417"/>
      <c r="AV160" s="417"/>
      <c r="AW160" s="417"/>
      <c r="AX160" s="417"/>
      <c r="AY160" t="s">
        <v>3362</v>
      </c>
      <c r="AZ160" s="417"/>
      <c r="BA160" s="417"/>
      <c r="BB160" t="s">
        <v>3585</v>
      </c>
      <c r="BC160" s="636"/>
      <c r="BD160" s="417"/>
      <c r="BE160" s="612">
        <v>0</v>
      </c>
      <c r="BF160" s="613">
        <v>0</v>
      </c>
      <c r="BG160" s="614" t="s">
        <v>78</v>
      </c>
      <c r="BH160" s="682"/>
      <c r="BI160" s="417"/>
      <c r="BJ160" s="417">
        <v>1</v>
      </c>
      <c r="BK160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60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60" s="682"/>
      <c r="BN160" s="636" t="s">
        <v>3784</v>
      </c>
      <c r="BO160" s="636" t="s">
        <v>3784</v>
      </c>
      <c r="BP160" s="636" t="s">
        <v>3784</v>
      </c>
      <c r="BQ160" s="636" t="s">
        <v>105</v>
      </c>
      <c r="BR160" s="636"/>
      <c r="BS160" s="636"/>
      <c r="BT160" s="636"/>
      <c r="BU160" s="636"/>
      <c r="BV160" s="636"/>
      <c r="BW160" s="636" t="s">
        <v>4048</v>
      </c>
      <c r="BX160" s="636"/>
      <c r="BY160" s="972"/>
    </row>
    <row r="161" spans="1:77" ht="15.75" customHeight="1">
      <c r="A161" t="s">
        <v>105</v>
      </c>
      <c r="B161" s="675" t="s">
        <v>115</v>
      </c>
      <c r="C161" s="687" t="s">
        <v>126</v>
      </c>
      <c r="D161" s="675">
        <v>0</v>
      </c>
      <c r="E161" s="675" t="s">
        <v>2305</v>
      </c>
      <c r="F161" s="675">
        <v>3</v>
      </c>
      <c r="G161" s="675" t="s">
        <v>2238</v>
      </c>
      <c r="H161" s="675">
        <v>7</v>
      </c>
      <c r="I161" s="676" t="s">
        <v>3850</v>
      </c>
      <c r="J161" s="677">
        <v>1.3</v>
      </c>
      <c r="K161" s="683">
        <v>48</v>
      </c>
      <c r="L161" s="677">
        <v>0</v>
      </c>
      <c r="M161" s="677">
        <v>0</v>
      </c>
      <c r="N161" s="677">
        <v>3</v>
      </c>
      <c r="O161" s="677">
        <v>0</v>
      </c>
      <c r="P161" s="677">
        <v>0</v>
      </c>
      <c r="Q161" s="677">
        <v>0</v>
      </c>
      <c r="R161" s="677">
        <v>0</v>
      </c>
      <c r="S161" s="677">
        <v>0</v>
      </c>
      <c r="T161" s="677">
        <v>0</v>
      </c>
      <c r="U161" s="677">
        <v>6</v>
      </c>
      <c r="V161" s="677">
        <v>0</v>
      </c>
      <c r="W161" s="677">
        <v>11</v>
      </c>
      <c r="X161" s="678"/>
      <c r="Y161" s="682">
        <f>SUBTOTAL(109,Техкарта[[#This Row],[Знач1]:[Знач12]])</f>
        <v>20</v>
      </c>
      <c r="Z161" s="680"/>
      <c r="AA161" s="681">
        <v>81.790000000000006</v>
      </c>
      <c r="AB161" s="681">
        <v>29.978000000000002</v>
      </c>
      <c r="AC161" s="417">
        <v>2</v>
      </c>
      <c r="AD161" s="417"/>
      <c r="AE161" s="682" t="s">
        <v>4068</v>
      </c>
      <c r="AF161">
        <v>1</v>
      </c>
      <c r="AG161" s="713">
        <v>43101</v>
      </c>
      <c r="AH161" s="417"/>
      <c r="AI161" s="417"/>
      <c r="AJ161" s="714">
        <v>43174</v>
      </c>
      <c r="AK161" s="417"/>
      <c r="AL161" s="637" t="s">
        <v>3471</v>
      </c>
      <c r="AM161" s="417"/>
      <c r="AN161" s="417"/>
      <c r="AO161" s="636"/>
      <c r="AP161">
        <v>556660</v>
      </c>
      <c r="AQ161" s="715">
        <v>43174</v>
      </c>
      <c r="AR161" s="417"/>
      <c r="AS161" s="417"/>
      <c r="AT161" s="417"/>
      <c r="AU161" s="417"/>
      <c r="AV161" s="417"/>
      <c r="AW161" s="417"/>
      <c r="AX161" s="417"/>
      <c r="AY161" t="s">
        <v>3362</v>
      </c>
      <c r="AZ161" s="417"/>
      <c r="BA161" s="417"/>
      <c r="BB161" t="s">
        <v>3585</v>
      </c>
      <c r="BC161" s="636"/>
      <c r="BD161" s="417"/>
      <c r="BE161" s="612">
        <v>0</v>
      </c>
      <c r="BF161" s="613">
        <v>0</v>
      </c>
      <c r="BG161" s="614" t="s">
        <v>78</v>
      </c>
      <c r="BH161" s="682"/>
      <c r="BI161" s="417"/>
      <c r="BJ161" s="417">
        <v>2</v>
      </c>
      <c r="BK161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61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61" s="682"/>
      <c r="BN161" s="636" t="s">
        <v>3784</v>
      </c>
      <c r="BO161" s="636" t="s">
        <v>3784</v>
      </c>
      <c r="BP161" s="636" t="s">
        <v>3784</v>
      </c>
      <c r="BQ161" s="636" t="s">
        <v>105</v>
      </c>
      <c r="BR161" s="636"/>
      <c r="BS161" s="636"/>
      <c r="BT161" s="636"/>
      <c r="BU161" s="636"/>
      <c r="BV161" s="636"/>
      <c r="BW161" s="636" t="s">
        <v>4048</v>
      </c>
      <c r="BX161" s="636"/>
      <c r="BY161" s="972"/>
    </row>
    <row r="162" spans="1:77">
      <c r="A162" t="s">
        <v>105</v>
      </c>
      <c r="B162" s="675" t="s">
        <v>115</v>
      </c>
      <c r="C162" s="687" t="s">
        <v>126</v>
      </c>
      <c r="D162" s="675">
        <v>0</v>
      </c>
      <c r="E162" s="675" t="s">
        <v>2305</v>
      </c>
      <c r="F162" s="675">
        <v>3</v>
      </c>
      <c r="G162" s="675" t="s">
        <v>2238</v>
      </c>
      <c r="H162" s="675">
        <v>89</v>
      </c>
      <c r="I162" s="676" t="s">
        <v>3830</v>
      </c>
      <c r="J162" s="677">
        <v>12.8</v>
      </c>
      <c r="K162" s="683">
        <v>408</v>
      </c>
      <c r="L162" s="677">
        <v>0</v>
      </c>
      <c r="M162" s="677">
        <v>0</v>
      </c>
      <c r="N162" s="677">
        <v>17</v>
      </c>
      <c r="O162" s="677">
        <v>0</v>
      </c>
      <c r="P162" s="677">
        <v>0</v>
      </c>
      <c r="Q162" s="677">
        <v>0</v>
      </c>
      <c r="R162" s="677">
        <v>0</v>
      </c>
      <c r="S162" s="677">
        <v>0</v>
      </c>
      <c r="T162" s="677">
        <v>0</v>
      </c>
      <c r="U162" s="677">
        <v>55</v>
      </c>
      <c r="V162" s="677">
        <v>6</v>
      </c>
      <c r="W162" s="677">
        <v>188</v>
      </c>
      <c r="X162" s="678"/>
      <c r="Y162" s="682">
        <f>SUBTOTAL(109,Техкарта[[#This Row],[Знач1]:[Знач12]])</f>
        <v>266</v>
      </c>
      <c r="Z162" s="680"/>
      <c r="AA162" s="681">
        <v>76.456999999999994</v>
      </c>
      <c r="AB162" s="681">
        <v>29.978000000000002</v>
      </c>
      <c r="AC162" s="417">
        <v>19</v>
      </c>
      <c r="AD162" s="417"/>
      <c r="AE162" s="682" t="s">
        <v>4069</v>
      </c>
      <c r="AF162">
        <v>1</v>
      </c>
      <c r="AG162" s="713">
        <v>43101</v>
      </c>
      <c r="AH162" s="417"/>
      <c r="AI162" s="417"/>
      <c r="AJ162" s="714">
        <v>43174</v>
      </c>
      <c r="AK162" s="417"/>
      <c r="AL162" s="637" t="s">
        <v>3481</v>
      </c>
      <c r="AM162" s="417"/>
      <c r="AN162" s="417"/>
      <c r="AO162" s="636"/>
      <c r="AP162">
        <v>556660</v>
      </c>
      <c r="AQ162" s="715">
        <v>43174</v>
      </c>
      <c r="AR162" s="417"/>
      <c r="AS162" s="417"/>
      <c r="AT162" s="417"/>
      <c r="AU162" s="417"/>
      <c r="AV162" s="417"/>
      <c r="AW162" s="417"/>
      <c r="AX162" s="417"/>
      <c r="AY162" t="s">
        <v>3362</v>
      </c>
      <c r="AZ162" s="417"/>
      <c r="BA162" s="417"/>
      <c r="BB162" t="s">
        <v>3585</v>
      </c>
      <c r="BC162" s="636"/>
      <c r="BD162" s="417"/>
      <c r="BE162" s="612">
        <v>0</v>
      </c>
      <c r="BF162" s="613">
        <v>0</v>
      </c>
      <c r="BG162" s="614" t="s">
        <v>78</v>
      </c>
      <c r="BH162" s="682"/>
      <c r="BI162" s="417"/>
      <c r="BJ162" s="417">
        <v>3</v>
      </c>
      <c r="BK162" s="682" t="str">
        <f>Техкарта[[#This Row],[Кв-л]]&amp;" кв ("&amp;Substring(Техкарта[[#This Row],[Виділ]],"_",1)&amp;" вид) "&amp;Substring(Техкарта[[#This Row],[Виділ]],"_",2)&amp;" діл."</f>
        <v>89 кв (1 вид) 0 діл.</v>
      </c>
      <c r="BL162" s="682" t="str">
        <f>Техкарта[[#This Row],[ПолнаяДіл]] &amp;" "&amp;Техкарта[[#This Row],[ЛК]]&amp;" "&amp;Техкарта[[#This Row],[Вид рубки]]</f>
        <v>89 кв (1 вид) 0 діл. 556660 СРВ</v>
      </c>
      <c r="BM162" s="682"/>
      <c r="BN162" s="636" t="s">
        <v>3784</v>
      </c>
      <c r="BO162" s="636" t="s">
        <v>3784</v>
      </c>
      <c r="BP162" s="636" t="s">
        <v>3784</v>
      </c>
      <c r="BQ162" s="636" t="s">
        <v>105</v>
      </c>
      <c r="BR162" s="636"/>
      <c r="BS162" s="636"/>
      <c r="BT162" s="636"/>
      <c r="BU162" s="636"/>
      <c r="BV162" s="636"/>
      <c r="BW162" s="636" t="s">
        <v>4048</v>
      </c>
      <c r="BX162" s="636"/>
      <c r="BY162" s="972"/>
    </row>
    <row r="163" spans="1:77">
      <c r="A163" t="s">
        <v>105</v>
      </c>
      <c r="B163" s="675" t="s">
        <v>115</v>
      </c>
      <c r="C163" s="687" t="s">
        <v>126</v>
      </c>
      <c r="D163" s="675">
        <v>0</v>
      </c>
      <c r="E163" s="675" t="s">
        <v>2305</v>
      </c>
      <c r="F163" s="675">
        <v>3</v>
      </c>
      <c r="G163" s="675" t="s">
        <v>2238</v>
      </c>
      <c r="H163" s="675">
        <v>19</v>
      </c>
      <c r="I163" s="676" t="s">
        <v>3830</v>
      </c>
      <c r="J163" s="677">
        <v>20</v>
      </c>
      <c r="K163" s="683">
        <v>778</v>
      </c>
      <c r="L163" s="677">
        <v>0</v>
      </c>
      <c r="M163" s="677">
        <v>0</v>
      </c>
      <c r="N163" s="677">
        <v>24</v>
      </c>
      <c r="O163" s="677">
        <v>0</v>
      </c>
      <c r="P163" s="677">
        <v>0</v>
      </c>
      <c r="Q163" s="677">
        <v>0</v>
      </c>
      <c r="R163" s="677">
        <v>0</v>
      </c>
      <c r="S163" s="677">
        <v>0</v>
      </c>
      <c r="T163" s="677">
        <v>0</v>
      </c>
      <c r="U163" s="677">
        <v>131</v>
      </c>
      <c r="V163" s="677">
        <v>1</v>
      </c>
      <c r="W163" s="677">
        <v>67</v>
      </c>
      <c r="X163" s="678"/>
      <c r="Y163" s="682">
        <f>SUBTOTAL(109,Техкарта[[#This Row],[Знач1]:[Знач12]])</f>
        <v>223</v>
      </c>
      <c r="Z163" s="680"/>
      <c r="AA163" s="681">
        <v>106.694</v>
      </c>
      <c r="AB163" s="681">
        <v>29.978000000000002</v>
      </c>
      <c r="AC163" s="417">
        <v>29</v>
      </c>
      <c r="AD163" s="417"/>
      <c r="AE163" s="682" t="s">
        <v>4070</v>
      </c>
      <c r="AF163">
        <v>1</v>
      </c>
      <c r="AG163" s="713">
        <v>43101</v>
      </c>
      <c r="AH163" s="417"/>
      <c r="AI163" s="417"/>
      <c r="AJ163" s="714">
        <v>43174</v>
      </c>
      <c r="AK163" s="417"/>
      <c r="AL163" s="637" t="s">
        <v>3450</v>
      </c>
      <c r="AM163" s="417"/>
      <c r="AN163" s="417"/>
      <c r="AO163" s="636"/>
      <c r="AP163">
        <v>556660</v>
      </c>
      <c r="AQ163" s="715">
        <v>43174</v>
      </c>
      <c r="AR163" s="417"/>
      <c r="AS163" s="417"/>
      <c r="AT163" s="417"/>
      <c r="AU163" s="417"/>
      <c r="AV163" s="417"/>
      <c r="AW163" s="417"/>
      <c r="AX163" s="417"/>
      <c r="AY163" t="s">
        <v>3362</v>
      </c>
      <c r="AZ163" s="417"/>
      <c r="BA163" s="417"/>
      <c r="BB163" t="s">
        <v>3585</v>
      </c>
      <c r="BC163" s="636"/>
      <c r="BD163" s="417"/>
      <c r="BE163" s="612">
        <v>0</v>
      </c>
      <c r="BF163" s="613">
        <v>0</v>
      </c>
      <c r="BG163" s="614" t="s">
        <v>78</v>
      </c>
      <c r="BH163" s="682"/>
      <c r="BI163" s="417"/>
      <c r="BJ163" s="417">
        <v>4</v>
      </c>
      <c r="BK163" s="682" t="str">
        <f>Техкарта[[#This Row],[Кв-л]]&amp;" кв ("&amp;Substring(Техкарта[[#This Row],[Виділ]],"_",1)&amp;" вид) "&amp;Substring(Техкарта[[#This Row],[Виділ]],"_",2)&amp;" діл."</f>
        <v>19 кв (1 вид) 0 діл.</v>
      </c>
      <c r="BL163" s="682" t="str">
        <f>Техкарта[[#This Row],[ПолнаяДіл]] &amp;" "&amp;Техкарта[[#This Row],[ЛК]]&amp;" "&amp;Техкарта[[#This Row],[Вид рубки]]</f>
        <v>19 кв (1 вид) 0 діл. 556660 СРВ</v>
      </c>
      <c r="BM163" s="682"/>
      <c r="BN163" s="636" t="s">
        <v>3784</v>
      </c>
      <c r="BO163" s="636" t="s">
        <v>3784</v>
      </c>
      <c r="BP163" s="636" t="s">
        <v>3784</v>
      </c>
      <c r="BQ163" s="636" t="s">
        <v>105</v>
      </c>
      <c r="BR163" s="636"/>
      <c r="BS163" s="636"/>
      <c r="BT163" s="636"/>
      <c r="BU163" s="636"/>
      <c r="BV163" s="636"/>
      <c r="BW163" s="636" t="s">
        <v>4048</v>
      </c>
      <c r="BX163" s="636"/>
      <c r="BY163" s="972"/>
    </row>
    <row r="164" spans="1:77">
      <c r="A164" t="s">
        <v>105</v>
      </c>
      <c r="B164" s="675" t="s">
        <v>115</v>
      </c>
      <c r="C164" s="687" t="s">
        <v>126</v>
      </c>
      <c r="D164" s="675">
        <v>0</v>
      </c>
      <c r="E164" s="675" t="s">
        <v>2305</v>
      </c>
      <c r="F164" s="675">
        <v>3</v>
      </c>
      <c r="G164" s="675" t="s">
        <v>2238</v>
      </c>
      <c r="H164" s="675">
        <v>98</v>
      </c>
      <c r="I164" s="676" t="s">
        <v>3830</v>
      </c>
      <c r="J164" s="677">
        <v>2.2000000000000002</v>
      </c>
      <c r="K164" s="683">
        <v>107</v>
      </c>
      <c r="L164" s="677">
        <v>0</v>
      </c>
      <c r="M164" s="677">
        <v>7</v>
      </c>
      <c r="N164" s="677">
        <v>0</v>
      </c>
      <c r="O164" s="677">
        <v>0</v>
      </c>
      <c r="P164" s="677">
        <v>0</v>
      </c>
      <c r="Q164" s="677">
        <v>0</v>
      </c>
      <c r="R164" s="677">
        <v>0</v>
      </c>
      <c r="S164" s="677">
        <v>0</v>
      </c>
      <c r="T164" s="677">
        <v>0</v>
      </c>
      <c r="U164" s="677">
        <v>11</v>
      </c>
      <c r="V164" s="677">
        <v>8</v>
      </c>
      <c r="W164" s="677">
        <v>1</v>
      </c>
      <c r="X164" s="678"/>
      <c r="Y164" s="682">
        <f>SUBTOTAL(109,Техкарта[[#This Row],[Знач1]:[Знач12]])</f>
        <v>27</v>
      </c>
      <c r="Z164" s="680"/>
      <c r="AA164" s="681">
        <v>98.231999999999999</v>
      </c>
      <c r="AB164" s="681">
        <v>29.978000000000002</v>
      </c>
      <c r="AC164" s="417">
        <v>3</v>
      </c>
      <c r="AD164" s="417"/>
      <c r="AE164" s="682" t="s">
        <v>4071</v>
      </c>
      <c r="AF164">
        <v>1</v>
      </c>
      <c r="AG164" s="713">
        <v>43101</v>
      </c>
      <c r="AH164" s="417"/>
      <c r="AI164" s="417"/>
      <c r="AJ164" s="714">
        <v>43174</v>
      </c>
      <c r="AK164" s="417"/>
      <c r="AL164" s="637" t="s">
        <v>3444</v>
      </c>
      <c r="AM164" s="417"/>
      <c r="AN164" s="417"/>
      <c r="AO164" s="636"/>
      <c r="AP164">
        <v>556660</v>
      </c>
      <c r="AQ164" s="715">
        <v>43174</v>
      </c>
      <c r="AR164" s="417"/>
      <c r="AS164" s="417"/>
      <c r="AT164" s="417"/>
      <c r="AU164" s="417"/>
      <c r="AV164" s="417"/>
      <c r="AW164" s="417"/>
      <c r="AX164" s="417"/>
      <c r="AY164" t="s">
        <v>3362</v>
      </c>
      <c r="AZ164" s="417"/>
      <c r="BA164" s="417"/>
      <c r="BB164" t="s">
        <v>3585</v>
      </c>
      <c r="BC164" s="636"/>
      <c r="BD164" s="417"/>
      <c r="BE164" s="612">
        <v>0</v>
      </c>
      <c r="BF164" s="613">
        <v>0</v>
      </c>
      <c r="BG164" s="614" t="s">
        <v>78</v>
      </c>
      <c r="BH164" s="682"/>
      <c r="BI164" s="417"/>
      <c r="BJ164" s="417">
        <v>5</v>
      </c>
      <c r="BK164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164" s="682" t="str">
        <f>Техкарта[[#This Row],[ПолнаяДіл]] &amp;" "&amp;Техкарта[[#This Row],[ЛК]]&amp;" "&amp;Техкарта[[#This Row],[Вид рубки]]</f>
        <v>98 кв (1 вид) 0 діл. 556660 СРВ</v>
      </c>
      <c r="BM164" s="682"/>
      <c r="BN164" s="636" t="s">
        <v>3784</v>
      </c>
      <c r="BO164" s="636" t="s">
        <v>3784</v>
      </c>
      <c r="BP164" s="636" t="s">
        <v>3784</v>
      </c>
      <c r="BQ164" s="636" t="s">
        <v>105</v>
      </c>
      <c r="BR164" s="636"/>
      <c r="BS164" s="636"/>
      <c r="BT164" s="636"/>
      <c r="BU164" s="636"/>
      <c r="BV164" s="636"/>
      <c r="BW164" s="636" t="s">
        <v>4048</v>
      </c>
      <c r="BX164" s="636"/>
      <c r="BY164" s="972"/>
    </row>
    <row r="165" spans="1:77">
      <c r="A165" t="s">
        <v>105</v>
      </c>
      <c r="B165" s="675" t="s">
        <v>115</v>
      </c>
      <c r="C165" s="687" t="s">
        <v>126</v>
      </c>
      <c r="D165" s="675">
        <v>0</v>
      </c>
      <c r="E165" s="675" t="s">
        <v>2305</v>
      </c>
      <c r="F165" s="675">
        <v>3</v>
      </c>
      <c r="G165" s="675" t="s">
        <v>2238</v>
      </c>
      <c r="H165" s="675">
        <v>97</v>
      </c>
      <c r="I165" s="676" t="s">
        <v>4032</v>
      </c>
      <c r="J165" s="677">
        <v>0.1</v>
      </c>
      <c r="K165" s="683">
        <v>9</v>
      </c>
      <c r="L165" s="677">
        <v>0</v>
      </c>
      <c r="M165" s="677">
        <v>2</v>
      </c>
      <c r="N165" s="677">
        <v>0</v>
      </c>
      <c r="O165" s="677">
        <v>0</v>
      </c>
      <c r="P165" s="677">
        <v>0</v>
      </c>
      <c r="Q165" s="677">
        <v>0</v>
      </c>
      <c r="R165" s="677">
        <v>0</v>
      </c>
      <c r="S165" s="677">
        <v>0</v>
      </c>
      <c r="T165" s="677">
        <v>0</v>
      </c>
      <c r="U165" s="677">
        <v>0</v>
      </c>
      <c r="V165" s="677">
        <v>1</v>
      </c>
      <c r="W165" s="677">
        <v>0</v>
      </c>
      <c r="X165" s="678"/>
      <c r="Y165" s="682">
        <f>SUBTOTAL(109,Техкарта[[#This Row],[Знач1]:[Знач12]])</f>
        <v>3</v>
      </c>
      <c r="Z165" s="680"/>
      <c r="AA165" s="681">
        <v>54.893999999999998</v>
      </c>
      <c r="AB165" s="681">
        <v>29.978000000000002</v>
      </c>
      <c r="AC165" s="417">
        <v>3</v>
      </c>
      <c r="AD165" s="417"/>
      <c r="AE165" s="682" t="s">
        <v>4072</v>
      </c>
      <c r="AF165">
        <v>1</v>
      </c>
      <c r="AG165" s="713">
        <v>43101</v>
      </c>
      <c r="AH165" s="417"/>
      <c r="AI165" s="417"/>
      <c r="AJ165" s="714">
        <v>43174</v>
      </c>
      <c r="AK165" s="417"/>
      <c r="AL165" s="637" t="s">
        <v>3444</v>
      </c>
      <c r="AM165" s="417"/>
      <c r="AN165" s="417"/>
      <c r="AO165" s="636"/>
      <c r="AP165">
        <v>556660</v>
      </c>
      <c r="AQ165" s="715">
        <v>43174</v>
      </c>
      <c r="AR165" s="417"/>
      <c r="AS165" s="417"/>
      <c r="AT165" s="417"/>
      <c r="AU165" s="417"/>
      <c r="AV165" s="417"/>
      <c r="AW165" s="417"/>
      <c r="AX165" s="417"/>
      <c r="AY165" t="s">
        <v>3362</v>
      </c>
      <c r="AZ165" s="417"/>
      <c r="BA165" s="417"/>
      <c r="BB165" t="s">
        <v>3585</v>
      </c>
      <c r="BC165" s="636"/>
      <c r="BD165" s="417"/>
      <c r="BE165" s="612">
        <v>0</v>
      </c>
      <c r="BF165" s="613">
        <v>0</v>
      </c>
      <c r="BG165" s="614" t="s">
        <v>78</v>
      </c>
      <c r="BH165" s="682"/>
      <c r="BI165" s="417"/>
      <c r="BJ165" s="417">
        <v>6</v>
      </c>
      <c r="BK165" s="682" t="str">
        <f>Техкарта[[#This Row],[Кв-л]]&amp;" кв ("&amp;Substring(Техкарта[[#This Row],[Виділ]],"_",1)&amp;" вид) "&amp;Substring(Техкарта[[#This Row],[Виділ]],"_",2)&amp;" діл."</f>
        <v>97 кв (3 вид) 1 діл.</v>
      </c>
      <c r="BL165" s="682" t="str">
        <f>Техкарта[[#This Row],[ПолнаяДіл]] &amp;" "&amp;Техкарта[[#This Row],[ЛК]]&amp;" "&amp;Техкарта[[#This Row],[Вид рубки]]</f>
        <v>97 кв (3 вид) 1 діл. 556660 СРВ</v>
      </c>
      <c r="BM165" s="682"/>
      <c r="BN165" s="636" t="s">
        <v>3784</v>
      </c>
      <c r="BO165" s="636" t="s">
        <v>3784</v>
      </c>
      <c r="BP165" s="636" t="s">
        <v>3784</v>
      </c>
      <c r="BQ165" s="636" t="s">
        <v>105</v>
      </c>
      <c r="BR165" s="636"/>
      <c r="BS165" s="636"/>
      <c r="BT165" s="636"/>
      <c r="BU165" s="636"/>
      <c r="BV165" s="636"/>
      <c r="BW165" s="636" t="s">
        <v>4048</v>
      </c>
      <c r="BX165" s="636"/>
      <c r="BY165" s="972"/>
    </row>
    <row r="166" spans="1:77">
      <c r="A166" t="s">
        <v>105</v>
      </c>
      <c r="B166" s="675" t="s">
        <v>115</v>
      </c>
      <c r="C166" s="687" t="s">
        <v>126</v>
      </c>
      <c r="D166" s="675">
        <v>0</v>
      </c>
      <c r="E166" s="675" t="s">
        <v>2305</v>
      </c>
      <c r="F166" s="675">
        <v>3</v>
      </c>
      <c r="G166" s="675" t="s">
        <v>2238</v>
      </c>
      <c r="H166" s="675">
        <v>99</v>
      </c>
      <c r="I166" s="676" t="s">
        <v>3838</v>
      </c>
      <c r="J166" s="677">
        <v>4.4000000000000004</v>
      </c>
      <c r="K166" s="683">
        <v>111</v>
      </c>
      <c r="L166" s="677">
        <v>0</v>
      </c>
      <c r="M166" s="677">
        <v>0</v>
      </c>
      <c r="N166" s="677">
        <v>11</v>
      </c>
      <c r="O166" s="677">
        <v>0</v>
      </c>
      <c r="P166" s="677">
        <v>0</v>
      </c>
      <c r="Q166" s="677">
        <v>0</v>
      </c>
      <c r="R166" s="677">
        <v>0</v>
      </c>
      <c r="S166" s="677">
        <v>0</v>
      </c>
      <c r="T166" s="677">
        <v>0</v>
      </c>
      <c r="U166" s="677">
        <v>10</v>
      </c>
      <c r="V166" s="677">
        <v>7</v>
      </c>
      <c r="W166" s="677">
        <v>31</v>
      </c>
      <c r="X166" s="678"/>
      <c r="Y166" s="682">
        <f>SUBTOTAL(109,Техкарта[[#This Row],[Знач1]:[Знач12]])</f>
        <v>59</v>
      </c>
      <c r="Z166" s="680"/>
      <c r="AA166" s="681">
        <v>79.692999999999998</v>
      </c>
      <c r="AB166" s="681">
        <v>29.978000000000002</v>
      </c>
      <c r="AC166" s="417">
        <v>5</v>
      </c>
      <c r="AD166" s="417"/>
      <c r="AE166" s="682" t="s">
        <v>4073</v>
      </c>
      <c r="AF166">
        <v>1</v>
      </c>
      <c r="AG166" s="713">
        <v>43101</v>
      </c>
      <c r="AH166" s="417"/>
      <c r="AI166" s="417"/>
      <c r="AJ166" s="714">
        <v>43174</v>
      </c>
      <c r="AK166" s="417"/>
      <c r="AL166" s="637" t="s">
        <v>3444</v>
      </c>
      <c r="AM166" s="417"/>
      <c r="AN166" s="417"/>
      <c r="AO166" s="636"/>
      <c r="AP166">
        <v>556660</v>
      </c>
      <c r="AQ166" s="715">
        <v>43174</v>
      </c>
      <c r="AR166" s="417"/>
      <c r="AS166" s="417"/>
      <c r="AT166" s="417"/>
      <c r="AU166" s="417"/>
      <c r="AV166" s="417"/>
      <c r="AW166" s="417"/>
      <c r="AX166" s="417"/>
      <c r="AY166" t="s">
        <v>3362</v>
      </c>
      <c r="AZ166" s="417"/>
      <c r="BA166" s="417"/>
      <c r="BB166" t="s">
        <v>3585</v>
      </c>
      <c r="BC166" s="636"/>
      <c r="BD166" s="417"/>
      <c r="BE166" s="612">
        <v>0</v>
      </c>
      <c r="BF166" s="613">
        <v>0</v>
      </c>
      <c r="BG166" s="614" t="s">
        <v>78</v>
      </c>
      <c r="BH166" s="682"/>
      <c r="BI166" s="417"/>
      <c r="BJ166" s="417">
        <v>7</v>
      </c>
      <c r="BK166" s="682" t="str">
        <f>Техкарта[[#This Row],[Кв-л]]&amp;" кв ("&amp;Substring(Техкарта[[#This Row],[Виділ]],"_",1)&amp;" вид) "&amp;Substring(Техкарта[[#This Row],[Виділ]],"_",2)&amp;" діл."</f>
        <v>99 кв (2 вид) 5 діл.</v>
      </c>
      <c r="BL166" s="682" t="str">
        <f>Техкарта[[#This Row],[ПолнаяДіл]] &amp;" "&amp;Техкарта[[#This Row],[ЛК]]&amp;" "&amp;Техкарта[[#This Row],[Вид рубки]]</f>
        <v>99 кв (2 вид) 5 діл. 556660 СРВ</v>
      </c>
      <c r="BM166" s="682"/>
      <c r="BN166" s="636" t="s">
        <v>3784</v>
      </c>
      <c r="BO166" s="636" t="s">
        <v>3784</v>
      </c>
      <c r="BP166" s="636" t="s">
        <v>3784</v>
      </c>
      <c r="BQ166" s="636" t="s">
        <v>105</v>
      </c>
      <c r="BR166" s="636"/>
      <c r="BS166" s="636"/>
      <c r="BT166" s="636"/>
      <c r="BU166" s="636"/>
      <c r="BV166" s="636"/>
      <c r="BW166" s="636" t="s">
        <v>4048</v>
      </c>
      <c r="BX166" s="636"/>
      <c r="BY166" s="972"/>
    </row>
    <row r="167" spans="1:77">
      <c r="A167" t="s">
        <v>105</v>
      </c>
      <c r="B167" s="675" t="s">
        <v>115</v>
      </c>
      <c r="C167" s="687" t="s">
        <v>126</v>
      </c>
      <c r="D167" s="675">
        <v>0</v>
      </c>
      <c r="E167" s="675" t="s">
        <v>2305</v>
      </c>
      <c r="F167" s="675">
        <v>3</v>
      </c>
      <c r="G167" s="675" t="s">
        <v>2238</v>
      </c>
      <c r="H167" s="675">
        <v>99</v>
      </c>
      <c r="I167" s="676" t="s">
        <v>4074</v>
      </c>
      <c r="J167" s="677">
        <v>4.8</v>
      </c>
      <c r="K167" s="683">
        <v>141</v>
      </c>
      <c r="L167" s="677">
        <v>0</v>
      </c>
      <c r="M167" s="677">
        <v>0</v>
      </c>
      <c r="N167" s="677">
        <v>16</v>
      </c>
      <c r="O167" s="677">
        <v>0</v>
      </c>
      <c r="P167" s="677">
        <v>0</v>
      </c>
      <c r="Q167" s="677">
        <v>0</v>
      </c>
      <c r="R167" s="677">
        <v>0</v>
      </c>
      <c r="S167" s="677">
        <v>0</v>
      </c>
      <c r="T167" s="677">
        <v>0</v>
      </c>
      <c r="U167" s="677">
        <v>25</v>
      </c>
      <c r="V167" s="677">
        <v>6</v>
      </c>
      <c r="W167" s="677">
        <v>32</v>
      </c>
      <c r="X167" s="678"/>
      <c r="Y167" s="682">
        <f>SUBTOTAL(109,Техкарта[[#This Row],[Знач1]:[Знач12]])</f>
        <v>79</v>
      </c>
      <c r="Z167" s="680"/>
      <c r="AA167" s="681">
        <v>75.679000000000002</v>
      </c>
      <c r="AB167" s="681">
        <v>29.978000000000002</v>
      </c>
      <c r="AC167" s="417">
        <v>6</v>
      </c>
      <c r="AD167" s="417"/>
      <c r="AE167" s="682" t="s">
        <v>4075</v>
      </c>
      <c r="AF167">
        <v>1</v>
      </c>
      <c r="AG167" s="713">
        <v>43101</v>
      </c>
      <c r="AH167" s="417"/>
      <c r="AI167" s="417"/>
      <c r="AJ167" s="714">
        <v>43174</v>
      </c>
      <c r="AK167" s="417"/>
      <c r="AL167" s="637" t="s">
        <v>3444</v>
      </c>
      <c r="AM167" s="417"/>
      <c r="AN167" s="417"/>
      <c r="AO167" s="636"/>
      <c r="AP167">
        <v>556660</v>
      </c>
      <c r="AQ167" s="715">
        <v>43174</v>
      </c>
      <c r="AR167" s="417"/>
      <c r="AS167" s="417"/>
      <c r="AT167" s="417"/>
      <c r="AU167" s="417"/>
      <c r="AV167" s="417"/>
      <c r="AW167" s="417"/>
      <c r="AX167" s="417"/>
      <c r="AY167" t="s">
        <v>3362</v>
      </c>
      <c r="AZ167" s="417"/>
      <c r="BA167" s="417"/>
      <c r="BB167" t="s">
        <v>3585</v>
      </c>
      <c r="BC167" s="636"/>
      <c r="BD167" s="417"/>
      <c r="BE167" s="612">
        <v>0</v>
      </c>
      <c r="BF167" s="613">
        <v>0</v>
      </c>
      <c r="BG167" s="614" t="s">
        <v>78</v>
      </c>
      <c r="BH167" s="682"/>
      <c r="BI167" s="417"/>
      <c r="BJ167" s="417">
        <v>8</v>
      </c>
      <c r="BK167" s="682" t="str">
        <f>Техкарта[[#This Row],[Кв-л]]&amp;" кв ("&amp;Substring(Техкарта[[#This Row],[Виділ]],"_",1)&amp;" вид) "&amp;Substring(Техкарта[[#This Row],[Виділ]],"_",2)&amp;" діл."</f>
        <v>99 кв (2 вид) 4 діл.</v>
      </c>
      <c r="BL167" s="682" t="str">
        <f>Техкарта[[#This Row],[ПолнаяДіл]] &amp;" "&amp;Техкарта[[#This Row],[ЛК]]&amp;" "&amp;Техкарта[[#This Row],[Вид рубки]]</f>
        <v>99 кв (2 вид) 4 діл. 556660 СРВ</v>
      </c>
      <c r="BM167" s="682"/>
      <c r="BN167" s="636" t="s">
        <v>3784</v>
      </c>
      <c r="BO167" s="636" t="s">
        <v>3784</v>
      </c>
      <c r="BP167" s="636" t="s">
        <v>3784</v>
      </c>
      <c r="BQ167" s="636" t="s">
        <v>105</v>
      </c>
      <c r="BR167" s="636"/>
      <c r="BS167" s="636"/>
      <c r="BT167" s="636"/>
      <c r="BU167" s="636"/>
      <c r="BV167" s="636"/>
      <c r="BW167" s="636" t="s">
        <v>4048</v>
      </c>
      <c r="BX167" s="636"/>
      <c r="BY167" s="972"/>
    </row>
    <row r="168" spans="1:77">
      <c r="A168" t="s">
        <v>105</v>
      </c>
      <c r="B168" s="675" t="s">
        <v>115</v>
      </c>
      <c r="C168" s="687" t="s">
        <v>126</v>
      </c>
      <c r="D168" s="675">
        <v>0</v>
      </c>
      <c r="E168" s="675" t="s">
        <v>2305</v>
      </c>
      <c r="F168" s="675">
        <v>3</v>
      </c>
      <c r="G168" s="675" t="s">
        <v>2238</v>
      </c>
      <c r="H168" s="675">
        <v>167</v>
      </c>
      <c r="I168" s="676" t="s">
        <v>3831</v>
      </c>
      <c r="J168" s="677">
        <v>1.2</v>
      </c>
      <c r="K168" s="683">
        <v>54</v>
      </c>
      <c r="L168" s="677">
        <v>0</v>
      </c>
      <c r="M168" s="677">
        <v>0</v>
      </c>
      <c r="N168" s="677">
        <v>0</v>
      </c>
      <c r="O168" s="677">
        <v>0</v>
      </c>
      <c r="P168" s="677">
        <v>0</v>
      </c>
      <c r="Q168" s="677">
        <v>0</v>
      </c>
      <c r="R168" s="677">
        <v>0</v>
      </c>
      <c r="S168" s="677">
        <v>0</v>
      </c>
      <c r="T168" s="677">
        <v>0</v>
      </c>
      <c r="U168" s="677">
        <v>0</v>
      </c>
      <c r="V168" s="677">
        <v>0</v>
      </c>
      <c r="W168" s="677">
        <v>35</v>
      </c>
      <c r="X168" s="678"/>
      <c r="Y168" s="682">
        <f>SUBTOTAL(109,Техкарта[[#This Row],[Знач1]:[Знач12]])</f>
        <v>35</v>
      </c>
      <c r="Z168" s="680"/>
      <c r="AA168" s="681">
        <v>73.662000000000006</v>
      </c>
      <c r="AB168" s="681">
        <v>29.978000000000002</v>
      </c>
      <c r="AC168" s="417">
        <v>5</v>
      </c>
      <c r="AD168" s="417"/>
      <c r="AE168" s="682" t="s">
        <v>4076</v>
      </c>
      <c r="AF168">
        <v>1</v>
      </c>
      <c r="AG168" s="713">
        <v>43101</v>
      </c>
      <c r="AH168" s="417"/>
      <c r="AI168" s="417"/>
      <c r="AJ168" s="714">
        <v>43174</v>
      </c>
      <c r="AK168" s="417"/>
      <c r="AL168" s="637" t="s">
        <v>3471</v>
      </c>
      <c r="AM168" s="417"/>
      <c r="AN168" s="417"/>
      <c r="AO168" s="636"/>
      <c r="AP168">
        <v>556660</v>
      </c>
      <c r="AQ168" s="715">
        <v>43174</v>
      </c>
      <c r="AR168" s="417"/>
      <c r="AS168" s="417"/>
      <c r="AT168" s="417"/>
      <c r="AU168" s="417"/>
      <c r="AV168" s="417"/>
      <c r="AW168" s="417"/>
      <c r="AX168" s="417"/>
      <c r="AY168" t="s">
        <v>3362</v>
      </c>
      <c r="AZ168" s="417"/>
      <c r="BA168" s="417"/>
      <c r="BB168" t="s">
        <v>3585</v>
      </c>
      <c r="BC168" s="636"/>
      <c r="BD168" s="417"/>
      <c r="BE168" s="612">
        <v>0</v>
      </c>
      <c r="BF168" s="613">
        <v>0</v>
      </c>
      <c r="BG168" s="614" t="s">
        <v>78</v>
      </c>
      <c r="BH168" s="682"/>
      <c r="BI168" s="417"/>
      <c r="BJ168" s="417">
        <v>9</v>
      </c>
      <c r="BK168" s="682" t="str">
        <f>Техкарта[[#This Row],[Кв-л]]&amp;" кв ("&amp;Substring(Техкарта[[#This Row],[Виділ]],"_",1)&amp;" вид) "&amp;Substring(Техкарта[[#This Row],[Виділ]],"_",2)&amp;" діл."</f>
        <v>167 кв (4 вид) 0 діл.</v>
      </c>
      <c r="BL168" s="682" t="str">
        <f>Техкарта[[#This Row],[ПолнаяДіл]] &amp;" "&amp;Техкарта[[#This Row],[ЛК]]&amp;" "&amp;Техкарта[[#This Row],[Вид рубки]]</f>
        <v>167 кв (4 вид) 0 діл. 556660 СРВ</v>
      </c>
      <c r="BM168" s="682"/>
      <c r="BN168" s="636" t="s">
        <v>3784</v>
      </c>
      <c r="BO168" s="636" t="s">
        <v>3784</v>
      </c>
      <c r="BP168" s="636" t="s">
        <v>3784</v>
      </c>
      <c r="BQ168" s="636" t="s">
        <v>105</v>
      </c>
      <c r="BR168" s="636"/>
      <c r="BS168" s="636"/>
      <c r="BT168" s="636"/>
      <c r="BU168" s="636"/>
      <c r="BV168" s="636"/>
      <c r="BW168" s="636" t="s">
        <v>4048</v>
      </c>
      <c r="BX168" s="636"/>
      <c r="BY168" s="972"/>
    </row>
    <row r="169" spans="1:77">
      <c r="A169" t="s">
        <v>105</v>
      </c>
      <c r="B169" s="675" t="s">
        <v>115</v>
      </c>
      <c r="C169" s="687" t="s">
        <v>126</v>
      </c>
      <c r="D169" s="675">
        <v>0</v>
      </c>
      <c r="E169" s="675" t="s">
        <v>2305</v>
      </c>
      <c r="F169" s="675">
        <v>3</v>
      </c>
      <c r="G169" s="675" t="s">
        <v>2238</v>
      </c>
      <c r="H169" s="675">
        <v>7</v>
      </c>
      <c r="I169" s="676" t="s">
        <v>4077</v>
      </c>
      <c r="J169" s="677">
        <v>0.1</v>
      </c>
      <c r="K169" s="683">
        <v>4</v>
      </c>
      <c r="L169" s="677">
        <v>0</v>
      </c>
      <c r="M169" s="677">
        <v>0</v>
      </c>
      <c r="N169" s="677">
        <v>0</v>
      </c>
      <c r="O169" s="677">
        <v>0</v>
      </c>
      <c r="P169" s="677">
        <v>0</v>
      </c>
      <c r="Q169" s="677">
        <v>0</v>
      </c>
      <c r="R169" s="677">
        <v>0</v>
      </c>
      <c r="S169" s="677">
        <v>0</v>
      </c>
      <c r="T169" s="677">
        <v>0</v>
      </c>
      <c r="U169" s="677">
        <v>0</v>
      </c>
      <c r="V169" s="677">
        <v>0</v>
      </c>
      <c r="W169" s="677">
        <v>5</v>
      </c>
      <c r="X169" s="678"/>
      <c r="Y169" s="682">
        <f>SUBTOTAL(109,Техкарта[[#This Row],[Знач1]:[Знач12]])</f>
        <v>5</v>
      </c>
      <c r="Z169" s="680"/>
      <c r="AA169" s="681">
        <v>67.745999999999995</v>
      </c>
      <c r="AB169" s="681">
        <v>29.978000000000002</v>
      </c>
      <c r="AC169" s="417">
        <v>1</v>
      </c>
      <c r="AD169" s="417"/>
      <c r="AE169" s="682" t="s">
        <v>4078</v>
      </c>
      <c r="AF169">
        <v>1</v>
      </c>
      <c r="AG169" s="713">
        <v>43101</v>
      </c>
      <c r="AH169" s="417"/>
      <c r="AI169" s="417"/>
      <c r="AJ169" s="714">
        <v>43174</v>
      </c>
      <c r="AK169" s="417"/>
      <c r="AL169" s="637" t="s">
        <v>3471</v>
      </c>
      <c r="AM169" s="417"/>
      <c r="AN169" s="417"/>
      <c r="AO169" s="636"/>
      <c r="AP169">
        <v>556660</v>
      </c>
      <c r="AQ169" s="715">
        <v>43174</v>
      </c>
      <c r="AR169" s="417"/>
      <c r="AS169" s="417"/>
      <c r="AT169" s="417"/>
      <c r="AU169" s="417"/>
      <c r="AV169" s="417"/>
      <c r="AW169" s="417"/>
      <c r="AX169" s="417"/>
      <c r="AY169" t="s">
        <v>3362</v>
      </c>
      <c r="AZ169" s="417"/>
      <c r="BA169" s="417"/>
      <c r="BB169" t="s">
        <v>3585</v>
      </c>
      <c r="BC169" s="636"/>
      <c r="BD169" s="417"/>
      <c r="BE169" s="612">
        <v>0</v>
      </c>
      <c r="BF169" s="613">
        <v>0</v>
      </c>
      <c r="BG169" s="614" t="s">
        <v>78</v>
      </c>
      <c r="BH169" s="682"/>
      <c r="BI169" s="417"/>
      <c r="BJ169" s="417">
        <v>10</v>
      </c>
      <c r="BK169" s="682" t="str">
        <f>Техкарта[[#This Row],[Кв-л]]&amp;" кв ("&amp;Substring(Техкарта[[#This Row],[Виділ]],"_",1)&amp;" вид) "&amp;Substring(Техкарта[[#This Row],[Виділ]],"_",2)&amp;" діл."</f>
        <v>7 кв (10 вид) 1 діл.</v>
      </c>
      <c r="BL169" s="682" t="str">
        <f>Техкарта[[#This Row],[ПолнаяДіл]] &amp;" "&amp;Техкарта[[#This Row],[ЛК]]&amp;" "&amp;Техкарта[[#This Row],[Вид рубки]]</f>
        <v>7 кв (10 вид) 1 діл. 556660 СРВ</v>
      </c>
      <c r="BM169" s="682"/>
      <c r="BN169" s="636" t="s">
        <v>3784</v>
      </c>
      <c r="BO169" s="636" t="s">
        <v>3784</v>
      </c>
      <c r="BP169" s="636" t="s">
        <v>3784</v>
      </c>
      <c r="BQ169" s="636" t="s">
        <v>105</v>
      </c>
      <c r="BR169" s="636"/>
      <c r="BS169" s="636"/>
      <c r="BT169" s="636"/>
      <c r="BU169" s="636"/>
      <c r="BV169" s="636"/>
      <c r="BW169" s="636" t="s">
        <v>4048</v>
      </c>
      <c r="BX169" s="636"/>
      <c r="BY169" s="972"/>
    </row>
    <row r="170" spans="1:77">
      <c r="A170" t="s">
        <v>105</v>
      </c>
      <c r="B170" s="675" t="s">
        <v>115</v>
      </c>
      <c r="C170" s="687" t="s">
        <v>126</v>
      </c>
      <c r="D170" s="675">
        <v>0</v>
      </c>
      <c r="E170" s="675" t="s">
        <v>2305</v>
      </c>
      <c r="F170" s="675">
        <v>3</v>
      </c>
      <c r="G170" s="675" t="s">
        <v>2238</v>
      </c>
      <c r="H170" s="675">
        <v>7</v>
      </c>
      <c r="I170" s="676" t="s">
        <v>4042</v>
      </c>
      <c r="J170" s="677">
        <v>0.1</v>
      </c>
      <c r="K170" s="683">
        <v>4</v>
      </c>
      <c r="L170" s="677">
        <v>0</v>
      </c>
      <c r="M170" s="677">
        <v>0</v>
      </c>
      <c r="N170" s="677">
        <v>0</v>
      </c>
      <c r="O170" s="677">
        <v>0</v>
      </c>
      <c r="P170" s="677">
        <v>0</v>
      </c>
      <c r="Q170" s="677">
        <v>0</v>
      </c>
      <c r="R170" s="677">
        <v>0</v>
      </c>
      <c r="S170" s="677">
        <v>0</v>
      </c>
      <c r="T170" s="677">
        <v>0</v>
      </c>
      <c r="U170" s="677">
        <v>0</v>
      </c>
      <c r="V170" s="677">
        <v>0</v>
      </c>
      <c r="W170" s="677">
        <v>5</v>
      </c>
      <c r="X170" s="678"/>
      <c r="Y170" s="682">
        <f>SUBTOTAL(109,Техкарта[[#This Row],[Знач1]:[Знач12]])</f>
        <v>5</v>
      </c>
      <c r="Z170" s="680"/>
      <c r="AA170" s="681">
        <v>67.745999999999995</v>
      </c>
      <c r="AB170" s="681">
        <v>29.978000000000002</v>
      </c>
      <c r="AC170" s="417">
        <v>0</v>
      </c>
      <c r="AD170" s="417"/>
      <c r="AE170" s="682" t="s">
        <v>4079</v>
      </c>
      <c r="AF170">
        <v>1</v>
      </c>
      <c r="AG170" s="713">
        <v>43101</v>
      </c>
      <c r="AH170" s="417"/>
      <c r="AI170" s="417"/>
      <c r="AJ170" s="714">
        <v>43174</v>
      </c>
      <c r="AK170" s="417"/>
      <c r="AL170" s="637" t="s">
        <v>3471</v>
      </c>
      <c r="AM170" s="417"/>
      <c r="AN170" s="417"/>
      <c r="AO170" s="636"/>
      <c r="AP170">
        <v>556660</v>
      </c>
      <c r="AQ170" s="715">
        <v>43174</v>
      </c>
      <c r="AR170" s="417"/>
      <c r="AS170" s="417"/>
      <c r="AT170" s="417"/>
      <c r="AU170" s="417"/>
      <c r="AV170" s="417"/>
      <c r="AW170" s="417"/>
      <c r="AX170" s="417"/>
      <c r="AY170" t="s">
        <v>3362</v>
      </c>
      <c r="AZ170" s="417"/>
      <c r="BA170" s="417"/>
      <c r="BB170" t="s">
        <v>3585</v>
      </c>
      <c r="BC170" s="636"/>
      <c r="BD170" s="417"/>
      <c r="BE170" s="612">
        <v>0</v>
      </c>
      <c r="BF170" s="613">
        <v>0</v>
      </c>
      <c r="BG170" s="614" t="s">
        <v>78</v>
      </c>
      <c r="BH170" s="682"/>
      <c r="BI170" s="417"/>
      <c r="BJ170" s="417">
        <v>11</v>
      </c>
      <c r="BK170" s="682" t="str">
        <f>Техкарта[[#This Row],[Кв-л]]&amp;" кв ("&amp;Substring(Техкарта[[#This Row],[Виділ]],"_",1)&amp;" вид) "&amp;Substring(Техкарта[[#This Row],[Виділ]],"_",2)&amp;" діл."</f>
        <v>7 кв (7 вид) 1 діл.</v>
      </c>
      <c r="BL170" s="682" t="str">
        <f>Техкарта[[#This Row],[ПолнаяДіл]] &amp;" "&amp;Техкарта[[#This Row],[ЛК]]&amp;" "&amp;Техкарта[[#This Row],[Вид рубки]]</f>
        <v>7 кв (7 вид) 1 діл. 556660 СРВ</v>
      </c>
      <c r="BM170" s="682"/>
      <c r="BN170" s="636" t="s">
        <v>3784</v>
      </c>
      <c r="BO170" s="636" t="s">
        <v>3784</v>
      </c>
      <c r="BP170" s="636" t="s">
        <v>3784</v>
      </c>
      <c r="BQ170" s="636" t="s">
        <v>105</v>
      </c>
      <c r="BR170" s="636"/>
      <c r="BS170" s="636"/>
      <c r="BT170" s="636"/>
      <c r="BU170" s="636"/>
      <c r="BV170" s="636"/>
      <c r="BW170" s="636" t="s">
        <v>4048</v>
      </c>
      <c r="BX170" s="636"/>
      <c r="BY170" s="972"/>
    </row>
    <row r="171" spans="1:77">
      <c r="A171" t="s">
        <v>105</v>
      </c>
      <c r="B171" s="675" t="s">
        <v>115</v>
      </c>
      <c r="C171" s="687" t="s">
        <v>126</v>
      </c>
      <c r="D171" s="675">
        <v>0</v>
      </c>
      <c r="E171" s="675" t="s">
        <v>2305</v>
      </c>
      <c r="F171" s="675">
        <v>3</v>
      </c>
      <c r="G171" s="675" t="s">
        <v>2238</v>
      </c>
      <c r="H171" s="675">
        <v>96</v>
      </c>
      <c r="I171" s="676" t="s">
        <v>3851</v>
      </c>
      <c r="J171" s="677">
        <v>4.4000000000000004</v>
      </c>
      <c r="K171" s="683">
        <v>214</v>
      </c>
      <c r="L171" s="677">
        <v>0</v>
      </c>
      <c r="M171" s="677">
        <v>0</v>
      </c>
      <c r="N171" s="677">
        <v>0</v>
      </c>
      <c r="O171" s="677">
        <v>0</v>
      </c>
      <c r="P171" s="677">
        <v>0</v>
      </c>
      <c r="Q171" s="677">
        <v>0</v>
      </c>
      <c r="R171" s="677">
        <v>0</v>
      </c>
      <c r="S171" s="677">
        <v>0</v>
      </c>
      <c r="T171" s="677">
        <v>0</v>
      </c>
      <c r="U171" s="677">
        <v>0</v>
      </c>
      <c r="V171" s="677">
        <v>0</v>
      </c>
      <c r="W171" s="677">
        <v>42</v>
      </c>
      <c r="X171" s="678"/>
      <c r="Y171" s="682">
        <f>SUBTOTAL(109,Техкарта[[#This Row],[Знач1]:[Знач12]])</f>
        <v>42</v>
      </c>
      <c r="Z171" s="680"/>
      <c r="AA171" s="681">
        <v>124.866</v>
      </c>
      <c r="AB171" s="681">
        <v>29.978000000000002</v>
      </c>
      <c r="AC171" s="417">
        <v>4</v>
      </c>
      <c r="AD171" s="417"/>
      <c r="AE171" s="682" t="s">
        <v>4080</v>
      </c>
      <c r="AF171">
        <v>1</v>
      </c>
      <c r="AG171" s="713">
        <v>43101</v>
      </c>
      <c r="AH171" s="417"/>
      <c r="AI171" s="417"/>
      <c r="AJ171" s="714">
        <v>43174</v>
      </c>
      <c r="AK171" s="417"/>
      <c r="AL171" s="637" t="s">
        <v>3444</v>
      </c>
      <c r="AM171" s="417"/>
      <c r="AN171" s="417"/>
      <c r="AO171" s="636"/>
      <c r="AP171">
        <v>556660</v>
      </c>
      <c r="AQ171" s="715">
        <v>43174</v>
      </c>
      <c r="AR171" s="417"/>
      <c r="AS171" s="417"/>
      <c r="AT171" s="417"/>
      <c r="AU171" s="417"/>
      <c r="AV171" s="417"/>
      <c r="AW171" s="417"/>
      <c r="AX171" s="417"/>
      <c r="AY171" t="s">
        <v>3362</v>
      </c>
      <c r="AZ171" s="417"/>
      <c r="BA171" s="417"/>
      <c r="BB171" t="s">
        <v>3585</v>
      </c>
      <c r="BC171" s="636"/>
      <c r="BD171" s="417"/>
      <c r="BE171" s="612">
        <v>0</v>
      </c>
      <c r="BF171" s="613">
        <v>0</v>
      </c>
      <c r="BG171" s="614" t="s">
        <v>78</v>
      </c>
      <c r="BH171" s="682"/>
      <c r="BI171" s="417"/>
      <c r="BJ171" s="417">
        <v>12</v>
      </c>
      <c r="BK171" s="682" t="str">
        <f>Техкарта[[#This Row],[Кв-л]]&amp;" кв ("&amp;Substring(Техкарта[[#This Row],[Виділ]],"_",1)&amp;" вид) "&amp;Substring(Техкарта[[#This Row],[Виділ]],"_",2)&amp;" діл."</f>
        <v>96 кв (12 вид) 0 діл.</v>
      </c>
      <c r="BL171" s="682" t="str">
        <f>Техкарта[[#This Row],[ПолнаяДіл]] &amp;" "&amp;Техкарта[[#This Row],[ЛК]]&amp;" "&amp;Техкарта[[#This Row],[Вид рубки]]</f>
        <v>96 кв (12 вид) 0 діл. 556660 СРВ</v>
      </c>
      <c r="BM171" s="682"/>
      <c r="BN171" s="636" t="s">
        <v>3784</v>
      </c>
      <c r="BO171" s="636" t="s">
        <v>3784</v>
      </c>
      <c r="BP171" s="636" t="s">
        <v>3784</v>
      </c>
      <c r="BQ171" s="636" t="s">
        <v>105</v>
      </c>
      <c r="BR171" s="636"/>
      <c r="BS171" s="636"/>
      <c r="BT171" s="636"/>
      <c r="BU171" s="636"/>
      <c r="BV171" s="636"/>
      <c r="BW171" s="636" t="s">
        <v>4048</v>
      </c>
      <c r="BX171" s="636"/>
      <c r="BY171" s="972"/>
    </row>
    <row r="172" spans="1:77">
      <c r="A172" t="s">
        <v>105</v>
      </c>
      <c r="B172" s="675" t="s">
        <v>115</v>
      </c>
      <c r="C172" s="687" t="s">
        <v>126</v>
      </c>
      <c r="D172" s="675">
        <v>0</v>
      </c>
      <c r="E172" s="675" t="s">
        <v>2305</v>
      </c>
      <c r="F172" s="675">
        <v>3</v>
      </c>
      <c r="G172" s="675" t="s">
        <v>2238</v>
      </c>
      <c r="H172" s="675">
        <v>161</v>
      </c>
      <c r="I172" s="676" t="s">
        <v>3852</v>
      </c>
      <c r="J172" s="677">
        <v>4.4000000000000004</v>
      </c>
      <c r="K172" s="683">
        <v>167</v>
      </c>
      <c r="L172" s="677">
        <v>0</v>
      </c>
      <c r="M172" s="677">
        <v>0</v>
      </c>
      <c r="N172" s="677">
        <v>0</v>
      </c>
      <c r="O172" s="677">
        <v>0</v>
      </c>
      <c r="P172" s="677">
        <v>0</v>
      </c>
      <c r="Q172" s="677">
        <v>0</v>
      </c>
      <c r="R172" s="677">
        <v>0</v>
      </c>
      <c r="S172" s="677">
        <v>0</v>
      </c>
      <c r="T172" s="677">
        <v>0</v>
      </c>
      <c r="U172" s="677">
        <v>0</v>
      </c>
      <c r="V172" s="677">
        <v>0</v>
      </c>
      <c r="W172" s="677">
        <v>68</v>
      </c>
      <c r="X172" s="678"/>
      <c r="Y172" s="682">
        <f>SUBTOTAL(109,Техкарта[[#This Row],[Знач1]:[Знач12]])</f>
        <v>68</v>
      </c>
      <c r="Z172" s="680"/>
      <c r="AA172" s="681">
        <v>89.072999999999993</v>
      </c>
      <c r="AB172" s="681">
        <v>29.978000000000002</v>
      </c>
      <c r="AC172" s="417">
        <v>10</v>
      </c>
      <c r="AD172" s="417"/>
      <c r="AE172" s="682" t="s">
        <v>4081</v>
      </c>
      <c r="AF172">
        <v>1</v>
      </c>
      <c r="AG172" s="713">
        <v>43101</v>
      </c>
      <c r="AH172" s="417"/>
      <c r="AI172" s="417"/>
      <c r="AJ172" s="714">
        <v>43174</v>
      </c>
      <c r="AK172" s="417"/>
      <c r="AL172" s="637" t="s">
        <v>3483</v>
      </c>
      <c r="AM172" s="417"/>
      <c r="AN172" s="417"/>
      <c r="AO172" s="636"/>
      <c r="AP172">
        <v>556660</v>
      </c>
      <c r="AQ172" s="715">
        <v>43174</v>
      </c>
      <c r="AR172" s="417"/>
      <c r="AS172" s="417"/>
      <c r="AT172" s="417"/>
      <c r="AU172" s="417"/>
      <c r="AV172" s="417"/>
      <c r="AW172" s="417"/>
      <c r="AX172" s="417"/>
      <c r="AY172" t="s">
        <v>3362</v>
      </c>
      <c r="AZ172" s="417"/>
      <c r="BA172" s="417"/>
      <c r="BB172" t="s">
        <v>3585</v>
      </c>
      <c r="BC172" s="636"/>
      <c r="BD172" s="417"/>
      <c r="BE172" s="612">
        <v>0</v>
      </c>
      <c r="BF172" s="613">
        <v>0</v>
      </c>
      <c r="BG172" s="614" t="s">
        <v>78</v>
      </c>
      <c r="BH172" s="682"/>
      <c r="BI172" s="417"/>
      <c r="BJ172" s="417">
        <v>13</v>
      </c>
      <c r="BK172" s="682" t="str">
        <f>Техкарта[[#This Row],[Кв-л]]&amp;" кв ("&amp;Substring(Техкарта[[#This Row],[Виділ]],"_",1)&amp;" вид) "&amp;Substring(Техкарта[[#This Row],[Виділ]],"_",2)&amp;" діл."</f>
        <v>161 кв (14 вид) 0 діл.</v>
      </c>
      <c r="BL172" s="682" t="str">
        <f>Техкарта[[#This Row],[ПолнаяДіл]] &amp;" "&amp;Техкарта[[#This Row],[ЛК]]&amp;" "&amp;Техкарта[[#This Row],[Вид рубки]]</f>
        <v>161 кв (14 вид) 0 діл. 556660 СРВ</v>
      </c>
      <c r="BM172" s="682"/>
      <c r="BN172" s="636" t="s">
        <v>3784</v>
      </c>
      <c r="BO172" s="636" t="s">
        <v>3784</v>
      </c>
      <c r="BP172" s="636" t="s">
        <v>3784</v>
      </c>
      <c r="BQ172" s="636" t="s">
        <v>105</v>
      </c>
      <c r="BR172" s="636"/>
      <c r="BS172" s="636"/>
      <c r="BT172" s="636"/>
      <c r="BU172" s="636"/>
      <c r="BV172" s="636"/>
      <c r="BW172" s="636" t="s">
        <v>4048</v>
      </c>
      <c r="BX172" s="636"/>
      <c r="BY172" s="972"/>
    </row>
    <row r="173" spans="1:77">
      <c r="A173" t="s">
        <v>105</v>
      </c>
      <c r="B173" s="675" t="s">
        <v>111</v>
      </c>
      <c r="C173" s="687" t="s">
        <v>140</v>
      </c>
      <c r="D173" s="675">
        <v>0</v>
      </c>
      <c r="E173" s="675" t="s">
        <v>2305</v>
      </c>
      <c r="F173" s="675">
        <v>3</v>
      </c>
      <c r="G173" s="675" t="s">
        <v>2238</v>
      </c>
      <c r="H173" s="675">
        <v>98</v>
      </c>
      <c r="I173" s="676" t="s">
        <v>4077</v>
      </c>
      <c r="J173" s="677">
        <v>0.1</v>
      </c>
      <c r="K173" s="683">
        <v>144</v>
      </c>
      <c r="L173" s="677">
        <v>0</v>
      </c>
      <c r="M173" s="677">
        <v>7</v>
      </c>
      <c r="N173" s="677">
        <v>0</v>
      </c>
      <c r="O173" s="677">
        <v>0</v>
      </c>
      <c r="P173" s="677">
        <v>0</v>
      </c>
      <c r="Q173" s="677">
        <v>0</v>
      </c>
      <c r="R173" s="677">
        <v>0</v>
      </c>
      <c r="S173" s="677">
        <v>25</v>
      </c>
      <c r="T173" s="677">
        <v>0</v>
      </c>
      <c r="U173" s="677">
        <v>0</v>
      </c>
      <c r="V173" s="677">
        <v>20</v>
      </c>
      <c r="W173" s="677">
        <v>0</v>
      </c>
      <c r="X173" s="678"/>
      <c r="Y173" s="682">
        <f>SUBTOTAL(109,Техкарта[[#This Row],[Знач1]:[Знач12]])</f>
        <v>52</v>
      </c>
      <c r="Z173" s="680"/>
      <c r="AA173" s="681">
        <v>71.400999999999996</v>
      </c>
      <c r="AB173" s="681">
        <v>29.978000000000002</v>
      </c>
      <c r="AC173" s="417">
        <v>8</v>
      </c>
      <c r="AD173" s="417"/>
      <c r="AE173" s="682" t="s">
        <v>4082</v>
      </c>
      <c r="AF173">
        <v>1</v>
      </c>
      <c r="AG173" s="713">
        <v>43101</v>
      </c>
      <c r="AH173" s="417"/>
      <c r="AI173" s="417"/>
      <c r="AJ173" s="714">
        <v>43160</v>
      </c>
      <c r="AK173" s="417"/>
      <c r="AL173" s="637" t="s">
        <v>3445</v>
      </c>
      <c r="AM173" s="417"/>
      <c r="AN173" s="417"/>
      <c r="AO173" s="636"/>
      <c r="AP173">
        <v>556653</v>
      </c>
      <c r="AQ173" s="715">
        <v>43157</v>
      </c>
      <c r="AR173" s="417"/>
      <c r="AS173" s="417"/>
      <c r="AT173" s="417"/>
      <c r="AU173" s="417"/>
      <c r="AV173" s="417"/>
      <c r="AW173" s="417"/>
      <c r="AX173" s="417"/>
      <c r="AY173" t="s">
        <v>3424</v>
      </c>
      <c r="AZ173" s="417"/>
      <c r="BA173" s="417"/>
      <c r="BB173" t="s">
        <v>3583</v>
      </c>
      <c r="BC173" s="636"/>
      <c r="BD173" s="417"/>
      <c r="BE173" s="612">
        <v>0</v>
      </c>
      <c r="BF173" s="613">
        <v>0</v>
      </c>
      <c r="BG173" s="614" t="s">
        <v>78</v>
      </c>
      <c r="BH173" s="682"/>
      <c r="BI173" s="417"/>
      <c r="BJ173" s="417">
        <v>1</v>
      </c>
      <c r="BK173" s="682" t="str">
        <f>Техкарта[[#This Row],[Кв-л]]&amp;" кв ("&amp;Substring(Техкарта[[#This Row],[Виділ]],"_",1)&amp;" вид) "&amp;Substring(Техкарта[[#This Row],[Виділ]],"_",2)&amp;" діл."</f>
        <v>98 кв (10 вид) 1 діл.</v>
      </c>
      <c r="BL173" s="682" t="str">
        <f>Техкарта[[#This Row],[ПолнаяДіл]] &amp;" "&amp;Техкарта[[#This Row],[ЛК]]&amp;" "&amp;Техкарта[[#This Row],[Вид рубки]]</f>
        <v>98 кв (10 вид) 1 діл. 556653 ПРХ</v>
      </c>
      <c r="BM173" s="682"/>
      <c r="BN173" s="636" t="s">
        <v>3784</v>
      </c>
      <c r="BO173" s="636" t="s">
        <v>3784</v>
      </c>
      <c r="BP173" s="636" t="s">
        <v>3784</v>
      </c>
      <c r="BQ173" s="636" t="s">
        <v>105</v>
      </c>
      <c r="BR173" s="636"/>
      <c r="BS173" s="636"/>
      <c r="BT173" s="636"/>
      <c r="BU173" s="636"/>
      <c r="BV173" s="636"/>
      <c r="BW173" s="636" t="s">
        <v>4048</v>
      </c>
      <c r="BX173" s="636"/>
      <c r="BY173" s="972"/>
    </row>
    <row r="174" spans="1:77">
      <c r="A174" t="s">
        <v>105</v>
      </c>
      <c r="B174" s="675" t="s">
        <v>115</v>
      </c>
      <c r="C174" s="687" t="s">
        <v>126</v>
      </c>
      <c r="D174" s="675">
        <v>0</v>
      </c>
      <c r="E174" s="675" t="s">
        <v>2305</v>
      </c>
      <c r="F174" s="675">
        <v>3</v>
      </c>
      <c r="G174" s="675" t="s">
        <v>2238</v>
      </c>
      <c r="H174" s="675">
        <v>8</v>
      </c>
      <c r="I174" s="676" t="s">
        <v>3794</v>
      </c>
      <c r="J174" s="677">
        <v>3.9</v>
      </c>
      <c r="K174" s="683">
        <v>102</v>
      </c>
      <c r="L174" s="677">
        <v>0</v>
      </c>
      <c r="M174" s="677">
        <v>0</v>
      </c>
      <c r="N174" s="677">
        <v>10</v>
      </c>
      <c r="O174" s="677">
        <v>0</v>
      </c>
      <c r="P174" s="677">
        <v>0</v>
      </c>
      <c r="Q174" s="677">
        <v>0</v>
      </c>
      <c r="R174" s="677">
        <v>0</v>
      </c>
      <c r="S174" s="677">
        <v>0</v>
      </c>
      <c r="T174" s="677">
        <v>0</v>
      </c>
      <c r="U174" s="677">
        <v>9</v>
      </c>
      <c r="V174" s="677">
        <v>0</v>
      </c>
      <c r="W174" s="677">
        <v>45</v>
      </c>
      <c r="X174" s="678"/>
      <c r="Y174" s="682">
        <f>SUBTOTAL(109,Техкарта[[#This Row],[Знач1]:[Знач12]])</f>
        <v>64</v>
      </c>
      <c r="Z174" s="680"/>
      <c r="AA174" s="681">
        <v>67.745999999999995</v>
      </c>
      <c r="AB174" s="681">
        <v>29.978000000000002</v>
      </c>
      <c r="AC174" s="417">
        <v>4</v>
      </c>
      <c r="AD174" s="417"/>
      <c r="AE174" s="682" t="s">
        <v>4078</v>
      </c>
      <c r="AF174">
        <v>1</v>
      </c>
      <c r="AG174" s="713">
        <v>43101</v>
      </c>
      <c r="AH174" s="417"/>
      <c r="AI174" s="417"/>
      <c r="AJ174" s="714">
        <v>43174</v>
      </c>
      <c r="AK174" s="417"/>
      <c r="AL174" s="637" t="s">
        <v>3471</v>
      </c>
      <c r="AM174" s="417"/>
      <c r="AN174" s="417"/>
      <c r="AO174" s="636"/>
      <c r="AP174">
        <v>556660</v>
      </c>
      <c r="AQ174" s="715">
        <v>43174</v>
      </c>
      <c r="AR174" s="417"/>
      <c r="AS174" s="417"/>
      <c r="AT174" s="417"/>
      <c r="AU174" s="417"/>
      <c r="AV174" s="417"/>
      <c r="AW174" s="417"/>
      <c r="AX174" s="417"/>
      <c r="AY174" t="s">
        <v>3362</v>
      </c>
      <c r="AZ174" s="417"/>
      <c r="BA174" s="417"/>
      <c r="BB174" t="s">
        <v>3585</v>
      </c>
      <c r="BC174" s="636"/>
      <c r="BD174" s="417"/>
      <c r="BE174" s="612">
        <v>0</v>
      </c>
      <c r="BF174" s="613">
        <v>0</v>
      </c>
      <c r="BG174" s="614" t="s">
        <v>78</v>
      </c>
      <c r="BH174" s="682"/>
      <c r="BI174" s="417"/>
      <c r="BJ174" s="417">
        <v>1</v>
      </c>
      <c r="BK174" s="682" t="str">
        <f>Техкарта[[#This Row],[Кв-л]]&amp;" кв ("&amp;Substring(Техкарта[[#This Row],[Виділ]],"_",1)&amp;" вид) "&amp;Substring(Техкарта[[#This Row],[Виділ]],"_",2)&amp;" діл."</f>
        <v>8 кв (11 вид) 0 діл.</v>
      </c>
      <c r="BL174" s="682" t="str">
        <f>Техкарта[[#This Row],[ПолнаяДіл]] &amp;" "&amp;Техкарта[[#This Row],[ЛК]]&amp;" "&amp;Техкарта[[#This Row],[Вид рубки]]</f>
        <v>8 кв (11 вид) 0 діл. 556660 СРВ</v>
      </c>
      <c r="BM174" s="682"/>
      <c r="BN174" s="636" t="s">
        <v>3784</v>
      </c>
      <c r="BO174" s="636" t="s">
        <v>3784</v>
      </c>
      <c r="BP174" s="636" t="s">
        <v>3784</v>
      </c>
      <c r="BQ174" s="636" t="s">
        <v>105</v>
      </c>
      <c r="BR174" s="636"/>
      <c r="BS174" s="636"/>
      <c r="BT174" s="636"/>
      <c r="BU174" s="636"/>
      <c r="BV174" s="636"/>
      <c r="BW174" s="636" t="s">
        <v>4048</v>
      </c>
      <c r="BX174" s="636"/>
      <c r="BY174" s="972"/>
    </row>
    <row r="175" spans="1:77">
      <c r="A175" t="s">
        <v>105</v>
      </c>
      <c r="B175" s="675" t="s">
        <v>115</v>
      </c>
      <c r="C175" s="687" t="s">
        <v>126</v>
      </c>
      <c r="D175" s="675">
        <v>0</v>
      </c>
      <c r="E175" s="675" t="s">
        <v>2305</v>
      </c>
      <c r="F175" s="675">
        <v>3</v>
      </c>
      <c r="G175" s="675" t="s">
        <v>2238</v>
      </c>
      <c r="H175" s="675">
        <v>7</v>
      </c>
      <c r="I175" s="676" t="s">
        <v>3850</v>
      </c>
      <c r="J175" s="677">
        <v>1.3</v>
      </c>
      <c r="K175" s="683">
        <v>48</v>
      </c>
      <c r="L175" s="677">
        <v>0</v>
      </c>
      <c r="M175" s="677">
        <v>0</v>
      </c>
      <c r="N175" s="677">
        <v>3</v>
      </c>
      <c r="O175" s="677">
        <v>0</v>
      </c>
      <c r="P175" s="677">
        <v>0</v>
      </c>
      <c r="Q175" s="677">
        <v>0</v>
      </c>
      <c r="R175" s="677">
        <v>0</v>
      </c>
      <c r="S175" s="677">
        <v>0</v>
      </c>
      <c r="T175" s="677">
        <v>0</v>
      </c>
      <c r="U175" s="677">
        <v>6</v>
      </c>
      <c r="V175" s="677">
        <v>0</v>
      </c>
      <c r="W175" s="677">
        <v>11</v>
      </c>
      <c r="X175" s="678"/>
      <c r="Y175" s="682">
        <f>SUBTOTAL(109,Техкарта[[#This Row],[Знач1]:[Знач12]])</f>
        <v>20</v>
      </c>
      <c r="Z175" s="680"/>
      <c r="AA175" s="681">
        <v>81.790000000000006</v>
      </c>
      <c r="AB175" s="681">
        <v>29.978000000000002</v>
      </c>
      <c r="AC175" s="417">
        <v>2</v>
      </c>
      <c r="AD175" s="417"/>
      <c r="AE175" s="682" t="s">
        <v>4067</v>
      </c>
      <c r="AF175">
        <v>1</v>
      </c>
      <c r="AG175" s="713">
        <v>43101</v>
      </c>
      <c r="AH175" s="417"/>
      <c r="AI175" s="417"/>
      <c r="AJ175" s="714">
        <v>43174</v>
      </c>
      <c r="AK175" s="417"/>
      <c r="AL175" s="637" t="s">
        <v>3471</v>
      </c>
      <c r="AM175" s="417"/>
      <c r="AN175" s="417"/>
      <c r="AO175" s="636"/>
      <c r="AP175">
        <v>556660</v>
      </c>
      <c r="AQ175" s="715">
        <v>43174</v>
      </c>
      <c r="AR175" s="417"/>
      <c r="AS175" s="417"/>
      <c r="AT175" s="417"/>
      <c r="AU175" s="417"/>
      <c r="AV175" s="417"/>
      <c r="AW175" s="417"/>
      <c r="AX175" s="417"/>
      <c r="AY175" t="s">
        <v>3362</v>
      </c>
      <c r="AZ175" s="417"/>
      <c r="BA175" s="417"/>
      <c r="BB175" t="s">
        <v>3585</v>
      </c>
      <c r="BC175" s="636"/>
      <c r="BD175" s="417"/>
      <c r="BE175" s="612">
        <v>0</v>
      </c>
      <c r="BF175" s="613">
        <v>0</v>
      </c>
      <c r="BG175" s="614" t="s">
        <v>78</v>
      </c>
      <c r="BH175" s="682"/>
      <c r="BI175" s="417"/>
      <c r="BJ175" s="417">
        <v>2</v>
      </c>
      <c r="BK175" s="682" t="str">
        <f>Техкарта[[#This Row],[Кв-л]]&amp;" кв ("&amp;Substring(Техкарта[[#This Row],[Виділ]],"_",1)&amp;" вид) "&amp;Substring(Техкарта[[#This Row],[Виділ]],"_",2)&amp;" діл."</f>
        <v>7 кв (6 вид) 0 діл.</v>
      </c>
      <c r="BL175" s="682" t="str">
        <f>Техкарта[[#This Row],[ПолнаяДіл]] &amp;" "&amp;Техкарта[[#This Row],[ЛК]]&amp;" "&amp;Техкарта[[#This Row],[Вид рубки]]</f>
        <v>7 кв (6 вид) 0 діл. 556660 СРВ</v>
      </c>
      <c r="BM175" s="682"/>
      <c r="BN175" s="636" t="s">
        <v>3784</v>
      </c>
      <c r="BO175" s="636" t="s">
        <v>3784</v>
      </c>
      <c r="BP175" s="636" t="s">
        <v>3784</v>
      </c>
      <c r="BQ175" s="636" t="s">
        <v>105</v>
      </c>
      <c r="BR175" s="636"/>
      <c r="BS175" s="636"/>
      <c r="BT175" s="636"/>
      <c r="BU175" s="636"/>
      <c r="BV175" s="636"/>
      <c r="BW175" s="636" t="s">
        <v>4048</v>
      </c>
      <c r="BX175" s="636"/>
      <c r="BY175" s="972"/>
    </row>
    <row r="176" spans="1:77">
      <c r="A176" t="s">
        <v>105</v>
      </c>
      <c r="B176" s="675" t="s">
        <v>112</v>
      </c>
      <c r="C176" s="687" t="s">
        <v>126</v>
      </c>
      <c r="D176" s="675">
        <v>0</v>
      </c>
      <c r="E176" s="675" t="s">
        <v>2305</v>
      </c>
      <c r="F176" s="675">
        <v>3</v>
      </c>
      <c r="G176" s="675" t="s">
        <v>2238</v>
      </c>
      <c r="H176" s="675">
        <v>47</v>
      </c>
      <c r="I176" s="676" t="s">
        <v>3831</v>
      </c>
      <c r="J176" s="677">
        <v>1.7</v>
      </c>
      <c r="K176" s="683">
        <v>37</v>
      </c>
      <c r="L176" s="677">
        <v>0</v>
      </c>
      <c r="M176" s="677">
        <v>0</v>
      </c>
      <c r="N176" s="677">
        <v>0</v>
      </c>
      <c r="O176" s="677">
        <v>0</v>
      </c>
      <c r="P176" s="677">
        <v>0</v>
      </c>
      <c r="Q176" s="677">
        <v>0</v>
      </c>
      <c r="R176" s="677">
        <v>0</v>
      </c>
      <c r="S176" s="677">
        <v>0</v>
      </c>
      <c r="T176" s="677">
        <v>0</v>
      </c>
      <c r="U176" s="677">
        <v>0</v>
      </c>
      <c r="V176" s="677">
        <v>0</v>
      </c>
      <c r="W176" s="677">
        <v>16</v>
      </c>
      <c r="X176" s="678"/>
      <c r="Y176" s="682"/>
      <c r="Z176" s="680"/>
      <c r="AA176" s="681">
        <v>89.888000000000005</v>
      </c>
      <c r="AB176" s="681">
        <v>29.978000000000002</v>
      </c>
      <c r="AC176" s="417">
        <v>2</v>
      </c>
      <c r="AD176" s="417"/>
      <c r="AE176" s="682" t="s">
        <v>4084</v>
      </c>
      <c r="AF176">
        <v>1</v>
      </c>
      <c r="AG176" s="713">
        <v>43101</v>
      </c>
      <c r="AH176" s="417"/>
      <c r="AI176" s="417"/>
      <c r="AJ176" s="714">
        <v>43171</v>
      </c>
      <c r="AK176" s="417"/>
      <c r="AL176" s="637" t="s">
        <v>3444</v>
      </c>
      <c r="AM176" s="417"/>
      <c r="AN176" s="417"/>
      <c r="AO176" s="636"/>
      <c r="AP176">
        <v>556655</v>
      </c>
      <c r="AQ176" s="715">
        <v>43171</v>
      </c>
      <c r="AR176" s="417"/>
      <c r="AS176" s="417"/>
      <c r="AT176" s="417"/>
      <c r="AU176" s="417"/>
      <c r="AV176" s="417"/>
      <c r="AW176" s="417"/>
      <c r="AX176" s="417"/>
      <c r="AY176" t="s">
        <v>80</v>
      </c>
      <c r="AZ176" s="417"/>
      <c r="BA176" s="417"/>
      <c r="BB176" t="s">
        <v>3584</v>
      </c>
      <c r="BC176" s="636"/>
      <c r="BD176" s="417"/>
      <c r="BE176" s="612">
        <v>0</v>
      </c>
      <c r="BF176" s="613">
        <v>0</v>
      </c>
      <c r="BG176" s="614" t="s">
        <v>78</v>
      </c>
      <c r="BH176" s="682"/>
      <c r="BI176" s="417"/>
      <c r="BJ176" s="417">
        <v>4</v>
      </c>
      <c r="BK176" s="682" t="str">
        <f>Техкарта[[#This Row],[Кв-л]]&amp;" кв ("&amp;Substring(Техкарта[[#This Row],[Виділ]],"_",1)&amp;" вид) "&amp;Substring(Техкарта[[#This Row],[Виділ]],"_",2)&amp;" діл."</f>
        <v>47 кв (4 вид) 0 діл.</v>
      </c>
      <c r="BL176" s="682" t="str">
        <f>Техкарта[[#This Row],[ПолнаяДіл]] &amp;" "&amp;Техкарта[[#This Row],[ЛК]]&amp;" "&amp;Техкарта[[#This Row],[Вид рубки]]</f>
        <v>47 кв (4 вид) 0 діл. 556655 СРВ</v>
      </c>
      <c r="BM176" s="682"/>
      <c r="BN176" s="636" t="s">
        <v>3784</v>
      </c>
      <c r="BO176" s="636" t="s">
        <v>3784</v>
      </c>
      <c r="BP176" s="636" t="s">
        <v>3784</v>
      </c>
      <c r="BQ176" s="636" t="s">
        <v>105</v>
      </c>
      <c r="BR176" s="636"/>
      <c r="BS176" s="636"/>
      <c r="BT176" s="636"/>
      <c r="BU176" s="636"/>
      <c r="BV176" s="636"/>
      <c r="BW176" s="636" t="s">
        <v>4048</v>
      </c>
      <c r="BX176" s="636"/>
      <c r="BY176" s="972"/>
    </row>
    <row r="177" spans="1:77">
      <c r="A177" t="s">
        <v>105</v>
      </c>
      <c r="B177" s="675" t="s">
        <v>112</v>
      </c>
      <c r="C177" s="687" t="s">
        <v>126</v>
      </c>
      <c r="D177" s="675">
        <v>0</v>
      </c>
      <c r="E177" s="675" t="s">
        <v>2305</v>
      </c>
      <c r="F177" s="675">
        <v>3</v>
      </c>
      <c r="G177" s="675" t="s">
        <v>2238</v>
      </c>
      <c r="H177" s="675">
        <v>63</v>
      </c>
      <c r="I177" s="676" t="s">
        <v>3831</v>
      </c>
      <c r="J177" s="677">
        <v>3.9</v>
      </c>
      <c r="K177" s="683">
        <v>136</v>
      </c>
      <c r="L177" s="677">
        <v>0</v>
      </c>
      <c r="M177" s="677">
        <v>0</v>
      </c>
      <c r="N177" s="677">
        <v>22</v>
      </c>
      <c r="O177" s="677">
        <v>0</v>
      </c>
      <c r="P177" s="677">
        <v>0</v>
      </c>
      <c r="Q177" s="677">
        <v>0</v>
      </c>
      <c r="R177" s="677">
        <v>0</v>
      </c>
      <c r="S177" s="677">
        <v>0</v>
      </c>
      <c r="T177" s="677">
        <v>0</v>
      </c>
      <c r="U177" s="677">
        <v>0</v>
      </c>
      <c r="V177" s="677">
        <v>0</v>
      </c>
      <c r="W177" s="677">
        <v>81</v>
      </c>
      <c r="X177" s="678"/>
      <c r="Y177" s="682"/>
      <c r="Z177" s="680"/>
      <c r="AA177" s="681">
        <v>66.290000000000006</v>
      </c>
      <c r="AB177" s="681">
        <v>29.978000000000002</v>
      </c>
      <c r="AC177" s="417">
        <v>5</v>
      </c>
      <c r="AD177" s="417"/>
      <c r="AE177" s="682" t="s">
        <v>4085</v>
      </c>
      <c r="AF177">
        <v>1</v>
      </c>
      <c r="AG177" s="713">
        <v>43101</v>
      </c>
      <c r="AH177" s="417"/>
      <c r="AI177" s="417"/>
      <c r="AJ177" s="714">
        <v>43171</v>
      </c>
      <c r="AK177" s="417"/>
      <c r="AL177" s="637" t="s">
        <v>3440</v>
      </c>
      <c r="AM177" s="417"/>
      <c r="AN177" s="417"/>
      <c r="AO177" s="636"/>
      <c r="AP177">
        <v>556655</v>
      </c>
      <c r="AQ177" s="715">
        <v>43171</v>
      </c>
      <c r="AR177" s="417"/>
      <c r="AS177" s="417"/>
      <c r="AT177" s="417"/>
      <c r="AU177" s="417"/>
      <c r="AV177" s="417"/>
      <c r="AW177" s="417"/>
      <c r="AX177" s="417"/>
      <c r="AY177" t="s">
        <v>80</v>
      </c>
      <c r="AZ177" s="417"/>
      <c r="BA177" s="417"/>
      <c r="BB177" t="s">
        <v>3584</v>
      </c>
      <c r="BC177" s="636"/>
      <c r="BD177" s="417"/>
      <c r="BE177" s="612">
        <v>0</v>
      </c>
      <c r="BF177" s="613">
        <v>0</v>
      </c>
      <c r="BG177" s="614" t="s">
        <v>78</v>
      </c>
      <c r="BH177" s="682"/>
      <c r="BI177" s="417"/>
      <c r="BJ177" s="417">
        <v>5</v>
      </c>
      <c r="BK177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177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177" s="682"/>
      <c r="BN177" s="636" t="s">
        <v>3784</v>
      </c>
      <c r="BO177" s="636" t="s">
        <v>3784</v>
      </c>
      <c r="BP177" s="636" t="s">
        <v>3784</v>
      </c>
      <c r="BQ177" s="636" t="s">
        <v>105</v>
      </c>
      <c r="BR177" s="636"/>
      <c r="BS177" s="636"/>
      <c r="BT177" s="636"/>
      <c r="BU177" s="636"/>
      <c r="BV177" s="636"/>
      <c r="BW177" s="636" t="s">
        <v>4048</v>
      </c>
      <c r="BX177" s="636"/>
      <c r="BY177" s="972"/>
    </row>
    <row r="178" spans="1:77">
      <c r="A178" t="s">
        <v>105</v>
      </c>
      <c r="B178" s="675" t="s">
        <v>112</v>
      </c>
      <c r="C178" s="687" t="s">
        <v>126</v>
      </c>
      <c r="D178" s="675">
        <v>0</v>
      </c>
      <c r="E178" s="675" t="s">
        <v>2305</v>
      </c>
      <c r="F178" s="675">
        <v>3</v>
      </c>
      <c r="G178" s="675" t="s">
        <v>2238</v>
      </c>
      <c r="H178" s="675">
        <v>111</v>
      </c>
      <c r="I178" s="676" t="s">
        <v>3790</v>
      </c>
      <c r="J178" s="677">
        <v>3.4</v>
      </c>
      <c r="K178" s="683">
        <v>210</v>
      </c>
      <c r="L178" s="677">
        <v>0</v>
      </c>
      <c r="M178" s="677">
        <v>0</v>
      </c>
      <c r="N178" s="677">
        <v>0</v>
      </c>
      <c r="O178" s="677">
        <v>0</v>
      </c>
      <c r="P178" s="677">
        <v>0</v>
      </c>
      <c r="Q178" s="677">
        <v>0</v>
      </c>
      <c r="R178" s="677">
        <v>0</v>
      </c>
      <c r="S178" s="677">
        <v>0</v>
      </c>
      <c r="T178" s="677">
        <v>0</v>
      </c>
      <c r="U178" s="677">
        <v>0</v>
      </c>
      <c r="V178" s="677">
        <v>0</v>
      </c>
      <c r="W178" s="677">
        <v>22</v>
      </c>
      <c r="X178" s="678"/>
      <c r="Y178" s="682"/>
      <c r="Z178" s="680"/>
      <c r="AA178" s="681">
        <v>180.11500000000001</v>
      </c>
      <c r="AB178" s="681">
        <v>29.978000000000002</v>
      </c>
      <c r="AC178" s="417">
        <v>4</v>
      </c>
      <c r="AD178" s="417"/>
      <c r="AE178" s="682" t="s">
        <v>4086</v>
      </c>
      <c r="AF178">
        <v>1</v>
      </c>
      <c r="AG178" s="713">
        <v>43101</v>
      </c>
      <c r="AH178" s="417"/>
      <c r="AI178" s="417"/>
      <c r="AJ178" s="714">
        <v>43171</v>
      </c>
      <c r="AK178" s="417"/>
      <c r="AL178" s="637" t="s">
        <v>3458</v>
      </c>
      <c r="AM178" s="417"/>
      <c r="AN178" s="417"/>
      <c r="AO178" s="636"/>
      <c r="AP178">
        <v>556655</v>
      </c>
      <c r="AQ178" s="715">
        <v>43171</v>
      </c>
      <c r="AR178" s="417"/>
      <c r="AS178" s="417"/>
      <c r="AT178" s="417"/>
      <c r="AU178" s="417"/>
      <c r="AV178" s="417"/>
      <c r="AW178" s="417"/>
      <c r="AX178" s="417"/>
      <c r="AY178" t="s">
        <v>80</v>
      </c>
      <c r="AZ178" s="417"/>
      <c r="BA178" s="417"/>
      <c r="BB178" t="s">
        <v>3584</v>
      </c>
      <c r="BC178" s="636"/>
      <c r="BD178" s="417"/>
      <c r="BE178" s="612">
        <v>0</v>
      </c>
      <c r="BF178" s="613">
        <v>0</v>
      </c>
      <c r="BG178" s="614" t="s">
        <v>78</v>
      </c>
      <c r="BH178" s="682"/>
      <c r="BI178" s="417"/>
      <c r="BJ178" s="417">
        <v>6</v>
      </c>
      <c r="BK178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178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178" s="682"/>
      <c r="BN178" s="636" t="s">
        <v>3784</v>
      </c>
      <c r="BO178" s="636" t="s">
        <v>3784</v>
      </c>
      <c r="BP178" s="636" t="s">
        <v>3784</v>
      </c>
      <c r="BQ178" s="636" t="s">
        <v>105</v>
      </c>
      <c r="BR178" s="636"/>
      <c r="BS178" s="636"/>
      <c r="BT178" s="636"/>
      <c r="BU178" s="636"/>
      <c r="BV178" s="636"/>
      <c r="BW178" s="636" t="s">
        <v>4048</v>
      </c>
      <c r="BX178" s="636"/>
      <c r="BY178" s="972"/>
    </row>
    <row r="179" spans="1:77">
      <c r="A179" t="s">
        <v>105</v>
      </c>
      <c r="B179" s="675" t="s">
        <v>112</v>
      </c>
      <c r="C179" s="687" t="s">
        <v>126</v>
      </c>
      <c r="D179" s="675">
        <v>0</v>
      </c>
      <c r="E179" s="675" t="s">
        <v>2305</v>
      </c>
      <c r="F179" s="675">
        <v>3</v>
      </c>
      <c r="G179" s="675" t="s">
        <v>2238</v>
      </c>
      <c r="H179" s="675">
        <v>4</v>
      </c>
      <c r="I179" s="676" t="s">
        <v>3794</v>
      </c>
      <c r="J179" s="677">
        <v>1.6</v>
      </c>
      <c r="K179" s="683">
        <v>61</v>
      </c>
      <c r="L179" s="677">
        <v>0</v>
      </c>
      <c r="M179" s="677">
        <v>0</v>
      </c>
      <c r="N179" s="677">
        <v>0</v>
      </c>
      <c r="O179" s="677">
        <v>0</v>
      </c>
      <c r="P179" s="677">
        <v>0</v>
      </c>
      <c r="Q179" s="677">
        <v>0</v>
      </c>
      <c r="R179" s="677">
        <v>0</v>
      </c>
      <c r="S179" s="677">
        <v>0</v>
      </c>
      <c r="T179" s="677">
        <v>28</v>
      </c>
      <c r="U179" s="677">
        <v>0</v>
      </c>
      <c r="V179" s="677">
        <v>0</v>
      </c>
      <c r="W179" s="677">
        <v>0</v>
      </c>
      <c r="X179" s="678"/>
      <c r="Y179" s="682"/>
      <c r="Z179" s="680"/>
      <c r="AA179" s="681">
        <v>85.326999999999998</v>
      </c>
      <c r="AB179" s="681">
        <v>29.978000000000002</v>
      </c>
      <c r="AC179" s="417">
        <v>2</v>
      </c>
      <c r="AD179" s="417"/>
      <c r="AE179" s="682" t="s">
        <v>4087</v>
      </c>
      <c r="AF179">
        <v>1</v>
      </c>
      <c r="AG179" s="713">
        <v>43101</v>
      </c>
      <c r="AH179" s="417"/>
      <c r="AI179" s="417"/>
      <c r="AJ179" s="714">
        <v>43171</v>
      </c>
      <c r="AK179" s="417"/>
      <c r="AL179" s="637" t="s">
        <v>3468</v>
      </c>
      <c r="AM179" s="417"/>
      <c r="AN179" s="417"/>
      <c r="AO179" s="636"/>
      <c r="AP179">
        <v>556645</v>
      </c>
      <c r="AQ179" s="715">
        <v>43122</v>
      </c>
      <c r="AR179" s="417"/>
      <c r="AS179" s="417"/>
      <c r="AT179" s="417"/>
      <c r="AU179" s="417"/>
      <c r="AV179" s="417"/>
      <c r="AW179" s="417"/>
      <c r="AX179" s="417"/>
      <c r="AY179" t="s">
        <v>80</v>
      </c>
      <c r="AZ179" s="417"/>
      <c r="BA179" s="417"/>
      <c r="BB179" t="s">
        <v>3584</v>
      </c>
      <c r="BC179" s="636"/>
      <c r="BD179" s="417"/>
      <c r="BE179" s="612">
        <v>0</v>
      </c>
      <c r="BF179" s="613">
        <v>0</v>
      </c>
      <c r="BG179" s="614" t="s">
        <v>78</v>
      </c>
      <c r="BH179" s="682"/>
      <c r="BI179" s="417"/>
      <c r="BJ179" s="417">
        <v>2</v>
      </c>
      <c r="BK179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179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179" s="682"/>
      <c r="BN179" s="636" t="s">
        <v>3784</v>
      </c>
      <c r="BO179" s="636" t="s">
        <v>3784</v>
      </c>
      <c r="BP179" s="636" t="s">
        <v>3784</v>
      </c>
      <c r="BQ179" s="636" t="s">
        <v>105</v>
      </c>
      <c r="BR179" s="636"/>
      <c r="BS179" s="636"/>
      <c r="BT179" s="636"/>
      <c r="BU179" s="636"/>
      <c r="BV179" s="636"/>
      <c r="BW179" s="636" t="s">
        <v>4048</v>
      </c>
      <c r="BX179" s="636"/>
      <c r="BY179" s="972"/>
    </row>
    <row r="180" spans="1:77">
      <c r="A180" t="s">
        <v>105</v>
      </c>
      <c r="B180" s="675" t="s">
        <v>112</v>
      </c>
      <c r="C180" s="687" t="s">
        <v>126</v>
      </c>
      <c r="D180" s="675">
        <v>0</v>
      </c>
      <c r="E180" s="675" t="s">
        <v>2305</v>
      </c>
      <c r="F180" s="675">
        <v>3</v>
      </c>
      <c r="G180" s="675" t="s">
        <v>2238</v>
      </c>
      <c r="H180" s="675">
        <v>4</v>
      </c>
      <c r="I180" s="676" t="s">
        <v>3795</v>
      </c>
      <c r="J180" s="677">
        <v>2</v>
      </c>
      <c r="K180" s="683">
        <v>66</v>
      </c>
      <c r="L180" s="677">
        <v>0</v>
      </c>
      <c r="M180" s="677">
        <v>0</v>
      </c>
      <c r="N180" s="677">
        <v>1</v>
      </c>
      <c r="O180" s="677">
        <v>0</v>
      </c>
      <c r="P180" s="677">
        <v>0</v>
      </c>
      <c r="Q180" s="677">
        <v>0</v>
      </c>
      <c r="R180" s="677">
        <v>0</v>
      </c>
      <c r="S180" s="677">
        <v>0</v>
      </c>
      <c r="T180" s="677">
        <v>24</v>
      </c>
      <c r="U180" s="677">
        <v>0</v>
      </c>
      <c r="V180" s="677">
        <v>0</v>
      </c>
      <c r="W180" s="677">
        <v>0</v>
      </c>
      <c r="X180" s="678"/>
      <c r="Y180" s="682"/>
      <c r="Z180" s="680"/>
      <c r="AA180" s="681">
        <v>93.977999999999994</v>
      </c>
      <c r="AB180" s="681">
        <v>29.978000000000002</v>
      </c>
      <c r="AC180" s="417">
        <v>1</v>
      </c>
      <c r="AD180" s="417"/>
      <c r="AE180" s="682" t="s">
        <v>4088</v>
      </c>
      <c r="AF180">
        <v>1</v>
      </c>
      <c r="AG180" s="713">
        <v>43101</v>
      </c>
      <c r="AH180" s="417"/>
      <c r="AI180" s="417"/>
      <c r="AJ180" s="714">
        <v>43171</v>
      </c>
      <c r="AK180" s="417"/>
      <c r="AL180" s="637" t="s">
        <v>3468</v>
      </c>
      <c r="AM180" s="417"/>
      <c r="AN180" s="417"/>
      <c r="AO180" s="636"/>
      <c r="AP180">
        <v>556645</v>
      </c>
      <c r="AQ180" s="715">
        <v>43122</v>
      </c>
      <c r="AR180" s="417"/>
      <c r="AS180" s="417"/>
      <c r="AT180" s="417"/>
      <c r="AU180" s="417"/>
      <c r="AV180" s="417"/>
      <c r="AW180" s="417"/>
      <c r="AX180" s="417"/>
      <c r="AY180" t="s">
        <v>80</v>
      </c>
      <c r="AZ180" s="417"/>
      <c r="BA180" s="417"/>
      <c r="BB180" t="s">
        <v>3584</v>
      </c>
      <c r="BC180" s="636"/>
      <c r="BD180" s="417"/>
      <c r="BE180" s="612">
        <v>0</v>
      </c>
      <c r="BF180" s="613">
        <v>0</v>
      </c>
      <c r="BG180" s="614" t="s">
        <v>78</v>
      </c>
      <c r="BH180" s="682"/>
      <c r="BI180" s="417"/>
      <c r="BJ180" s="417">
        <v>1</v>
      </c>
      <c r="BK180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180" s="682" t="str">
        <f>Техкарта[[#This Row],[ПолнаяДіл]] &amp;" "&amp;Техкарта[[#This Row],[ЛК]]&amp;" "&amp;Техкарта[[#This Row],[Вид рубки]]</f>
        <v>4 кв (9 вид) 0 діл. 556645 СРВ</v>
      </c>
      <c r="BM180" s="682"/>
      <c r="BN180" s="636" t="s">
        <v>3784</v>
      </c>
      <c r="BO180" s="636" t="s">
        <v>3784</v>
      </c>
      <c r="BP180" s="636" t="s">
        <v>3784</v>
      </c>
      <c r="BQ180" s="636" t="s">
        <v>105</v>
      </c>
      <c r="BR180" s="636"/>
      <c r="BS180" s="636"/>
      <c r="BT180" s="636"/>
      <c r="BU180" s="636"/>
      <c r="BV180" s="636"/>
      <c r="BW180" s="636" t="s">
        <v>4048</v>
      </c>
      <c r="BX180" s="636"/>
      <c r="BY180" s="972"/>
    </row>
    <row r="181" spans="1:77">
      <c r="A181" t="s">
        <v>105</v>
      </c>
      <c r="B181" s="675" t="s">
        <v>112</v>
      </c>
      <c r="C181" s="687" t="s">
        <v>126</v>
      </c>
      <c r="D181" s="675">
        <v>0</v>
      </c>
      <c r="E181" s="675" t="s">
        <v>2305</v>
      </c>
      <c r="F181" s="675">
        <v>3</v>
      </c>
      <c r="G181" s="675" t="s">
        <v>2238</v>
      </c>
      <c r="H181" s="675">
        <v>6</v>
      </c>
      <c r="I181" s="676" t="s">
        <v>3791</v>
      </c>
      <c r="J181" s="677">
        <v>0.7</v>
      </c>
      <c r="K181" s="683">
        <v>73</v>
      </c>
      <c r="L181" s="677">
        <v>0</v>
      </c>
      <c r="M181" s="677">
        <v>0</v>
      </c>
      <c r="N181" s="677">
        <v>0</v>
      </c>
      <c r="O181" s="677">
        <v>0</v>
      </c>
      <c r="P181" s="677">
        <v>0</v>
      </c>
      <c r="Q181" s="677">
        <v>0</v>
      </c>
      <c r="R181" s="677">
        <v>0</v>
      </c>
      <c r="S181" s="677">
        <v>0</v>
      </c>
      <c r="T181" s="677">
        <v>0</v>
      </c>
      <c r="U181" s="677">
        <v>0</v>
      </c>
      <c r="V181" s="677">
        <v>0</v>
      </c>
      <c r="W181" s="677">
        <v>21</v>
      </c>
      <c r="X181" s="678"/>
      <c r="Y181" s="682"/>
      <c r="Z181" s="680"/>
      <c r="AA181" s="681">
        <v>92.515000000000001</v>
      </c>
      <c r="AB181" s="681">
        <v>29.978000000000002</v>
      </c>
      <c r="AC181" s="417">
        <v>2</v>
      </c>
      <c r="AD181" s="417"/>
      <c r="AE181" s="682" t="s">
        <v>4089</v>
      </c>
      <c r="AF181">
        <v>1</v>
      </c>
      <c r="AG181" s="713">
        <v>43101</v>
      </c>
      <c r="AH181" s="417"/>
      <c r="AI181" s="417"/>
      <c r="AJ181" s="714">
        <v>43171</v>
      </c>
      <c r="AK181" s="417"/>
      <c r="AL181" s="637" t="s">
        <v>3468</v>
      </c>
      <c r="AM181" s="417"/>
      <c r="AN181" s="417"/>
      <c r="AO181" s="636"/>
      <c r="AP181">
        <v>556645</v>
      </c>
      <c r="AQ181" s="715">
        <v>43122</v>
      </c>
      <c r="AR181" s="417"/>
      <c r="AS181" s="417"/>
      <c r="AT181" s="417"/>
      <c r="AU181" s="417"/>
      <c r="AV181" s="417"/>
      <c r="AW181" s="417"/>
      <c r="AX181" s="417"/>
      <c r="AY181" t="s">
        <v>80</v>
      </c>
      <c r="AZ181" s="417"/>
      <c r="BA181" s="417"/>
      <c r="BB181" t="s">
        <v>3584</v>
      </c>
      <c r="BC181" s="636"/>
      <c r="BD181" s="417"/>
      <c r="BE181" s="612">
        <v>0</v>
      </c>
      <c r="BF181" s="613">
        <v>0</v>
      </c>
      <c r="BG181" s="614" t="s">
        <v>78</v>
      </c>
      <c r="BH181" s="682"/>
      <c r="BI181" s="417"/>
      <c r="BJ181" s="417">
        <v>3</v>
      </c>
      <c r="BK181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181" s="682" t="str">
        <f>Техкарта[[#This Row],[ПолнаяДіл]] &amp;" "&amp;Техкарта[[#This Row],[ЛК]]&amp;" "&amp;Техкарта[[#This Row],[Вид рубки]]</f>
        <v>6 кв (7 вид) 0 діл. 556645 СРВ</v>
      </c>
      <c r="BM181" s="682"/>
      <c r="BN181" s="636" t="s">
        <v>3784</v>
      </c>
      <c r="BO181" s="636" t="s">
        <v>3784</v>
      </c>
      <c r="BP181" s="636" t="s">
        <v>3784</v>
      </c>
      <c r="BQ181" s="636" t="s">
        <v>105</v>
      </c>
      <c r="BR181" s="636"/>
      <c r="BS181" s="636"/>
      <c r="BT181" s="636"/>
      <c r="BU181" s="636"/>
      <c r="BV181" s="636"/>
      <c r="BW181" s="636" t="s">
        <v>4048</v>
      </c>
      <c r="BX181" s="636"/>
      <c r="BY181" s="972"/>
    </row>
    <row r="182" spans="1:77">
      <c r="A182" t="s">
        <v>105</v>
      </c>
      <c r="B182" s="675" t="s">
        <v>112</v>
      </c>
      <c r="C182" s="687" t="s">
        <v>478</v>
      </c>
      <c r="D182" s="675">
        <v>0</v>
      </c>
      <c r="E182" s="675" t="s">
        <v>2305</v>
      </c>
      <c r="F182" s="675">
        <v>3</v>
      </c>
      <c r="G182" s="675" t="s">
        <v>2238</v>
      </c>
      <c r="H182" s="675">
        <v>111</v>
      </c>
      <c r="I182" s="676" t="s">
        <v>3806</v>
      </c>
      <c r="J182" s="677">
        <v>0.1</v>
      </c>
      <c r="K182" s="683">
        <v>49</v>
      </c>
      <c r="L182" s="677">
        <v>0</v>
      </c>
      <c r="M182" s="677">
        <v>0</v>
      </c>
      <c r="N182" s="677">
        <v>0</v>
      </c>
      <c r="O182" s="677">
        <v>0</v>
      </c>
      <c r="P182" s="677">
        <v>0</v>
      </c>
      <c r="Q182" s="677">
        <v>0</v>
      </c>
      <c r="R182" s="677">
        <v>0</v>
      </c>
      <c r="S182" s="677">
        <v>0</v>
      </c>
      <c r="T182" s="677">
        <v>0</v>
      </c>
      <c r="U182" s="677">
        <v>0</v>
      </c>
      <c r="V182" s="677">
        <v>0</v>
      </c>
      <c r="W182" s="677">
        <v>3</v>
      </c>
      <c r="X182" s="678"/>
      <c r="Y182" s="682"/>
      <c r="Z182" s="680"/>
      <c r="AA182" s="681">
        <v>204.809</v>
      </c>
      <c r="AB182" s="681">
        <v>29.978000000000002</v>
      </c>
      <c r="AC182" s="417">
        <v>1</v>
      </c>
      <c r="AD182" s="417"/>
      <c r="AE182" s="682" t="s">
        <v>4090</v>
      </c>
      <c r="AF182">
        <v>1</v>
      </c>
      <c r="AG182" s="713">
        <v>43101</v>
      </c>
      <c r="AH182" s="417"/>
      <c r="AI182" s="417"/>
      <c r="AJ182" s="714">
        <v>43171</v>
      </c>
      <c r="AK182" s="417"/>
      <c r="AL182" s="637" t="s">
        <v>3458</v>
      </c>
      <c r="AM182" s="417"/>
      <c r="AN182" s="417"/>
      <c r="AO182" s="636"/>
      <c r="AP182">
        <v>556655</v>
      </c>
      <c r="AQ182" s="715">
        <v>43171</v>
      </c>
      <c r="AR182" s="417"/>
      <c r="AS182" s="417"/>
      <c r="AT182" s="417"/>
      <c r="AU182" s="417"/>
      <c r="AV182" s="417"/>
      <c r="AW182" s="417"/>
      <c r="AX182" s="417"/>
      <c r="AY182" t="s">
        <v>80</v>
      </c>
      <c r="AZ182" s="417"/>
      <c r="BA182" s="417"/>
      <c r="BB182" t="s">
        <v>3584</v>
      </c>
      <c r="BC182" s="636"/>
      <c r="BD182" s="417"/>
      <c r="BE182" s="612">
        <v>0</v>
      </c>
      <c r="BF182" s="613">
        <v>0</v>
      </c>
      <c r="BG182" s="614" t="s">
        <v>78</v>
      </c>
      <c r="BH182" s="682"/>
      <c r="BI182" s="417"/>
      <c r="BJ182" s="417">
        <v>7</v>
      </c>
      <c r="BK182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182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182" s="682"/>
      <c r="BN182" s="636" t="s">
        <v>3784</v>
      </c>
      <c r="BO182" s="636" t="s">
        <v>3784</v>
      </c>
      <c r="BP182" s="636" t="s">
        <v>3784</v>
      </c>
      <c r="BQ182" s="636" t="s">
        <v>105</v>
      </c>
      <c r="BR182" s="636"/>
      <c r="BS182" s="636"/>
      <c r="BT182" s="636"/>
      <c r="BU182" s="636"/>
      <c r="BV182" s="636"/>
      <c r="BW182" s="636" t="s">
        <v>4048</v>
      </c>
      <c r="BX182" s="636"/>
      <c r="BY182" s="972"/>
    </row>
    <row r="183" spans="1:77">
      <c r="A183" t="s">
        <v>105</v>
      </c>
      <c r="B183" s="675" t="s">
        <v>112</v>
      </c>
      <c r="C183" s="687" t="s">
        <v>478</v>
      </c>
      <c r="D183" s="675">
        <v>0</v>
      </c>
      <c r="E183" s="675" t="s">
        <v>2305</v>
      </c>
      <c r="F183" s="675">
        <v>3</v>
      </c>
      <c r="G183" s="675" t="s">
        <v>2238</v>
      </c>
      <c r="H183" s="675">
        <v>111</v>
      </c>
      <c r="I183" s="676" t="s">
        <v>3809</v>
      </c>
      <c r="J183" s="677">
        <v>0.5</v>
      </c>
      <c r="K183" s="683">
        <v>109</v>
      </c>
      <c r="L183" s="677">
        <v>0</v>
      </c>
      <c r="M183" s="677">
        <v>0</v>
      </c>
      <c r="N183" s="677">
        <v>0</v>
      </c>
      <c r="O183" s="677">
        <v>0</v>
      </c>
      <c r="P183" s="677">
        <v>0</v>
      </c>
      <c r="Q183" s="677">
        <v>0</v>
      </c>
      <c r="R183" s="677">
        <v>0</v>
      </c>
      <c r="S183" s="677">
        <v>0</v>
      </c>
      <c r="T183" s="677">
        <v>0</v>
      </c>
      <c r="U183" s="677">
        <v>0</v>
      </c>
      <c r="V183" s="677">
        <v>0</v>
      </c>
      <c r="W183" s="677">
        <v>15</v>
      </c>
      <c r="X183" s="678"/>
      <c r="Y183" s="682"/>
      <c r="Z183" s="680"/>
      <c r="AA183" s="681">
        <v>121.58</v>
      </c>
      <c r="AB183" s="681">
        <v>29.978000000000002</v>
      </c>
      <c r="AC183" s="417">
        <v>1</v>
      </c>
      <c r="AD183" s="417"/>
      <c r="AE183" s="682" t="s">
        <v>4091</v>
      </c>
      <c r="AF183">
        <v>1</v>
      </c>
      <c r="AG183" s="713">
        <v>43101</v>
      </c>
      <c r="AH183" s="417"/>
      <c r="AI183" s="417"/>
      <c r="AJ183" s="714">
        <v>43171</v>
      </c>
      <c r="AK183" s="417"/>
      <c r="AL183" s="637" t="s">
        <v>3458</v>
      </c>
      <c r="AM183" s="417"/>
      <c r="AN183" s="417"/>
      <c r="AO183" s="636"/>
      <c r="AP183">
        <v>556655</v>
      </c>
      <c r="AQ183" s="715">
        <v>43171</v>
      </c>
      <c r="AR183" s="417"/>
      <c r="AS183" s="417"/>
      <c r="AT183" s="417"/>
      <c r="AU183" s="417"/>
      <c r="AV183" s="417"/>
      <c r="AW183" s="417"/>
      <c r="AX183" s="417"/>
      <c r="AY183" t="s">
        <v>80</v>
      </c>
      <c r="AZ183" s="417"/>
      <c r="BA183" s="417"/>
      <c r="BB183" t="s">
        <v>3584</v>
      </c>
      <c r="BC183" s="636"/>
      <c r="BD183" s="417"/>
      <c r="BE183" s="612">
        <v>0</v>
      </c>
      <c r="BF183" s="613">
        <v>0</v>
      </c>
      <c r="BG183" s="614" t="s">
        <v>78</v>
      </c>
      <c r="BH183" s="682"/>
      <c r="BI183" s="417"/>
      <c r="BJ183" s="417">
        <v>8</v>
      </c>
      <c r="BK183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183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183" s="682"/>
      <c r="BN183" s="636" t="s">
        <v>3784</v>
      </c>
      <c r="BO183" s="636" t="s">
        <v>3784</v>
      </c>
      <c r="BP183" s="636" t="s">
        <v>3784</v>
      </c>
      <c r="BQ183" s="636" t="s">
        <v>105</v>
      </c>
      <c r="BR183" s="636"/>
      <c r="BS183" s="636"/>
      <c r="BT183" s="636"/>
      <c r="BU183" s="636"/>
      <c r="BV183" s="636"/>
      <c r="BW183" s="636" t="s">
        <v>4048</v>
      </c>
      <c r="BX183" s="636"/>
      <c r="BY183" s="972"/>
    </row>
    <row r="184" spans="1:77">
      <c r="A184" t="s">
        <v>105</v>
      </c>
      <c r="B184" s="675" t="s">
        <v>116</v>
      </c>
      <c r="C184" s="687" t="s">
        <v>126</v>
      </c>
      <c r="D184" s="675">
        <v>0</v>
      </c>
      <c r="E184" s="675" t="s">
        <v>2305</v>
      </c>
      <c r="F184" s="675">
        <v>3</v>
      </c>
      <c r="G184" s="675" t="s">
        <v>2238</v>
      </c>
      <c r="H184" s="675">
        <v>11</v>
      </c>
      <c r="I184" s="676" t="s">
        <v>3850</v>
      </c>
      <c r="J184" s="677">
        <v>2.7</v>
      </c>
      <c r="K184" s="683">
        <v>185</v>
      </c>
      <c r="L184" s="677">
        <v>0</v>
      </c>
      <c r="M184" s="677">
        <v>0</v>
      </c>
      <c r="N184" s="677">
        <v>4</v>
      </c>
      <c r="O184" s="677">
        <v>0</v>
      </c>
      <c r="P184" s="677">
        <v>0</v>
      </c>
      <c r="Q184" s="677">
        <v>0</v>
      </c>
      <c r="R184" s="677">
        <v>0</v>
      </c>
      <c r="S184" s="677">
        <v>0</v>
      </c>
      <c r="T184" s="677">
        <v>0</v>
      </c>
      <c r="U184" s="677">
        <v>0</v>
      </c>
      <c r="V184" s="677">
        <v>4</v>
      </c>
      <c r="W184" s="677">
        <v>55</v>
      </c>
      <c r="X184" s="678"/>
      <c r="Y184" s="682"/>
      <c r="Z184" s="680"/>
      <c r="AA184" s="681">
        <v>85.305000000000007</v>
      </c>
      <c r="AB184" s="681">
        <v>29.978000000000002</v>
      </c>
      <c r="AC184" s="417">
        <v>5</v>
      </c>
      <c r="AD184" s="417"/>
      <c r="AE184" s="682" t="s">
        <v>4092</v>
      </c>
      <c r="AF184">
        <v>1</v>
      </c>
      <c r="AG184" s="713">
        <v>43101</v>
      </c>
      <c r="AH184" s="417"/>
      <c r="AI184" s="417"/>
      <c r="AJ184" s="714">
        <v>43172</v>
      </c>
      <c r="AK184" s="417"/>
      <c r="AL184" s="637" t="s">
        <v>3455</v>
      </c>
      <c r="AM184" s="417"/>
      <c r="AN184" s="417"/>
      <c r="AO184" s="636"/>
      <c r="AP184">
        <v>556658</v>
      </c>
      <c r="AQ184" s="715">
        <v>43172</v>
      </c>
      <c r="AR184" s="417"/>
      <c r="AS184" s="417"/>
      <c r="AT184" s="417"/>
      <c r="AU184" s="417"/>
      <c r="AV184" s="417"/>
      <c r="AW184" s="417"/>
      <c r="AX184" s="417"/>
      <c r="AY184" t="s">
        <v>80</v>
      </c>
      <c r="AZ184" s="417"/>
      <c r="BA184" s="417"/>
      <c r="BB184" t="s">
        <v>3584</v>
      </c>
      <c r="BC184" s="636"/>
      <c r="BD184" s="417"/>
      <c r="BE184" s="612">
        <v>0</v>
      </c>
      <c r="BF184" s="613">
        <v>0</v>
      </c>
      <c r="BG184" s="614" t="s">
        <v>78</v>
      </c>
      <c r="BH184" s="682"/>
      <c r="BI184" s="417"/>
      <c r="BJ184" s="417">
        <v>1</v>
      </c>
      <c r="BK184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184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184" s="682"/>
      <c r="BN184" s="636" t="s">
        <v>3784</v>
      </c>
      <c r="BO184" s="636" t="s">
        <v>3784</v>
      </c>
      <c r="BP184" s="636" t="s">
        <v>3784</v>
      </c>
      <c r="BQ184" s="636" t="s">
        <v>105</v>
      </c>
      <c r="BR184" s="636"/>
      <c r="BS184" s="636"/>
      <c r="BT184" s="636"/>
      <c r="BU184" s="636"/>
      <c r="BV184" s="636"/>
      <c r="BW184" s="636" t="s">
        <v>4048</v>
      </c>
      <c r="BX184" s="636"/>
      <c r="BY184" s="972"/>
    </row>
    <row r="185" spans="1:77">
      <c r="A185" t="s">
        <v>105</v>
      </c>
      <c r="B185" s="675" t="s">
        <v>116</v>
      </c>
      <c r="C185" s="687" t="s">
        <v>126</v>
      </c>
      <c r="D185" s="675">
        <v>0</v>
      </c>
      <c r="E185" s="675" t="s">
        <v>2305</v>
      </c>
      <c r="F185" s="675">
        <v>3</v>
      </c>
      <c r="G185" s="675" t="s">
        <v>2238</v>
      </c>
      <c r="H185" s="675">
        <v>66</v>
      </c>
      <c r="I185" s="676" t="s">
        <v>3829</v>
      </c>
      <c r="J185" s="677">
        <v>23.9</v>
      </c>
      <c r="K185" s="683">
        <v>1266</v>
      </c>
      <c r="L185" s="677">
        <v>0</v>
      </c>
      <c r="M185" s="677">
        <v>228</v>
      </c>
      <c r="N185" s="677">
        <v>0</v>
      </c>
      <c r="O185" s="677">
        <v>0</v>
      </c>
      <c r="P185" s="677">
        <v>0</v>
      </c>
      <c r="Q185" s="677">
        <v>0</v>
      </c>
      <c r="R185" s="677">
        <v>0</v>
      </c>
      <c r="S185" s="677">
        <v>0</v>
      </c>
      <c r="T185" s="677">
        <v>0</v>
      </c>
      <c r="U185" s="677">
        <v>0</v>
      </c>
      <c r="V185" s="677">
        <v>503</v>
      </c>
      <c r="W185" s="677">
        <v>42</v>
      </c>
      <c r="X185" s="678"/>
      <c r="Y185" s="682"/>
      <c r="Z185" s="680"/>
      <c r="AA185" s="681">
        <v>60.606999999999999</v>
      </c>
      <c r="AB185" s="681">
        <v>29.978000000000002</v>
      </c>
      <c r="AC185" s="417">
        <v>93</v>
      </c>
      <c r="AD185" s="417"/>
      <c r="AE185" s="682" t="s">
        <v>4093</v>
      </c>
      <c r="AF185">
        <v>1</v>
      </c>
      <c r="AG185" s="713">
        <v>43101</v>
      </c>
      <c r="AH185" s="417"/>
      <c r="AI185" s="417"/>
      <c r="AJ185" s="714">
        <v>43172</v>
      </c>
      <c r="AK185" s="417"/>
      <c r="AL185" s="637" t="s">
        <v>3470</v>
      </c>
      <c r="AM185" s="417"/>
      <c r="AN185" s="417"/>
      <c r="AO185" s="636"/>
      <c r="AP185">
        <v>556658</v>
      </c>
      <c r="AQ185" s="715">
        <v>43172</v>
      </c>
      <c r="AR185" s="417"/>
      <c r="AS185" s="417"/>
      <c r="AT185" s="417"/>
      <c r="AU185" s="417"/>
      <c r="AV185" s="417"/>
      <c r="AW185" s="417"/>
      <c r="AX185" s="417"/>
      <c r="AY185" t="s">
        <v>80</v>
      </c>
      <c r="AZ185" s="417"/>
      <c r="BA185" s="417"/>
      <c r="BB185" t="s">
        <v>3584</v>
      </c>
      <c r="BC185" s="636"/>
      <c r="BD185" s="417"/>
      <c r="BE185" s="612">
        <v>0</v>
      </c>
      <c r="BF185" s="613">
        <v>0</v>
      </c>
      <c r="BG185" s="614" t="s">
        <v>78</v>
      </c>
      <c r="BH185" s="682"/>
      <c r="BI185" s="417"/>
      <c r="BJ185" s="417">
        <v>2</v>
      </c>
      <c r="BK185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185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185" s="682"/>
      <c r="BN185" s="636" t="s">
        <v>3784</v>
      </c>
      <c r="BO185" s="636" t="s">
        <v>3784</v>
      </c>
      <c r="BP185" s="636" t="s">
        <v>3784</v>
      </c>
      <c r="BQ185" s="636" t="s">
        <v>105</v>
      </c>
      <c r="BR185" s="636"/>
      <c r="BS185" s="636"/>
      <c r="BT185" s="636"/>
      <c r="BU185" s="636"/>
      <c r="BV185" s="636"/>
      <c r="BW185" s="636" t="s">
        <v>4048</v>
      </c>
      <c r="BX185" s="636"/>
      <c r="BY185" s="972"/>
    </row>
    <row r="186" spans="1:77">
      <c r="A186" t="s">
        <v>105</v>
      </c>
      <c r="B186" s="675" t="s">
        <v>116</v>
      </c>
      <c r="C186" s="687" t="s">
        <v>126</v>
      </c>
      <c r="D186" s="675">
        <v>0</v>
      </c>
      <c r="E186" s="675" t="s">
        <v>2305</v>
      </c>
      <c r="F186" s="675">
        <v>3</v>
      </c>
      <c r="G186" s="675" t="s">
        <v>2238</v>
      </c>
      <c r="H186" s="675">
        <v>71</v>
      </c>
      <c r="I186" s="676" t="s">
        <v>3790</v>
      </c>
      <c r="J186" s="677">
        <v>13.5</v>
      </c>
      <c r="K186" s="683">
        <v>219</v>
      </c>
      <c r="L186" s="677">
        <v>0</v>
      </c>
      <c r="M186" s="677">
        <v>39</v>
      </c>
      <c r="N186" s="677">
        <v>0</v>
      </c>
      <c r="O186" s="677">
        <v>0</v>
      </c>
      <c r="P186" s="677">
        <v>0</v>
      </c>
      <c r="Q186" s="677">
        <v>0</v>
      </c>
      <c r="R186" s="677">
        <v>0</v>
      </c>
      <c r="S186" s="677">
        <v>0</v>
      </c>
      <c r="T186" s="677">
        <v>0</v>
      </c>
      <c r="U186" s="677">
        <v>0</v>
      </c>
      <c r="V186" s="677">
        <v>112</v>
      </c>
      <c r="W186" s="677">
        <v>9</v>
      </c>
      <c r="X186" s="678"/>
      <c r="Y186" s="682"/>
      <c r="Z186" s="680"/>
      <c r="AA186" s="681">
        <v>66.593000000000004</v>
      </c>
      <c r="AB186" s="681">
        <v>29.978000000000002</v>
      </c>
      <c r="AC186" s="417">
        <v>18</v>
      </c>
      <c r="AD186" s="417"/>
      <c r="AE186" s="682" t="s">
        <v>4095</v>
      </c>
      <c r="AF186">
        <v>1</v>
      </c>
      <c r="AG186" s="713">
        <v>43101</v>
      </c>
      <c r="AH186" s="417"/>
      <c r="AI186" s="417"/>
      <c r="AJ186" s="714">
        <v>43172</v>
      </c>
      <c r="AK186" s="417"/>
      <c r="AL186" s="637" t="s">
        <v>3470</v>
      </c>
      <c r="AM186" s="417"/>
      <c r="AN186" s="417"/>
      <c r="AO186" s="636"/>
      <c r="AP186">
        <v>556658</v>
      </c>
      <c r="AQ186" s="715">
        <v>43172</v>
      </c>
      <c r="AR186" s="417"/>
      <c r="AS186" s="417"/>
      <c r="AT186" s="417"/>
      <c r="AU186" s="417"/>
      <c r="AV186" s="417"/>
      <c r="AW186" s="417"/>
      <c r="AX186" s="417"/>
      <c r="AY186" t="s">
        <v>80</v>
      </c>
      <c r="AZ186" s="417"/>
      <c r="BA186" s="417"/>
      <c r="BB186" t="s">
        <v>3584</v>
      </c>
      <c r="BC186" s="636"/>
      <c r="BD186" s="417"/>
      <c r="BE186" s="612">
        <v>0</v>
      </c>
      <c r="BF186" s="613">
        <v>0</v>
      </c>
      <c r="BG186" s="614" t="s">
        <v>78</v>
      </c>
      <c r="BH186" s="682"/>
      <c r="BI186" s="417"/>
      <c r="BJ186" s="417">
        <v>3</v>
      </c>
      <c r="BK186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186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186" s="682"/>
      <c r="BN186" s="636" t="s">
        <v>3784</v>
      </c>
      <c r="BO186" s="636" t="s">
        <v>3784</v>
      </c>
      <c r="BP186" s="636" t="s">
        <v>3784</v>
      </c>
      <c r="BQ186" s="636" t="s">
        <v>105</v>
      </c>
      <c r="BR186" s="636"/>
      <c r="BS186" s="636"/>
      <c r="BT186" s="636"/>
      <c r="BU186" s="636"/>
      <c r="BV186" s="636"/>
      <c r="BW186" s="636" t="s">
        <v>4048</v>
      </c>
      <c r="BX186" s="636"/>
      <c r="BY186" s="972"/>
    </row>
    <row r="187" spans="1:77">
      <c r="A187" t="s">
        <v>105</v>
      </c>
      <c r="B187" s="675" t="s">
        <v>116</v>
      </c>
      <c r="C187" s="687" t="s">
        <v>126</v>
      </c>
      <c r="D187" s="675">
        <v>0</v>
      </c>
      <c r="E187" s="675" t="s">
        <v>2305</v>
      </c>
      <c r="F187" s="675">
        <v>3</v>
      </c>
      <c r="G187" s="675" t="s">
        <v>2238</v>
      </c>
      <c r="H187" s="675">
        <v>71</v>
      </c>
      <c r="I187" s="676" t="s">
        <v>3829</v>
      </c>
      <c r="J187" s="677">
        <v>0.8</v>
      </c>
      <c r="K187" s="683">
        <v>47</v>
      </c>
      <c r="L187" s="677">
        <v>0</v>
      </c>
      <c r="M187" s="677">
        <v>8</v>
      </c>
      <c r="N187" s="677">
        <v>0</v>
      </c>
      <c r="O187" s="677">
        <v>0</v>
      </c>
      <c r="P187" s="677">
        <v>0</v>
      </c>
      <c r="Q187" s="677">
        <v>0</v>
      </c>
      <c r="R187" s="677">
        <v>0</v>
      </c>
      <c r="S187" s="677">
        <v>0</v>
      </c>
      <c r="T187" s="677">
        <v>0</v>
      </c>
      <c r="U187" s="677">
        <v>0</v>
      </c>
      <c r="V187" s="677">
        <v>20</v>
      </c>
      <c r="W187" s="677">
        <v>0</v>
      </c>
      <c r="X187" s="678"/>
      <c r="Y187" s="682"/>
      <c r="Z187" s="680"/>
      <c r="AA187" s="681">
        <v>60.686</v>
      </c>
      <c r="AB187" s="681">
        <v>29.978000000000002</v>
      </c>
      <c r="AC187" s="417">
        <v>3</v>
      </c>
      <c r="AD187" s="417"/>
      <c r="AE187" s="682" t="s">
        <v>4094</v>
      </c>
      <c r="AF187">
        <v>1</v>
      </c>
      <c r="AG187" s="713">
        <v>43101</v>
      </c>
      <c r="AH187" s="417"/>
      <c r="AI187" s="417"/>
      <c r="AJ187" s="714">
        <v>43172</v>
      </c>
      <c r="AK187" s="417"/>
      <c r="AL187" s="637" t="s">
        <v>3470</v>
      </c>
      <c r="AM187" s="417"/>
      <c r="AN187" s="417"/>
      <c r="AO187" s="636"/>
      <c r="AP187">
        <v>556658</v>
      </c>
      <c r="AQ187" s="715">
        <v>43172</v>
      </c>
      <c r="AR187" s="417"/>
      <c r="AS187" s="417"/>
      <c r="AT187" s="417"/>
      <c r="AU187" s="417"/>
      <c r="AV187" s="417"/>
      <c r="AW187" s="417"/>
      <c r="AX187" s="417"/>
      <c r="AY187" t="s">
        <v>80</v>
      </c>
      <c r="AZ187" s="417"/>
      <c r="BA187" s="417"/>
      <c r="BB187" t="s">
        <v>3584</v>
      </c>
      <c r="BC187" s="636"/>
      <c r="BD187" s="417"/>
      <c r="BE187" s="612">
        <v>0</v>
      </c>
      <c r="BF187" s="613">
        <v>0</v>
      </c>
      <c r="BG187" s="614" t="s">
        <v>78</v>
      </c>
      <c r="BH187" s="682"/>
      <c r="BI187" s="417"/>
      <c r="BJ187" s="417">
        <v>4</v>
      </c>
      <c r="BK187" s="682" t="str">
        <f>Техкарта[[#This Row],[Кв-л]]&amp;" кв ("&amp;Substring(Техкарта[[#This Row],[Виділ]],"_",1)&amp;" вид) "&amp;Substring(Техкарта[[#This Row],[Виділ]],"_",2)&amp;" діл."</f>
        <v>71 кв (3 вид) 0 діл.</v>
      </c>
      <c r="BL187" s="682" t="str">
        <f>Техкарта[[#This Row],[ПолнаяДіл]] &amp;" "&amp;Техкарта[[#This Row],[ЛК]]&amp;" "&amp;Техкарта[[#This Row],[Вид рубки]]</f>
        <v>71 кв (3 вид) 0 діл. 556658 СРВ</v>
      </c>
      <c r="BM187" s="682"/>
      <c r="BN187" s="636" t="s">
        <v>3784</v>
      </c>
      <c r="BO187" s="636" t="s">
        <v>3784</v>
      </c>
      <c r="BP187" s="636" t="s">
        <v>3784</v>
      </c>
      <c r="BQ187" s="636" t="s">
        <v>105</v>
      </c>
      <c r="BR187" s="636"/>
      <c r="BS187" s="636"/>
      <c r="BT187" s="636"/>
      <c r="BU187" s="636"/>
      <c r="BV187" s="636"/>
      <c r="BW187" s="636" t="s">
        <v>4048</v>
      </c>
      <c r="BX187" s="636"/>
      <c r="BY187" s="972"/>
    </row>
    <row r="188" spans="1:77">
      <c r="A188" t="s">
        <v>105</v>
      </c>
      <c r="B188" s="675" t="s">
        <v>116</v>
      </c>
      <c r="C188" s="687" t="s">
        <v>126</v>
      </c>
      <c r="D188" s="675">
        <v>0</v>
      </c>
      <c r="E188" s="675" t="s">
        <v>2305</v>
      </c>
      <c r="F188" s="675">
        <v>3</v>
      </c>
      <c r="G188" s="675" t="s">
        <v>2238</v>
      </c>
      <c r="H188" s="675">
        <v>81</v>
      </c>
      <c r="I188" s="676" t="s">
        <v>3830</v>
      </c>
      <c r="J188" s="677">
        <v>4.4000000000000004</v>
      </c>
      <c r="K188" s="683">
        <v>383</v>
      </c>
      <c r="L188" s="677">
        <v>0</v>
      </c>
      <c r="M188" s="677">
        <v>34</v>
      </c>
      <c r="N188" s="677">
        <v>0</v>
      </c>
      <c r="O188" s="677">
        <v>0</v>
      </c>
      <c r="P188" s="677">
        <v>0</v>
      </c>
      <c r="Q188" s="677">
        <v>0</v>
      </c>
      <c r="R188" s="677">
        <v>0</v>
      </c>
      <c r="S188" s="677">
        <v>0</v>
      </c>
      <c r="T188" s="677">
        <v>0</v>
      </c>
      <c r="U188" s="677">
        <v>0</v>
      </c>
      <c r="V188" s="677">
        <v>88</v>
      </c>
      <c r="W188" s="677">
        <v>22</v>
      </c>
      <c r="X188" s="678"/>
      <c r="Y188" s="682"/>
      <c r="Z188" s="680"/>
      <c r="AA188" s="681">
        <v>68.847999999999999</v>
      </c>
      <c r="AB188" s="681">
        <v>29.978000000000002</v>
      </c>
      <c r="AC188" s="417">
        <v>19</v>
      </c>
      <c r="AD188" s="417"/>
      <c r="AE188" s="682" t="s">
        <v>4096</v>
      </c>
      <c r="AF188">
        <v>1</v>
      </c>
      <c r="AG188" s="713">
        <v>43101</v>
      </c>
      <c r="AH188" s="417"/>
      <c r="AI188" s="417"/>
      <c r="AJ188" s="714">
        <v>43172</v>
      </c>
      <c r="AK188" s="417"/>
      <c r="AL188" s="637" t="s">
        <v>3443</v>
      </c>
      <c r="AM188" s="417"/>
      <c r="AN188" s="417"/>
      <c r="AO188" s="636"/>
      <c r="AP188">
        <v>556658</v>
      </c>
      <c r="AQ188" s="715">
        <v>43172</v>
      </c>
      <c r="AR188" s="417"/>
      <c r="AS188" s="417"/>
      <c r="AT188" s="417"/>
      <c r="AU188" s="417"/>
      <c r="AV188" s="417"/>
      <c r="AW188" s="417"/>
      <c r="AX188" s="417"/>
      <c r="AY188" t="s">
        <v>80</v>
      </c>
      <c r="AZ188" s="417"/>
      <c r="BA188" s="417"/>
      <c r="BB188" t="s">
        <v>3584</v>
      </c>
      <c r="BC188" s="636"/>
      <c r="BD188" s="417"/>
      <c r="BE188" s="612">
        <v>0</v>
      </c>
      <c r="BF188" s="613">
        <v>0</v>
      </c>
      <c r="BG188" s="614" t="s">
        <v>78</v>
      </c>
      <c r="BH188" s="682"/>
      <c r="BI188" s="417"/>
      <c r="BJ188" s="417">
        <v>5</v>
      </c>
      <c r="BK18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18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188" s="682"/>
      <c r="BN188" s="636" t="s">
        <v>3784</v>
      </c>
      <c r="BO188" s="636" t="s">
        <v>3784</v>
      </c>
      <c r="BP188" s="636" t="s">
        <v>3784</v>
      </c>
      <c r="BQ188" s="636" t="s">
        <v>105</v>
      </c>
      <c r="BR188" s="636"/>
      <c r="BS188" s="636"/>
      <c r="BT188" s="636"/>
      <c r="BU188" s="636"/>
      <c r="BV188" s="636"/>
      <c r="BW188" s="636" t="s">
        <v>4048</v>
      </c>
      <c r="BX188" s="636"/>
      <c r="BY188" s="972"/>
    </row>
    <row r="189" spans="1:77">
      <c r="A189" t="s">
        <v>105</v>
      </c>
      <c r="B189" s="675" t="s">
        <v>116</v>
      </c>
      <c r="C189" s="687" t="s">
        <v>126</v>
      </c>
      <c r="D189" s="675">
        <v>0</v>
      </c>
      <c r="E189" s="675" t="s">
        <v>2305</v>
      </c>
      <c r="F189" s="675">
        <v>3</v>
      </c>
      <c r="G189" s="675" t="s">
        <v>2238</v>
      </c>
      <c r="H189" s="675">
        <v>69</v>
      </c>
      <c r="I189" s="676" t="s">
        <v>3830</v>
      </c>
      <c r="J189" s="677">
        <v>8.1999999999999993</v>
      </c>
      <c r="K189" s="683">
        <v>419</v>
      </c>
      <c r="L189" s="677">
        <v>0</v>
      </c>
      <c r="M189" s="677">
        <v>0</v>
      </c>
      <c r="N189" s="677">
        <v>20</v>
      </c>
      <c r="O189" s="677">
        <v>0</v>
      </c>
      <c r="P189" s="677">
        <v>0</v>
      </c>
      <c r="Q189" s="677">
        <v>0</v>
      </c>
      <c r="R189" s="677">
        <v>0</v>
      </c>
      <c r="S189" s="677">
        <v>0</v>
      </c>
      <c r="T189" s="677">
        <v>0</v>
      </c>
      <c r="U189" s="677">
        <v>45</v>
      </c>
      <c r="V189" s="677">
        <v>0</v>
      </c>
      <c r="W189" s="677">
        <v>150</v>
      </c>
      <c r="X189" s="678"/>
      <c r="Y189" s="682"/>
      <c r="Z189" s="680"/>
      <c r="AA189" s="681">
        <v>74.903999999999996</v>
      </c>
      <c r="AB189" s="681">
        <v>29.978000000000002</v>
      </c>
      <c r="AC189" s="417">
        <v>16</v>
      </c>
      <c r="AD189" s="417"/>
      <c r="AE189" s="682" t="s">
        <v>4097</v>
      </c>
      <c r="AF189">
        <v>1</v>
      </c>
      <c r="AG189" s="713">
        <v>43101</v>
      </c>
      <c r="AH189" s="417"/>
      <c r="AI189" s="417"/>
      <c r="AJ189" s="714">
        <v>43182</v>
      </c>
      <c r="AK189" s="417"/>
      <c r="AL189" s="637" t="s">
        <v>3475</v>
      </c>
      <c r="AM189" s="417"/>
      <c r="AN189" s="417"/>
      <c r="AO189" s="636"/>
      <c r="AP189">
        <v>556663</v>
      </c>
      <c r="AQ189" s="715">
        <v>43182</v>
      </c>
      <c r="AR189" s="417"/>
      <c r="AS189" s="417"/>
      <c r="AT189" s="417"/>
      <c r="AU189" s="417"/>
      <c r="AV189" s="417"/>
      <c r="AW189" s="417"/>
      <c r="AX189" s="417"/>
      <c r="AY189" t="s">
        <v>80</v>
      </c>
      <c r="AZ189" s="417"/>
      <c r="BA189" s="417"/>
      <c r="BB189" t="s">
        <v>3584</v>
      </c>
      <c r="BC189" s="636"/>
      <c r="BD189" s="417"/>
      <c r="BE189" s="612">
        <v>0</v>
      </c>
      <c r="BF189" s="613">
        <v>0</v>
      </c>
      <c r="BG189" s="614" t="s">
        <v>78</v>
      </c>
      <c r="BH189" s="682"/>
      <c r="BI189" s="417"/>
      <c r="BJ189" s="417">
        <v>6</v>
      </c>
      <c r="BK18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18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189" s="682"/>
      <c r="BN189" s="636" t="s">
        <v>3784</v>
      </c>
      <c r="BO189" s="636" t="s">
        <v>3784</v>
      </c>
      <c r="BP189" s="636" t="s">
        <v>3784</v>
      </c>
      <c r="BQ189" s="636" t="s">
        <v>105</v>
      </c>
      <c r="BR189" s="636"/>
      <c r="BS189" s="636"/>
      <c r="BT189" s="636"/>
      <c r="BU189" s="636"/>
      <c r="BV189" s="636"/>
      <c r="BW189" s="636" t="s">
        <v>4048</v>
      </c>
      <c r="BX189" s="636"/>
      <c r="BY189" s="972"/>
    </row>
    <row r="190" spans="1:77">
      <c r="A190" t="s">
        <v>105</v>
      </c>
      <c r="B190" s="675" t="s">
        <v>116</v>
      </c>
      <c r="C190" s="687" t="s">
        <v>126</v>
      </c>
      <c r="D190" s="675">
        <v>0</v>
      </c>
      <c r="E190" s="675" t="s">
        <v>2305</v>
      </c>
      <c r="F190" s="675">
        <v>3</v>
      </c>
      <c r="G190" s="675" t="s">
        <v>2238</v>
      </c>
      <c r="H190" s="675">
        <v>95</v>
      </c>
      <c r="I190" s="676" t="s">
        <v>3852</v>
      </c>
      <c r="J190" s="677">
        <v>1.1000000000000001</v>
      </c>
      <c r="K190" s="683">
        <v>141</v>
      </c>
      <c r="L190" s="677">
        <v>0</v>
      </c>
      <c r="M190" s="677">
        <v>0</v>
      </c>
      <c r="N190" s="677">
        <v>7</v>
      </c>
      <c r="O190" s="677">
        <v>0</v>
      </c>
      <c r="P190" s="677">
        <v>0</v>
      </c>
      <c r="Q190" s="677">
        <v>0</v>
      </c>
      <c r="R190" s="677">
        <v>0</v>
      </c>
      <c r="S190" s="677">
        <v>0</v>
      </c>
      <c r="T190" s="677">
        <v>0</v>
      </c>
      <c r="U190" s="677">
        <v>7</v>
      </c>
      <c r="V190" s="677">
        <v>0</v>
      </c>
      <c r="W190" s="677">
        <v>64</v>
      </c>
      <c r="X190" s="678"/>
      <c r="Y190" s="682"/>
      <c r="Z190" s="680"/>
      <c r="AA190" s="681">
        <v>74.328000000000003</v>
      </c>
      <c r="AB190" s="681">
        <v>29.978000000000002</v>
      </c>
      <c r="AC190" s="417">
        <v>5</v>
      </c>
      <c r="AD190" s="417"/>
      <c r="AE190" s="682" t="s">
        <v>4098</v>
      </c>
      <c r="AF190">
        <v>1</v>
      </c>
      <c r="AG190" s="713">
        <v>43101</v>
      </c>
      <c r="AH190" s="417"/>
      <c r="AI190" s="417"/>
      <c r="AJ190" s="714">
        <v>43182</v>
      </c>
      <c r="AK190" s="417"/>
      <c r="AL190" s="637" t="s">
        <v>3475</v>
      </c>
      <c r="AM190" s="417"/>
      <c r="AN190" s="417"/>
      <c r="AO190" s="636"/>
      <c r="AP190">
        <v>556663</v>
      </c>
      <c r="AQ190" s="715">
        <v>43182</v>
      </c>
      <c r="AR190" s="417"/>
      <c r="AS190" s="417"/>
      <c r="AT190" s="417"/>
      <c r="AU190" s="417"/>
      <c r="AV190" s="417"/>
      <c r="AW190" s="417"/>
      <c r="AX190" s="417"/>
      <c r="AY190" t="s">
        <v>80</v>
      </c>
      <c r="AZ190" s="417"/>
      <c r="BA190" s="417"/>
      <c r="BB190" t="s">
        <v>3584</v>
      </c>
      <c r="BC190" s="636"/>
      <c r="BD190" s="417"/>
      <c r="BE190" s="612">
        <v>0</v>
      </c>
      <c r="BF190" s="613">
        <v>0</v>
      </c>
      <c r="BG190" s="614" t="s">
        <v>78</v>
      </c>
      <c r="BH190" s="682"/>
      <c r="BI190" s="417"/>
      <c r="BJ190" s="417">
        <v>7</v>
      </c>
      <c r="BK19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19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190" s="682"/>
      <c r="BN190" s="636" t="s">
        <v>3784</v>
      </c>
      <c r="BO190" s="636" t="s">
        <v>3784</v>
      </c>
      <c r="BP190" s="636" t="s">
        <v>3784</v>
      </c>
      <c r="BQ190" s="636" t="s">
        <v>105</v>
      </c>
      <c r="BR190" s="636"/>
      <c r="BS190" s="636"/>
      <c r="BT190" s="636"/>
      <c r="BU190" s="636"/>
      <c r="BV190" s="636"/>
      <c r="BW190" s="636" t="s">
        <v>4048</v>
      </c>
      <c r="BX190" s="636"/>
      <c r="BY190" s="972"/>
    </row>
    <row r="191" spans="1:77">
      <c r="A191" t="s">
        <v>105</v>
      </c>
      <c r="B191" s="675" t="s">
        <v>116</v>
      </c>
      <c r="C191" s="687" t="s">
        <v>126</v>
      </c>
      <c r="D191" s="675">
        <v>0</v>
      </c>
      <c r="E191" s="675" t="s">
        <v>2305</v>
      </c>
      <c r="F191" s="675">
        <v>3</v>
      </c>
      <c r="G191" s="675" t="s">
        <v>2238</v>
      </c>
      <c r="H191" s="675">
        <v>99</v>
      </c>
      <c r="I191" s="676" t="s">
        <v>3790</v>
      </c>
      <c r="J191" s="677">
        <v>1.3</v>
      </c>
      <c r="K191" s="683">
        <v>151</v>
      </c>
      <c r="L191" s="677">
        <v>0</v>
      </c>
      <c r="M191" s="677">
        <v>0</v>
      </c>
      <c r="N191" s="677">
        <v>12</v>
      </c>
      <c r="O191" s="677">
        <v>0</v>
      </c>
      <c r="P191" s="677">
        <v>0</v>
      </c>
      <c r="Q191" s="677">
        <v>0</v>
      </c>
      <c r="R191" s="677">
        <v>0</v>
      </c>
      <c r="S191" s="677">
        <v>0</v>
      </c>
      <c r="T191" s="677">
        <v>0</v>
      </c>
      <c r="U191" s="677">
        <v>7</v>
      </c>
      <c r="V191" s="677">
        <v>0</v>
      </c>
      <c r="W191" s="677">
        <v>81</v>
      </c>
      <c r="X191" s="678"/>
      <c r="Y191" s="682"/>
      <c r="Z191" s="680"/>
      <c r="AA191" s="681">
        <v>69.891999999999996</v>
      </c>
      <c r="AB191" s="681">
        <v>29.978000000000002</v>
      </c>
      <c r="AC191" s="417">
        <v>7</v>
      </c>
      <c r="AD191" s="417"/>
      <c r="AE191" s="682" t="s">
        <v>4099</v>
      </c>
      <c r="AF191">
        <v>1</v>
      </c>
      <c r="AG191" s="713">
        <v>43101</v>
      </c>
      <c r="AH191" s="417"/>
      <c r="AI191" s="417"/>
      <c r="AJ191" s="714">
        <v>43182</v>
      </c>
      <c r="AK191" s="417"/>
      <c r="AL191" s="637" t="s">
        <v>3475</v>
      </c>
      <c r="AM191" s="417"/>
      <c r="AN191" s="417"/>
      <c r="AO191" s="636"/>
      <c r="AP191">
        <v>556663</v>
      </c>
      <c r="AQ191" s="715">
        <v>43182</v>
      </c>
      <c r="AR191" s="417"/>
      <c r="AS191" s="417"/>
      <c r="AT191" s="417"/>
      <c r="AU191" s="417"/>
      <c r="AV191" s="417"/>
      <c r="AW191" s="417"/>
      <c r="AX191" s="417"/>
      <c r="AY191" t="s">
        <v>80</v>
      </c>
      <c r="AZ191" s="417"/>
      <c r="BA191" s="417"/>
      <c r="BB191" t="s">
        <v>3584</v>
      </c>
      <c r="BC191" s="636"/>
      <c r="BD191" s="417"/>
      <c r="BE191" s="612">
        <v>0</v>
      </c>
      <c r="BF191" s="613">
        <v>0</v>
      </c>
      <c r="BG191" s="614" t="s">
        <v>78</v>
      </c>
      <c r="BH191" s="682"/>
      <c r="BI191" s="417"/>
      <c r="BJ191" s="417">
        <v>8</v>
      </c>
      <c r="BK19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19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191" s="682"/>
      <c r="BN191" s="636" t="s">
        <v>3784</v>
      </c>
      <c r="BO191" s="636" t="s">
        <v>3784</v>
      </c>
      <c r="BP191" s="636" t="s">
        <v>3784</v>
      </c>
      <c r="BQ191" s="636" t="s">
        <v>105</v>
      </c>
      <c r="BR191" s="636"/>
      <c r="BS191" s="636"/>
      <c r="BT191" s="636"/>
      <c r="BU191" s="636"/>
      <c r="BV191" s="636"/>
      <c r="BW191" s="636" t="s">
        <v>4048</v>
      </c>
      <c r="BX191" s="636"/>
      <c r="BY191" s="972"/>
    </row>
    <row r="192" spans="1:77">
      <c r="A192" t="s">
        <v>105</v>
      </c>
      <c r="B192" s="675" t="s">
        <v>116</v>
      </c>
      <c r="C192" s="687" t="s">
        <v>126</v>
      </c>
      <c r="D192" s="675">
        <v>0</v>
      </c>
      <c r="E192" s="675" t="s">
        <v>2305</v>
      </c>
      <c r="F192" s="675">
        <v>3</v>
      </c>
      <c r="G192" s="675" t="s">
        <v>2238</v>
      </c>
      <c r="H192" s="675">
        <v>113</v>
      </c>
      <c r="I192" s="676" t="s">
        <v>3832</v>
      </c>
      <c r="J192" s="677">
        <v>6.5</v>
      </c>
      <c r="K192" s="683">
        <v>283</v>
      </c>
      <c r="L192" s="677">
        <v>0</v>
      </c>
      <c r="M192" s="677">
        <v>0</v>
      </c>
      <c r="N192" s="677">
        <v>23</v>
      </c>
      <c r="O192" s="677">
        <v>0</v>
      </c>
      <c r="P192" s="677">
        <v>0</v>
      </c>
      <c r="Q192" s="677">
        <v>0</v>
      </c>
      <c r="R192" s="677">
        <v>0</v>
      </c>
      <c r="S192" s="677">
        <v>0</v>
      </c>
      <c r="T192" s="677">
        <v>0</v>
      </c>
      <c r="U192" s="677">
        <v>0</v>
      </c>
      <c r="V192" s="677">
        <v>0</v>
      </c>
      <c r="W192" s="677">
        <v>143</v>
      </c>
      <c r="X192" s="678"/>
      <c r="Y192" s="682"/>
      <c r="Z192" s="680"/>
      <c r="AA192" s="681">
        <v>72.131</v>
      </c>
      <c r="AB192" s="681">
        <v>29.978000000000002</v>
      </c>
      <c r="AC192" s="417">
        <v>10</v>
      </c>
      <c r="AD192" s="417"/>
      <c r="AE192" s="682" t="s">
        <v>4100</v>
      </c>
      <c r="AF192">
        <v>1</v>
      </c>
      <c r="AG192" s="713">
        <v>43101</v>
      </c>
      <c r="AH192" s="417"/>
      <c r="AI192" s="417"/>
      <c r="AJ192" s="714">
        <v>43182</v>
      </c>
      <c r="AK192" s="417"/>
      <c r="AL192" s="637" t="s">
        <v>3479</v>
      </c>
      <c r="AM192" s="417"/>
      <c r="AN192" s="417"/>
      <c r="AO192" s="636"/>
      <c r="AP192">
        <v>556663</v>
      </c>
      <c r="AQ192" s="715">
        <v>43182</v>
      </c>
      <c r="AR192" s="417"/>
      <c r="AS192" s="417"/>
      <c r="AT192" s="417"/>
      <c r="AU192" s="417"/>
      <c r="AV192" s="417"/>
      <c r="AW192" s="417"/>
      <c r="AX192" s="417"/>
      <c r="AY192" t="s">
        <v>80</v>
      </c>
      <c r="AZ192" s="417"/>
      <c r="BA192" s="417"/>
      <c r="BB192" t="s">
        <v>3584</v>
      </c>
      <c r="BC192" s="636"/>
      <c r="BD192" s="417"/>
      <c r="BE192" s="612">
        <v>0</v>
      </c>
      <c r="BF192" s="613">
        <v>0</v>
      </c>
      <c r="BG192" s="614" t="s">
        <v>78</v>
      </c>
      <c r="BH192" s="682"/>
      <c r="BI192" s="417"/>
      <c r="BJ192" s="417">
        <v>9</v>
      </c>
      <c r="BK19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19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192" s="682"/>
      <c r="BN192" s="636" t="s">
        <v>3784</v>
      </c>
      <c r="BO192" s="636" t="s">
        <v>3784</v>
      </c>
      <c r="BP192" s="636" t="s">
        <v>3784</v>
      </c>
      <c r="BQ192" s="636" t="s">
        <v>105</v>
      </c>
      <c r="BR192" s="636"/>
      <c r="BS192" s="636"/>
      <c r="BT192" s="636"/>
      <c r="BU192" s="636"/>
      <c r="BV192" s="636"/>
      <c r="BW192" s="636" t="s">
        <v>4048</v>
      </c>
      <c r="BX192" s="636"/>
      <c r="BY192" s="972"/>
    </row>
    <row r="193" spans="1:77">
      <c r="A193" t="s">
        <v>105</v>
      </c>
      <c r="B193" s="675" t="s">
        <v>114</v>
      </c>
      <c r="C193" s="687" t="s">
        <v>126</v>
      </c>
      <c r="D193" s="675">
        <v>0</v>
      </c>
      <c r="E193" s="675" t="s">
        <v>2305</v>
      </c>
      <c r="F193" s="675">
        <v>3</v>
      </c>
      <c r="G193" s="675" t="s">
        <v>2238</v>
      </c>
      <c r="H193" s="675">
        <v>24</v>
      </c>
      <c r="I193" s="676" t="s">
        <v>3830</v>
      </c>
      <c r="J193" s="677">
        <v>5</v>
      </c>
      <c r="K193" s="683">
        <v>137</v>
      </c>
      <c r="L193" s="677">
        <v>0</v>
      </c>
      <c r="M193" s="677">
        <v>0</v>
      </c>
      <c r="N193" s="677">
        <v>31</v>
      </c>
      <c r="O193" s="677">
        <v>0</v>
      </c>
      <c r="P193" s="677">
        <v>0</v>
      </c>
      <c r="Q193" s="677">
        <v>0</v>
      </c>
      <c r="R193" s="677">
        <v>3</v>
      </c>
      <c r="S193" s="677">
        <v>0</v>
      </c>
      <c r="T193" s="677">
        <v>63</v>
      </c>
      <c r="U193" s="677">
        <v>0</v>
      </c>
      <c r="V193" s="677">
        <v>0</v>
      </c>
      <c r="W193" s="677">
        <v>9</v>
      </c>
      <c r="X193" s="678"/>
      <c r="Y193" s="682"/>
      <c r="Z193" s="680"/>
      <c r="AA193" s="681">
        <v>67.751000000000005</v>
      </c>
      <c r="AB193" s="681">
        <v>29.978000000000002</v>
      </c>
      <c r="AC193" s="417">
        <v>6</v>
      </c>
      <c r="AD193" s="417"/>
      <c r="AE193" s="682" t="s">
        <v>4101</v>
      </c>
      <c r="AF193">
        <v>1</v>
      </c>
      <c r="AG193" s="713">
        <v>43101</v>
      </c>
      <c r="AH193" s="417"/>
      <c r="AI193" s="417"/>
      <c r="AJ193" s="714">
        <v>43181</v>
      </c>
      <c r="AK193" s="417"/>
      <c r="AL193" s="637" t="s">
        <v>3436</v>
      </c>
      <c r="AM193" s="417"/>
      <c r="AN193" s="417"/>
      <c r="AO193" s="636"/>
      <c r="AP193">
        <v>556662</v>
      </c>
      <c r="AQ193" s="715">
        <v>43181</v>
      </c>
      <c r="AR193" s="417"/>
      <c r="AS193" s="417"/>
      <c r="AT193" s="417"/>
      <c r="AU193" s="417"/>
      <c r="AV193" s="417"/>
      <c r="AW193" s="417"/>
      <c r="AX193" s="417"/>
      <c r="AY193" t="s">
        <v>3424</v>
      </c>
      <c r="AZ193" s="417"/>
      <c r="BA193" s="417"/>
      <c r="BB193" t="s">
        <v>3583</v>
      </c>
      <c r="BC193" s="636"/>
      <c r="BD193" s="417"/>
      <c r="BE193" s="612">
        <v>0</v>
      </c>
      <c r="BF193" s="613">
        <v>0</v>
      </c>
      <c r="BG193" s="614" t="s">
        <v>78</v>
      </c>
      <c r="BH193" s="682"/>
      <c r="BI193" s="417"/>
      <c r="BJ193" s="417">
        <v>5</v>
      </c>
      <c r="BK193" s="682" t="str">
        <f>Техкарта[[#This Row],[Кв-л]]&amp;" кв ("&amp;Substring(Техкарта[[#This Row],[Виділ]],"_",1)&amp;" вид) "&amp;Substring(Техкарта[[#This Row],[Виділ]],"_",2)&amp;" діл."</f>
        <v>24 кв (1 вид) 0 діл.</v>
      </c>
      <c r="BL193" s="682" t="str">
        <f>Техкарта[[#This Row],[ПолнаяДіл]] &amp;" "&amp;Техкарта[[#This Row],[ЛК]]&amp;" "&amp;Техкарта[[#This Row],[Вид рубки]]</f>
        <v>24 кв (1 вид) 0 діл. 556662 СРВ</v>
      </c>
      <c r="BM193" s="682"/>
      <c r="BN193" s="636" t="s">
        <v>3784</v>
      </c>
      <c r="BO193" s="636" t="s">
        <v>3784</v>
      </c>
      <c r="BP193" s="636" t="s">
        <v>3784</v>
      </c>
      <c r="BQ193" s="636" t="s">
        <v>105</v>
      </c>
      <c r="BR193" s="636"/>
      <c r="BS193" s="636"/>
      <c r="BT193" s="636"/>
      <c r="BU193" s="636"/>
      <c r="BV193" s="636"/>
      <c r="BW193" s="636" t="s">
        <v>4048</v>
      </c>
      <c r="BX193" s="636"/>
      <c r="BY193" s="972"/>
    </row>
    <row r="194" spans="1:77">
      <c r="A194" t="s">
        <v>105</v>
      </c>
      <c r="B194" s="675" t="s">
        <v>114</v>
      </c>
      <c r="C194" s="687" t="s">
        <v>126</v>
      </c>
      <c r="D194" s="675">
        <v>0</v>
      </c>
      <c r="E194" s="675" t="s">
        <v>2305</v>
      </c>
      <c r="F194" s="675">
        <v>3</v>
      </c>
      <c r="G194" s="675" t="s">
        <v>2238</v>
      </c>
      <c r="H194" s="675">
        <v>40</v>
      </c>
      <c r="I194" s="676" t="s">
        <v>3790</v>
      </c>
      <c r="J194" s="677">
        <v>8.5</v>
      </c>
      <c r="K194" s="683">
        <v>232</v>
      </c>
      <c r="L194" s="677">
        <v>0</v>
      </c>
      <c r="M194" s="677">
        <v>0</v>
      </c>
      <c r="N194" s="677">
        <v>25</v>
      </c>
      <c r="O194" s="677">
        <v>0</v>
      </c>
      <c r="P194" s="677">
        <v>0</v>
      </c>
      <c r="Q194" s="677">
        <v>0</v>
      </c>
      <c r="R194" s="677">
        <v>1</v>
      </c>
      <c r="S194" s="677">
        <v>0</v>
      </c>
      <c r="T194" s="677">
        <v>69</v>
      </c>
      <c r="U194" s="677">
        <v>0</v>
      </c>
      <c r="V194" s="677">
        <v>0</v>
      </c>
      <c r="W194" s="677">
        <v>7</v>
      </c>
      <c r="X194" s="678"/>
      <c r="Y194" s="682"/>
      <c r="Z194" s="680"/>
      <c r="AA194" s="681">
        <v>81.960999999999999</v>
      </c>
      <c r="AB194" s="681">
        <v>29.978000000000002</v>
      </c>
      <c r="AC194" s="417">
        <v>8</v>
      </c>
      <c r="AD194" s="417"/>
      <c r="AE194" s="682" t="s">
        <v>4102</v>
      </c>
      <c r="AF194">
        <v>1</v>
      </c>
      <c r="AG194" s="713">
        <v>43101</v>
      </c>
      <c r="AH194" s="417"/>
      <c r="AI194" s="417"/>
      <c r="AJ194" s="714">
        <v>43181</v>
      </c>
      <c r="AK194" s="417"/>
      <c r="AL194" s="637" t="s">
        <v>3448</v>
      </c>
      <c r="AM194" s="417"/>
      <c r="AN194" s="417"/>
      <c r="AO194" s="636"/>
      <c r="AP194">
        <v>556662</v>
      </c>
      <c r="AQ194" s="715">
        <v>43181</v>
      </c>
      <c r="AR194" s="417"/>
      <c r="AS194" s="417"/>
      <c r="AT194" s="417"/>
      <c r="AU194" s="417"/>
      <c r="AV194" s="417"/>
      <c r="AW194" s="417"/>
      <c r="AX194" s="417"/>
      <c r="AY194" t="s">
        <v>3424</v>
      </c>
      <c r="AZ194" s="417"/>
      <c r="BA194" s="417"/>
      <c r="BB194" t="s">
        <v>3583</v>
      </c>
      <c r="BC194" s="636"/>
      <c r="BD194" s="417"/>
      <c r="BE194" s="612">
        <v>0</v>
      </c>
      <c r="BF194" s="613">
        <v>0</v>
      </c>
      <c r="BG194" s="614" t="s">
        <v>78</v>
      </c>
      <c r="BH194" s="682"/>
      <c r="BI194" s="417"/>
      <c r="BJ194" s="417">
        <v>6</v>
      </c>
      <c r="BK194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194" s="682" t="str">
        <f>Техкарта[[#This Row],[ПолнаяДіл]] &amp;" "&amp;Техкарта[[#This Row],[ЛК]]&amp;" "&amp;Техкарта[[#This Row],[Вид рубки]]</f>
        <v>40 кв (2 вид) 0 діл. 556662 СРВ</v>
      </c>
      <c r="BM194" s="682"/>
      <c r="BN194" s="636" t="s">
        <v>3784</v>
      </c>
      <c r="BO194" s="636" t="s">
        <v>3784</v>
      </c>
      <c r="BP194" s="636" t="s">
        <v>3784</v>
      </c>
      <c r="BQ194" s="636" t="s">
        <v>105</v>
      </c>
      <c r="BR194" s="636"/>
      <c r="BS194" s="636"/>
      <c r="BT194" s="636"/>
      <c r="BU194" s="636"/>
      <c r="BV194" s="636"/>
      <c r="BW194" s="636" t="s">
        <v>4048</v>
      </c>
      <c r="BX194" s="636"/>
      <c r="BY194" s="972"/>
    </row>
    <row r="195" spans="1:77">
      <c r="A195" t="s">
        <v>105</v>
      </c>
      <c r="B195" s="675" t="s">
        <v>114</v>
      </c>
      <c r="C195" s="687" t="s">
        <v>126</v>
      </c>
      <c r="D195" s="675">
        <v>0</v>
      </c>
      <c r="E195" s="675" t="s">
        <v>2305</v>
      </c>
      <c r="F195" s="675">
        <v>3</v>
      </c>
      <c r="G195" s="675" t="s">
        <v>2238</v>
      </c>
      <c r="H195" s="675">
        <v>76</v>
      </c>
      <c r="I195" s="676" t="s">
        <v>3791</v>
      </c>
      <c r="J195" s="677">
        <v>2.6</v>
      </c>
      <c r="K195" s="683">
        <v>145</v>
      </c>
      <c r="L195" s="677">
        <v>0</v>
      </c>
      <c r="M195" s="677">
        <v>0</v>
      </c>
      <c r="N195" s="677">
        <v>8</v>
      </c>
      <c r="O195" s="677">
        <v>0</v>
      </c>
      <c r="P195" s="677">
        <v>0</v>
      </c>
      <c r="Q195" s="677">
        <v>0</v>
      </c>
      <c r="R195" s="677">
        <v>2</v>
      </c>
      <c r="S195" s="677">
        <v>0</v>
      </c>
      <c r="T195" s="677">
        <v>41</v>
      </c>
      <c r="U195" s="677">
        <v>0</v>
      </c>
      <c r="V195" s="677">
        <v>0</v>
      </c>
      <c r="W195" s="677">
        <v>3</v>
      </c>
      <c r="X195" s="678"/>
      <c r="Y195" s="682"/>
      <c r="Z195" s="680"/>
      <c r="AA195" s="681">
        <v>84.944999999999993</v>
      </c>
      <c r="AB195" s="681">
        <v>29.978000000000002</v>
      </c>
      <c r="AC195" s="417">
        <v>4</v>
      </c>
      <c r="AD195" s="417"/>
      <c r="AE195" s="682" t="s">
        <v>4104</v>
      </c>
      <c r="AF195">
        <v>1</v>
      </c>
      <c r="AG195" s="713">
        <v>43101</v>
      </c>
      <c r="AH195" s="417"/>
      <c r="AI195" s="417"/>
      <c r="AJ195" s="714">
        <v>43181</v>
      </c>
      <c r="AK195" s="417"/>
      <c r="AL195" s="637" t="s">
        <v>3442</v>
      </c>
      <c r="AM195" s="417"/>
      <c r="AN195" s="417"/>
      <c r="AO195" s="636"/>
      <c r="AP195">
        <v>556662</v>
      </c>
      <c r="AQ195" s="715">
        <v>43181</v>
      </c>
      <c r="AR195" s="417"/>
      <c r="AS195" s="417"/>
      <c r="AT195" s="417"/>
      <c r="AU195" s="417"/>
      <c r="AV195" s="417"/>
      <c r="AW195" s="417"/>
      <c r="AX195" s="417"/>
      <c r="AY195" t="s">
        <v>3424</v>
      </c>
      <c r="AZ195" s="417"/>
      <c r="BA195" s="417"/>
      <c r="BB195" t="s">
        <v>3583</v>
      </c>
      <c r="BC195" s="636"/>
      <c r="BD195" s="417"/>
      <c r="BE195" s="612">
        <v>0</v>
      </c>
      <c r="BF195" s="613">
        <v>0</v>
      </c>
      <c r="BG195" s="614" t="s">
        <v>78</v>
      </c>
      <c r="BH195" s="682"/>
      <c r="BI195" s="417"/>
      <c r="BJ195" s="417">
        <v>7</v>
      </c>
      <c r="BK195" s="682" t="str">
        <f>Техкарта[[#This Row],[Кв-л]]&amp;" кв ("&amp;Substring(Техкарта[[#This Row],[Виділ]],"_",1)&amp;" вид) "&amp;Substring(Техкарта[[#This Row],[Виділ]],"_",2)&amp;" діл."</f>
        <v>76 кв (7 вид) 0 діл.</v>
      </c>
      <c r="BL195" s="682" t="str">
        <f>Техкарта[[#This Row],[ПолнаяДіл]] &amp;" "&amp;Техкарта[[#This Row],[ЛК]]&amp;" "&amp;Техкарта[[#This Row],[Вид рубки]]</f>
        <v>76 кв (7 вид) 0 діл. 556662 СРВ</v>
      </c>
      <c r="BM195" s="682"/>
      <c r="BN195" s="636" t="s">
        <v>3784</v>
      </c>
      <c r="BO195" s="636" t="s">
        <v>3784</v>
      </c>
      <c r="BP195" s="636" t="s">
        <v>3784</v>
      </c>
      <c r="BQ195" s="636" t="s">
        <v>105</v>
      </c>
      <c r="BR195" s="636"/>
      <c r="BS195" s="636"/>
      <c r="BT195" s="636"/>
      <c r="BU195" s="636"/>
      <c r="BV195" s="636"/>
      <c r="BW195" s="636" t="s">
        <v>4048</v>
      </c>
      <c r="BX195" s="636"/>
      <c r="BY195" s="972"/>
    </row>
    <row r="196" spans="1:77">
      <c r="A196" t="s">
        <v>105</v>
      </c>
      <c r="B196" s="675" t="s">
        <v>114</v>
      </c>
      <c r="C196" s="687" t="s">
        <v>126</v>
      </c>
      <c r="D196" s="675">
        <v>0</v>
      </c>
      <c r="E196" s="675" t="s">
        <v>2305</v>
      </c>
      <c r="F196" s="675">
        <v>3</v>
      </c>
      <c r="G196" s="675" t="s">
        <v>2238</v>
      </c>
      <c r="H196" s="675">
        <v>23</v>
      </c>
      <c r="I196" s="676" t="s">
        <v>3829</v>
      </c>
      <c r="J196" s="677">
        <v>2.7</v>
      </c>
      <c r="K196" s="683">
        <v>89</v>
      </c>
      <c r="L196" s="677">
        <v>0</v>
      </c>
      <c r="M196" s="677">
        <v>0</v>
      </c>
      <c r="N196" s="677">
        <v>9</v>
      </c>
      <c r="O196" s="677">
        <v>0</v>
      </c>
      <c r="P196" s="677">
        <v>0</v>
      </c>
      <c r="Q196" s="677">
        <v>0</v>
      </c>
      <c r="R196" s="677">
        <v>0</v>
      </c>
      <c r="S196" s="677">
        <v>0</v>
      </c>
      <c r="T196" s="677">
        <v>0</v>
      </c>
      <c r="U196" s="677">
        <v>0</v>
      </c>
      <c r="V196" s="677">
        <v>0</v>
      </c>
      <c r="W196" s="677">
        <v>50</v>
      </c>
      <c r="X196" s="678"/>
      <c r="Y196" s="682"/>
      <c r="Z196" s="680"/>
      <c r="AA196" s="681">
        <v>72.308999999999997</v>
      </c>
      <c r="AB196" s="681">
        <v>29.978000000000002</v>
      </c>
      <c r="AC196" s="417">
        <v>4</v>
      </c>
      <c r="AD196" s="417"/>
      <c r="AE196" s="682" t="s">
        <v>4103</v>
      </c>
      <c r="AF196">
        <v>1</v>
      </c>
      <c r="AG196" s="713">
        <v>43101</v>
      </c>
      <c r="AH196" s="417"/>
      <c r="AI196" s="417"/>
      <c r="AJ196" s="714">
        <v>43181</v>
      </c>
      <c r="AK196" s="417"/>
      <c r="AL196" s="637" t="s">
        <v>3436</v>
      </c>
      <c r="AM196" s="417"/>
      <c r="AN196" s="417"/>
      <c r="AO196" s="636"/>
      <c r="AP196">
        <v>556662</v>
      </c>
      <c r="AQ196" s="715">
        <v>43181</v>
      </c>
      <c r="AR196" s="417"/>
      <c r="AS196" s="417"/>
      <c r="AT196" s="417"/>
      <c r="AU196" s="417"/>
      <c r="AV196" s="417"/>
      <c r="AW196" s="417"/>
      <c r="AX196" s="417"/>
      <c r="AY196" t="s">
        <v>3424</v>
      </c>
      <c r="AZ196" s="417"/>
      <c r="BA196" s="417"/>
      <c r="BB196" t="s">
        <v>3583</v>
      </c>
      <c r="BC196" s="636"/>
      <c r="BD196" s="417"/>
      <c r="BE196" s="612">
        <v>0</v>
      </c>
      <c r="BF196" s="613">
        <v>0</v>
      </c>
      <c r="BG196" s="614" t="s">
        <v>78</v>
      </c>
      <c r="BH196" s="682"/>
      <c r="BI196" s="417"/>
      <c r="BJ196" s="417">
        <v>4</v>
      </c>
      <c r="BK196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6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6" s="682"/>
      <c r="BN196" s="636" t="s">
        <v>3784</v>
      </c>
      <c r="BO196" s="636" t="s">
        <v>3784</v>
      </c>
      <c r="BP196" s="636" t="s">
        <v>3784</v>
      </c>
      <c r="BQ196" s="636" t="s">
        <v>105</v>
      </c>
      <c r="BR196" s="636"/>
      <c r="BS196" s="636"/>
      <c r="BT196" s="636"/>
      <c r="BU196" s="636"/>
      <c r="BV196" s="636"/>
      <c r="BW196" s="636" t="s">
        <v>4048</v>
      </c>
      <c r="BX196" s="636"/>
      <c r="BY196" s="972"/>
    </row>
    <row r="197" spans="1:77">
      <c r="A197" t="s">
        <v>105</v>
      </c>
      <c r="B197" s="675" t="s">
        <v>114</v>
      </c>
      <c r="C197" s="687" t="s">
        <v>126</v>
      </c>
      <c r="D197" s="675">
        <v>0</v>
      </c>
      <c r="E197" s="675" t="s">
        <v>2305</v>
      </c>
      <c r="F197" s="675">
        <v>3</v>
      </c>
      <c r="G197" s="675" t="s">
        <v>2238</v>
      </c>
      <c r="H197" s="675">
        <v>23</v>
      </c>
      <c r="I197" s="676" t="s">
        <v>3829</v>
      </c>
      <c r="J197" s="677">
        <v>2.7</v>
      </c>
      <c r="K197" s="683">
        <v>89</v>
      </c>
      <c r="L197" s="677">
        <v>0</v>
      </c>
      <c r="M197" s="677">
        <v>0</v>
      </c>
      <c r="N197" s="677">
        <v>9</v>
      </c>
      <c r="O197" s="677">
        <v>0</v>
      </c>
      <c r="P197" s="677">
        <v>0</v>
      </c>
      <c r="Q197" s="677">
        <v>0</v>
      </c>
      <c r="R197" s="677">
        <v>0</v>
      </c>
      <c r="S197" s="677">
        <v>0</v>
      </c>
      <c r="T197" s="677">
        <v>0</v>
      </c>
      <c r="U197" s="677">
        <v>0</v>
      </c>
      <c r="V197" s="677">
        <v>0</v>
      </c>
      <c r="W197" s="677">
        <v>50</v>
      </c>
      <c r="X197" s="678"/>
      <c r="Y197" s="682"/>
      <c r="Z197" s="680"/>
      <c r="AA197" s="681">
        <v>72.308999999999997</v>
      </c>
      <c r="AB197" s="681">
        <v>29.978000000000002</v>
      </c>
      <c r="AC197" s="417">
        <v>4</v>
      </c>
      <c r="AD197" s="417"/>
      <c r="AE197" s="682" t="s">
        <v>4103</v>
      </c>
      <c r="AF197">
        <v>1</v>
      </c>
      <c r="AG197" s="713">
        <v>43101</v>
      </c>
      <c r="AH197" s="417"/>
      <c r="AI197" s="417"/>
      <c r="AJ197" s="714">
        <v>43181</v>
      </c>
      <c r="AK197" s="417"/>
      <c r="AL197" s="637" t="s">
        <v>3436</v>
      </c>
      <c r="AM197" s="417"/>
      <c r="AN197" s="417"/>
      <c r="AO197" s="636"/>
      <c r="AP197">
        <v>556662</v>
      </c>
      <c r="AQ197" s="715">
        <v>43181</v>
      </c>
      <c r="AR197" s="417"/>
      <c r="AS197" s="417"/>
      <c r="AT197" s="417"/>
      <c r="AU197" s="417"/>
      <c r="AV197" s="417"/>
      <c r="AW197" s="417"/>
      <c r="AX197" s="417"/>
      <c r="AY197" t="s">
        <v>3424</v>
      </c>
      <c r="AZ197" s="417"/>
      <c r="BA197" s="417"/>
      <c r="BB197" t="s">
        <v>3583</v>
      </c>
      <c r="BC197" s="636"/>
      <c r="BD197" s="417"/>
      <c r="BE197" s="612">
        <v>0</v>
      </c>
      <c r="BF197" s="613">
        <v>0</v>
      </c>
      <c r="BG197" s="614" t="s">
        <v>78</v>
      </c>
      <c r="BH197" s="682"/>
      <c r="BI197" s="417"/>
      <c r="BJ197" s="417">
        <v>4</v>
      </c>
      <c r="BK197" s="682" t="str">
        <f>Техкарта[[#This Row],[Кв-л]]&amp;" кв ("&amp;Substring(Техкарта[[#This Row],[Виділ]],"_",1)&amp;" вид) "&amp;Substring(Техкарта[[#This Row],[Виділ]],"_",2)&amp;" діл."</f>
        <v>23 кв (3 вид) 0 діл.</v>
      </c>
      <c r="BL197" s="682" t="str">
        <f>Техкарта[[#This Row],[ПолнаяДіл]] &amp;" "&amp;Техкарта[[#This Row],[ЛК]]&amp;" "&amp;Техкарта[[#This Row],[Вид рубки]]</f>
        <v>23 кв (3 вид) 0 діл. 556662 СРВ</v>
      </c>
      <c r="BM197" s="682"/>
      <c r="BN197" s="636" t="s">
        <v>3784</v>
      </c>
      <c r="BO197" s="636" t="s">
        <v>3784</v>
      </c>
      <c r="BP197" s="636" t="s">
        <v>3784</v>
      </c>
      <c r="BQ197" s="636" t="s">
        <v>105</v>
      </c>
      <c r="BR197" s="636"/>
      <c r="BS197" s="636"/>
      <c r="BT197" s="636"/>
      <c r="BU197" s="636"/>
      <c r="BV197" s="636"/>
      <c r="BW197" s="636" t="s">
        <v>4105</v>
      </c>
      <c r="BX197" s="636"/>
      <c r="BY197" s="972"/>
    </row>
    <row r="198" spans="1:77">
      <c r="A198" t="s">
        <v>104</v>
      </c>
      <c r="B198" s="675" t="s">
        <v>114</v>
      </c>
      <c r="C198" s="687" t="s">
        <v>104</v>
      </c>
      <c r="D198" s="675">
        <v>0</v>
      </c>
      <c r="E198" s="675" t="s">
        <v>2305</v>
      </c>
      <c r="F198" s="675">
        <v>2</v>
      </c>
      <c r="G198" s="675" t="s">
        <v>2238</v>
      </c>
      <c r="H198" s="675">
        <v>52</v>
      </c>
      <c r="I198" s="676" t="s">
        <v>3829</v>
      </c>
      <c r="J198" s="677">
        <v>4</v>
      </c>
      <c r="K198" s="683">
        <v>1276</v>
      </c>
      <c r="L198" s="677">
        <v>0</v>
      </c>
      <c r="M198" s="677">
        <v>10</v>
      </c>
      <c r="N198" s="677">
        <v>477</v>
      </c>
      <c r="O198" s="677">
        <v>0</v>
      </c>
      <c r="P198" s="677">
        <v>0</v>
      </c>
      <c r="Q198" s="677">
        <v>20</v>
      </c>
      <c r="R198" s="677">
        <v>100</v>
      </c>
      <c r="S198" s="677">
        <v>34</v>
      </c>
      <c r="T198" s="677">
        <v>471</v>
      </c>
      <c r="U198" s="677">
        <v>9</v>
      </c>
      <c r="V198" s="677">
        <v>16</v>
      </c>
      <c r="W198" s="677">
        <v>27</v>
      </c>
      <c r="X198" s="678"/>
      <c r="Y198" s="682"/>
      <c r="Z198" s="680"/>
      <c r="AA198" s="681">
        <v>54.933</v>
      </c>
      <c r="AB198" s="681">
        <v>31.11</v>
      </c>
      <c r="AC198" s="417">
        <v>0</v>
      </c>
      <c r="AD198" s="417"/>
      <c r="AE198" s="682" t="s">
        <v>4106</v>
      </c>
      <c r="AF198">
        <v>1</v>
      </c>
      <c r="AG198" s="713">
        <v>43101</v>
      </c>
      <c r="AH198" s="417"/>
      <c r="AI198" s="417"/>
      <c r="AJ198" s="714">
        <v>43187</v>
      </c>
      <c r="AK198" s="417"/>
      <c r="AL198" s="637" t="s">
        <v>3454</v>
      </c>
      <c r="AM198" s="417"/>
      <c r="AN198" s="417"/>
      <c r="AO198" s="636"/>
      <c r="AP198">
        <v>556619</v>
      </c>
      <c r="AQ198" s="715">
        <v>43077</v>
      </c>
      <c r="AR198" s="417"/>
      <c r="AS198" s="417"/>
      <c r="AT198" s="417"/>
      <c r="AU198" s="417"/>
      <c r="AV198" s="417"/>
      <c r="AW198" s="417"/>
      <c r="AX198" s="417"/>
      <c r="AY198" t="s">
        <v>3424</v>
      </c>
      <c r="AZ198" s="417"/>
      <c r="BA198" s="417"/>
      <c r="BB198" t="s">
        <v>3583</v>
      </c>
      <c r="BC198" s="636"/>
      <c r="BD198" s="417"/>
      <c r="BE198" s="612">
        <v>5</v>
      </c>
      <c r="BF198" s="613">
        <v>40</v>
      </c>
      <c r="BG198" s="614" t="s">
        <v>78</v>
      </c>
      <c r="BH198" s="682"/>
      <c r="BI198" s="417"/>
      <c r="BJ198" s="417">
        <v>8</v>
      </c>
      <c r="BK198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8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8" s="682"/>
      <c r="BN198" s="636" t="s">
        <v>3784</v>
      </c>
      <c r="BO198" s="636" t="s">
        <v>3784</v>
      </c>
      <c r="BP198" s="636" t="s">
        <v>3784</v>
      </c>
      <c r="BQ198" s="636" t="s">
        <v>104</v>
      </c>
      <c r="BR198" s="636"/>
      <c r="BS198" s="636"/>
      <c r="BT198" s="636"/>
      <c r="BU198" s="636"/>
      <c r="BV198" s="636"/>
      <c r="BW198" s="636" t="s">
        <v>4105</v>
      </c>
      <c r="BX198" s="636"/>
      <c r="BY198" s="972"/>
    </row>
    <row r="199" spans="1:77">
      <c r="A199" t="s">
        <v>104</v>
      </c>
      <c r="B199" s="675" t="s">
        <v>114</v>
      </c>
      <c r="C199" s="687" t="s">
        <v>104</v>
      </c>
      <c r="D199" s="675">
        <v>0</v>
      </c>
      <c r="E199" s="675" t="s">
        <v>2305</v>
      </c>
      <c r="F199" s="675">
        <v>2</v>
      </c>
      <c r="G199" s="675" t="s">
        <v>2238</v>
      </c>
      <c r="H199" s="675">
        <v>52</v>
      </c>
      <c r="I199" s="676" t="s">
        <v>3829</v>
      </c>
      <c r="J199" s="677">
        <v>4</v>
      </c>
      <c r="K199" s="683">
        <v>1276</v>
      </c>
      <c r="L199" s="677">
        <v>0</v>
      </c>
      <c r="M199" s="677">
        <v>10</v>
      </c>
      <c r="N199" s="677">
        <v>477</v>
      </c>
      <c r="O199" s="677">
        <v>0</v>
      </c>
      <c r="P199" s="677">
        <v>0</v>
      </c>
      <c r="Q199" s="677">
        <v>20</v>
      </c>
      <c r="R199" s="677">
        <v>100</v>
      </c>
      <c r="S199" s="677">
        <v>34</v>
      </c>
      <c r="T199" s="677">
        <v>471</v>
      </c>
      <c r="U199" s="677">
        <v>9</v>
      </c>
      <c r="V199" s="677">
        <v>16</v>
      </c>
      <c r="W199" s="677">
        <v>27</v>
      </c>
      <c r="X199" s="678"/>
      <c r="Y199" s="682"/>
      <c r="Z199" s="680"/>
      <c r="AA199" s="681">
        <v>54.933</v>
      </c>
      <c r="AB199" s="681">
        <v>31.11</v>
      </c>
      <c r="AC199" s="417">
        <v>0</v>
      </c>
      <c r="AD199" s="417"/>
      <c r="AE199" s="682" t="s">
        <v>4106</v>
      </c>
      <c r="AF199">
        <v>1</v>
      </c>
      <c r="AG199" s="713">
        <v>43101</v>
      </c>
      <c r="AH199" s="417"/>
      <c r="AI199" s="417"/>
      <c r="AJ199" s="714">
        <v>43187</v>
      </c>
      <c r="AK199" s="417"/>
      <c r="AL199" s="637" t="s">
        <v>3454</v>
      </c>
      <c r="AM199" s="417"/>
      <c r="AN199" s="417"/>
      <c r="AO199" s="636"/>
      <c r="AP199">
        <v>556619</v>
      </c>
      <c r="AQ199" s="715">
        <v>43077</v>
      </c>
      <c r="AR199" s="417"/>
      <c r="AS199" s="417"/>
      <c r="AT199" s="417"/>
      <c r="AU199" s="417"/>
      <c r="AV199" s="417"/>
      <c r="AW199" s="417"/>
      <c r="AX199" s="417"/>
      <c r="AY199" t="s">
        <v>3424</v>
      </c>
      <c r="AZ199" s="417"/>
      <c r="BA199" s="417"/>
      <c r="BB199" t="s">
        <v>3583</v>
      </c>
      <c r="BC199" s="636"/>
      <c r="BD199" s="417"/>
      <c r="BE199" s="612">
        <v>5</v>
      </c>
      <c r="BF199" s="613">
        <v>40</v>
      </c>
      <c r="BG199" s="614" t="s">
        <v>78</v>
      </c>
      <c r="BH199" s="682"/>
      <c r="BI199" s="417"/>
      <c r="BJ199" s="417">
        <v>8</v>
      </c>
      <c r="BK199" s="682" t="str">
        <f>Техкарта[[#This Row],[Кв-л]]&amp;" кв ("&amp;Substring(Техкарта[[#This Row],[Виділ]],"_",1)&amp;" вид) "&amp;Substring(Техкарта[[#This Row],[Виділ]],"_",2)&amp;" діл."</f>
        <v>52 кв (3 вид) 0 діл.</v>
      </c>
      <c r="BL199" s="682" t="str">
        <f>Техкарта[[#This Row],[ПолнаяДіл]] &amp;" "&amp;Техкарта[[#This Row],[ЛК]]&amp;" "&amp;Техкарта[[#This Row],[Вид рубки]]</f>
        <v>52 кв (3 вид) 0 діл. 556619 РГК</v>
      </c>
      <c r="BM199" s="682"/>
      <c r="BN199" s="636" t="s">
        <v>3784</v>
      </c>
      <c r="BO199" s="636" t="s">
        <v>3784</v>
      </c>
      <c r="BP199" s="636" t="s">
        <v>3784</v>
      </c>
      <c r="BQ199" s="636" t="s">
        <v>104</v>
      </c>
      <c r="BR199" s="636"/>
      <c r="BS199" s="636"/>
      <c r="BT199" s="636"/>
      <c r="BU199" s="636"/>
      <c r="BV199" s="636"/>
      <c r="BW199" s="636" t="s">
        <v>4105</v>
      </c>
      <c r="BX199" s="636"/>
      <c r="BY199" s="972"/>
    </row>
    <row r="200" spans="1:77">
      <c r="A200" t="s">
        <v>3896</v>
      </c>
      <c r="B200" s="675" t="s">
        <v>115</v>
      </c>
      <c r="C200" s="687" t="s">
        <v>134</v>
      </c>
      <c r="D200" s="675">
        <v>0</v>
      </c>
      <c r="E200" s="675" t="s">
        <v>2311</v>
      </c>
      <c r="F200" s="675">
        <v>3</v>
      </c>
      <c r="G200" s="675" t="s">
        <v>79</v>
      </c>
      <c r="H200" s="675">
        <v>96</v>
      </c>
      <c r="I200" s="676" t="s">
        <v>3789</v>
      </c>
      <c r="J200" s="677">
        <v>5.6</v>
      </c>
      <c r="K200" s="683">
        <v>0</v>
      </c>
      <c r="L200" s="677"/>
      <c r="M200" s="677">
        <v>0</v>
      </c>
      <c r="N200" s="677">
        <v>0</v>
      </c>
      <c r="O200" s="677"/>
      <c r="P200" s="677"/>
      <c r="Q200" s="677">
        <v>58.33</v>
      </c>
      <c r="R200" s="677"/>
      <c r="S200" s="677">
        <v>0</v>
      </c>
      <c r="T200" s="677">
        <v>700</v>
      </c>
      <c r="U200" s="677"/>
      <c r="V200" s="677">
        <v>0</v>
      </c>
      <c r="W200" s="677">
        <v>0</v>
      </c>
      <c r="X200" s="678"/>
      <c r="Y200" s="682"/>
      <c r="Z200" s="680"/>
      <c r="AA200" s="681">
        <v>102.11</v>
      </c>
      <c r="AB200" s="681"/>
      <c r="AC200" s="417">
        <v>23</v>
      </c>
      <c r="AD200" s="417"/>
      <c r="AE200" s="682" t="s">
        <v>4107</v>
      </c>
      <c r="AF200">
        <v>1</v>
      </c>
      <c r="AG200" s="713">
        <v>43101</v>
      </c>
      <c r="AH200" s="417"/>
      <c r="AI200" s="417"/>
      <c r="AJ200" s="714">
        <v>43160</v>
      </c>
      <c r="AK200" s="417"/>
      <c r="AL200" s="637" t="s">
        <v>3444</v>
      </c>
      <c r="AM200" s="417"/>
      <c r="AN200" s="417"/>
      <c r="AO200" s="636"/>
      <c r="AP200">
        <v>556627</v>
      </c>
      <c r="AQ200" s="715">
        <v>43102</v>
      </c>
      <c r="AR200" s="417">
        <v>0.5</v>
      </c>
      <c r="AS200" s="417"/>
      <c r="AT200" s="417"/>
      <c r="AU200" s="417"/>
      <c r="AV200" s="417"/>
      <c r="AW200" s="417"/>
      <c r="AX200" s="417"/>
      <c r="AY200" t="s">
        <v>3362</v>
      </c>
      <c r="AZ200" s="417"/>
      <c r="BA200" s="417"/>
      <c r="BB200" t="s">
        <v>3585</v>
      </c>
      <c r="BC200" s="636"/>
      <c r="BD200" s="417"/>
      <c r="BE200" s="612"/>
      <c r="BF200" s="613"/>
      <c r="BG200" s="614"/>
      <c r="BH200" s="682"/>
      <c r="BI200" s="417"/>
      <c r="BJ200" s="417">
        <v>14</v>
      </c>
      <c r="BK200" s="682" t="str">
        <f>Техкарта[[#This Row],[Кв-л]]&amp;" кв ("&amp;Substring(Техкарта[[#This Row],[Виділ]],"_",1)&amp;" вид) "&amp;Substring(Техкарта[[#This Row],[Виділ]],"_",2)&amp;" діл."</f>
        <v>96 кв (10 вид) 0 діл.</v>
      </c>
      <c r="BL200" s="682" t="str">
        <f>Техкарта[[#This Row],[ПолнаяДіл]] &amp;" "&amp;Техкарта[[#This Row],[ЛК]]&amp;" "&amp;Техкарта[[#This Row],[Вид рубки]]</f>
        <v>96 кв (10 вид) 0 діл. 556627 ПРЧ</v>
      </c>
      <c r="BM200" s="682"/>
      <c r="BN200" s="636"/>
      <c r="BO200" s="636"/>
      <c r="BP200" s="636"/>
      <c r="BQ200" s="636" t="s">
        <v>3896</v>
      </c>
      <c r="BR200" s="636">
        <v>5</v>
      </c>
      <c r="BS200" s="636"/>
      <c r="BT200" s="636"/>
      <c r="BU200" s="636"/>
      <c r="BV200" s="636"/>
      <c r="BW200" s="636" t="s">
        <v>4105</v>
      </c>
      <c r="BX200" s="636"/>
      <c r="BY200" s="972"/>
    </row>
    <row r="201" spans="1:77">
      <c r="A201" t="s">
        <v>104</v>
      </c>
      <c r="B201" s="675" t="s">
        <v>116</v>
      </c>
      <c r="C201" s="687" t="s">
        <v>104</v>
      </c>
      <c r="D201" s="675">
        <v>0</v>
      </c>
      <c r="E201" s="675" t="s">
        <v>2305</v>
      </c>
      <c r="F201" s="675">
        <v>2</v>
      </c>
      <c r="G201" s="675" t="s">
        <v>2238</v>
      </c>
      <c r="H201" s="675">
        <v>94</v>
      </c>
      <c r="I201" s="676" t="s">
        <v>3829</v>
      </c>
      <c r="J201" s="677">
        <v>2.2000000000000002</v>
      </c>
      <c r="K201" s="683">
        <v>743</v>
      </c>
      <c r="L201" s="677">
        <v>0</v>
      </c>
      <c r="M201" s="677">
        <v>10</v>
      </c>
      <c r="N201" s="677">
        <v>301</v>
      </c>
      <c r="O201" s="677">
        <v>0</v>
      </c>
      <c r="P201" s="677">
        <v>0</v>
      </c>
      <c r="Q201" s="677">
        <v>20</v>
      </c>
      <c r="R201" s="677">
        <v>58</v>
      </c>
      <c r="S201" s="677">
        <v>8</v>
      </c>
      <c r="T201" s="677">
        <v>177</v>
      </c>
      <c r="U201" s="677">
        <v>19</v>
      </c>
      <c r="V201" s="677">
        <v>6</v>
      </c>
      <c r="W201" s="677">
        <v>120</v>
      </c>
      <c r="X201" s="678"/>
      <c r="Y201" s="682"/>
      <c r="Z201" s="680"/>
      <c r="AA201" s="681">
        <v>63.514000000000003</v>
      </c>
      <c r="AB201" s="681">
        <v>25.885000000000002</v>
      </c>
      <c r="AC201" s="417">
        <v>8</v>
      </c>
      <c r="AD201" s="417"/>
      <c r="AE201" s="682" t="s">
        <v>5443</v>
      </c>
      <c r="AF201">
        <v>1</v>
      </c>
      <c r="AG201" s="713">
        <v>43101</v>
      </c>
      <c r="AH201" s="417"/>
      <c r="AI201" s="417"/>
      <c r="AJ201" s="714">
        <v>43160</v>
      </c>
      <c r="AK201" s="417"/>
      <c r="AL201" s="637" t="s">
        <v>3477</v>
      </c>
      <c r="AM201" s="417"/>
      <c r="AN201" s="417"/>
      <c r="AO201" s="636"/>
      <c r="AP201">
        <v>556618</v>
      </c>
      <c r="AQ201" s="715">
        <v>43077</v>
      </c>
      <c r="AR201" s="417"/>
      <c r="AS201" s="417"/>
      <c r="AT201" s="417"/>
      <c r="AU201" s="417"/>
      <c r="AV201" s="417"/>
      <c r="AW201" s="417"/>
      <c r="AX201" s="417"/>
      <c r="AY201" t="s">
        <v>80</v>
      </c>
      <c r="AZ201" s="417"/>
      <c r="BA201" s="417"/>
      <c r="BB201" t="s">
        <v>4238</v>
      </c>
      <c r="BC201" s="636"/>
      <c r="BD201" s="417"/>
      <c r="BE201" s="612">
        <v>5</v>
      </c>
      <c r="BF201" s="613">
        <v>40</v>
      </c>
      <c r="BG201" s="614" t="s">
        <v>78</v>
      </c>
      <c r="BH201" s="682"/>
      <c r="BI201" s="417"/>
      <c r="BJ201" s="417">
        <v>10</v>
      </c>
      <c r="BK2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201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201" s="682"/>
      <c r="BN201" s="636" t="s">
        <v>3784</v>
      </c>
      <c r="BO201" s="636" t="s">
        <v>3784</v>
      </c>
      <c r="BP201" s="636" t="s">
        <v>3784</v>
      </c>
      <c r="BQ201" s="636" t="s">
        <v>104</v>
      </c>
      <c r="BR201" s="636"/>
      <c r="BS201" s="636"/>
      <c r="BT201" s="636"/>
      <c r="BU201" s="636">
        <v>8</v>
      </c>
      <c r="BV201" s="636" t="s">
        <v>4994</v>
      </c>
      <c r="BW201" s="636" t="s">
        <v>4108</v>
      </c>
      <c r="BX201" s="636" t="s">
        <v>4992</v>
      </c>
      <c r="BY201" s="972" t="s">
        <v>5444</v>
      </c>
    </row>
    <row r="202" spans="1:77">
      <c r="A202" t="s">
        <v>3896</v>
      </c>
      <c r="B202" s="675" t="s">
        <v>111</v>
      </c>
      <c r="C202" s="687" t="s">
        <v>3843</v>
      </c>
      <c r="D202" s="675">
        <v>0</v>
      </c>
      <c r="E202" s="675" t="s">
        <v>2311</v>
      </c>
      <c r="F202" s="675">
        <v>3</v>
      </c>
      <c r="G202" s="675" t="s">
        <v>79</v>
      </c>
      <c r="H202" s="675">
        <v>93</v>
      </c>
      <c r="I202" s="676" t="s">
        <v>3790</v>
      </c>
      <c r="J202" s="677">
        <v>3</v>
      </c>
      <c r="K202" s="683">
        <v>0</v>
      </c>
      <c r="L202" s="677"/>
      <c r="M202" s="677">
        <v>0</v>
      </c>
      <c r="N202" s="677">
        <v>140</v>
      </c>
      <c r="O202" s="677"/>
      <c r="P202" s="677"/>
      <c r="Q202" s="677">
        <v>0</v>
      </c>
      <c r="R202" s="677"/>
      <c r="S202" s="677">
        <v>0</v>
      </c>
      <c r="T202" s="677">
        <v>0</v>
      </c>
      <c r="U202" s="677"/>
      <c r="V202" s="677">
        <v>0</v>
      </c>
      <c r="W202" s="677">
        <v>0</v>
      </c>
      <c r="X202" s="678"/>
      <c r="Y202" s="682"/>
      <c r="Z202" s="680"/>
      <c r="AA202" s="681">
        <v>229.37</v>
      </c>
      <c r="AB202" s="681"/>
      <c r="AC202" s="417">
        <v>23</v>
      </c>
      <c r="AD202" s="417"/>
      <c r="AE202" s="682" t="s">
        <v>4109</v>
      </c>
      <c r="AF202">
        <v>1</v>
      </c>
      <c r="AG202" s="713">
        <v>43101</v>
      </c>
      <c r="AH202" s="417"/>
      <c r="AI202" s="417"/>
      <c r="AJ202" s="714">
        <v>43192</v>
      </c>
      <c r="AK202" s="417"/>
      <c r="AL202" s="637" t="s">
        <v>3457</v>
      </c>
      <c r="AM202" s="417"/>
      <c r="AN202" s="417"/>
      <c r="AO202" s="636"/>
      <c r="AP202">
        <v>556667</v>
      </c>
      <c r="AQ202" s="715">
        <v>43192</v>
      </c>
      <c r="AR202" s="417">
        <v>0.3</v>
      </c>
      <c r="AS202" s="417"/>
      <c r="AT202" s="417"/>
      <c r="AU202" s="417"/>
      <c r="AV202" s="417"/>
      <c r="AW202" s="417"/>
      <c r="AX202" s="417"/>
      <c r="AY202" t="s">
        <v>3424</v>
      </c>
      <c r="AZ202" s="417"/>
      <c r="BA202" s="417"/>
      <c r="BB202" t="s">
        <v>3583</v>
      </c>
      <c r="BC202" s="636"/>
      <c r="BD202" s="417"/>
      <c r="BE202" s="612"/>
      <c r="BF202" s="613"/>
      <c r="BG202" s="614"/>
      <c r="BH202" s="682"/>
      <c r="BI202" s="417"/>
      <c r="BJ202" s="417">
        <v>2</v>
      </c>
      <c r="BK202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202" s="682" t="str">
        <f>Техкарта[[#This Row],[ПолнаяДіл]] &amp;" "&amp;Техкарта[[#This Row],[ЛК]]&amp;" "&amp;Техкарта[[#This Row],[Вид рубки]]</f>
        <v>93 кв (2 вид) 0 діл. 556667 ОСВ</v>
      </c>
      <c r="BM202" s="682"/>
      <c r="BN202" s="636"/>
      <c r="BO202" s="636"/>
      <c r="BP202" s="636"/>
      <c r="BQ202" s="636" t="s">
        <v>3896</v>
      </c>
      <c r="BR202" s="636">
        <v>2</v>
      </c>
      <c r="BS202" s="636"/>
      <c r="BT202" s="636"/>
      <c r="BU202" s="636"/>
      <c r="BV202" s="636"/>
      <c r="BW202" s="636" t="s">
        <v>4108</v>
      </c>
      <c r="BX202" s="636"/>
      <c r="BY202" s="972"/>
    </row>
    <row r="203" spans="1:77">
      <c r="A203" t="s">
        <v>3896</v>
      </c>
      <c r="B203" s="675" t="s">
        <v>111</v>
      </c>
      <c r="C203" s="687" t="s">
        <v>3843</v>
      </c>
      <c r="D203" s="675">
        <v>0</v>
      </c>
      <c r="E203" s="675" t="s">
        <v>2311</v>
      </c>
      <c r="F203" s="675">
        <v>3</v>
      </c>
      <c r="G203" s="675" t="s">
        <v>79</v>
      </c>
      <c r="H203" s="675">
        <v>92</v>
      </c>
      <c r="I203" s="676" t="s">
        <v>3833</v>
      </c>
      <c r="J203" s="677">
        <v>1.5</v>
      </c>
      <c r="K203" s="683">
        <v>0</v>
      </c>
      <c r="L203" s="677"/>
      <c r="M203" s="677">
        <v>0</v>
      </c>
      <c r="N203" s="677">
        <v>100</v>
      </c>
      <c r="O203" s="677"/>
      <c r="P203" s="677"/>
      <c r="Q203" s="677">
        <v>0</v>
      </c>
      <c r="R203" s="677"/>
      <c r="S203" s="677">
        <v>0</v>
      </c>
      <c r="T203" s="677">
        <v>0</v>
      </c>
      <c r="U203" s="677"/>
      <c r="V203" s="677">
        <v>0</v>
      </c>
      <c r="W203" s="677">
        <v>0</v>
      </c>
      <c r="X203" s="678"/>
      <c r="Y203" s="682"/>
      <c r="Z203" s="680"/>
      <c r="AA203" s="681">
        <v>204.25</v>
      </c>
      <c r="AB203" s="681"/>
      <c r="AC203" s="417">
        <v>23</v>
      </c>
      <c r="AD203" s="417"/>
      <c r="AE203" s="682" t="s">
        <v>4112</v>
      </c>
      <c r="AF203">
        <v>1</v>
      </c>
      <c r="AG203" s="713">
        <v>43101</v>
      </c>
      <c r="AH203" s="417"/>
      <c r="AI203" s="417"/>
      <c r="AJ203" s="714">
        <v>43192</v>
      </c>
      <c r="AK203" s="417"/>
      <c r="AL203" s="637" t="s">
        <v>3457</v>
      </c>
      <c r="AM203" s="417"/>
      <c r="AN203" s="417"/>
      <c r="AO203" s="636"/>
      <c r="AP203">
        <v>556667</v>
      </c>
      <c r="AQ203" s="715">
        <v>43192</v>
      </c>
      <c r="AR203" s="417">
        <v>0.3</v>
      </c>
      <c r="AS203" s="417"/>
      <c r="AT203" s="417"/>
      <c r="AU203" s="417"/>
      <c r="AV203" s="417"/>
      <c r="AW203" s="417"/>
      <c r="AX203" s="417"/>
      <c r="AY203" t="s">
        <v>3424</v>
      </c>
      <c r="AZ203" s="417"/>
      <c r="BA203" s="417"/>
      <c r="BB203" t="s">
        <v>3583</v>
      </c>
      <c r="BC203" s="636"/>
      <c r="BD203" s="417"/>
      <c r="BE203" s="612"/>
      <c r="BF203" s="613"/>
      <c r="BG203" s="614"/>
      <c r="BH203" s="682"/>
      <c r="BI203" s="417"/>
      <c r="BJ203" s="417">
        <v>4</v>
      </c>
      <c r="BK203" s="682" t="str">
        <f>Техкарта[[#This Row],[Кв-л]]&amp;" кв ("&amp;Substring(Техкарта[[#This Row],[Виділ]],"_",1)&amp;" вид) "&amp;Substring(Техкарта[[#This Row],[Виділ]],"_",2)&amp;" діл."</f>
        <v>92 кв (8 вид) 0 діл.</v>
      </c>
      <c r="BL203" s="682" t="str">
        <f>Техкарта[[#This Row],[ПолнаяДіл]] &amp;" "&amp;Техкарта[[#This Row],[ЛК]]&amp;" "&amp;Техкарта[[#This Row],[Вид рубки]]</f>
        <v>92 кв (8 вид) 0 діл. 556667 ОСВ</v>
      </c>
      <c r="BM203" s="682"/>
      <c r="BN203" s="636"/>
      <c r="BO203" s="636"/>
      <c r="BP203" s="636"/>
      <c r="BQ203" s="636" t="s">
        <v>3896</v>
      </c>
      <c r="BR203" s="636">
        <v>2</v>
      </c>
      <c r="BS203" s="636"/>
      <c r="BT203" s="636"/>
      <c r="BU203" s="636"/>
      <c r="BV203" s="636"/>
      <c r="BW203" s="636" t="s">
        <v>4108</v>
      </c>
      <c r="BX203" s="636"/>
      <c r="BY203" s="972"/>
    </row>
    <row r="204" spans="1:77">
      <c r="A204" t="s">
        <v>3896</v>
      </c>
      <c r="B204" s="675" t="s">
        <v>111</v>
      </c>
      <c r="C204" s="687" t="s">
        <v>3843</v>
      </c>
      <c r="D204" s="675">
        <v>0</v>
      </c>
      <c r="E204" s="675" t="s">
        <v>2311</v>
      </c>
      <c r="F204" s="675">
        <v>3</v>
      </c>
      <c r="G204" s="675" t="s">
        <v>79</v>
      </c>
      <c r="H204" s="675">
        <v>93</v>
      </c>
      <c r="I204" s="676" t="s">
        <v>4110</v>
      </c>
      <c r="J204" s="677">
        <v>0.7</v>
      </c>
      <c r="K204" s="683">
        <v>0</v>
      </c>
      <c r="L204" s="677"/>
      <c r="M204" s="677">
        <v>0</v>
      </c>
      <c r="N204" s="677">
        <v>120</v>
      </c>
      <c r="O204" s="677"/>
      <c r="P204" s="677"/>
      <c r="Q204" s="677">
        <v>0</v>
      </c>
      <c r="R204" s="677"/>
      <c r="S204" s="677">
        <v>0</v>
      </c>
      <c r="T204" s="677">
        <v>0</v>
      </c>
      <c r="U204" s="677"/>
      <c r="V204" s="677">
        <v>0</v>
      </c>
      <c r="W204" s="677">
        <v>0</v>
      </c>
      <c r="X204" s="678"/>
      <c r="Y204" s="682"/>
      <c r="Z204" s="680"/>
      <c r="AA204" s="681">
        <v>185.65</v>
      </c>
      <c r="AB204" s="681"/>
      <c r="AC204" s="417">
        <v>23</v>
      </c>
      <c r="AD204" s="417"/>
      <c r="AE204" s="682" t="s">
        <v>4111</v>
      </c>
      <c r="AF204">
        <v>1</v>
      </c>
      <c r="AG204" s="713">
        <v>43101</v>
      </c>
      <c r="AH204" s="417"/>
      <c r="AI204" s="417"/>
      <c r="AJ204" s="714">
        <v>43192</v>
      </c>
      <c r="AK204" s="417"/>
      <c r="AL204" s="637" t="s">
        <v>3457</v>
      </c>
      <c r="AM204" s="417"/>
      <c r="AN204" s="417"/>
      <c r="AO204" s="636"/>
      <c r="AP204">
        <v>556667</v>
      </c>
      <c r="AQ204" s="715">
        <v>43192</v>
      </c>
      <c r="AR204" s="417">
        <v>0.3</v>
      </c>
      <c r="AS204" s="417"/>
      <c r="AT204" s="417"/>
      <c r="AU204" s="417"/>
      <c r="AV204" s="417"/>
      <c r="AW204" s="417"/>
      <c r="AX204" s="417"/>
      <c r="AY204" t="s">
        <v>3424</v>
      </c>
      <c r="AZ204" s="417"/>
      <c r="BA204" s="417"/>
      <c r="BB204" t="s">
        <v>3583</v>
      </c>
      <c r="BC204" s="636"/>
      <c r="BD204" s="417"/>
      <c r="BE204" s="612"/>
      <c r="BF204" s="613"/>
      <c r="BG204" s="614"/>
      <c r="BH204" s="682"/>
      <c r="BI204" s="417"/>
      <c r="BJ204" s="417">
        <v>3</v>
      </c>
      <c r="BK204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204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204" s="682"/>
      <c r="BN204" s="636"/>
      <c r="BO204" s="636"/>
      <c r="BP204" s="636"/>
      <c r="BQ204" s="636" t="s">
        <v>3896</v>
      </c>
      <c r="BR204" s="636">
        <v>2</v>
      </c>
      <c r="BS204" s="636"/>
      <c r="BT204" s="636"/>
      <c r="BU204" s="636"/>
      <c r="BV204" s="636"/>
      <c r="BW204" s="636" t="s">
        <v>4108</v>
      </c>
      <c r="BX204" s="636"/>
      <c r="BY204" s="972"/>
    </row>
    <row r="205" spans="1:77">
      <c r="A205" t="s">
        <v>3896</v>
      </c>
      <c r="B205" s="675" t="s">
        <v>111</v>
      </c>
      <c r="C205" s="687" t="s">
        <v>134</v>
      </c>
      <c r="D205" s="675">
        <v>0</v>
      </c>
      <c r="E205" s="675" t="s">
        <v>2311</v>
      </c>
      <c r="F205" s="675">
        <v>3</v>
      </c>
      <c r="G205" s="675" t="s">
        <v>79</v>
      </c>
      <c r="H205" s="675">
        <v>93</v>
      </c>
      <c r="I205" s="676" t="s">
        <v>4113</v>
      </c>
      <c r="J205" s="677">
        <v>1.7</v>
      </c>
      <c r="K205" s="683">
        <v>0</v>
      </c>
      <c r="L205" s="677"/>
      <c r="M205" s="677">
        <v>0</v>
      </c>
      <c r="N205" s="677">
        <v>90</v>
      </c>
      <c r="O205" s="677"/>
      <c r="P205" s="677"/>
      <c r="Q205" s="677">
        <v>0</v>
      </c>
      <c r="R205" s="677"/>
      <c r="S205" s="677">
        <v>0</v>
      </c>
      <c r="T205" s="677">
        <v>0</v>
      </c>
      <c r="U205" s="677"/>
      <c r="V205" s="677">
        <v>0</v>
      </c>
      <c r="W205" s="677">
        <v>0</v>
      </c>
      <c r="X205" s="678"/>
      <c r="Y205" s="682"/>
      <c r="Z205" s="680"/>
      <c r="AA205" s="681">
        <v>229.33</v>
      </c>
      <c r="AB205" s="681"/>
      <c r="AC205" s="417">
        <v>23</v>
      </c>
      <c r="AD205" s="417"/>
      <c r="AE205" s="682" t="s">
        <v>4114</v>
      </c>
      <c r="AF205">
        <v>1</v>
      </c>
      <c r="AG205" s="713">
        <v>43101</v>
      </c>
      <c r="AH205" s="417"/>
      <c r="AI205" s="417"/>
      <c r="AJ205" s="714">
        <v>43192</v>
      </c>
      <c r="AK205" s="417"/>
      <c r="AL205" s="637" t="s">
        <v>3457</v>
      </c>
      <c r="AM205" s="417"/>
      <c r="AN205" s="417"/>
      <c r="AO205" s="636"/>
      <c r="AP205">
        <v>556630</v>
      </c>
      <c r="AQ205" s="715">
        <v>43102</v>
      </c>
      <c r="AR205" s="417">
        <v>0.3</v>
      </c>
      <c r="AS205" s="417"/>
      <c r="AT205" s="417"/>
      <c r="AU205" s="417"/>
      <c r="AV205" s="417"/>
      <c r="AW205" s="417"/>
      <c r="AX205" s="417"/>
      <c r="AY205" t="s">
        <v>3424</v>
      </c>
      <c r="AZ205" s="417"/>
      <c r="BA205" s="417"/>
      <c r="BB205" t="s">
        <v>3583</v>
      </c>
      <c r="BC205" s="636"/>
      <c r="BD205" s="417"/>
      <c r="BE205" s="612"/>
      <c r="BF205" s="613"/>
      <c r="BG205" s="614"/>
      <c r="BH205" s="682"/>
      <c r="BI205" s="417"/>
      <c r="BJ205" s="417">
        <v>5</v>
      </c>
      <c r="BK205" s="682" t="str">
        <f>Техкарта[[#This Row],[Кв-л]]&amp;" кв ("&amp;Substring(Техкарта[[#This Row],[Виділ]],"_",1)&amp;" вид) "&amp;Substring(Техкарта[[#This Row],[Виділ]],"_",2)&amp;" діл."</f>
        <v>93 кв (17 вид) 0 діл.</v>
      </c>
      <c r="BL205" s="682" t="str">
        <f>Техкарта[[#This Row],[ПолнаяДіл]] &amp;" "&amp;Техкарта[[#This Row],[ЛК]]&amp;" "&amp;Техкарта[[#This Row],[Вид рубки]]</f>
        <v>93 кв (17 вид) 0 діл. 556630 ПРЧ</v>
      </c>
      <c r="BM205" s="682"/>
      <c r="BN205" s="636"/>
      <c r="BO205" s="636"/>
      <c r="BP205" s="636"/>
      <c r="BQ205" s="636" t="s">
        <v>3896</v>
      </c>
      <c r="BR205" s="636">
        <v>2</v>
      </c>
      <c r="BS205" s="636"/>
      <c r="BT205" s="636"/>
      <c r="BU205" s="636"/>
      <c r="BV205" s="636"/>
      <c r="BW205" s="636" t="s">
        <v>4108</v>
      </c>
      <c r="BX205" s="636"/>
      <c r="BY205" s="972"/>
    </row>
    <row r="206" spans="1:77">
      <c r="A206" t="s">
        <v>3896</v>
      </c>
      <c r="B206" s="675" t="s">
        <v>111</v>
      </c>
      <c r="C206" s="687" t="s">
        <v>134</v>
      </c>
      <c r="D206" s="675">
        <v>0</v>
      </c>
      <c r="E206" s="675" t="s">
        <v>2311</v>
      </c>
      <c r="F206" s="675">
        <v>3</v>
      </c>
      <c r="G206" s="675" t="s">
        <v>79</v>
      </c>
      <c r="H206" s="675">
        <v>93</v>
      </c>
      <c r="I206" s="676" t="s">
        <v>4115</v>
      </c>
      <c r="J206" s="677">
        <v>1.5</v>
      </c>
      <c r="K206" s="683">
        <v>0</v>
      </c>
      <c r="L206" s="677"/>
      <c r="M206" s="677">
        <v>0</v>
      </c>
      <c r="N206" s="677">
        <v>120</v>
      </c>
      <c r="O206" s="677"/>
      <c r="P206" s="677"/>
      <c r="Q206" s="677">
        <v>0</v>
      </c>
      <c r="R206" s="677"/>
      <c r="S206" s="677">
        <v>0</v>
      </c>
      <c r="T206" s="677">
        <v>0</v>
      </c>
      <c r="U206" s="677"/>
      <c r="V206" s="677">
        <v>0</v>
      </c>
      <c r="W206" s="677">
        <v>0</v>
      </c>
      <c r="X206" s="678"/>
      <c r="Y206" s="682"/>
      <c r="Z206" s="680"/>
      <c r="AA206" s="681">
        <v>204.26</v>
      </c>
      <c r="AB206" s="681"/>
      <c r="AC206" s="417">
        <v>23</v>
      </c>
      <c r="AD206" s="417"/>
      <c r="AE206" s="682" t="s">
        <v>4116</v>
      </c>
      <c r="AF206">
        <v>1</v>
      </c>
      <c r="AG206" s="713">
        <v>43101</v>
      </c>
      <c r="AH206" s="417"/>
      <c r="AI206" s="417"/>
      <c r="AJ206" s="714">
        <v>43192</v>
      </c>
      <c r="AK206" s="417"/>
      <c r="AL206" s="637" t="s">
        <v>3457</v>
      </c>
      <c r="AM206" s="417"/>
      <c r="AN206" s="417"/>
      <c r="AO206" s="636"/>
      <c r="AP206">
        <v>556630</v>
      </c>
      <c r="AQ206" s="715">
        <v>43102</v>
      </c>
      <c r="AR206" s="417">
        <v>0.3</v>
      </c>
      <c r="AS206" s="417"/>
      <c r="AT206" s="417"/>
      <c r="AU206" s="417"/>
      <c r="AV206" s="417"/>
      <c r="AW206" s="417"/>
      <c r="AX206" s="417"/>
      <c r="AY206" t="s">
        <v>3424</v>
      </c>
      <c r="AZ206" s="417"/>
      <c r="BA206" s="417"/>
      <c r="BB206" t="s">
        <v>3583</v>
      </c>
      <c r="BC206" s="636"/>
      <c r="BD206" s="417"/>
      <c r="BE206" s="612"/>
      <c r="BF206" s="613"/>
      <c r="BG206" s="614"/>
      <c r="BH206" s="682"/>
      <c r="BI206" s="417"/>
      <c r="BJ206" s="417">
        <v>6</v>
      </c>
      <c r="BK206" s="682" t="str">
        <f>Техкарта[[#This Row],[Кв-л]]&amp;" кв ("&amp;Substring(Техкарта[[#This Row],[Виділ]],"_",1)&amp;" вид) "&amp;Substring(Техкарта[[#This Row],[Виділ]],"_",2)&amp;" діл."</f>
        <v>93 кв (19 вид) 0 діл.</v>
      </c>
      <c r="BL206" s="682" t="str">
        <f>Техкарта[[#This Row],[ПолнаяДіл]] &amp;" "&amp;Техкарта[[#This Row],[ЛК]]&amp;" "&amp;Техкарта[[#This Row],[Вид рубки]]</f>
        <v>93 кв (19 вид) 0 діл. 556630 ПРЧ</v>
      </c>
      <c r="BM206" s="682"/>
      <c r="BN206" s="636"/>
      <c r="BO206" s="636"/>
      <c r="BP206" s="636"/>
      <c r="BQ206" s="636" t="s">
        <v>3896</v>
      </c>
      <c r="BR206" s="636">
        <v>2</v>
      </c>
      <c r="BS206" s="636"/>
      <c r="BT206" s="636"/>
      <c r="BU206" s="636"/>
      <c r="BV206" s="636"/>
      <c r="BW206" s="636" t="s">
        <v>4108</v>
      </c>
      <c r="BX206" s="636"/>
      <c r="BY206" s="972"/>
    </row>
    <row r="207" spans="1:77">
      <c r="A207" t="s">
        <v>3896</v>
      </c>
      <c r="B207" s="675" t="s">
        <v>111</v>
      </c>
      <c r="C207" s="687" t="s">
        <v>134</v>
      </c>
      <c r="D207" s="675">
        <v>0</v>
      </c>
      <c r="E207" s="675" t="s">
        <v>2311</v>
      </c>
      <c r="F207" s="675">
        <v>3</v>
      </c>
      <c r="G207" s="675" t="s">
        <v>79</v>
      </c>
      <c r="H207" s="675">
        <v>66</v>
      </c>
      <c r="I207" s="676" t="s">
        <v>3790</v>
      </c>
      <c r="J207" s="677">
        <v>2.4</v>
      </c>
      <c r="K207" s="683">
        <v>0</v>
      </c>
      <c r="L207" s="677"/>
      <c r="M207" s="677">
        <v>0</v>
      </c>
      <c r="N207" s="677">
        <v>0</v>
      </c>
      <c r="O207" s="677"/>
      <c r="P207" s="677"/>
      <c r="Q207" s="677">
        <v>341.67</v>
      </c>
      <c r="R207" s="677"/>
      <c r="S207" s="677">
        <v>0</v>
      </c>
      <c r="T207" s="677">
        <v>0</v>
      </c>
      <c r="U207" s="677"/>
      <c r="V207" s="677">
        <v>0</v>
      </c>
      <c r="W207" s="677">
        <v>0</v>
      </c>
      <c r="X207" s="678"/>
      <c r="Y207" s="682"/>
      <c r="Z207" s="680"/>
      <c r="AA207" s="681">
        <v>171.75</v>
      </c>
      <c r="AB207" s="681"/>
      <c r="AC207" s="417">
        <v>23</v>
      </c>
      <c r="AD207" s="417"/>
      <c r="AE207" s="682" t="s">
        <v>4117</v>
      </c>
      <c r="AF207">
        <v>1</v>
      </c>
      <c r="AG207" s="713">
        <v>43101</v>
      </c>
      <c r="AH207" s="417"/>
      <c r="AI207" s="417"/>
      <c r="AJ207" s="714">
        <v>43192</v>
      </c>
      <c r="AK207" s="417"/>
      <c r="AL207" s="637" t="s">
        <v>3451</v>
      </c>
      <c r="AM207" s="417"/>
      <c r="AN207" s="417"/>
      <c r="AO207" s="636"/>
      <c r="AP207">
        <v>556630</v>
      </c>
      <c r="AQ207" s="715">
        <v>43102</v>
      </c>
      <c r="AR207" s="417">
        <v>0.5</v>
      </c>
      <c r="AS207" s="417"/>
      <c r="AT207" s="417"/>
      <c r="AU207" s="417"/>
      <c r="AV207" s="417"/>
      <c r="AW207" s="417"/>
      <c r="AX207" s="417"/>
      <c r="AY207" t="s">
        <v>3424</v>
      </c>
      <c r="AZ207" s="417"/>
      <c r="BA207" s="417"/>
      <c r="BB207" t="s">
        <v>3583</v>
      </c>
      <c r="BC207" s="636"/>
      <c r="BD207" s="417"/>
      <c r="BE207" s="612"/>
      <c r="BF207" s="613"/>
      <c r="BG207" s="614"/>
      <c r="BH207" s="682"/>
      <c r="BI207" s="417"/>
      <c r="BJ207" s="417">
        <v>7</v>
      </c>
      <c r="BK207" s="682" t="str">
        <f>Техкарта[[#This Row],[Кв-л]]&amp;" кв ("&amp;Substring(Техкарта[[#This Row],[Виділ]],"_",1)&amp;" вид) "&amp;Substring(Техкарта[[#This Row],[Виділ]],"_",2)&amp;" діл."</f>
        <v>66 кв (2 вид) 0 діл.</v>
      </c>
      <c r="BL207" s="682" t="str">
        <f>Техкарта[[#This Row],[ПолнаяДіл]] &amp;" "&amp;Техкарта[[#This Row],[ЛК]]&amp;" "&amp;Техкарта[[#This Row],[Вид рубки]]</f>
        <v>66 кв (2 вид) 0 діл. 556630 ПРЧ</v>
      </c>
      <c r="BM207" s="682"/>
      <c r="BN207" s="636"/>
      <c r="BO207" s="636"/>
      <c r="BP207" s="636"/>
      <c r="BQ207" s="636" t="s">
        <v>3896</v>
      </c>
      <c r="BR207" s="636">
        <v>5</v>
      </c>
      <c r="BS207" s="636"/>
      <c r="BT207" s="636"/>
      <c r="BU207" s="636"/>
      <c r="BV207" s="636"/>
      <c r="BW207" s="636" t="s">
        <v>4108</v>
      </c>
      <c r="BX207" s="636"/>
      <c r="BY207" s="972"/>
    </row>
    <row r="208" spans="1:77">
      <c r="A208" t="s">
        <v>104</v>
      </c>
      <c r="B208" s="675" t="s">
        <v>111</v>
      </c>
      <c r="C208" s="687" t="s">
        <v>104</v>
      </c>
      <c r="D208" s="675">
        <v>0</v>
      </c>
      <c r="E208" s="675" t="s">
        <v>2305</v>
      </c>
      <c r="F208" s="675">
        <v>2</v>
      </c>
      <c r="G208" s="675" t="s">
        <v>2238</v>
      </c>
      <c r="H208" s="675">
        <v>20</v>
      </c>
      <c r="I208" s="676" t="s">
        <v>3847</v>
      </c>
      <c r="J208" s="677">
        <v>2.2000000000000002</v>
      </c>
      <c r="K208" s="683">
        <v>753</v>
      </c>
      <c r="L208" s="677">
        <v>0</v>
      </c>
      <c r="M208" s="677">
        <v>268</v>
      </c>
      <c r="N208" s="677">
        <v>24</v>
      </c>
      <c r="O208" s="677">
        <v>0</v>
      </c>
      <c r="P208" s="677">
        <v>0</v>
      </c>
      <c r="Q208" s="677">
        <v>0</v>
      </c>
      <c r="R208" s="677">
        <v>35</v>
      </c>
      <c r="S208" s="677">
        <v>72</v>
      </c>
      <c r="T208" s="677">
        <v>36</v>
      </c>
      <c r="U208" s="677">
        <v>12</v>
      </c>
      <c r="V208" s="677">
        <v>51</v>
      </c>
      <c r="W208" s="677">
        <v>26</v>
      </c>
      <c r="X208" s="678"/>
      <c r="Y208" s="682"/>
      <c r="Z208" s="680"/>
      <c r="AA208" s="681">
        <v>67.33</v>
      </c>
      <c r="AB208" s="681">
        <v>33.43</v>
      </c>
      <c r="AC208" s="417">
        <v>52</v>
      </c>
      <c r="AD208" s="417"/>
      <c r="AE208" s="682" t="s">
        <v>4118</v>
      </c>
      <c r="AF208">
        <v>1</v>
      </c>
      <c r="AG208" s="713">
        <v>43101</v>
      </c>
      <c r="AH208" s="417"/>
      <c r="AI208" s="417"/>
      <c r="AJ208" s="714">
        <v>43192</v>
      </c>
      <c r="AK208" s="417"/>
      <c r="AL208" s="637" t="s">
        <v>3433</v>
      </c>
      <c r="AM208" s="417"/>
      <c r="AN208" s="417"/>
      <c r="AO208" s="636"/>
      <c r="AP208">
        <v>556621</v>
      </c>
      <c r="AQ208" s="715">
        <v>43077</v>
      </c>
      <c r="AR208" s="417"/>
      <c r="AS208" s="417"/>
      <c r="AT208" s="417"/>
      <c r="AU208" s="417"/>
      <c r="AV208" s="417"/>
      <c r="AW208" s="417"/>
      <c r="AX208" s="417"/>
      <c r="AY208" t="s">
        <v>3424</v>
      </c>
      <c r="AZ208" s="417"/>
      <c r="BA208" s="417"/>
      <c r="BB208" t="s">
        <v>3583</v>
      </c>
      <c r="BC208" s="636"/>
      <c r="BD208" s="417"/>
      <c r="BE208" s="612">
        <v>5</v>
      </c>
      <c r="BF208" s="613">
        <v>40</v>
      </c>
      <c r="BG208" s="614" t="s">
        <v>78</v>
      </c>
      <c r="BH208" s="682"/>
      <c r="BI208" s="417"/>
      <c r="BJ208" s="417">
        <v>1</v>
      </c>
      <c r="BK20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208" s="682" t="str">
        <f>Техкарта[[#This Row],[ПолнаяДіл]] &amp;" "&amp;Техкарта[[#This Row],[ЛК]]&amp;" "&amp;Техкарта[[#This Row],[Вид рубки]]</f>
        <v>20 кв (4 вид) 1 діл. 556621 РГК</v>
      </c>
      <c r="BM208" s="682"/>
      <c r="BN208" s="636" t="s">
        <v>3784</v>
      </c>
      <c r="BO208" s="636" t="s">
        <v>3784</v>
      </c>
      <c r="BP208" s="636" t="s">
        <v>3784</v>
      </c>
      <c r="BQ208" s="636" t="s">
        <v>104</v>
      </c>
      <c r="BR208" s="636"/>
      <c r="BS208" s="636"/>
      <c r="BT208" s="636"/>
      <c r="BU208" s="636"/>
      <c r="BV208" s="636"/>
      <c r="BW208" s="636" t="s">
        <v>4119</v>
      </c>
      <c r="BX208" s="636"/>
      <c r="BY208" s="972"/>
    </row>
    <row r="209" spans="1:77">
      <c r="A209" t="s">
        <v>3896</v>
      </c>
      <c r="B209" s="675" t="s">
        <v>113</v>
      </c>
      <c r="C209" s="687" t="s">
        <v>3844</v>
      </c>
      <c r="D209" s="675">
        <v>0</v>
      </c>
      <c r="E209" s="675" t="s">
        <v>2311</v>
      </c>
      <c r="F209" s="675">
        <v>3</v>
      </c>
      <c r="G209" s="675" t="s">
        <v>79</v>
      </c>
      <c r="H209" s="675">
        <v>18</v>
      </c>
      <c r="I209" s="676" t="s">
        <v>3831</v>
      </c>
      <c r="J209" s="677">
        <v>0.5</v>
      </c>
      <c r="K209" s="683">
        <v>0</v>
      </c>
      <c r="L209" s="677"/>
      <c r="M209" s="677">
        <v>0</v>
      </c>
      <c r="N209" s="677">
        <v>20</v>
      </c>
      <c r="O209" s="677"/>
      <c r="P209" s="677"/>
      <c r="Q209" s="677">
        <v>0</v>
      </c>
      <c r="R209" s="677"/>
      <c r="S209" s="677">
        <v>0</v>
      </c>
      <c r="T209" s="677">
        <v>0</v>
      </c>
      <c r="U209" s="677"/>
      <c r="V209" s="677">
        <v>0</v>
      </c>
      <c r="W209" s="677">
        <v>0</v>
      </c>
      <c r="X209" s="678"/>
      <c r="Y209" s="682"/>
      <c r="Z209" s="680"/>
      <c r="AA209" s="681">
        <v>261.88</v>
      </c>
      <c r="AB209" s="681"/>
      <c r="AC209" s="417">
        <v>23</v>
      </c>
      <c r="AD209" s="417"/>
      <c r="AE209" s="682" t="s">
        <v>4120</v>
      </c>
      <c r="AF209">
        <v>1</v>
      </c>
      <c r="AG209" s="713">
        <v>43101</v>
      </c>
      <c r="AH209" s="417"/>
      <c r="AI209" s="417"/>
      <c r="AJ209" s="714">
        <v>43201</v>
      </c>
      <c r="AK209" s="417"/>
      <c r="AL209" s="637" t="s">
        <v>3435</v>
      </c>
      <c r="AM209" s="417"/>
      <c r="AN209" s="417"/>
      <c r="AO209" s="636"/>
      <c r="AP209">
        <v>556670</v>
      </c>
      <c r="AQ209" s="715">
        <v>43201</v>
      </c>
      <c r="AR209" s="417">
        <v>0.3</v>
      </c>
      <c r="AS209" s="417"/>
      <c r="AT209" s="417"/>
      <c r="AU209" s="417"/>
      <c r="AV209" s="417"/>
      <c r="AW209" s="417"/>
      <c r="AX209" s="417"/>
      <c r="AY209" t="s">
        <v>80</v>
      </c>
      <c r="AZ209" s="417"/>
      <c r="BA209" s="417"/>
      <c r="BB209" t="s">
        <v>3584</v>
      </c>
      <c r="BC209" s="636"/>
      <c r="BD209" s="417"/>
      <c r="BE209" s="612"/>
      <c r="BF209" s="613"/>
      <c r="BG209" s="614"/>
      <c r="BH209" s="682"/>
      <c r="BI209" s="417"/>
      <c r="BJ209" s="417">
        <v>3</v>
      </c>
      <c r="BK209" s="682" t="str">
        <f>Техкарта[[#This Row],[Кв-л]]&amp;" кв ("&amp;Substring(Техкарта[[#This Row],[Виділ]],"_",1)&amp;" вид) "&amp;Substring(Техкарта[[#This Row],[Виділ]],"_",2)&amp;" діл."</f>
        <v>18 кв (4 вид) 0 діл.</v>
      </c>
      <c r="BL209" s="682" t="str">
        <f>Техкарта[[#This Row],[ПолнаяДіл]] &amp;" "&amp;Техкарта[[#This Row],[ЛК]]&amp;" "&amp;Техкарта[[#This Row],[Вид рубки]]</f>
        <v>18 кв (4 вид) 0 діл. 556670 ЛД</v>
      </c>
      <c r="BM209" s="682"/>
      <c r="BN209" s="636"/>
      <c r="BO209" s="636"/>
      <c r="BP209" s="636"/>
      <c r="BQ209" s="636" t="s">
        <v>3896</v>
      </c>
      <c r="BR209" s="636">
        <v>2</v>
      </c>
      <c r="BS209" s="636"/>
      <c r="BT209" s="636"/>
      <c r="BU209" s="636"/>
      <c r="BV209" s="636"/>
      <c r="BW209" s="636" t="s">
        <v>4119</v>
      </c>
      <c r="BX209" s="636"/>
      <c r="BY209" s="972"/>
    </row>
    <row r="210" spans="1:77">
      <c r="A210" t="s">
        <v>3896</v>
      </c>
      <c r="B210" s="675" t="s">
        <v>113</v>
      </c>
      <c r="C210" s="687" t="s">
        <v>3844</v>
      </c>
      <c r="D210" s="675">
        <v>0</v>
      </c>
      <c r="E210" s="675" t="s">
        <v>2311</v>
      </c>
      <c r="F210" s="675">
        <v>3</v>
      </c>
      <c r="G210" s="675" t="s">
        <v>79</v>
      </c>
      <c r="H210" s="675">
        <v>15</v>
      </c>
      <c r="I210" s="676" t="s">
        <v>3850</v>
      </c>
      <c r="J210" s="677">
        <v>2.5</v>
      </c>
      <c r="K210" s="683">
        <v>0</v>
      </c>
      <c r="L210" s="677"/>
      <c r="M210" s="677">
        <v>0</v>
      </c>
      <c r="N210" s="677">
        <v>60</v>
      </c>
      <c r="O210" s="677"/>
      <c r="P210" s="677"/>
      <c r="Q210" s="677">
        <v>0</v>
      </c>
      <c r="R210" s="677"/>
      <c r="S210" s="677">
        <v>0</v>
      </c>
      <c r="T210" s="677">
        <v>0</v>
      </c>
      <c r="U210" s="677"/>
      <c r="V210" s="677">
        <v>0</v>
      </c>
      <c r="W210" s="677">
        <v>0</v>
      </c>
      <c r="X210" s="678"/>
      <c r="Y210" s="682"/>
      <c r="Z210" s="680"/>
      <c r="AA210" s="681">
        <v>309.82</v>
      </c>
      <c r="AB210" s="681"/>
      <c r="AC210" s="417">
        <v>23</v>
      </c>
      <c r="AD210" s="417"/>
      <c r="AE210" s="682" t="s">
        <v>4121</v>
      </c>
      <c r="AF210">
        <v>1</v>
      </c>
      <c r="AG210" s="713">
        <v>43101</v>
      </c>
      <c r="AH210" s="417"/>
      <c r="AI210" s="417"/>
      <c r="AJ210" s="714">
        <v>43201</v>
      </c>
      <c r="AK210" s="417"/>
      <c r="AL210" s="637" t="s">
        <v>3435</v>
      </c>
      <c r="AM210" s="417"/>
      <c r="AN210" s="417"/>
      <c r="AO210" s="636"/>
      <c r="AP210">
        <v>556670</v>
      </c>
      <c r="AQ210" s="715">
        <v>43201</v>
      </c>
      <c r="AR210" s="417">
        <v>0.3</v>
      </c>
      <c r="AS210" s="417"/>
      <c r="AT210" s="417"/>
      <c r="AU210" s="417"/>
      <c r="AV210" s="417"/>
      <c r="AW210" s="417"/>
      <c r="AX210" s="417"/>
      <c r="AY210" t="s">
        <v>80</v>
      </c>
      <c r="AZ210" s="417"/>
      <c r="BA210" s="417"/>
      <c r="BB210" t="s">
        <v>3584</v>
      </c>
      <c r="BC210" s="636"/>
      <c r="BD210" s="417"/>
      <c r="BE210" s="612"/>
      <c r="BF210" s="613"/>
      <c r="BG210" s="614"/>
      <c r="BH210" s="682"/>
      <c r="BI210" s="417"/>
      <c r="BJ210" s="417">
        <v>4</v>
      </c>
      <c r="BK210" s="682" t="str">
        <f>Техкарта[[#This Row],[Кв-л]]&amp;" кв ("&amp;Substring(Техкарта[[#This Row],[Виділ]],"_",1)&amp;" вид) "&amp;Substring(Техкарта[[#This Row],[Виділ]],"_",2)&amp;" діл."</f>
        <v>15 кв (6 вид) 0 діл.</v>
      </c>
      <c r="BL210" s="682" t="str">
        <f>Техкарта[[#This Row],[ПолнаяДіл]] &amp;" "&amp;Техкарта[[#This Row],[ЛК]]&amp;" "&amp;Техкарта[[#This Row],[Вид рубки]]</f>
        <v>15 кв (6 вид) 0 діл. 556670 ЛД</v>
      </c>
      <c r="BM210" s="682"/>
      <c r="BN210" s="636"/>
      <c r="BO210" s="636"/>
      <c r="BP210" s="636"/>
      <c r="BQ210" s="636" t="s">
        <v>3896</v>
      </c>
      <c r="BR210" s="636">
        <v>2</v>
      </c>
      <c r="BS210" s="636"/>
      <c r="BT210" s="636"/>
      <c r="BU210" s="636"/>
      <c r="BV210" s="636"/>
      <c r="BW210" s="636" t="s">
        <v>4119</v>
      </c>
      <c r="BX210" s="636"/>
      <c r="BY210" s="972"/>
    </row>
    <row r="211" spans="1:77">
      <c r="A211" t="s">
        <v>3896</v>
      </c>
      <c r="B211" s="675" t="s">
        <v>113</v>
      </c>
      <c r="C211" s="687" t="s">
        <v>3844</v>
      </c>
      <c r="D211" s="675">
        <v>0</v>
      </c>
      <c r="E211" s="675" t="s">
        <v>2305</v>
      </c>
      <c r="F211" s="675">
        <v>3</v>
      </c>
      <c r="G211" s="675" t="s">
        <v>79</v>
      </c>
      <c r="H211" s="675">
        <v>16</v>
      </c>
      <c r="I211" s="676" t="s">
        <v>3832</v>
      </c>
      <c r="J211" s="677">
        <v>2.2999999999999998</v>
      </c>
      <c r="K211" s="683">
        <v>0</v>
      </c>
      <c r="L211" s="677"/>
      <c r="M211" s="677">
        <v>0</v>
      </c>
      <c r="N211" s="677">
        <v>40</v>
      </c>
      <c r="O211" s="677"/>
      <c r="P211" s="677"/>
      <c r="Q211" s="677">
        <v>0</v>
      </c>
      <c r="R211" s="677"/>
      <c r="S211" s="677">
        <v>0</v>
      </c>
      <c r="T211" s="677">
        <v>0</v>
      </c>
      <c r="U211" s="677"/>
      <c r="V211" s="677">
        <v>0</v>
      </c>
      <c r="W211" s="677">
        <v>0</v>
      </c>
      <c r="X211" s="678"/>
      <c r="Y211" s="682"/>
      <c r="Z211" s="680"/>
      <c r="AA211" s="681">
        <v>309.77</v>
      </c>
      <c r="AB211" s="681"/>
      <c r="AC211" s="417">
        <v>23</v>
      </c>
      <c r="AD211" s="417"/>
      <c r="AE211" s="682" t="s">
        <v>4122</v>
      </c>
      <c r="AF211">
        <v>1</v>
      </c>
      <c r="AG211" s="713">
        <v>43101</v>
      </c>
      <c r="AH211" s="417"/>
      <c r="AI211" s="417"/>
      <c r="AJ211" s="714">
        <v>43201</v>
      </c>
      <c r="AK211" s="417"/>
      <c r="AL211" s="637" t="s">
        <v>3435</v>
      </c>
      <c r="AM211" s="417"/>
      <c r="AN211" s="417"/>
      <c r="AO211" s="636"/>
      <c r="AP211">
        <v>556670</v>
      </c>
      <c r="AQ211" s="715">
        <v>43201</v>
      </c>
      <c r="AR211" s="417">
        <v>0.3</v>
      </c>
      <c r="AS211" s="417"/>
      <c r="AT211" s="417"/>
      <c r="AU211" s="417"/>
      <c r="AV211" s="417"/>
      <c r="AW211" s="417"/>
      <c r="AX211" s="417"/>
      <c r="AY211" t="s">
        <v>80</v>
      </c>
      <c r="AZ211" s="417"/>
      <c r="BA211" s="417"/>
      <c r="BB211" t="s">
        <v>3584</v>
      </c>
      <c r="BC211" s="636"/>
      <c r="BD211" s="417"/>
      <c r="BE211" s="612"/>
      <c r="BF211" s="613"/>
      <c r="BG211" s="614"/>
      <c r="BH211" s="682"/>
      <c r="BI211" s="417"/>
      <c r="BJ211" s="417">
        <v>5</v>
      </c>
      <c r="BK211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211" s="682" t="str">
        <f>Техкарта[[#This Row],[ПолнаяДіл]] &amp;" "&amp;Техкарта[[#This Row],[ЛК]]&amp;" "&amp;Техкарта[[#This Row],[Вид рубки]]</f>
        <v>16 кв (5 вид) 0 діл. 556670 ЛД</v>
      </c>
      <c r="BM211" s="682"/>
      <c r="BN211" s="636"/>
      <c r="BO211" s="636"/>
      <c r="BP211" s="636"/>
      <c r="BQ211" s="636" t="s">
        <v>3896</v>
      </c>
      <c r="BR211" s="636">
        <v>2</v>
      </c>
      <c r="BS211" s="636"/>
      <c r="BT211" s="636"/>
      <c r="BU211" s="636"/>
      <c r="BV211" s="636"/>
      <c r="BW211" s="636" t="s">
        <v>4119</v>
      </c>
      <c r="BX211" s="636"/>
      <c r="BY211" s="972"/>
    </row>
    <row r="212" spans="1:77">
      <c r="A212" t="s">
        <v>3896</v>
      </c>
      <c r="B212" s="675" t="s">
        <v>113</v>
      </c>
      <c r="C212" s="687" t="s">
        <v>3844</v>
      </c>
      <c r="D212" s="675">
        <v>0</v>
      </c>
      <c r="E212" s="675" t="s">
        <v>2305</v>
      </c>
      <c r="F212" s="675">
        <v>3</v>
      </c>
      <c r="G212" s="675" t="s">
        <v>79</v>
      </c>
      <c r="H212" s="675">
        <v>6</v>
      </c>
      <c r="I212" s="676" t="s">
        <v>3790</v>
      </c>
      <c r="J212" s="677">
        <v>3</v>
      </c>
      <c r="K212" s="683">
        <v>0</v>
      </c>
      <c r="L212" s="677"/>
      <c r="M212" s="677">
        <v>0</v>
      </c>
      <c r="N212" s="677">
        <v>20</v>
      </c>
      <c r="O212" s="677"/>
      <c r="P212" s="677"/>
      <c r="Q212" s="677">
        <v>0</v>
      </c>
      <c r="R212" s="677"/>
      <c r="S212" s="677">
        <v>0</v>
      </c>
      <c r="T212" s="677">
        <v>0</v>
      </c>
      <c r="U212" s="677"/>
      <c r="V212" s="677">
        <v>0</v>
      </c>
      <c r="W212" s="677">
        <v>0</v>
      </c>
      <c r="X212" s="678"/>
      <c r="Y212" s="682"/>
      <c r="Z212" s="680"/>
      <c r="AA212" s="681">
        <v>309.89999999999998</v>
      </c>
      <c r="AB212" s="681"/>
      <c r="AC212" s="417">
        <v>23</v>
      </c>
      <c r="AD212" s="417"/>
      <c r="AE212" s="682" t="s">
        <v>4123</v>
      </c>
      <c r="AF212">
        <v>1</v>
      </c>
      <c r="AG212" s="713">
        <v>43101</v>
      </c>
      <c r="AH212" s="417"/>
      <c r="AI212" s="417"/>
      <c r="AJ212" s="714">
        <v>43201</v>
      </c>
      <c r="AK212" s="417"/>
      <c r="AL212" s="637" t="s">
        <v>3435</v>
      </c>
      <c r="AM212" s="417"/>
      <c r="AN212" s="417"/>
      <c r="AO212" s="636"/>
      <c r="AP212">
        <v>556670</v>
      </c>
      <c r="AQ212" s="715">
        <v>43201</v>
      </c>
      <c r="AR212" s="417">
        <v>0.3</v>
      </c>
      <c r="AS212" s="417"/>
      <c r="AT212" s="417"/>
      <c r="AU212" s="417"/>
      <c r="AV212" s="417"/>
      <c r="AW212" s="417"/>
      <c r="AX212" s="417"/>
      <c r="AY212" t="s">
        <v>80</v>
      </c>
      <c r="AZ212" s="417"/>
      <c r="BA212" s="417"/>
      <c r="BB212" t="s">
        <v>3584</v>
      </c>
      <c r="BC212" s="636"/>
      <c r="BD212" s="417"/>
      <c r="BE212" s="612"/>
      <c r="BF212" s="613"/>
      <c r="BG212" s="614"/>
      <c r="BH212" s="682"/>
      <c r="BI212" s="417"/>
      <c r="BJ212" s="417">
        <v>6</v>
      </c>
      <c r="BK212" s="682" t="str">
        <f>Техкарта[[#This Row],[Кв-л]]&amp;" кв ("&amp;Substring(Техкарта[[#This Row],[Виділ]],"_",1)&amp;" вид) "&amp;Substring(Техкарта[[#This Row],[Виділ]],"_",2)&amp;" діл."</f>
        <v>6 кв (2 вид) 0 діл.</v>
      </c>
      <c r="BL212" s="682" t="str">
        <f>Техкарта[[#This Row],[ПолнаяДіл]] &amp;" "&amp;Техкарта[[#This Row],[ЛК]]&amp;" "&amp;Техкарта[[#This Row],[Вид рубки]]</f>
        <v>6 кв (2 вид) 0 діл. 556670 ЛД</v>
      </c>
      <c r="BM212" s="682"/>
      <c r="BN212" s="636"/>
      <c r="BO212" s="636"/>
      <c r="BP212" s="636"/>
      <c r="BQ212" s="636" t="s">
        <v>3896</v>
      </c>
      <c r="BR212" s="636">
        <v>2</v>
      </c>
      <c r="BS212" s="636"/>
      <c r="BT212" s="636"/>
      <c r="BU212" s="636"/>
      <c r="BV212" s="636"/>
      <c r="BW212" s="636" t="s">
        <v>4119</v>
      </c>
      <c r="BX212" s="636"/>
      <c r="BY212" s="972"/>
    </row>
    <row r="213" spans="1:77">
      <c r="A213" t="s">
        <v>3896</v>
      </c>
      <c r="B213" s="675" t="s">
        <v>113</v>
      </c>
      <c r="C213" s="687" t="s">
        <v>3844</v>
      </c>
      <c r="D213" s="675">
        <v>0</v>
      </c>
      <c r="E213" s="675" t="s">
        <v>2305</v>
      </c>
      <c r="F213" s="675">
        <v>3</v>
      </c>
      <c r="G213" s="675" t="s">
        <v>79</v>
      </c>
      <c r="H213" s="675">
        <v>9</v>
      </c>
      <c r="I213" s="676" t="s">
        <v>3831</v>
      </c>
      <c r="J213" s="677">
        <v>1.7</v>
      </c>
      <c r="K213" s="683">
        <v>0</v>
      </c>
      <c r="L213" s="677"/>
      <c r="M213" s="677">
        <v>0</v>
      </c>
      <c r="N213" s="677">
        <v>40</v>
      </c>
      <c r="O213" s="677"/>
      <c r="P213" s="677"/>
      <c r="Q213" s="677">
        <v>0</v>
      </c>
      <c r="R213" s="677"/>
      <c r="S213" s="677">
        <v>0</v>
      </c>
      <c r="T213" s="677">
        <v>0</v>
      </c>
      <c r="U213" s="677"/>
      <c r="V213" s="677">
        <v>0</v>
      </c>
      <c r="W213" s="677">
        <v>0</v>
      </c>
      <c r="X213" s="678"/>
      <c r="Y213" s="682"/>
      <c r="Z213" s="680"/>
      <c r="AA213" s="681">
        <v>309.77</v>
      </c>
      <c r="AB213" s="681"/>
      <c r="AC213" s="417">
        <v>23</v>
      </c>
      <c r="AD213" s="417"/>
      <c r="AE213" s="682" t="s">
        <v>4124</v>
      </c>
      <c r="AF213">
        <v>1</v>
      </c>
      <c r="AG213" s="713">
        <v>43101</v>
      </c>
      <c r="AH213" s="417"/>
      <c r="AI213" s="417"/>
      <c r="AJ213" s="714">
        <v>43201</v>
      </c>
      <c r="AK213" s="417"/>
      <c r="AL213" s="637" t="s">
        <v>3435</v>
      </c>
      <c r="AM213" s="417"/>
      <c r="AN213" s="417"/>
      <c r="AO213" s="636"/>
      <c r="AP213">
        <v>556670</v>
      </c>
      <c r="AQ213" s="715">
        <v>43201</v>
      </c>
      <c r="AR213" s="417">
        <v>0.3</v>
      </c>
      <c r="AS213" s="417"/>
      <c r="AT213" s="417"/>
      <c r="AU213" s="417"/>
      <c r="AV213" s="417"/>
      <c r="AW213" s="417"/>
      <c r="AX213" s="417"/>
      <c r="AY213" t="s">
        <v>80</v>
      </c>
      <c r="AZ213" s="417"/>
      <c r="BA213" s="417"/>
      <c r="BB213" t="s">
        <v>3584</v>
      </c>
      <c r="BC213" s="636"/>
      <c r="BD213" s="417"/>
      <c r="BE213" s="612"/>
      <c r="BF213" s="613"/>
      <c r="BG213" s="614"/>
      <c r="BH213" s="682"/>
      <c r="BI213" s="417"/>
      <c r="BJ213" s="417">
        <v>7</v>
      </c>
      <c r="BK213" s="682" t="str">
        <f>Техкарта[[#This Row],[Кв-л]]&amp;" кв ("&amp;Substring(Техкарта[[#This Row],[Виділ]],"_",1)&amp;" вид) "&amp;Substring(Техкарта[[#This Row],[Виділ]],"_",2)&amp;" діл."</f>
        <v>9 кв (4 вид) 0 діл.</v>
      </c>
      <c r="BL213" s="682" t="str">
        <f>Техкарта[[#This Row],[ПолнаяДіл]] &amp;" "&amp;Техкарта[[#This Row],[ЛК]]&amp;" "&amp;Техкарта[[#This Row],[Вид рубки]]</f>
        <v>9 кв (4 вид) 0 діл. 556670 ЛД</v>
      </c>
      <c r="BM213" s="682"/>
      <c r="BN213" s="636"/>
      <c r="BO213" s="636"/>
      <c r="BP213" s="636"/>
      <c r="BQ213" s="636" t="s">
        <v>3896</v>
      </c>
      <c r="BR213" s="636">
        <v>2</v>
      </c>
      <c r="BS213" s="636"/>
      <c r="BT213" s="636"/>
      <c r="BU213" s="636"/>
      <c r="BV213" s="636"/>
      <c r="BW213" s="636" t="s">
        <v>4119</v>
      </c>
      <c r="BX213" s="636"/>
      <c r="BY213" s="972"/>
    </row>
    <row r="214" spans="1:77">
      <c r="A214" t="s">
        <v>3896</v>
      </c>
      <c r="B214" s="675" t="s">
        <v>113</v>
      </c>
      <c r="C214" s="687" t="s">
        <v>3843</v>
      </c>
      <c r="D214" s="675">
        <v>0</v>
      </c>
      <c r="E214" s="675" t="s">
        <v>2305</v>
      </c>
      <c r="F214" s="675">
        <v>3</v>
      </c>
      <c r="G214" s="675" t="s">
        <v>79</v>
      </c>
      <c r="H214" s="675">
        <v>105</v>
      </c>
      <c r="I214" s="676" t="s">
        <v>3832</v>
      </c>
      <c r="J214" s="677">
        <v>3.6</v>
      </c>
      <c r="K214" s="683">
        <v>0</v>
      </c>
      <c r="L214" s="677"/>
      <c r="M214" s="677">
        <v>0</v>
      </c>
      <c r="N214" s="677">
        <v>320</v>
      </c>
      <c r="O214" s="677"/>
      <c r="P214" s="677"/>
      <c r="Q214" s="677">
        <v>0</v>
      </c>
      <c r="R214" s="677"/>
      <c r="S214" s="677">
        <v>0</v>
      </c>
      <c r="T214" s="677">
        <v>0</v>
      </c>
      <c r="U214" s="677"/>
      <c r="V214" s="677">
        <v>0</v>
      </c>
      <c r="W214" s="677">
        <v>0</v>
      </c>
      <c r="X214" s="678"/>
      <c r="Y214" s="682"/>
      <c r="Z214" s="680"/>
      <c r="AA214" s="681">
        <v>204.23</v>
      </c>
      <c r="AB214" s="681"/>
      <c r="AC214" s="417">
        <v>23</v>
      </c>
      <c r="AD214" s="417"/>
      <c r="AE214" s="682" t="s">
        <v>4125</v>
      </c>
      <c r="AF214">
        <v>1</v>
      </c>
      <c r="AG214" s="713">
        <v>43101</v>
      </c>
      <c r="AH214" s="417"/>
      <c r="AI214" s="417"/>
      <c r="AJ214" s="714">
        <v>43201</v>
      </c>
      <c r="AK214" s="417"/>
      <c r="AL214" s="637" t="s">
        <v>3441</v>
      </c>
      <c r="AM214" s="417"/>
      <c r="AN214" s="417"/>
      <c r="AO214" s="636"/>
      <c r="AP214">
        <v>556671</v>
      </c>
      <c r="AQ214" s="715">
        <v>43201</v>
      </c>
      <c r="AR214" s="417">
        <v>0.3</v>
      </c>
      <c r="AS214" s="417"/>
      <c r="AT214" s="417"/>
      <c r="AU214" s="417"/>
      <c r="AV214" s="417"/>
      <c r="AW214" s="417"/>
      <c r="AX214" s="417"/>
      <c r="AY214" t="s">
        <v>80</v>
      </c>
      <c r="AZ214" s="417"/>
      <c r="BA214" s="417"/>
      <c r="BB214" t="s">
        <v>3584</v>
      </c>
      <c r="BC214" s="636"/>
      <c r="BD214" s="417"/>
      <c r="BE214" s="612"/>
      <c r="BF214" s="613"/>
      <c r="BG214" s="614"/>
      <c r="BH214" s="682"/>
      <c r="BI214" s="417"/>
      <c r="BJ214" s="417">
        <v>8</v>
      </c>
      <c r="BK214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4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4" s="682"/>
      <c r="BN214" s="636"/>
      <c r="BO214" s="636"/>
      <c r="BP214" s="636"/>
      <c r="BQ214" s="636" t="s">
        <v>3896</v>
      </c>
      <c r="BR214" s="636">
        <v>2</v>
      </c>
      <c r="BS214" s="636"/>
      <c r="BT214" s="636"/>
      <c r="BU214" s="636"/>
      <c r="BV214" s="636"/>
      <c r="BW214" s="636" t="s">
        <v>4119</v>
      </c>
      <c r="BX214" s="636"/>
      <c r="BY214" s="972"/>
    </row>
    <row r="215" spans="1:77">
      <c r="A215" t="s">
        <v>3896</v>
      </c>
      <c r="B215" s="675" t="s">
        <v>113</v>
      </c>
      <c r="C215" s="687" t="s">
        <v>3843</v>
      </c>
      <c r="D215" s="675">
        <v>0</v>
      </c>
      <c r="E215" s="675" t="s">
        <v>2305</v>
      </c>
      <c r="F215" s="675">
        <v>3</v>
      </c>
      <c r="G215" s="675" t="s">
        <v>79</v>
      </c>
      <c r="H215" s="675">
        <v>105</v>
      </c>
      <c r="I215" s="676" t="s">
        <v>3832</v>
      </c>
      <c r="J215" s="677">
        <v>3.6</v>
      </c>
      <c r="K215" s="683">
        <v>0</v>
      </c>
      <c r="L215" s="677"/>
      <c r="M215" s="677">
        <v>0</v>
      </c>
      <c r="N215" s="677">
        <v>320</v>
      </c>
      <c r="O215" s="677"/>
      <c r="P215" s="677"/>
      <c r="Q215" s="677">
        <v>0</v>
      </c>
      <c r="R215" s="677"/>
      <c r="S215" s="677">
        <v>0</v>
      </c>
      <c r="T215" s="677">
        <v>0</v>
      </c>
      <c r="U215" s="677"/>
      <c r="V215" s="677">
        <v>0</v>
      </c>
      <c r="W215" s="677">
        <v>0</v>
      </c>
      <c r="X215" s="678"/>
      <c r="Y215" s="682"/>
      <c r="Z215" s="680"/>
      <c r="AA215" s="681">
        <v>204.23</v>
      </c>
      <c r="AB215" s="681"/>
      <c r="AC215" s="417">
        <v>23</v>
      </c>
      <c r="AD215" s="417"/>
      <c r="AE215" s="682" t="s">
        <v>4125</v>
      </c>
      <c r="AF215">
        <v>1</v>
      </c>
      <c r="AG215" s="713">
        <v>43101</v>
      </c>
      <c r="AH215" s="417"/>
      <c r="AI215" s="417"/>
      <c r="AJ215" s="714">
        <v>43201</v>
      </c>
      <c r="AK215" s="417"/>
      <c r="AL215" s="637" t="s">
        <v>3441</v>
      </c>
      <c r="AM215" s="417"/>
      <c r="AN215" s="417"/>
      <c r="AO215" s="636"/>
      <c r="AP215">
        <v>556671</v>
      </c>
      <c r="AQ215" s="715">
        <v>43201</v>
      </c>
      <c r="AR215" s="417">
        <v>0.3</v>
      </c>
      <c r="AS215" s="417"/>
      <c r="AT215" s="417"/>
      <c r="AU215" s="417"/>
      <c r="AV215" s="417"/>
      <c r="AW215" s="417"/>
      <c r="AX215" s="417"/>
      <c r="AY215" t="s">
        <v>80</v>
      </c>
      <c r="AZ215" s="417"/>
      <c r="BA215" s="417"/>
      <c r="BB215" t="s">
        <v>3584</v>
      </c>
      <c r="BC215" s="636"/>
      <c r="BD215" s="417"/>
      <c r="BE215" s="612"/>
      <c r="BF215" s="613"/>
      <c r="BG215" s="614"/>
      <c r="BH215" s="682"/>
      <c r="BI215" s="417"/>
      <c r="BJ215" s="417">
        <v>8</v>
      </c>
      <c r="BK215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215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215" s="682"/>
      <c r="BN215" s="636"/>
      <c r="BO215" s="636"/>
      <c r="BP215" s="636"/>
      <c r="BQ215" s="636" t="s">
        <v>3896</v>
      </c>
      <c r="BR215" s="636">
        <v>2</v>
      </c>
      <c r="BS215" s="636"/>
      <c r="BT215" s="636"/>
      <c r="BU215" s="636"/>
      <c r="BV215" s="636"/>
      <c r="BW215" s="636" t="s">
        <v>4126</v>
      </c>
      <c r="BX215" s="636"/>
      <c r="BY215" s="972"/>
    </row>
    <row r="216" spans="1:77">
      <c r="A216" t="s">
        <v>104</v>
      </c>
      <c r="B216" s="675" t="s">
        <v>114</v>
      </c>
      <c r="C216" s="687" t="s">
        <v>104</v>
      </c>
      <c r="D216" s="675">
        <v>0</v>
      </c>
      <c r="E216" s="675" t="s">
        <v>2305</v>
      </c>
      <c r="F216" s="675">
        <v>3</v>
      </c>
      <c r="G216" s="675" t="s">
        <v>2238</v>
      </c>
      <c r="H216" s="675">
        <v>75</v>
      </c>
      <c r="I216" s="676" t="s">
        <v>3832</v>
      </c>
      <c r="J216" s="677">
        <v>0.7</v>
      </c>
      <c r="K216" s="683">
        <v>341</v>
      </c>
      <c r="L216" s="677">
        <v>0</v>
      </c>
      <c r="M216" s="677">
        <v>1</v>
      </c>
      <c r="N216" s="677">
        <v>102</v>
      </c>
      <c r="O216" s="677">
        <v>0</v>
      </c>
      <c r="P216" s="677">
        <v>0</v>
      </c>
      <c r="Q216" s="677">
        <v>0</v>
      </c>
      <c r="R216" s="677">
        <v>10</v>
      </c>
      <c r="S216" s="677">
        <v>7</v>
      </c>
      <c r="T216" s="677">
        <v>148</v>
      </c>
      <c r="U216" s="677">
        <v>1</v>
      </c>
      <c r="V216" s="677">
        <v>2</v>
      </c>
      <c r="W216" s="677">
        <v>9</v>
      </c>
      <c r="X216" s="678"/>
      <c r="Y216" s="682"/>
      <c r="Z216" s="680"/>
      <c r="AA216" s="681">
        <v>55.661000000000001</v>
      </c>
      <c r="AB216" s="681">
        <v>32.753999999999998</v>
      </c>
      <c r="AC216" s="417">
        <v>16</v>
      </c>
      <c r="AD216" s="417"/>
      <c r="AE216" s="682" t="s">
        <v>4127</v>
      </c>
      <c r="AF216">
        <v>1</v>
      </c>
      <c r="AG216" s="713">
        <v>43101</v>
      </c>
      <c r="AH216" s="417"/>
      <c r="AI216" s="417"/>
      <c r="AJ216" s="714">
        <v>43192</v>
      </c>
      <c r="AK216" s="417"/>
      <c r="AL216" s="637" t="s">
        <v>3454</v>
      </c>
      <c r="AM216" s="417"/>
      <c r="AN216" s="417"/>
      <c r="AO216" s="636"/>
      <c r="AP216">
        <v>556619</v>
      </c>
      <c r="AQ216" s="715">
        <v>43077</v>
      </c>
      <c r="AR216" s="417"/>
      <c r="AS216" s="417"/>
      <c r="AT216" s="417"/>
      <c r="AU216" s="417"/>
      <c r="AV216" s="417"/>
      <c r="AW216" s="417"/>
      <c r="AX216" s="417"/>
      <c r="AY216" t="s">
        <v>3424</v>
      </c>
      <c r="AZ216" s="417"/>
      <c r="BA216" s="417"/>
      <c r="BB216" t="s">
        <v>3583</v>
      </c>
      <c r="BC216" s="636"/>
      <c r="BD216" s="417"/>
      <c r="BE216" s="612">
        <v>5</v>
      </c>
      <c r="BF216" s="613">
        <v>40</v>
      </c>
      <c r="BG216" s="614" t="s">
        <v>78</v>
      </c>
      <c r="BH216" s="682"/>
      <c r="BI216" s="417"/>
      <c r="BJ216" s="417">
        <v>1</v>
      </c>
      <c r="BK216" s="682" t="str">
        <f>Техкарта[[#This Row],[Кв-л]]&amp;" кв ("&amp;Substring(Техкарта[[#This Row],[Виділ]],"_",1)&amp;" вид) "&amp;Substring(Техкарта[[#This Row],[Виділ]],"_",2)&amp;" діл."</f>
        <v>75 кв (5 вид) 0 діл.</v>
      </c>
      <c r="BL216" s="682" t="str">
        <f>Техкарта[[#This Row],[ПолнаяДіл]] &amp;" "&amp;Техкарта[[#This Row],[ЛК]]&amp;" "&amp;Техкарта[[#This Row],[Вид рубки]]</f>
        <v>75 кв (5 вид) 0 діл. 556619 РГК</v>
      </c>
      <c r="BM216" s="682"/>
      <c r="BN216" s="636" t="s">
        <v>3784</v>
      </c>
      <c r="BO216" s="636" t="s">
        <v>3784</v>
      </c>
      <c r="BP216" s="636" t="s">
        <v>3784</v>
      </c>
      <c r="BQ216" s="636" t="s">
        <v>104</v>
      </c>
      <c r="BR216" s="636"/>
      <c r="BS216" s="636"/>
      <c r="BT216" s="636"/>
      <c r="BU216" s="636"/>
      <c r="BV216" s="636"/>
      <c r="BW216" s="636" t="s">
        <v>4126</v>
      </c>
      <c r="BX216" s="636"/>
      <c r="BY216" s="972"/>
    </row>
    <row r="217" spans="1:77">
      <c r="A217" t="s">
        <v>104</v>
      </c>
      <c r="B217" s="675" t="s">
        <v>114</v>
      </c>
      <c r="C217" s="687" t="s">
        <v>104</v>
      </c>
      <c r="D217" s="675">
        <v>0</v>
      </c>
      <c r="E217" s="675" t="s">
        <v>2305</v>
      </c>
      <c r="F217" s="675">
        <v>3</v>
      </c>
      <c r="G217" s="675" t="s">
        <v>2238</v>
      </c>
      <c r="H217" s="675">
        <v>76</v>
      </c>
      <c r="I217" s="676" t="s">
        <v>3790</v>
      </c>
      <c r="J217" s="677">
        <v>3.3</v>
      </c>
      <c r="K217" s="683">
        <v>695</v>
      </c>
      <c r="L217" s="677">
        <v>0</v>
      </c>
      <c r="M217" s="677">
        <v>37</v>
      </c>
      <c r="N217" s="677">
        <v>233</v>
      </c>
      <c r="O217" s="677">
        <v>0</v>
      </c>
      <c r="P217" s="677">
        <v>0</v>
      </c>
      <c r="Q217" s="677">
        <v>5</v>
      </c>
      <c r="R217" s="677">
        <v>125</v>
      </c>
      <c r="S217" s="677">
        <v>69</v>
      </c>
      <c r="T217" s="677">
        <v>190</v>
      </c>
      <c r="U217" s="677">
        <v>8</v>
      </c>
      <c r="V217" s="677">
        <v>12</v>
      </c>
      <c r="W217" s="677">
        <v>11</v>
      </c>
      <c r="X217" s="678"/>
      <c r="Y217" s="682"/>
      <c r="Z217" s="680"/>
      <c r="AA217" s="681">
        <v>61.037999999999997</v>
      </c>
      <c r="AB217" s="681">
        <v>33.53</v>
      </c>
      <c r="AC217" s="417">
        <v>54</v>
      </c>
      <c r="AD217" s="417"/>
      <c r="AE217" s="682" t="s">
        <v>4128</v>
      </c>
      <c r="AF217">
        <v>1</v>
      </c>
      <c r="AG217" s="713">
        <v>43101</v>
      </c>
      <c r="AH217" s="417"/>
      <c r="AI217" s="417"/>
      <c r="AJ217" s="714">
        <v>43192</v>
      </c>
      <c r="AK217" s="417"/>
      <c r="AL217" s="637" t="s">
        <v>3454</v>
      </c>
      <c r="AM217" s="417"/>
      <c r="AN217" s="417"/>
      <c r="AO217" s="636"/>
      <c r="AP217">
        <v>556619</v>
      </c>
      <c r="AQ217" s="715">
        <v>43077</v>
      </c>
      <c r="AR217" s="417"/>
      <c r="AS217" s="417"/>
      <c r="AT217" s="417"/>
      <c r="AU217" s="417"/>
      <c r="AV217" s="417"/>
      <c r="AW217" s="417"/>
      <c r="AX217" s="417"/>
      <c r="AY217" t="s">
        <v>3424</v>
      </c>
      <c r="AZ217" s="417"/>
      <c r="BA217" s="417"/>
      <c r="BB217" t="s">
        <v>3583</v>
      </c>
      <c r="BC217" s="636"/>
      <c r="BD217" s="417"/>
      <c r="BE217" s="612">
        <v>5</v>
      </c>
      <c r="BF217" s="613">
        <v>40</v>
      </c>
      <c r="BG217" s="614" t="s">
        <v>78</v>
      </c>
      <c r="BH217" s="682"/>
      <c r="BI217" s="417"/>
      <c r="BJ217" s="417">
        <v>2</v>
      </c>
      <c r="BK217" s="682" t="str">
        <f>Техкарта[[#This Row],[Кв-л]]&amp;" кв ("&amp;Substring(Техкарта[[#This Row],[Виділ]],"_",1)&amp;" вид) "&amp;Substring(Техкарта[[#This Row],[Виділ]],"_",2)&amp;" діл."</f>
        <v>76 кв (2 вид) 0 діл.</v>
      </c>
      <c r="BL217" s="682" t="str">
        <f>Техкарта[[#This Row],[ПолнаяДіл]] &amp;" "&amp;Техкарта[[#This Row],[ЛК]]&amp;" "&amp;Техкарта[[#This Row],[Вид рубки]]</f>
        <v>76 кв (2 вид) 0 діл. 556619 РГК</v>
      </c>
      <c r="BM217" s="682"/>
      <c r="BN217" s="636" t="s">
        <v>3784</v>
      </c>
      <c r="BO217" s="636" t="s">
        <v>3784</v>
      </c>
      <c r="BP217" s="636" t="s">
        <v>3784</v>
      </c>
      <c r="BQ217" s="636" t="s">
        <v>104</v>
      </c>
      <c r="BR217" s="636"/>
      <c r="BS217" s="636"/>
      <c r="BT217" s="636"/>
      <c r="BU217" s="636"/>
      <c r="BV217" s="636"/>
      <c r="BW217" s="636" t="s">
        <v>4129</v>
      </c>
      <c r="BX217" s="636"/>
      <c r="BY217" s="972"/>
    </row>
    <row r="218" spans="1:77">
      <c r="A218" t="s">
        <v>104</v>
      </c>
      <c r="B218" s="675" t="s">
        <v>112</v>
      </c>
      <c r="C218" s="687" t="s">
        <v>104</v>
      </c>
      <c r="D218" s="675">
        <v>0</v>
      </c>
      <c r="E218" s="675" t="s">
        <v>2305</v>
      </c>
      <c r="F218" s="675">
        <v>2</v>
      </c>
      <c r="G218" s="675" t="s">
        <v>2238</v>
      </c>
      <c r="H218" s="675">
        <v>3</v>
      </c>
      <c r="I218" s="676" t="s">
        <v>4032</v>
      </c>
      <c r="J218" s="677">
        <v>4</v>
      </c>
      <c r="K218" s="683">
        <v>2376</v>
      </c>
      <c r="L218" s="677">
        <v>0</v>
      </c>
      <c r="M218" s="677">
        <v>0</v>
      </c>
      <c r="N218" s="677">
        <v>535</v>
      </c>
      <c r="O218" s="677">
        <v>0</v>
      </c>
      <c r="P218" s="677">
        <v>0</v>
      </c>
      <c r="Q218" s="677">
        <v>26</v>
      </c>
      <c r="R218" s="677">
        <v>52</v>
      </c>
      <c r="S218" s="677">
        <v>4</v>
      </c>
      <c r="T218" s="677">
        <v>452</v>
      </c>
      <c r="U218" s="677">
        <v>18</v>
      </c>
      <c r="V218" s="677">
        <v>3</v>
      </c>
      <c r="W218" s="677">
        <v>308</v>
      </c>
      <c r="X218" s="678"/>
      <c r="Y218" s="682"/>
      <c r="Z218" s="680"/>
      <c r="AA218" s="681">
        <v>72.058999999999997</v>
      </c>
      <c r="AB218" s="681">
        <v>31.853000000000002</v>
      </c>
      <c r="AC218" s="417">
        <v>99</v>
      </c>
      <c r="AD218" s="417"/>
      <c r="AE218" s="682" t="s">
        <v>4131</v>
      </c>
      <c r="AF218">
        <v>1</v>
      </c>
      <c r="AG218" s="713">
        <v>43101</v>
      </c>
      <c r="AH218" s="417"/>
      <c r="AI218" s="417"/>
      <c r="AJ218" s="714">
        <v>43192</v>
      </c>
      <c r="AK218" s="417"/>
      <c r="AL218" s="637" t="s">
        <v>3473</v>
      </c>
      <c r="AM218" s="417"/>
      <c r="AN218" s="417"/>
      <c r="AO218" s="636"/>
      <c r="AP218">
        <v>556617</v>
      </c>
      <c r="AQ218" s="715">
        <v>43077</v>
      </c>
      <c r="AR218" s="417"/>
      <c r="AS218" s="417"/>
      <c r="AT218" s="417"/>
      <c r="AU218" s="417"/>
      <c r="AV218" s="417"/>
      <c r="AW218" s="417"/>
      <c r="AX218" s="417"/>
      <c r="AY218" t="s">
        <v>80</v>
      </c>
      <c r="AZ218" s="417"/>
      <c r="BA218" s="417"/>
      <c r="BB218" t="s">
        <v>3584</v>
      </c>
      <c r="BC218" s="636"/>
      <c r="BD218" s="417"/>
      <c r="BE218" s="612">
        <v>5</v>
      </c>
      <c r="BF218" s="613">
        <v>20</v>
      </c>
      <c r="BG218" s="614" t="s">
        <v>78</v>
      </c>
      <c r="BH218" s="682"/>
      <c r="BI218" s="417"/>
      <c r="BJ218" s="417">
        <v>2</v>
      </c>
      <c r="BK218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218" s="682" t="str">
        <f>Техкарта[[#This Row],[ПолнаяДіл]] &amp;" "&amp;Техкарта[[#This Row],[ЛК]]&amp;" "&amp;Техкарта[[#This Row],[Вид рубки]]</f>
        <v>3 кв (3 вид) 1 діл. 556617 РГК</v>
      </c>
      <c r="BM218" s="682"/>
      <c r="BN218" s="636" t="s">
        <v>3784</v>
      </c>
      <c r="BO218" s="636" t="s">
        <v>3784</v>
      </c>
      <c r="BP218" s="636" t="s">
        <v>3784</v>
      </c>
      <c r="BQ218" s="636" t="s">
        <v>104</v>
      </c>
      <c r="BR218" s="636"/>
      <c r="BS218" s="636"/>
      <c r="BT218" s="636"/>
      <c r="BU218" s="636"/>
      <c r="BV218" s="636"/>
      <c r="BW218" s="636" t="s">
        <v>4130</v>
      </c>
      <c r="BX218" s="636"/>
      <c r="BY218" s="972"/>
    </row>
    <row r="219" spans="1:77">
      <c r="A219" t="s">
        <v>104</v>
      </c>
      <c r="B219" s="675" t="s">
        <v>112</v>
      </c>
      <c r="C219" s="687" t="s">
        <v>104</v>
      </c>
      <c r="D219" s="675">
        <v>0</v>
      </c>
      <c r="E219" s="675" t="s">
        <v>2305</v>
      </c>
      <c r="F219" s="675">
        <v>2</v>
      </c>
      <c r="G219" s="675" t="s">
        <v>2238</v>
      </c>
      <c r="H219" s="675">
        <v>24</v>
      </c>
      <c r="I219" s="676" t="s">
        <v>3829</v>
      </c>
      <c r="J219" s="677">
        <v>2.9</v>
      </c>
      <c r="K219" s="683">
        <v>1351</v>
      </c>
      <c r="L219" s="677">
        <v>0</v>
      </c>
      <c r="M219" s="677">
        <v>0</v>
      </c>
      <c r="N219" s="677">
        <v>426</v>
      </c>
      <c r="O219" s="677">
        <v>0</v>
      </c>
      <c r="P219" s="677">
        <v>0</v>
      </c>
      <c r="Q219" s="677">
        <v>10</v>
      </c>
      <c r="R219" s="677">
        <v>28</v>
      </c>
      <c r="S219" s="677">
        <v>5</v>
      </c>
      <c r="T219" s="677">
        <v>280</v>
      </c>
      <c r="U219" s="677">
        <v>9</v>
      </c>
      <c r="V219" s="677">
        <v>4</v>
      </c>
      <c r="W219" s="677">
        <v>197</v>
      </c>
      <c r="X219" s="678"/>
      <c r="Y219" s="682"/>
      <c r="Z219" s="680"/>
      <c r="AA219" s="681">
        <v>73.221999999999994</v>
      </c>
      <c r="AB219" s="681">
        <v>34.326000000000001</v>
      </c>
      <c r="AC219" s="417">
        <v>0</v>
      </c>
      <c r="AD219" s="417"/>
      <c r="AE219" s="682" t="s">
        <v>4133</v>
      </c>
      <c r="AF219">
        <v>1</v>
      </c>
      <c r="AG219" s="713">
        <v>43101</v>
      </c>
      <c r="AH219" s="417"/>
      <c r="AI219" s="417"/>
      <c r="AJ219" s="714">
        <v>43192</v>
      </c>
      <c r="AK219" s="417"/>
      <c r="AL219" s="637" t="s">
        <v>3473</v>
      </c>
      <c r="AM219" s="417"/>
      <c r="AN219" s="417"/>
      <c r="AO219" s="636"/>
      <c r="AP219">
        <v>556617</v>
      </c>
      <c r="AQ219" s="715">
        <v>43077</v>
      </c>
      <c r="AR219" s="417"/>
      <c r="AS219" s="417"/>
      <c r="AT219" s="417"/>
      <c r="AU219" s="417"/>
      <c r="AV219" s="417"/>
      <c r="AW219" s="417"/>
      <c r="AX219" s="417"/>
      <c r="AY219" t="s">
        <v>80</v>
      </c>
      <c r="AZ219" s="417"/>
      <c r="BA219" s="417"/>
      <c r="BB219" t="s">
        <v>3584</v>
      </c>
      <c r="BC219" s="636"/>
      <c r="BD219" s="417"/>
      <c r="BE219" s="612">
        <v>5</v>
      </c>
      <c r="BF219" s="613">
        <v>40</v>
      </c>
      <c r="BG219" s="614" t="s">
        <v>78</v>
      </c>
      <c r="BH219" s="682"/>
      <c r="BI219" s="417"/>
      <c r="BJ219" s="417">
        <v>1</v>
      </c>
      <c r="BK219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19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19" s="682"/>
      <c r="BN219" s="636" t="s">
        <v>3784</v>
      </c>
      <c r="BO219" s="636" t="s">
        <v>3784</v>
      </c>
      <c r="BP219" s="636" t="s">
        <v>3784</v>
      </c>
      <c r="BQ219" s="636" t="s">
        <v>104</v>
      </c>
      <c r="BR219" s="636"/>
      <c r="BS219" s="636"/>
      <c r="BT219" s="636"/>
      <c r="BU219" s="636"/>
      <c r="BV219" s="636"/>
      <c r="BW219" s="636" t="s">
        <v>4132</v>
      </c>
      <c r="BX219" s="636"/>
      <c r="BY219" s="972"/>
    </row>
    <row r="220" spans="1:77">
      <c r="A220" t="s">
        <v>104</v>
      </c>
      <c r="B220" s="675" t="s">
        <v>112</v>
      </c>
      <c r="C220" s="687" t="s">
        <v>104</v>
      </c>
      <c r="D220" s="675">
        <v>0</v>
      </c>
      <c r="E220" s="675" t="s">
        <v>2305</v>
      </c>
      <c r="F220" s="675">
        <v>2</v>
      </c>
      <c r="G220" s="675" t="s">
        <v>2238</v>
      </c>
      <c r="H220" s="675">
        <v>24</v>
      </c>
      <c r="I220" s="676" t="s">
        <v>3829</v>
      </c>
      <c r="J220" s="677">
        <v>2.9</v>
      </c>
      <c r="K220" s="683">
        <v>1351</v>
      </c>
      <c r="L220" s="677">
        <v>0</v>
      </c>
      <c r="M220" s="677">
        <v>0</v>
      </c>
      <c r="N220" s="677">
        <v>426</v>
      </c>
      <c r="O220" s="677">
        <v>0</v>
      </c>
      <c r="P220" s="677">
        <v>0</v>
      </c>
      <c r="Q220" s="677">
        <v>10</v>
      </c>
      <c r="R220" s="677">
        <v>28</v>
      </c>
      <c r="S220" s="677">
        <v>5</v>
      </c>
      <c r="T220" s="677">
        <v>280</v>
      </c>
      <c r="U220" s="677">
        <v>9</v>
      </c>
      <c r="V220" s="677">
        <v>4</v>
      </c>
      <c r="W220" s="677">
        <v>197</v>
      </c>
      <c r="X220" s="678"/>
      <c r="Y220" s="682"/>
      <c r="Z220" s="680"/>
      <c r="AA220" s="681">
        <v>73.221999999999994</v>
      </c>
      <c r="AB220" s="681">
        <v>34.326000000000001</v>
      </c>
      <c r="AC220" s="417">
        <v>0</v>
      </c>
      <c r="AD220" s="417"/>
      <c r="AE220" s="682" t="s">
        <v>4133</v>
      </c>
      <c r="AF220">
        <v>1</v>
      </c>
      <c r="AG220" s="713">
        <v>43101</v>
      </c>
      <c r="AH220" s="417"/>
      <c r="AI220" s="417"/>
      <c r="AJ220" s="714">
        <v>43192</v>
      </c>
      <c r="AK220" s="417"/>
      <c r="AL220" s="637" t="s">
        <v>3473</v>
      </c>
      <c r="AM220" s="417"/>
      <c r="AN220" s="417"/>
      <c r="AO220" s="636"/>
      <c r="AP220">
        <v>556617</v>
      </c>
      <c r="AQ220" s="715">
        <v>43077</v>
      </c>
      <c r="AR220" s="417"/>
      <c r="AS220" s="417"/>
      <c r="AT220" s="417"/>
      <c r="AU220" s="417"/>
      <c r="AV220" s="417"/>
      <c r="AW220" s="417"/>
      <c r="AX220" s="417"/>
      <c r="AY220" t="s">
        <v>80</v>
      </c>
      <c r="AZ220" s="417"/>
      <c r="BA220" s="417"/>
      <c r="BB220" t="s">
        <v>3584</v>
      </c>
      <c r="BC220" s="636"/>
      <c r="BD220" s="417"/>
      <c r="BE220" s="612">
        <v>5</v>
      </c>
      <c r="BF220" s="613">
        <v>40</v>
      </c>
      <c r="BG220" s="614" t="s">
        <v>78</v>
      </c>
      <c r="BH220" s="682"/>
      <c r="BI220" s="417"/>
      <c r="BJ220" s="417">
        <v>1</v>
      </c>
      <c r="BK220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220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220" s="682"/>
      <c r="BN220" s="636" t="s">
        <v>3784</v>
      </c>
      <c r="BO220" s="636" t="s">
        <v>3784</v>
      </c>
      <c r="BP220" s="636" t="s">
        <v>3784</v>
      </c>
      <c r="BQ220" s="636" t="s">
        <v>104</v>
      </c>
      <c r="BR220" s="636"/>
      <c r="BS220" s="636"/>
      <c r="BT220" s="636"/>
      <c r="BU220" s="636"/>
      <c r="BV220" s="636"/>
      <c r="BW220" s="636" t="s">
        <v>4132</v>
      </c>
      <c r="BX220" s="636"/>
      <c r="BY220" s="972"/>
    </row>
    <row r="221" spans="1:77">
      <c r="A221" t="s">
        <v>105</v>
      </c>
      <c r="B221" s="675" t="s">
        <v>114</v>
      </c>
      <c r="C221" s="687" t="s">
        <v>134</v>
      </c>
      <c r="D221" s="675">
        <v>0</v>
      </c>
      <c r="E221" s="675" t="s">
        <v>2305</v>
      </c>
      <c r="F221" s="675">
        <v>3</v>
      </c>
      <c r="G221" s="675" t="s">
        <v>2238</v>
      </c>
      <c r="H221" s="675">
        <v>51</v>
      </c>
      <c r="I221" s="676" t="s">
        <v>3791</v>
      </c>
      <c r="J221" s="677">
        <v>5.3</v>
      </c>
      <c r="K221" s="683">
        <v>82</v>
      </c>
      <c r="L221" s="677">
        <v>0</v>
      </c>
      <c r="M221" s="677">
        <v>0</v>
      </c>
      <c r="N221" s="677">
        <v>0</v>
      </c>
      <c r="O221" s="677">
        <v>0</v>
      </c>
      <c r="P221" s="677">
        <v>0</v>
      </c>
      <c r="Q221" s="677">
        <v>0</v>
      </c>
      <c r="R221" s="677">
        <v>0</v>
      </c>
      <c r="S221" s="677">
        <v>0</v>
      </c>
      <c r="T221" s="677">
        <v>0</v>
      </c>
      <c r="U221" s="677">
        <v>0</v>
      </c>
      <c r="V221" s="677">
        <v>0</v>
      </c>
      <c r="W221" s="677">
        <v>4</v>
      </c>
      <c r="X221" s="678"/>
      <c r="Y221" s="682"/>
      <c r="Z221" s="680"/>
      <c r="AA221" s="681">
        <v>304.02300000000002</v>
      </c>
      <c r="AB221" s="681">
        <v>29.978000000000002</v>
      </c>
      <c r="AC221" s="417">
        <v>4</v>
      </c>
      <c r="AD221" s="417"/>
      <c r="AE221" s="682" t="s">
        <v>4134</v>
      </c>
      <c r="AF221">
        <v>1</v>
      </c>
      <c r="AG221" s="713">
        <v>43101</v>
      </c>
      <c r="AH221" s="417"/>
      <c r="AI221" s="417"/>
      <c r="AJ221" s="714">
        <v>43192</v>
      </c>
      <c r="AK221" s="417"/>
      <c r="AL221" s="637" t="s">
        <v>3442</v>
      </c>
      <c r="AM221" s="417"/>
      <c r="AN221" s="417"/>
      <c r="AO221" s="636"/>
      <c r="AP221">
        <v>556635</v>
      </c>
      <c r="AQ221" s="715">
        <v>43102</v>
      </c>
      <c r="AR221" s="417"/>
      <c r="AS221" s="417"/>
      <c r="AT221" s="417"/>
      <c r="AU221" s="417"/>
      <c r="AV221" s="417"/>
      <c r="AW221" s="417"/>
      <c r="AX221" s="417"/>
      <c r="AY221" t="s">
        <v>3424</v>
      </c>
      <c r="AZ221" s="417"/>
      <c r="BA221" s="417"/>
      <c r="BB221" t="s">
        <v>3583</v>
      </c>
      <c r="BC221" s="636"/>
      <c r="BD221" s="417"/>
      <c r="BE221" s="612">
        <v>0</v>
      </c>
      <c r="BF221" s="613">
        <v>0</v>
      </c>
      <c r="BG221" s="614" t="s">
        <v>78</v>
      </c>
      <c r="BH221" s="682"/>
      <c r="BI221" s="417"/>
      <c r="BJ221" s="417">
        <v>3</v>
      </c>
      <c r="BK221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1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1" s="682"/>
      <c r="BN221" s="636" t="s">
        <v>3784</v>
      </c>
      <c r="BO221" s="636" t="s">
        <v>3784</v>
      </c>
      <c r="BP221" s="636" t="s">
        <v>3784</v>
      </c>
      <c r="BQ221" s="636" t="s">
        <v>105</v>
      </c>
      <c r="BR221" s="636"/>
      <c r="BS221" s="636"/>
      <c r="BT221" s="636"/>
      <c r="BU221" s="636"/>
      <c r="BV221" s="636"/>
      <c r="BW221" s="636" t="s">
        <v>4132</v>
      </c>
      <c r="BX221" s="636"/>
      <c r="BY221" s="972"/>
    </row>
    <row r="222" spans="1:77">
      <c r="A222" t="s">
        <v>105</v>
      </c>
      <c r="B222" s="675" t="s">
        <v>114</v>
      </c>
      <c r="C222" s="687" t="s">
        <v>134</v>
      </c>
      <c r="D222" s="675">
        <v>0</v>
      </c>
      <c r="E222" s="675" t="s">
        <v>2305</v>
      </c>
      <c r="F222" s="675">
        <v>3</v>
      </c>
      <c r="G222" s="675" t="s">
        <v>2238</v>
      </c>
      <c r="H222" s="675">
        <v>78</v>
      </c>
      <c r="I222" s="676" t="s">
        <v>4113</v>
      </c>
      <c r="J222" s="677">
        <v>3.6</v>
      </c>
      <c r="K222" s="683">
        <v>123</v>
      </c>
      <c r="L222" s="677">
        <v>0</v>
      </c>
      <c r="M222" s="677">
        <v>0</v>
      </c>
      <c r="N222" s="677">
        <v>0</v>
      </c>
      <c r="O222" s="677">
        <v>0</v>
      </c>
      <c r="P222" s="677">
        <v>0</v>
      </c>
      <c r="Q222" s="677">
        <v>0</v>
      </c>
      <c r="R222" s="677">
        <v>0</v>
      </c>
      <c r="S222" s="677">
        <v>0</v>
      </c>
      <c r="T222" s="677">
        <v>0</v>
      </c>
      <c r="U222" s="677">
        <v>0</v>
      </c>
      <c r="V222" s="677">
        <v>0</v>
      </c>
      <c r="W222" s="677">
        <v>6</v>
      </c>
      <c r="X222" s="678"/>
      <c r="Y222" s="682"/>
      <c r="Z222" s="680"/>
      <c r="AA222" s="681">
        <v>304.02100000000002</v>
      </c>
      <c r="AB222" s="681">
        <v>29.978000000000002</v>
      </c>
      <c r="AC222" s="417">
        <v>6</v>
      </c>
      <c r="AD222" s="417"/>
      <c r="AE222" s="682" t="s">
        <v>4135</v>
      </c>
      <c r="AF222">
        <v>1</v>
      </c>
      <c r="AG222" s="713">
        <v>43101</v>
      </c>
      <c r="AH222" s="417"/>
      <c r="AI222" s="417"/>
      <c r="AJ222" s="714">
        <v>43192</v>
      </c>
      <c r="AK222" s="417"/>
      <c r="AL222" s="637" t="s">
        <v>3448</v>
      </c>
      <c r="AM222" s="417"/>
      <c r="AN222" s="417"/>
      <c r="AO222" s="636"/>
      <c r="AP222">
        <v>556635</v>
      </c>
      <c r="AQ222" s="715">
        <v>43102</v>
      </c>
      <c r="AR222" s="417"/>
      <c r="AS222" s="417"/>
      <c r="AT222" s="417"/>
      <c r="AU222" s="417"/>
      <c r="AV222" s="417"/>
      <c r="AW222" s="417"/>
      <c r="AX222" s="417"/>
      <c r="AY222" t="s">
        <v>3424</v>
      </c>
      <c r="AZ222" s="417"/>
      <c r="BA222" s="417"/>
      <c r="BB222" t="s">
        <v>3583</v>
      </c>
      <c r="BC222" s="636"/>
      <c r="BD222" s="417"/>
      <c r="BE222" s="612">
        <v>0</v>
      </c>
      <c r="BF222" s="613">
        <v>0</v>
      </c>
      <c r="BG222" s="614" t="s">
        <v>78</v>
      </c>
      <c r="BH222" s="682"/>
      <c r="BI222" s="417"/>
      <c r="BJ222" s="417">
        <v>4</v>
      </c>
      <c r="BK222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2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2" s="682"/>
      <c r="BN222" s="636" t="s">
        <v>3784</v>
      </c>
      <c r="BO222" s="636" t="s">
        <v>3784</v>
      </c>
      <c r="BP222" s="636" t="s">
        <v>3784</v>
      </c>
      <c r="BQ222" s="636" t="s">
        <v>105</v>
      </c>
      <c r="BR222" s="636"/>
      <c r="BS222" s="636"/>
      <c r="BT222" s="636"/>
      <c r="BU222" s="636"/>
      <c r="BV222" s="636"/>
      <c r="BW222" s="636" t="s">
        <v>4132</v>
      </c>
      <c r="BX222" s="636"/>
      <c r="BY222" s="972"/>
    </row>
    <row r="223" spans="1:77">
      <c r="A223" t="s">
        <v>3896</v>
      </c>
      <c r="B223" s="675" t="s">
        <v>114</v>
      </c>
      <c r="C223" s="687" t="s">
        <v>134</v>
      </c>
      <c r="D223" s="675">
        <v>0</v>
      </c>
      <c r="E223" s="675" t="s">
        <v>2305</v>
      </c>
      <c r="F223" s="675">
        <v>3</v>
      </c>
      <c r="G223" s="675" t="s">
        <v>79</v>
      </c>
      <c r="H223" s="675">
        <v>51</v>
      </c>
      <c r="I223" s="676" t="s">
        <v>3791</v>
      </c>
      <c r="J223" s="677">
        <v>5.3</v>
      </c>
      <c r="K223" s="683">
        <v>0</v>
      </c>
      <c r="L223" s="677"/>
      <c r="M223" s="677">
        <v>0</v>
      </c>
      <c r="N223" s="677">
        <v>510</v>
      </c>
      <c r="O223" s="677"/>
      <c r="P223" s="677"/>
      <c r="Q223" s="677">
        <v>225</v>
      </c>
      <c r="R223" s="677"/>
      <c r="S223" s="677">
        <v>0</v>
      </c>
      <c r="T223" s="677">
        <v>0</v>
      </c>
      <c r="U223" s="677"/>
      <c r="V223" s="677">
        <v>0</v>
      </c>
      <c r="W223" s="677">
        <v>0</v>
      </c>
      <c r="X223" s="678"/>
      <c r="Y223" s="682"/>
      <c r="Z223" s="680"/>
      <c r="AA223" s="681">
        <v>178.65</v>
      </c>
      <c r="AB223" s="681"/>
      <c r="AC223" s="417">
        <v>23</v>
      </c>
      <c r="AD223" s="417"/>
      <c r="AE223" s="682" t="s">
        <v>4136</v>
      </c>
      <c r="AF223">
        <v>1</v>
      </c>
      <c r="AG223" s="713">
        <v>43101</v>
      </c>
      <c r="AH223" s="417"/>
      <c r="AI223" s="417"/>
      <c r="AJ223" s="714">
        <v>43192</v>
      </c>
      <c r="AK223" s="417"/>
      <c r="AL223" s="637" t="s">
        <v>3442</v>
      </c>
      <c r="AM223" s="417"/>
      <c r="AN223" s="417"/>
      <c r="AO223" s="636"/>
      <c r="AP223">
        <v>556635</v>
      </c>
      <c r="AQ223" s="715">
        <v>43102</v>
      </c>
      <c r="AR223" s="417">
        <v>0.3</v>
      </c>
      <c r="AS223" s="417"/>
      <c r="AT223" s="417"/>
      <c r="AU223" s="417"/>
      <c r="AV223" s="417"/>
      <c r="AW223" s="417"/>
      <c r="AX223" s="417"/>
      <c r="AY223" t="s">
        <v>3424</v>
      </c>
      <c r="AZ223" s="417"/>
      <c r="BA223" s="417"/>
      <c r="BB223" t="s">
        <v>3583</v>
      </c>
      <c r="BC223" s="636"/>
      <c r="BD223" s="417"/>
      <c r="BE223" s="612"/>
      <c r="BF223" s="613"/>
      <c r="BG223" s="614"/>
      <c r="BH223" s="682"/>
      <c r="BI223" s="417"/>
      <c r="BJ223" s="417">
        <v>5</v>
      </c>
      <c r="BK223" s="682" t="str">
        <f>Техкарта[[#This Row],[Кв-л]]&amp;" кв ("&amp;Substring(Техкарта[[#This Row],[Виділ]],"_",1)&amp;" вид) "&amp;Substring(Техкарта[[#This Row],[Виділ]],"_",2)&amp;" діл."</f>
        <v>51 кв (7 вид) 0 діл.</v>
      </c>
      <c r="BL223" s="682" t="str">
        <f>Техкарта[[#This Row],[ПолнаяДіл]] &amp;" "&amp;Техкарта[[#This Row],[ЛК]]&amp;" "&amp;Техкарта[[#This Row],[Вид рубки]]</f>
        <v>51 кв (7 вид) 0 діл. 556635 ПРЧ</v>
      </c>
      <c r="BM223" s="682"/>
      <c r="BN223" s="636"/>
      <c r="BO223" s="636"/>
      <c r="BP223" s="636"/>
      <c r="BQ223" s="636" t="s">
        <v>3896</v>
      </c>
      <c r="BR223" s="636">
        <v>5</v>
      </c>
      <c r="BS223" s="636"/>
      <c r="BT223" s="636"/>
      <c r="BU223" s="636"/>
      <c r="BV223" s="636"/>
      <c r="BW223" s="636" t="s">
        <v>4132</v>
      </c>
      <c r="BX223" s="636"/>
      <c r="BY223" s="972"/>
    </row>
    <row r="224" spans="1:77">
      <c r="A224" t="s">
        <v>3896</v>
      </c>
      <c r="B224" s="675" t="s">
        <v>114</v>
      </c>
      <c r="C224" s="687" t="s">
        <v>134</v>
      </c>
      <c r="D224" s="675">
        <v>0</v>
      </c>
      <c r="E224" s="675" t="s">
        <v>2305</v>
      </c>
      <c r="F224" s="675">
        <v>3</v>
      </c>
      <c r="G224" s="675" t="s">
        <v>79</v>
      </c>
      <c r="H224" s="675">
        <v>61</v>
      </c>
      <c r="I224" s="676" t="s">
        <v>3792</v>
      </c>
      <c r="J224" s="677">
        <v>1.8</v>
      </c>
      <c r="K224" s="683">
        <v>0</v>
      </c>
      <c r="L224" s="677"/>
      <c r="M224" s="677">
        <v>0</v>
      </c>
      <c r="N224" s="677">
        <v>290</v>
      </c>
      <c r="O224" s="677"/>
      <c r="P224" s="677"/>
      <c r="Q224" s="677">
        <v>0</v>
      </c>
      <c r="R224" s="677"/>
      <c r="S224" s="677">
        <v>0</v>
      </c>
      <c r="T224" s="677">
        <v>0</v>
      </c>
      <c r="U224" s="677"/>
      <c r="V224" s="677">
        <v>0</v>
      </c>
      <c r="W224" s="677">
        <v>0</v>
      </c>
      <c r="X224" s="678"/>
      <c r="Y224" s="682"/>
      <c r="Z224" s="680"/>
      <c r="AA224" s="681">
        <v>194.9</v>
      </c>
      <c r="AB224" s="681"/>
      <c r="AC224" s="417">
        <v>23</v>
      </c>
      <c r="AD224" s="417"/>
      <c r="AE224" s="682" t="s">
        <v>4137</v>
      </c>
      <c r="AF224">
        <v>1</v>
      </c>
      <c r="AG224" s="713">
        <v>43101</v>
      </c>
      <c r="AH224" s="417"/>
      <c r="AI224" s="417"/>
      <c r="AJ224" s="714">
        <v>43192</v>
      </c>
      <c r="AK224" s="417"/>
      <c r="AL224" s="637" t="s">
        <v>3448</v>
      </c>
      <c r="AM224" s="417"/>
      <c r="AN224" s="417"/>
      <c r="AO224" s="636"/>
      <c r="AP224">
        <v>556635</v>
      </c>
      <c r="AQ224" s="715">
        <v>43102</v>
      </c>
      <c r="AR224" s="417">
        <v>0.3</v>
      </c>
      <c r="AS224" s="417"/>
      <c r="AT224" s="417"/>
      <c r="AU224" s="417"/>
      <c r="AV224" s="417"/>
      <c r="AW224" s="417"/>
      <c r="AX224" s="417"/>
      <c r="AY224" t="s">
        <v>3424</v>
      </c>
      <c r="AZ224" s="417"/>
      <c r="BA224" s="417"/>
      <c r="BB224" t="s">
        <v>3583</v>
      </c>
      <c r="BC224" s="636"/>
      <c r="BD224" s="417"/>
      <c r="BE224" s="612"/>
      <c r="BF224" s="613"/>
      <c r="BG224" s="614"/>
      <c r="BH224" s="682"/>
      <c r="BI224" s="417"/>
      <c r="BJ224" s="417">
        <v>6</v>
      </c>
      <c r="BK224" s="682" t="str">
        <f>Техкарта[[#This Row],[Кв-л]]&amp;" кв ("&amp;Substring(Техкарта[[#This Row],[Виділ]],"_",1)&amp;" вид) "&amp;Substring(Техкарта[[#This Row],[Виділ]],"_",2)&amp;" діл."</f>
        <v>61 кв (13 вид) 0 діл.</v>
      </c>
      <c r="BL224" s="682" t="str">
        <f>Техкарта[[#This Row],[ПолнаяДіл]] &amp;" "&amp;Техкарта[[#This Row],[ЛК]]&amp;" "&amp;Техкарта[[#This Row],[Вид рубки]]</f>
        <v>61 кв (13 вид) 0 діл. 556635 ПРЧ</v>
      </c>
      <c r="BM224" s="682"/>
      <c r="BN224" s="636"/>
      <c r="BO224" s="636"/>
      <c r="BP224" s="636"/>
      <c r="BQ224" s="636" t="s">
        <v>3896</v>
      </c>
      <c r="BR224" s="636">
        <v>5</v>
      </c>
      <c r="BS224" s="636"/>
      <c r="BT224" s="636"/>
      <c r="BU224" s="636"/>
      <c r="BV224" s="636"/>
      <c r="BW224" s="636" t="s">
        <v>4132</v>
      </c>
      <c r="BX224" s="636"/>
      <c r="BY224" s="972"/>
    </row>
    <row r="225" spans="1:77">
      <c r="A225" t="s">
        <v>3896</v>
      </c>
      <c r="B225" s="675" t="s">
        <v>114</v>
      </c>
      <c r="C225" s="687" t="s">
        <v>134</v>
      </c>
      <c r="D225" s="675">
        <v>0</v>
      </c>
      <c r="E225" s="675" t="s">
        <v>2305</v>
      </c>
      <c r="F225" s="675">
        <v>3</v>
      </c>
      <c r="G225" s="675" t="s">
        <v>79</v>
      </c>
      <c r="H225" s="675">
        <v>78</v>
      </c>
      <c r="I225" s="676" t="s">
        <v>4113</v>
      </c>
      <c r="J225" s="677">
        <v>3.6</v>
      </c>
      <c r="K225" s="683">
        <v>0</v>
      </c>
      <c r="L225" s="677"/>
      <c r="M225" s="677">
        <v>0</v>
      </c>
      <c r="N225" s="677">
        <v>80</v>
      </c>
      <c r="O225" s="677"/>
      <c r="P225" s="677"/>
      <c r="Q225" s="677">
        <v>908.33</v>
      </c>
      <c r="R225" s="677"/>
      <c r="S225" s="677">
        <v>0</v>
      </c>
      <c r="T225" s="677">
        <v>0</v>
      </c>
      <c r="U225" s="677"/>
      <c r="V225" s="677">
        <v>0</v>
      </c>
      <c r="W225" s="677">
        <v>0</v>
      </c>
      <c r="X225" s="678"/>
      <c r="Y225" s="682"/>
      <c r="Z225" s="680"/>
      <c r="AA225" s="681">
        <v>124.4</v>
      </c>
      <c r="AB225" s="681"/>
      <c r="AC225" s="417">
        <v>23</v>
      </c>
      <c r="AD225" s="417"/>
      <c r="AE225" s="682" t="s">
        <v>4138</v>
      </c>
      <c r="AF225">
        <v>1</v>
      </c>
      <c r="AG225" s="713">
        <v>43101</v>
      </c>
      <c r="AH225" s="417"/>
      <c r="AI225" s="417"/>
      <c r="AJ225" s="714">
        <v>43192</v>
      </c>
      <c r="AK225" s="417"/>
      <c r="AL225" s="637" t="s">
        <v>3448</v>
      </c>
      <c r="AM225" s="417"/>
      <c r="AN225" s="417"/>
      <c r="AO225" s="636"/>
      <c r="AP225">
        <v>556635</v>
      </c>
      <c r="AQ225" s="715">
        <v>43102</v>
      </c>
      <c r="AR225" s="417">
        <v>0.3</v>
      </c>
      <c r="AS225" s="417"/>
      <c r="AT225" s="417"/>
      <c r="AU225" s="417"/>
      <c r="AV225" s="417"/>
      <c r="AW225" s="417"/>
      <c r="AX225" s="417"/>
      <c r="AY225" t="s">
        <v>3424</v>
      </c>
      <c r="AZ225" s="417"/>
      <c r="BA225" s="417"/>
      <c r="BB225" t="s">
        <v>3583</v>
      </c>
      <c r="BC225" s="636"/>
      <c r="BD225" s="417"/>
      <c r="BE225" s="612"/>
      <c r="BF225" s="613"/>
      <c r="BG225" s="614"/>
      <c r="BH225" s="682"/>
      <c r="BI225" s="417"/>
      <c r="BJ225" s="417">
        <v>7</v>
      </c>
      <c r="BK225" s="682" t="str">
        <f>Техкарта[[#This Row],[Кв-л]]&amp;" кв ("&amp;Substring(Техкарта[[#This Row],[Виділ]],"_",1)&amp;" вид) "&amp;Substring(Техкарта[[#This Row],[Виділ]],"_",2)&amp;" діл."</f>
        <v>78 кв (17 вид) 0 діл.</v>
      </c>
      <c r="BL225" s="682" t="str">
        <f>Техкарта[[#This Row],[ПолнаяДіл]] &amp;" "&amp;Техкарта[[#This Row],[ЛК]]&amp;" "&amp;Техкарта[[#This Row],[Вид рубки]]</f>
        <v>78 кв (17 вид) 0 діл. 556635 ПРЧ</v>
      </c>
      <c r="BM225" s="682"/>
      <c r="BN225" s="636"/>
      <c r="BO225" s="636"/>
      <c r="BP225" s="636"/>
      <c r="BQ225" s="636" t="s">
        <v>3896</v>
      </c>
      <c r="BR225" s="636">
        <v>5</v>
      </c>
      <c r="BS225" s="636"/>
      <c r="BT225" s="636"/>
      <c r="BU225" s="636"/>
      <c r="BV225" s="636"/>
      <c r="BW225" s="636" t="s">
        <v>4132</v>
      </c>
      <c r="BX225" s="636"/>
      <c r="BY225" s="972"/>
    </row>
    <row r="226" spans="1:77">
      <c r="A226" t="s">
        <v>105</v>
      </c>
      <c r="B226" s="675" t="s">
        <v>112</v>
      </c>
      <c r="C226" s="687" t="s">
        <v>140</v>
      </c>
      <c r="D226" s="675">
        <v>0</v>
      </c>
      <c r="E226" s="675" t="s">
        <v>2305</v>
      </c>
      <c r="F226" s="675">
        <v>3</v>
      </c>
      <c r="G226" s="675" t="s">
        <v>2238</v>
      </c>
      <c r="H226" s="675">
        <v>44</v>
      </c>
      <c r="I226" s="676" t="s">
        <v>3832</v>
      </c>
      <c r="J226" s="677">
        <v>5.5</v>
      </c>
      <c r="K226" s="683">
        <v>539</v>
      </c>
      <c r="L226" s="677">
        <v>0</v>
      </c>
      <c r="M226" s="677">
        <v>0</v>
      </c>
      <c r="N226" s="677">
        <v>68</v>
      </c>
      <c r="O226" s="677">
        <v>0</v>
      </c>
      <c r="P226" s="677">
        <v>0</v>
      </c>
      <c r="Q226" s="677">
        <v>0</v>
      </c>
      <c r="R226" s="677">
        <v>0</v>
      </c>
      <c r="S226" s="677">
        <v>0</v>
      </c>
      <c r="T226" s="677">
        <v>0</v>
      </c>
      <c r="U226" s="677">
        <v>0</v>
      </c>
      <c r="V226" s="677">
        <v>0</v>
      </c>
      <c r="W226" s="677">
        <v>201</v>
      </c>
      <c r="X226" s="678"/>
      <c r="Y226" s="682"/>
      <c r="Z226" s="680"/>
      <c r="AA226" s="681">
        <v>71.66</v>
      </c>
      <c r="AB226" s="681">
        <v>29.978000000000002</v>
      </c>
      <c r="AC226" s="417">
        <v>20</v>
      </c>
      <c r="AD226" s="417"/>
      <c r="AE226" s="682" t="s">
        <v>4139</v>
      </c>
      <c r="AF226">
        <v>1</v>
      </c>
      <c r="AG226" s="713">
        <v>43101</v>
      </c>
      <c r="AH226" s="417"/>
      <c r="AI226" s="417"/>
      <c r="AJ226" s="714">
        <v>43192</v>
      </c>
      <c r="AK226" s="417"/>
      <c r="AL226" s="637" t="s">
        <v>3440</v>
      </c>
      <c r="AM226" s="417"/>
      <c r="AN226" s="417"/>
      <c r="AO226" s="636"/>
      <c r="AP226">
        <v>556635</v>
      </c>
      <c r="AQ226" s="715">
        <v>43102</v>
      </c>
      <c r="AR226" s="417"/>
      <c r="AS226" s="417"/>
      <c r="AT226" s="417"/>
      <c r="AU226" s="417"/>
      <c r="AV226" s="417"/>
      <c r="AW226" s="417"/>
      <c r="AX226" s="417"/>
      <c r="AY226" t="s">
        <v>80</v>
      </c>
      <c r="AZ226" s="417"/>
      <c r="BA226" s="417"/>
      <c r="BB226" t="s">
        <v>3584</v>
      </c>
      <c r="BC226" s="636"/>
      <c r="BD226" s="417"/>
      <c r="BE226" s="612">
        <v>0</v>
      </c>
      <c r="BF226" s="613">
        <v>0</v>
      </c>
      <c r="BG226" s="614" t="s">
        <v>78</v>
      </c>
      <c r="BH226" s="682"/>
      <c r="BI226" s="417"/>
      <c r="BJ226" s="417">
        <v>3</v>
      </c>
      <c r="BK226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226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226" s="682"/>
      <c r="BN226" s="636" t="s">
        <v>3784</v>
      </c>
      <c r="BO226" s="636" t="s">
        <v>3784</v>
      </c>
      <c r="BP226" s="636" t="s">
        <v>3784</v>
      </c>
      <c r="BQ226" s="636" t="s">
        <v>105</v>
      </c>
      <c r="BR226" s="636"/>
      <c r="BS226" s="636"/>
      <c r="BT226" s="636"/>
      <c r="BU226" s="636"/>
      <c r="BV226" s="636"/>
      <c r="BW226" s="636" t="s">
        <v>4132</v>
      </c>
      <c r="BX226" s="636"/>
      <c r="BY226" s="972"/>
    </row>
    <row r="227" spans="1:77">
      <c r="A227" t="s">
        <v>105</v>
      </c>
      <c r="B227" s="675" t="s">
        <v>112</v>
      </c>
      <c r="C227" s="687" t="s">
        <v>140</v>
      </c>
      <c r="D227" s="675">
        <v>0</v>
      </c>
      <c r="E227" s="675" t="s">
        <v>2305</v>
      </c>
      <c r="F227" s="675">
        <v>3</v>
      </c>
      <c r="G227" s="675" t="s">
        <v>2238</v>
      </c>
      <c r="H227" s="675">
        <v>53</v>
      </c>
      <c r="I227" s="676" t="s">
        <v>3799</v>
      </c>
      <c r="J227" s="677">
        <v>8.1</v>
      </c>
      <c r="K227" s="683">
        <v>589</v>
      </c>
      <c r="L227" s="677">
        <v>0</v>
      </c>
      <c r="M227" s="677">
        <v>0</v>
      </c>
      <c r="N227" s="677">
        <v>73</v>
      </c>
      <c r="O227" s="677">
        <v>0</v>
      </c>
      <c r="P227" s="677">
        <v>0</v>
      </c>
      <c r="Q227" s="677">
        <v>0</v>
      </c>
      <c r="R227" s="677">
        <v>0</v>
      </c>
      <c r="S227" s="677">
        <v>0</v>
      </c>
      <c r="T227" s="677">
        <v>0</v>
      </c>
      <c r="U227" s="677">
        <v>0</v>
      </c>
      <c r="V227" s="677">
        <v>0</v>
      </c>
      <c r="W227" s="677">
        <v>290</v>
      </c>
      <c r="X227" s="678"/>
      <c r="Y227" s="682"/>
      <c r="Z227" s="680"/>
      <c r="AA227" s="681">
        <v>69.978999999999999</v>
      </c>
      <c r="AB227" s="681">
        <v>29.978000000000002</v>
      </c>
      <c r="AC227" s="417">
        <v>26</v>
      </c>
      <c r="AD227" s="417"/>
      <c r="AE227" s="682" t="s">
        <v>4140</v>
      </c>
      <c r="AF227">
        <v>1</v>
      </c>
      <c r="AG227" s="713">
        <v>43101</v>
      </c>
      <c r="AH227" s="417"/>
      <c r="AI227" s="417"/>
      <c r="AJ227" s="714">
        <v>43192</v>
      </c>
      <c r="AK227" s="417"/>
      <c r="AL227" s="637" t="s">
        <v>3452</v>
      </c>
      <c r="AM227" s="417"/>
      <c r="AN227" s="417"/>
      <c r="AO227" s="636"/>
      <c r="AP227">
        <v>556635</v>
      </c>
      <c r="AQ227" s="715">
        <v>43102</v>
      </c>
      <c r="AR227" s="417"/>
      <c r="AS227" s="417"/>
      <c r="AT227" s="417"/>
      <c r="AU227" s="417"/>
      <c r="AV227" s="417"/>
      <c r="AW227" s="417"/>
      <c r="AX227" s="417"/>
      <c r="AY227" t="s">
        <v>80</v>
      </c>
      <c r="AZ227" s="417"/>
      <c r="BA227" s="417"/>
      <c r="BB227" t="s">
        <v>3584</v>
      </c>
      <c r="BC227" s="636"/>
      <c r="BD227" s="417"/>
      <c r="BE227" s="612">
        <v>0</v>
      </c>
      <c r="BF227" s="613">
        <v>0</v>
      </c>
      <c r="BG227" s="614" t="s">
        <v>78</v>
      </c>
      <c r="BH227" s="682"/>
      <c r="BI227" s="417"/>
      <c r="BJ227" s="417">
        <v>4</v>
      </c>
      <c r="BK227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227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227" s="682"/>
      <c r="BN227" s="636" t="s">
        <v>3784</v>
      </c>
      <c r="BO227" s="636" t="s">
        <v>3784</v>
      </c>
      <c r="BP227" s="636" t="s">
        <v>3784</v>
      </c>
      <c r="BQ227" s="636" t="s">
        <v>105</v>
      </c>
      <c r="BR227" s="636"/>
      <c r="BS227" s="636"/>
      <c r="BT227" s="636"/>
      <c r="BU227" s="636"/>
      <c r="BV227" s="636"/>
      <c r="BW227" s="636" t="s">
        <v>4132</v>
      </c>
      <c r="BX227" s="636"/>
      <c r="BY227" s="972"/>
    </row>
    <row r="228" spans="1:77">
      <c r="A228" t="s">
        <v>105</v>
      </c>
      <c r="B228" s="675" t="s">
        <v>112</v>
      </c>
      <c r="C228" s="687" t="s">
        <v>134</v>
      </c>
      <c r="D228" s="675">
        <v>0</v>
      </c>
      <c r="E228" s="675" t="s">
        <v>2305</v>
      </c>
      <c r="F228" s="675">
        <v>3</v>
      </c>
      <c r="G228" s="675" t="s">
        <v>2238</v>
      </c>
      <c r="H228" s="675">
        <v>35</v>
      </c>
      <c r="I228" s="676" t="s">
        <v>3833</v>
      </c>
      <c r="J228" s="677">
        <v>2.1</v>
      </c>
      <c r="K228" s="683">
        <v>219</v>
      </c>
      <c r="L228" s="677">
        <v>0</v>
      </c>
      <c r="M228" s="677">
        <v>0</v>
      </c>
      <c r="N228" s="677">
        <v>0</v>
      </c>
      <c r="O228" s="677">
        <v>0</v>
      </c>
      <c r="P228" s="677">
        <v>0</v>
      </c>
      <c r="Q228" s="677">
        <v>0</v>
      </c>
      <c r="R228" s="677">
        <v>0</v>
      </c>
      <c r="S228" s="677">
        <v>0</v>
      </c>
      <c r="T228" s="677">
        <v>0</v>
      </c>
      <c r="U228" s="677">
        <v>0</v>
      </c>
      <c r="V228" s="677">
        <v>0</v>
      </c>
      <c r="W228" s="677">
        <v>13</v>
      </c>
      <c r="X228" s="678"/>
      <c r="Y228" s="682"/>
      <c r="Z228" s="680"/>
      <c r="AA228" s="681">
        <v>221.85300000000001</v>
      </c>
      <c r="AB228" s="681">
        <v>29.978000000000002</v>
      </c>
      <c r="AC228" s="417">
        <v>33</v>
      </c>
      <c r="AD228" s="417"/>
      <c r="AE228" s="682" t="s">
        <v>4141</v>
      </c>
      <c r="AF228">
        <v>1</v>
      </c>
      <c r="AG228" s="713">
        <v>43101</v>
      </c>
      <c r="AH228" s="417"/>
      <c r="AI228" s="417"/>
      <c r="AJ228" s="714">
        <v>43192</v>
      </c>
      <c r="AK228" s="417"/>
      <c r="AL228" s="637" t="s">
        <v>3440</v>
      </c>
      <c r="AM228" s="417"/>
      <c r="AN228" s="417"/>
      <c r="AO228" s="636"/>
      <c r="AP228">
        <v>556633</v>
      </c>
      <c r="AQ228" s="715">
        <v>43102</v>
      </c>
      <c r="AR228" s="417"/>
      <c r="AS228" s="417"/>
      <c r="AT228" s="417"/>
      <c r="AU228" s="417"/>
      <c r="AV228" s="417"/>
      <c r="AW228" s="417"/>
      <c r="AX228" s="417"/>
      <c r="AY228" t="s">
        <v>80</v>
      </c>
      <c r="AZ228" s="417"/>
      <c r="BA228" s="417"/>
      <c r="BB228" t="s">
        <v>3584</v>
      </c>
      <c r="BC228" s="636"/>
      <c r="BD228" s="417"/>
      <c r="BE228" s="612">
        <v>0</v>
      </c>
      <c r="BF228" s="613">
        <v>0</v>
      </c>
      <c r="BG228" s="614" t="s">
        <v>78</v>
      </c>
      <c r="BH228" s="682"/>
      <c r="BI228" s="417"/>
      <c r="BJ228" s="417">
        <v>5</v>
      </c>
      <c r="BK228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8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8" s="682"/>
      <c r="BN228" s="636" t="s">
        <v>3784</v>
      </c>
      <c r="BO228" s="636" t="s">
        <v>3784</v>
      </c>
      <c r="BP228" s="636" t="s">
        <v>3784</v>
      </c>
      <c r="BQ228" s="636" t="s">
        <v>105</v>
      </c>
      <c r="BR228" s="636"/>
      <c r="BS228" s="636"/>
      <c r="BT228" s="636"/>
      <c r="BU228" s="636"/>
      <c r="BV228" s="636"/>
      <c r="BW228" s="636" t="s">
        <v>4132</v>
      </c>
      <c r="BX228" s="636"/>
      <c r="BY228" s="972"/>
    </row>
    <row r="229" spans="1:77">
      <c r="A229" t="s">
        <v>105</v>
      </c>
      <c r="B229" s="675" t="s">
        <v>112</v>
      </c>
      <c r="C229" s="687" t="s">
        <v>134</v>
      </c>
      <c r="D229" s="675">
        <v>0</v>
      </c>
      <c r="E229" s="675" t="s">
        <v>2305</v>
      </c>
      <c r="F229" s="675">
        <v>3</v>
      </c>
      <c r="G229" s="675" t="s">
        <v>2238</v>
      </c>
      <c r="H229" s="675">
        <v>35</v>
      </c>
      <c r="I229" s="676" t="s">
        <v>3833</v>
      </c>
      <c r="J229" s="677">
        <v>2.1</v>
      </c>
      <c r="K229" s="683">
        <v>219</v>
      </c>
      <c r="L229" s="677">
        <v>0</v>
      </c>
      <c r="M229" s="677">
        <v>0</v>
      </c>
      <c r="N229" s="677">
        <v>0</v>
      </c>
      <c r="O229" s="677">
        <v>0</v>
      </c>
      <c r="P229" s="677">
        <v>0</v>
      </c>
      <c r="Q229" s="677">
        <v>0</v>
      </c>
      <c r="R229" s="677">
        <v>0</v>
      </c>
      <c r="S229" s="677">
        <v>0</v>
      </c>
      <c r="T229" s="677">
        <v>0</v>
      </c>
      <c r="U229" s="677">
        <v>0</v>
      </c>
      <c r="V229" s="677">
        <v>0</v>
      </c>
      <c r="W229" s="677">
        <v>13</v>
      </c>
      <c r="X229" s="678"/>
      <c r="Y229" s="682"/>
      <c r="Z229" s="680"/>
      <c r="AA229" s="681">
        <v>221.85300000000001</v>
      </c>
      <c r="AB229" s="681">
        <v>29.978000000000002</v>
      </c>
      <c r="AC229" s="417">
        <v>33</v>
      </c>
      <c r="AD229" s="417"/>
      <c r="AE229" s="682" t="s">
        <v>4141</v>
      </c>
      <c r="AF229">
        <v>1</v>
      </c>
      <c r="AG229" s="713">
        <v>43101</v>
      </c>
      <c r="AH229" s="417"/>
      <c r="AI229" s="417"/>
      <c r="AJ229" s="714">
        <v>43192</v>
      </c>
      <c r="AK229" s="417"/>
      <c r="AL229" s="637" t="s">
        <v>3440</v>
      </c>
      <c r="AM229" s="417"/>
      <c r="AN229" s="417"/>
      <c r="AO229" s="636"/>
      <c r="AP229">
        <v>556633</v>
      </c>
      <c r="AQ229" s="715">
        <v>43102</v>
      </c>
      <c r="AR229" s="417"/>
      <c r="AS229" s="417"/>
      <c r="AT229" s="417"/>
      <c r="AU229" s="417"/>
      <c r="AV229" s="417"/>
      <c r="AW229" s="417"/>
      <c r="AX229" s="417"/>
      <c r="AY229" t="s">
        <v>80</v>
      </c>
      <c r="AZ229" s="417"/>
      <c r="BA229" s="417"/>
      <c r="BB229" t="s">
        <v>3584</v>
      </c>
      <c r="BC229" s="636"/>
      <c r="BD229" s="417"/>
      <c r="BE229" s="612">
        <v>0</v>
      </c>
      <c r="BF229" s="613">
        <v>0</v>
      </c>
      <c r="BG229" s="614" t="s">
        <v>78</v>
      </c>
      <c r="BH229" s="682"/>
      <c r="BI229" s="417"/>
      <c r="BJ229" s="417">
        <v>5</v>
      </c>
      <c r="BK229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29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29" s="682"/>
      <c r="BN229" s="636" t="s">
        <v>3784</v>
      </c>
      <c r="BO229" s="636" t="s">
        <v>3784</v>
      </c>
      <c r="BP229" s="636" t="s">
        <v>3784</v>
      </c>
      <c r="BQ229" s="636" t="s">
        <v>105</v>
      </c>
      <c r="BR229" s="636"/>
      <c r="BS229" s="636"/>
      <c r="BT229" s="636"/>
      <c r="BU229" s="636"/>
      <c r="BV229" s="636"/>
      <c r="BW229" s="636" t="s">
        <v>4142</v>
      </c>
      <c r="BX229" s="636"/>
      <c r="BY229" s="972"/>
    </row>
    <row r="230" spans="1:77">
      <c r="A230" t="s">
        <v>104</v>
      </c>
      <c r="B230" s="675" t="s">
        <v>113</v>
      </c>
      <c r="C230" s="687" t="s">
        <v>104</v>
      </c>
      <c r="D230" s="675">
        <v>0</v>
      </c>
      <c r="E230" s="675" t="s">
        <v>2305</v>
      </c>
      <c r="F230" s="675">
        <v>2</v>
      </c>
      <c r="G230" s="675" t="s">
        <v>2238</v>
      </c>
      <c r="H230" s="675">
        <v>113</v>
      </c>
      <c r="I230" s="676" t="s">
        <v>3794</v>
      </c>
      <c r="J230" s="677">
        <v>0.9</v>
      </c>
      <c r="K230" s="683">
        <v>523</v>
      </c>
      <c r="L230" s="677">
        <v>0</v>
      </c>
      <c r="M230" s="677">
        <v>3</v>
      </c>
      <c r="N230" s="677">
        <v>67</v>
      </c>
      <c r="O230" s="677">
        <v>0</v>
      </c>
      <c r="P230" s="677">
        <v>0</v>
      </c>
      <c r="Q230" s="677">
        <v>10</v>
      </c>
      <c r="R230" s="677">
        <v>3</v>
      </c>
      <c r="S230" s="677">
        <v>20</v>
      </c>
      <c r="T230" s="677">
        <v>77</v>
      </c>
      <c r="U230" s="677">
        <v>1</v>
      </c>
      <c r="V230" s="677">
        <v>17</v>
      </c>
      <c r="W230" s="677">
        <v>53</v>
      </c>
      <c r="X230" s="678"/>
      <c r="Y230" s="682"/>
      <c r="Z230" s="680"/>
      <c r="AA230" s="681">
        <v>86.477999999999994</v>
      </c>
      <c r="AB230" s="681">
        <v>38.881</v>
      </c>
      <c r="AC230" s="417">
        <v>19</v>
      </c>
      <c r="AD230" s="417"/>
      <c r="AE230" s="682" t="s">
        <v>4143</v>
      </c>
      <c r="AF230">
        <v>1</v>
      </c>
      <c r="AG230" s="713">
        <v>43101</v>
      </c>
      <c r="AH230" s="417"/>
      <c r="AI230" s="417"/>
      <c r="AJ230" s="714">
        <v>43210</v>
      </c>
      <c r="AK230" s="417"/>
      <c r="AL230" s="637" t="s">
        <v>3469</v>
      </c>
      <c r="AM230" s="417"/>
      <c r="AN230" s="417"/>
      <c r="AO230" s="636"/>
      <c r="AP230">
        <v>556620</v>
      </c>
      <c r="AQ230" s="715">
        <v>43077</v>
      </c>
      <c r="AR230" s="417"/>
      <c r="AS230" s="417"/>
      <c r="AT230" s="417"/>
      <c r="AU230" s="417"/>
      <c r="AV230" s="417"/>
      <c r="AW230" s="417"/>
      <c r="AX230" s="417"/>
      <c r="AY230" t="s">
        <v>80</v>
      </c>
      <c r="AZ230" s="417"/>
      <c r="BA230" s="417"/>
      <c r="BB230" t="s">
        <v>3584</v>
      </c>
      <c r="BC230" s="636"/>
      <c r="BD230" s="417"/>
      <c r="BE230" s="612">
        <v>5</v>
      </c>
      <c r="BF230" s="613">
        <v>20</v>
      </c>
      <c r="BG230" s="614" t="s">
        <v>78</v>
      </c>
      <c r="BH230" s="682"/>
      <c r="BI230" s="417"/>
      <c r="BJ230" s="417">
        <v>1</v>
      </c>
      <c r="BK230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230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230" s="682"/>
      <c r="BN230" s="636" t="s">
        <v>3784</v>
      </c>
      <c r="BO230" s="636" t="s">
        <v>3784</v>
      </c>
      <c r="BP230" s="636" t="s">
        <v>3784</v>
      </c>
      <c r="BQ230" s="636" t="s">
        <v>104</v>
      </c>
      <c r="BR230" s="636"/>
      <c r="BS230" s="636"/>
      <c r="BT230" s="636"/>
      <c r="BU230" s="636"/>
      <c r="BV230" s="636"/>
      <c r="BW230" s="636" t="s">
        <v>4142</v>
      </c>
      <c r="BX230" s="636"/>
      <c r="BY230" s="972"/>
    </row>
    <row r="231" spans="1:77">
      <c r="A231" t="s">
        <v>104</v>
      </c>
      <c r="B231" s="675" t="s">
        <v>113</v>
      </c>
      <c r="C231" s="687" t="s">
        <v>104</v>
      </c>
      <c r="D231" s="675">
        <v>0</v>
      </c>
      <c r="E231" s="675" t="s">
        <v>2305</v>
      </c>
      <c r="F231" s="675">
        <v>3</v>
      </c>
      <c r="G231" s="675" t="s">
        <v>2238</v>
      </c>
      <c r="H231" s="675">
        <v>115</v>
      </c>
      <c r="I231" s="676" t="s">
        <v>3850</v>
      </c>
      <c r="J231" s="677">
        <v>0.3</v>
      </c>
      <c r="K231" s="683">
        <v>206</v>
      </c>
      <c r="L231" s="677">
        <v>0</v>
      </c>
      <c r="M231" s="677">
        <v>1</v>
      </c>
      <c r="N231" s="677">
        <v>18</v>
      </c>
      <c r="O231" s="677">
        <v>0</v>
      </c>
      <c r="P231" s="677">
        <v>0</v>
      </c>
      <c r="Q231" s="677">
        <v>0</v>
      </c>
      <c r="R231" s="677">
        <v>0</v>
      </c>
      <c r="S231" s="677">
        <v>13</v>
      </c>
      <c r="T231" s="677">
        <v>27</v>
      </c>
      <c r="U231" s="677">
        <v>0</v>
      </c>
      <c r="V231" s="677">
        <v>11</v>
      </c>
      <c r="W231" s="677">
        <v>18</v>
      </c>
      <c r="X231" s="678"/>
      <c r="Y231" s="682"/>
      <c r="Z231" s="680"/>
      <c r="AA231" s="681">
        <v>91.617000000000004</v>
      </c>
      <c r="AB231" s="681">
        <v>41.021999999999998</v>
      </c>
      <c r="AC231" s="417">
        <v>8</v>
      </c>
      <c r="AD231" s="417"/>
      <c r="AE231" s="682" t="s">
        <v>4144</v>
      </c>
      <c r="AF231">
        <v>1</v>
      </c>
      <c r="AG231" s="713">
        <v>43101</v>
      </c>
      <c r="AH231" s="417"/>
      <c r="AI231" s="417"/>
      <c r="AJ231" s="714">
        <v>43210</v>
      </c>
      <c r="AK231" s="417"/>
      <c r="AL231" s="637" t="s">
        <v>3469</v>
      </c>
      <c r="AM231" s="417"/>
      <c r="AN231" s="417"/>
      <c r="AO231" s="636"/>
      <c r="AP231">
        <v>556620</v>
      </c>
      <c r="AQ231" s="715">
        <v>43077</v>
      </c>
      <c r="AR231" s="417"/>
      <c r="AS231" s="417"/>
      <c r="AT231" s="417"/>
      <c r="AU231" s="417"/>
      <c r="AV231" s="417"/>
      <c r="AW231" s="417"/>
      <c r="AX231" s="417"/>
      <c r="AY231" t="s">
        <v>80</v>
      </c>
      <c r="AZ231" s="417"/>
      <c r="BA231" s="417"/>
      <c r="BB231" t="s">
        <v>3584</v>
      </c>
      <c r="BC231" s="636"/>
      <c r="BD231" s="417"/>
      <c r="BE231" s="612">
        <v>5</v>
      </c>
      <c r="BF231" s="613">
        <v>20</v>
      </c>
      <c r="BG231" s="614" t="s">
        <v>78</v>
      </c>
      <c r="BH231" s="682"/>
      <c r="BI231" s="417"/>
      <c r="BJ231" s="417">
        <v>2</v>
      </c>
      <c r="BK231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231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231" s="682"/>
      <c r="BN231" s="636" t="s">
        <v>3784</v>
      </c>
      <c r="BO231" s="636" t="s">
        <v>3784</v>
      </c>
      <c r="BP231" s="636" t="s">
        <v>3784</v>
      </c>
      <c r="BQ231" s="636" t="s">
        <v>104</v>
      </c>
      <c r="BR231" s="636"/>
      <c r="BS231" s="636"/>
      <c r="BT231" s="636"/>
      <c r="BU231" s="636"/>
      <c r="BV231" s="636"/>
      <c r="BW231" s="636" t="s">
        <v>4145</v>
      </c>
      <c r="BX231" s="636"/>
      <c r="BY231" s="972"/>
    </row>
    <row r="232" spans="1:77">
      <c r="A232" t="s">
        <v>3896</v>
      </c>
      <c r="B232" s="675" t="s">
        <v>112</v>
      </c>
      <c r="C232" s="687" t="s">
        <v>134</v>
      </c>
      <c r="D232" s="675">
        <v>0</v>
      </c>
      <c r="E232" s="675" t="s">
        <v>2305</v>
      </c>
      <c r="F232" s="675">
        <v>3</v>
      </c>
      <c r="G232" s="675" t="s">
        <v>79</v>
      </c>
      <c r="H232" s="675">
        <v>44</v>
      </c>
      <c r="I232" s="676" t="s">
        <v>3830</v>
      </c>
      <c r="J232" s="677">
        <v>2.4</v>
      </c>
      <c r="K232" s="683">
        <v>0</v>
      </c>
      <c r="L232" s="677"/>
      <c r="M232" s="677">
        <v>0</v>
      </c>
      <c r="N232" s="677">
        <v>110</v>
      </c>
      <c r="O232" s="677"/>
      <c r="P232" s="677"/>
      <c r="Q232" s="677">
        <v>141.66999999999999</v>
      </c>
      <c r="R232" s="677"/>
      <c r="S232" s="677">
        <v>0</v>
      </c>
      <c r="T232" s="677">
        <v>80</v>
      </c>
      <c r="U232" s="677"/>
      <c r="V232" s="677">
        <v>0</v>
      </c>
      <c r="W232" s="677">
        <v>0</v>
      </c>
      <c r="X232" s="678"/>
      <c r="Y232" s="682"/>
      <c r="Z232" s="680"/>
      <c r="AA232" s="681">
        <v>141.26</v>
      </c>
      <c r="AB232" s="681"/>
      <c r="AC232" s="417">
        <v>23</v>
      </c>
      <c r="AD232" s="417"/>
      <c r="AE232" s="682" t="s">
        <v>4146</v>
      </c>
      <c r="AF232">
        <v>1</v>
      </c>
      <c r="AG232" s="713">
        <v>43101</v>
      </c>
      <c r="AH232" s="417"/>
      <c r="AI232" s="417"/>
      <c r="AJ232" s="714">
        <v>43192</v>
      </c>
      <c r="AK232" s="417"/>
      <c r="AL232" s="637" t="s">
        <v>3440</v>
      </c>
      <c r="AM232" s="417"/>
      <c r="AN232" s="417"/>
      <c r="AO232" s="636"/>
      <c r="AP232">
        <v>556633</v>
      </c>
      <c r="AQ232" s="715">
        <v>43102</v>
      </c>
      <c r="AR232" s="417">
        <v>0.4</v>
      </c>
      <c r="AS232" s="417"/>
      <c r="AT232" s="417"/>
      <c r="AU232" s="417"/>
      <c r="AV232" s="417"/>
      <c r="AW232" s="417"/>
      <c r="AX232" s="417"/>
      <c r="AY232" t="s">
        <v>80</v>
      </c>
      <c r="AZ232" s="417"/>
      <c r="BA232" s="417"/>
      <c r="BB232" t="s">
        <v>3584</v>
      </c>
      <c r="BC232" s="636"/>
      <c r="BD232" s="417"/>
      <c r="BE232" s="612"/>
      <c r="BF232" s="613"/>
      <c r="BG232" s="614"/>
      <c r="BH232" s="682"/>
      <c r="BI232" s="417"/>
      <c r="BJ232" s="417">
        <v>7</v>
      </c>
      <c r="BK232" s="682" t="str">
        <f>Техкарта[[#This Row],[Кв-л]]&amp;" кв ("&amp;Substring(Техкарта[[#This Row],[Виділ]],"_",1)&amp;" вид) "&amp;Substring(Техкарта[[#This Row],[Виділ]],"_",2)&amp;" діл."</f>
        <v>44 кв (1 вид) 0 діл.</v>
      </c>
      <c r="BL232" s="682" t="str">
        <f>Техкарта[[#This Row],[ПолнаяДіл]] &amp;" "&amp;Техкарта[[#This Row],[ЛК]]&amp;" "&amp;Техкарта[[#This Row],[Вид рубки]]</f>
        <v>44 кв (1 вид) 0 діл. 556633 ПРЧ</v>
      </c>
      <c r="BM232" s="682"/>
      <c r="BN232" s="636"/>
      <c r="BO232" s="636"/>
      <c r="BP232" s="636"/>
      <c r="BQ232" s="636" t="s">
        <v>3896</v>
      </c>
      <c r="BR232" s="636">
        <v>5</v>
      </c>
      <c r="BS232" s="636"/>
      <c r="BT232" s="636"/>
      <c r="BU232" s="636"/>
      <c r="BV232" s="636"/>
      <c r="BW232" s="636" t="s">
        <v>4145</v>
      </c>
      <c r="BX232" s="636"/>
      <c r="BY232" s="972"/>
    </row>
    <row r="233" spans="1:77">
      <c r="A233" t="s">
        <v>3896</v>
      </c>
      <c r="B233" s="675" t="s">
        <v>112</v>
      </c>
      <c r="C233" s="687" t="s">
        <v>134</v>
      </c>
      <c r="D233" s="675">
        <v>0</v>
      </c>
      <c r="E233" s="675" t="s">
        <v>2305</v>
      </c>
      <c r="F233" s="675">
        <v>3</v>
      </c>
      <c r="G233" s="675" t="s">
        <v>79</v>
      </c>
      <c r="H233" s="675">
        <v>26</v>
      </c>
      <c r="I233" s="676" t="s">
        <v>3850</v>
      </c>
      <c r="J233" s="677">
        <v>1.2</v>
      </c>
      <c r="K233" s="683">
        <v>0</v>
      </c>
      <c r="L233" s="677"/>
      <c r="M233" s="677">
        <v>0</v>
      </c>
      <c r="N233" s="677">
        <v>0</v>
      </c>
      <c r="O233" s="677"/>
      <c r="P233" s="677"/>
      <c r="Q233" s="677">
        <v>216.67</v>
      </c>
      <c r="R233" s="677"/>
      <c r="S233" s="677">
        <v>0</v>
      </c>
      <c r="T233" s="677">
        <v>0</v>
      </c>
      <c r="U233" s="677"/>
      <c r="V233" s="677">
        <v>0</v>
      </c>
      <c r="W233" s="677">
        <v>0</v>
      </c>
      <c r="X233" s="678"/>
      <c r="Y233" s="682"/>
      <c r="Z233" s="680"/>
      <c r="AA233" s="681">
        <v>149.84</v>
      </c>
      <c r="AB233" s="681"/>
      <c r="AC233" s="417">
        <v>23</v>
      </c>
      <c r="AD233" s="417"/>
      <c r="AE233" s="682" t="s">
        <v>4147</v>
      </c>
      <c r="AF233">
        <v>1</v>
      </c>
      <c r="AG233" s="713">
        <v>43101</v>
      </c>
      <c r="AH233" s="417"/>
      <c r="AI233" s="417"/>
      <c r="AJ233" s="714">
        <v>43192</v>
      </c>
      <c r="AK233" s="417"/>
      <c r="AL233" s="637" t="s">
        <v>3434</v>
      </c>
      <c r="AM233" s="417"/>
      <c r="AN233" s="417"/>
      <c r="AO233" s="636"/>
      <c r="AP233">
        <v>556633</v>
      </c>
      <c r="AQ233" s="715">
        <v>43102</v>
      </c>
      <c r="AR233" s="417">
        <v>0.4</v>
      </c>
      <c r="AS233" s="417"/>
      <c r="AT233" s="417"/>
      <c r="AU233" s="417"/>
      <c r="AV233" s="417"/>
      <c r="AW233" s="417"/>
      <c r="AX233" s="417"/>
      <c r="AY233" t="s">
        <v>80</v>
      </c>
      <c r="AZ233" s="417"/>
      <c r="BA233" s="417"/>
      <c r="BB233" t="s">
        <v>3584</v>
      </c>
      <c r="BC233" s="636"/>
      <c r="BD233" s="417"/>
      <c r="BE233" s="612"/>
      <c r="BF233" s="613"/>
      <c r="BG233" s="614"/>
      <c r="BH233" s="682"/>
      <c r="BI233" s="417"/>
      <c r="BJ233" s="417">
        <v>8</v>
      </c>
      <c r="BK233" s="682" t="str">
        <f>Техкарта[[#This Row],[Кв-л]]&amp;" кв ("&amp;Substring(Техкарта[[#This Row],[Виділ]],"_",1)&amp;" вид) "&amp;Substring(Техкарта[[#This Row],[Виділ]],"_",2)&amp;" діл."</f>
        <v>26 кв (6 вид) 0 діл.</v>
      </c>
      <c r="BL233" s="682" t="str">
        <f>Техкарта[[#This Row],[ПолнаяДіл]] &amp;" "&amp;Техкарта[[#This Row],[ЛК]]&amp;" "&amp;Техкарта[[#This Row],[Вид рубки]]</f>
        <v>26 кв (6 вид) 0 діл. 556633 ПРЧ</v>
      </c>
      <c r="BM233" s="682"/>
      <c r="BN233" s="636"/>
      <c r="BO233" s="636"/>
      <c r="BP233" s="636"/>
      <c r="BQ233" s="636" t="s">
        <v>3896</v>
      </c>
      <c r="BR233" s="636">
        <v>5</v>
      </c>
      <c r="BS233" s="636"/>
      <c r="BT233" s="636"/>
      <c r="BU233" s="636"/>
      <c r="BV233" s="636"/>
      <c r="BW233" s="636" t="s">
        <v>4145</v>
      </c>
      <c r="BX233" s="636"/>
      <c r="BY233" s="972"/>
    </row>
    <row r="234" spans="1:77">
      <c r="A234" t="s">
        <v>3896</v>
      </c>
      <c r="B234" s="675" t="s">
        <v>112</v>
      </c>
      <c r="C234" s="687" t="s">
        <v>134</v>
      </c>
      <c r="D234" s="675">
        <v>0</v>
      </c>
      <c r="E234" s="675" t="s">
        <v>2305</v>
      </c>
      <c r="F234" s="675">
        <v>3</v>
      </c>
      <c r="G234" s="675" t="s">
        <v>79</v>
      </c>
      <c r="H234" s="675">
        <v>35</v>
      </c>
      <c r="I234" s="676" t="s">
        <v>3833</v>
      </c>
      <c r="J234" s="677">
        <v>2.1</v>
      </c>
      <c r="K234" s="683">
        <v>0</v>
      </c>
      <c r="L234" s="677"/>
      <c r="M234" s="677">
        <v>0</v>
      </c>
      <c r="N234" s="677">
        <v>40</v>
      </c>
      <c r="O234" s="677"/>
      <c r="P234" s="677"/>
      <c r="Q234" s="677">
        <v>66.67</v>
      </c>
      <c r="R234" s="677"/>
      <c r="S234" s="677">
        <v>0</v>
      </c>
      <c r="T234" s="677">
        <v>105</v>
      </c>
      <c r="U234" s="677"/>
      <c r="V234" s="677">
        <v>0</v>
      </c>
      <c r="W234" s="677">
        <v>0</v>
      </c>
      <c r="X234" s="678"/>
      <c r="Y234" s="682"/>
      <c r="Z234" s="680"/>
      <c r="AA234" s="681">
        <v>151.68</v>
      </c>
      <c r="AB234" s="681"/>
      <c r="AC234" s="417">
        <v>23</v>
      </c>
      <c r="AD234" s="417"/>
      <c r="AE234" s="682" t="s">
        <v>4148</v>
      </c>
      <c r="AF234">
        <v>1</v>
      </c>
      <c r="AG234" s="713">
        <v>43101</v>
      </c>
      <c r="AH234" s="417"/>
      <c r="AI234" s="417"/>
      <c r="AJ234" s="714">
        <v>43192</v>
      </c>
      <c r="AK234" s="417"/>
      <c r="AL234" s="637" t="s">
        <v>3440</v>
      </c>
      <c r="AM234" s="417"/>
      <c r="AN234" s="417"/>
      <c r="AO234" s="636"/>
      <c r="AP234">
        <v>556633</v>
      </c>
      <c r="AQ234" s="715">
        <v>43102</v>
      </c>
      <c r="AR234" s="417">
        <v>0.5</v>
      </c>
      <c r="AS234" s="417"/>
      <c r="AT234" s="417"/>
      <c r="AU234" s="417"/>
      <c r="AV234" s="417"/>
      <c r="AW234" s="417"/>
      <c r="AX234" s="417"/>
      <c r="AY234" t="s">
        <v>80</v>
      </c>
      <c r="AZ234" s="417"/>
      <c r="BA234" s="417"/>
      <c r="BB234" t="s">
        <v>3584</v>
      </c>
      <c r="BC234" s="636"/>
      <c r="BD234" s="417"/>
      <c r="BE234" s="612"/>
      <c r="BF234" s="613"/>
      <c r="BG234" s="614"/>
      <c r="BH234" s="682"/>
      <c r="BI234" s="417"/>
      <c r="BJ234" s="417">
        <v>9</v>
      </c>
      <c r="BK234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234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234" s="682"/>
      <c r="BN234" s="636"/>
      <c r="BO234" s="636"/>
      <c r="BP234" s="636"/>
      <c r="BQ234" s="636" t="s">
        <v>3896</v>
      </c>
      <c r="BR234" s="636">
        <v>5</v>
      </c>
      <c r="BS234" s="636"/>
      <c r="BT234" s="636"/>
      <c r="BU234" s="636"/>
      <c r="BV234" s="636"/>
      <c r="BW234" s="636" t="s">
        <v>4145</v>
      </c>
      <c r="BX234" s="636"/>
      <c r="BY234" s="972"/>
    </row>
    <row r="235" spans="1:77">
      <c r="A235" t="s">
        <v>3896</v>
      </c>
      <c r="B235" s="675" t="s">
        <v>112</v>
      </c>
      <c r="C235" s="687" t="s">
        <v>134</v>
      </c>
      <c r="D235" s="675">
        <v>0</v>
      </c>
      <c r="E235" s="675" t="s">
        <v>2305</v>
      </c>
      <c r="F235" s="675">
        <v>3</v>
      </c>
      <c r="G235" s="675" t="s">
        <v>79</v>
      </c>
      <c r="H235" s="675">
        <v>39</v>
      </c>
      <c r="I235" s="676" t="s">
        <v>3795</v>
      </c>
      <c r="J235" s="677">
        <v>5.6</v>
      </c>
      <c r="K235" s="683">
        <v>0</v>
      </c>
      <c r="L235" s="677"/>
      <c r="M235" s="677">
        <v>0</v>
      </c>
      <c r="N235" s="677">
        <v>0</v>
      </c>
      <c r="O235" s="677"/>
      <c r="P235" s="677"/>
      <c r="Q235" s="677">
        <v>441.67</v>
      </c>
      <c r="R235" s="677"/>
      <c r="S235" s="677">
        <v>0</v>
      </c>
      <c r="T235" s="677">
        <v>280</v>
      </c>
      <c r="U235" s="677"/>
      <c r="V235" s="677">
        <v>0</v>
      </c>
      <c r="W235" s="677">
        <v>0</v>
      </c>
      <c r="X235" s="678"/>
      <c r="Y235" s="682"/>
      <c r="Z235" s="680"/>
      <c r="AA235" s="681">
        <v>134.18</v>
      </c>
      <c r="AB235" s="681"/>
      <c r="AC235" s="417">
        <v>23</v>
      </c>
      <c r="AD235" s="417"/>
      <c r="AE235" s="682" t="s">
        <v>4149</v>
      </c>
      <c r="AF235">
        <v>1</v>
      </c>
      <c r="AG235" s="713">
        <v>43101</v>
      </c>
      <c r="AH235" s="417"/>
      <c r="AI235" s="417"/>
      <c r="AJ235" s="714">
        <v>43192</v>
      </c>
      <c r="AK235" s="417"/>
      <c r="AL235" s="637" t="s">
        <v>3440</v>
      </c>
      <c r="AM235" s="417"/>
      <c r="AN235" s="417"/>
      <c r="AO235" s="636"/>
      <c r="AP235">
        <v>556633</v>
      </c>
      <c r="AQ235" s="715">
        <v>43102</v>
      </c>
      <c r="AR235" s="417">
        <v>0.5</v>
      </c>
      <c r="AS235" s="417"/>
      <c r="AT235" s="417"/>
      <c r="AU235" s="417"/>
      <c r="AV235" s="417"/>
      <c r="AW235" s="417"/>
      <c r="AX235" s="417"/>
      <c r="AY235" t="s">
        <v>80</v>
      </c>
      <c r="AZ235" s="417"/>
      <c r="BA235" s="417"/>
      <c r="BB235" t="s">
        <v>3584</v>
      </c>
      <c r="BC235" s="636"/>
      <c r="BD235" s="417"/>
      <c r="BE235" s="612"/>
      <c r="BF235" s="613"/>
      <c r="BG235" s="614"/>
      <c r="BH235" s="682"/>
      <c r="BI235" s="417"/>
      <c r="BJ235" s="417">
        <v>10</v>
      </c>
      <c r="BK23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5" s="682"/>
      <c r="BN235" s="636"/>
      <c r="BO235" s="636"/>
      <c r="BP235" s="636"/>
      <c r="BQ235" s="636" t="s">
        <v>3896</v>
      </c>
      <c r="BR235" s="636">
        <v>5</v>
      </c>
      <c r="BS235" s="636"/>
      <c r="BT235" s="636"/>
      <c r="BU235" s="636"/>
      <c r="BV235" s="636"/>
      <c r="BW235" s="636" t="s">
        <v>4145</v>
      </c>
      <c r="BX235" s="636"/>
      <c r="BY235" s="972"/>
    </row>
    <row r="236" spans="1:77">
      <c r="A236" t="s">
        <v>3896</v>
      </c>
      <c r="B236" s="675" t="s">
        <v>112</v>
      </c>
      <c r="C236" s="687" t="s">
        <v>134</v>
      </c>
      <c r="D236" s="675">
        <v>0</v>
      </c>
      <c r="E236" s="675" t="s">
        <v>2305</v>
      </c>
      <c r="F236" s="675">
        <v>3</v>
      </c>
      <c r="G236" s="675" t="s">
        <v>79</v>
      </c>
      <c r="H236" s="675">
        <v>39</v>
      </c>
      <c r="I236" s="676" t="s">
        <v>3795</v>
      </c>
      <c r="J236" s="677">
        <v>5.6</v>
      </c>
      <c r="K236" s="683">
        <v>0</v>
      </c>
      <c r="L236" s="677"/>
      <c r="M236" s="677">
        <v>0</v>
      </c>
      <c r="N236" s="677">
        <v>0</v>
      </c>
      <c r="O236" s="677"/>
      <c r="P236" s="677"/>
      <c r="Q236" s="677">
        <v>441.67</v>
      </c>
      <c r="R236" s="677"/>
      <c r="S236" s="677">
        <v>0</v>
      </c>
      <c r="T236" s="677">
        <v>280</v>
      </c>
      <c r="U236" s="677"/>
      <c r="V236" s="677">
        <v>0</v>
      </c>
      <c r="W236" s="677">
        <v>0</v>
      </c>
      <c r="X236" s="678"/>
      <c r="Y236" s="682"/>
      <c r="Z236" s="680"/>
      <c r="AA236" s="681">
        <v>134.18</v>
      </c>
      <c r="AB236" s="681"/>
      <c r="AC236" s="417">
        <v>23</v>
      </c>
      <c r="AD236" s="417"/>
      <c r="AE236" s="682" t="s">
        <v>4149</v>
      </c>
      <c r="AF236">
        <v>1</v>
      </c>
      <c r="AG236" s="713">
        <v>43101</v>
      </c>
      <c r="AH236" s="417"/>
      <c r="AI236" s="417"/>
      <c r="AJ236" s="714">
        <v>43192</v>
      </c>
      <c r="AK236" s="417"/>
      <c r="AL236" s="637" t="s">
        <v>3440</v>
      </c>
      <c r="AM236" s="417"/>
      <c r="AN236" s="417"/>
      <c r="AO236" s="636"/>
      <c r="AP236">
        <v>556633</v>
      </c>
      <c r="AQ236" s="715">
        <v>43102</v>
      </c>
      <c r="AR236" s="417">
        <v>0.5</v>
      </c>
      <c r="AS236" s="417"/>
      <c r="AT236" s="417"/>
      <c r="AU236" s="417"/>
      <c r="AV236" s="417"/>
      <c r="AW236" s="417"/>
      <c r="AX236" s="417"/>
      <c r="AY236" t="s">
        <v>80</v>
      </c>
      <c r="AZ236" s="417"/>
      <c r="BA236" s="417"/>
      <c r="BB236" t="s">
        <v>3584</v>
      </c>
      <c r="BC236" s="636"/>
      <c r="BD236" s="417"/>
      <c r="BE236" s="612"/>
      <c r="BF236" s="613"/>
      <c r="BG236" s="614"/>
      <c r="BH236" s="682"/>
      <c r="BI236" s="417"/>
      <c r="BJ236" s="417">
        <v>10</v>
      </c>
      <c r="BK236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236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236" s="682"/>
      <c r="BN236" s="636"/>
      <c r="BO236" s="636"/>
      <c r="BP236" s="636"/>
      <c r="BQ236" s="636" t="s">
        <v>3896</v>
      </c>
      <c r="BR236" s="636">
        <v>5</v>
      </c>
      <c r="BS236" s="636"/>
      <c r="BT236" s="636"/>
      <c r="BU236" s="636"/>
      <c r="BV236" s="636"/>
      <c r="BW236" s="636" t="s">
        <v>4145</v>
      </c>
      <c r="BX236" s="636"/>
      <c r="BY236" s="972"/>
    </row>
    <row r="237" spans="1:77">
      <c r="A237" t="s">
        <v>105</v>
      </c>
      <c r="B237" s="675" t="s">
        <v>115</v>
      </c>
      <c r="C237" s="687" t="s">
        <v>140</v>
      </c>
      <c r="D237" s="675">
        <v>0</v>
      </c>
      <c r="E237" s="675" t="s">
        <v>2305</v>
      </c>
      <c r="F237" s="675">
        <v>3</v>
      </c>
      <c r="G237" s="675" t="s">
        <v>2238</v>
      </c>
      <c r="H237" s="675">
        <v>85</v>
      </c>
      <c r="I237" s="676" t="s">
        <v>3832</v>
      </c>
      <c r="J237" s="677">
        <v>3</v>
      </c>
      <c r="K237" s="683">
        <v>214</v>
      </c>
      <c r="L237" s="677">
        <v>0</v>
      </c>
      <c r="M237" s="677">
        <v>0</v>
      </c>
      <c r="N237" s="677">
        <v>35</v>
      </c>
      <c r="O237" s="677">
        <v>0</v>
      </c>
      <c r="P237" s="677">
        <v>0</v>
      </c>
      <c r="Q237" s="677">
        <v>0</v>
      </c>
      <c r="R237" s="677">
        <v>0</v>
      </c>
      <c r="S237" s="677">
        <v>0</v>
      </c>
      <c r="T237" s="677">
        <v>0</v>
      </c>
      <c r="U237" s="677">
        <v>7</v>
      </c>
      <c r="V237" s="677">
        <v>2</v>
      </c>
      <c r="W237" s="677">
        <v>128</v>
      </c>
      <c r="X237" s="678"/>
      <c r="Y237" s="682"/>
      <c r="Z237" s="680"/>
      <c r="AA237" s="681">
        <v>63.942999999999998</v>
      </c>
      <c r="AB237" s="681">
        <v>29.978000000000002</v>
      </c>
      <c r="AC237" s="417">
        <v>11</v>
      </c>
      <c r="AD237" s="417"/>
      <c r="AE237" s="682" t="s">
        <v>4150</v>
      </c>
      <c r="AF237">
        <v>1</v>
      </c>
      <c r="AG237" s="713">
        <v>43101</v>
      </c>
      <c r="AH237" s="417"/>
      <c r="AI237" s="417"/>
      <c r="AJ237" s="714">
        <v>43192</v>
      </c>
      <c r="AK237" s="417"/>
      <c r="AL237" s="637" t="s">
        <v>3461</v>
      </c>
      <c r="AM237" s="417"/>
      <c r="AN237" s="417"/>
      <c r="AO237" s="636"/>
      <c r="AP237">
        <v>556629</v>
      </c>
      <c r="AQ237" s="715">
        <v>43102</v>
      </c>
      <c r="AR237" s="417"/>
      <c r="AS237" s="417"/>
      <c r="AT237" s="417"/>
      <c r="AU237" s="417"/>
      <c r="AV237" s="417"/>
      <c r="AW237" s="417"/>
      <c r="AX237" s="417"/>
      <c r="AY237" t="s">
        <v>3362</v>
      </c>
      <c r="AZ237" s="417"/>
      <c r="BA237" s="417"/>
      <c r="BB237" t="s">
        <v>3585</v>
      </c>
      <c r="BC237" s="636"/>
      <c r="BD237" s="417"/>
      <c r="BE237" s="612">
        <v>0</v>
      </c>
      <c r="BF237" s="613">
        <v>0</v>
      </c>
      <c r="BG237" s="614" t="s">
        <v>78</v>
      </c>
      <c r="BH237" s="682"/>
      <c r="BI237" s="417"/>
      <c r="BJ237" s="417">
        <v>1</v>
      </c>
      <c r="BK237" s="682" t="str">
        <f>Техкарта[[#This Row],[Кв-л]]&amp;" кв ("&amp;Substring(Техкарта[[#This Row],[Виділ]],"_",1)&amp;" вид) "&amp;Substring(Техкарта[[#This Row],[Виділ]],"_",2)&amp;" діл."</f>
        <v>85 кв (5 вид) 0 діл.</v>
      </c>
      <c r="BL237" s="682" t="str">
        <f>Техкарта[[#This Row],[ПолнаяДіл]] &amp;" "&amp;Техкарта[[#This Row],[ЛК]]&amp;" "&amp;Техкарта[[#This Row],[Вид рубки]]</f>
        <v>85 кв (5 вид) 0 діл. 556629 ПРХ</v>
      </c>
      <c r="BM237" s="682"/>
      <c r="BN237" s="636" t="s">
        <v>3784</v>
      </c>
      <c r="BO237" s="636" t="s">
        <v>3784</v>
      </c>
      <c r="BP237" s="636" t="s">
        <v>3784</v>
      </c>
      <c r="BQ237" s="636" t="s">
        <v>105</v>
      </c>
      <c r="BR237" s="636"/>
      <c r="BS237" s="636"/>
      <c r="BT237" s="636"/>
      <c r="BU237" s="636"/>
      <c r="BV237" s="636"/>
      <c r="BW237" s="636" t="s">
        <v>4145</v>
      </c>
      <c r="BX237" s="636"/>
      <c r="BY237" s="972"/>
    </row>
    <row r="238" spans="1:77">
      <c r="A238" t="s">
        <v>3896</v>
      </c>
      <c r="B238" s="675" t="s">
        <v>115</v>
      </c>
      <c r="C238" s="687" t="s">
        <v>134</v>
      </c>
      <c r="D238" s="675">
        <v>0</v>
      </c>
      <c r="E238" s="675" t="s">
        <v>2305</v>
      </c>
      <c r="F238" s="675">
        <v>3</v>
      </c>
      <c r="G238" s="675" t="s">
        <v>79</v>
      </c>
      <c r="H238" s="675">
        <v>10</v>
      </c>
      <c r="I238" s="676" t="s">
        <v>3831</v>
      </c>
      <c r="J238" s="677">
        <v>1.2</v>
      </c>
      <c r="K238" s="683">
        <v>0</v>
      </c>
      <c r="L238" s="677"/>
      <c r="M238" s="677">
        <v>0</v>
      </c>
      <c r="N238" s="677">
        <v>40</v>
      </c>
      <c r="O238" s="677"/>
      <c r="P238" s="677"/>
      <c r="Q238" s="677">
        <v>258.33</v>
      </c>
      <c r="R238" s="677"/>
      <c r="S238" s="677">
        <v>0</v>
      </c>
      <c r="T238" s="677">
        <v>0</v>
      </c>
      <c r="U238" s="677"/>
      <c r="V238" s="677">
        <v>0</v>
      </c>
      <c r="W238" s="677">
        <v>0</v>
      </c>
      <c r="X238" s="678"/>
      <c r="Y238" s="682"/>
      <c r="Z238" s="680"/>
      <c r="AA238" s="681">
        <v>156.61000000000001</v>
      </c>
      <c r="AB238" s="681"/>
      <c r="AC238" s="417">
        <v>23</v>
      </c>
      <c r="AD238" s="417"/>
      <c r="AE238" s="682" t="s">
        <v>4151</v>
      </c>
      <c r="AF238">
        <v>1</v>
      </c>
      <c r="AG238" s="713">
        <v>43101</v>
      </c>
      <c r="AH238" s="417"/>
      <c r="AI238" s="417"/>
      <c r="AJ238" s="714">
        <v>43192</v>
      </c>
      <c r="AK238" s="417"/>
      <c r="AL238" s="637" t="s">
        <v>3471</v>
      </c>
      <c r="AM238" s="417"/>
      <c r="AN238" s="417"/>
      <c r="AO238" s="636"/>
      <c r="AP238">
        <v>556627</v>
      </c>
      <c r="AQ238" s="715">
        <v>43102</v>
      </c>
      <c r="AR238" s="417">
        <v>0.4</v>
      </c>
      <c r="AS238" s="417"/>
      <c r="AT238" s="417"/>
      <c r="AU238" s="417"/>
      <c r="AV238" s="417"/>
      <c r="AW238" s="417"/>
      <c r="AX238" s="417"/>
      <c r="AY238" t="s">
        <v>3362</v>
      </c>
      <c r="AZ238" s="417"/>
      <c r="BA238" s="417"/>
      <c r="BB238" t="s">
        <v>3585</v>
      </c>
      <c r="BC238" s="636"/>
      <c r="BD238" s="417"/>
      <c r="BE238" s="612"/>
      <c r="BF238" s="613"/>
      <c r="BG238" s="614"/>
      <c r="BH238" s="682"/>
      <c r="BI238" s="417"/>
      <c r="BJ238" s="417">
        <v>2</v>
      </c>
      <c r="BK238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238" s="682" t="str">
        <f>Техкарта[[#This Row],[ПолнаяДіл]] &amp;" "&amp;Техкарта[[#This Row],[ЛК]]&amp;" "&amp;Техкарта[[#This Row],[Вид рубки]]</f>
        <v>10 кв (4 вид) 0 діл. 556627 ПРЧ</v>
      </c>
      <c r="BM238" s="682"/>
      <c r="BN238" s="636"/>
      <c r="BO238" s="636"/>
      <c r="BP238" s="636"/>
      <c r="BQ238" s="636" t="s">
        <v>3896</v>
      </c>
      <c r="BR238" s="636">
        <v>5</v>
      </c>
      <c r="BS238" s="636"/>
      <c r="BT238" s="636"/>
      <c r="BU238" s="636"/>
      <c r="BV238" s="636"/>
      <c r="BW238" s="636" t="s">
        <v>4145</v>
      </c>
      <c r="BX238" s="636"/>
      <c r="BY238" s="972"/>
    </row>
    <row r="239" spans="1:77">
      <c r="A239" t="s">
        <v>3896</v>
      </c>
      <c r="B239" s="675" t="s">
        <v>115</v>
      </c>
      <c r="C239" s="687" t="s">
        <v>3843</v>
      </c>
      <c r="D239" s="675">
        <v>0</v>
      </c>
      <c r="E239" s="675" t="s">
        <v>2305</v>
      </c>
      <c r="F239" s="675">
        <v>3</v>
      </c>
      <c r="G239" s="675" t="s">
        <v>79</v>
      </c>
      <c r="H239" s="675">
        <v>101</v>
      </c>
      <c r="I239" s="676" t="s">
        <v>3795</v>
      </c>
      <c r="J239" s="677">
        <v>8.9</v>
      </c>
      <c r="K239" s="683">
        <v>0</v>
      </c>
      <c r="L239" s="677"/>
      <c r="M239" s="677">
        <v>0</v>
      </c>
      <c r="N239" s="677">
        <v>870</v>
      </c>
      <c r="O239" s="677"/>
      <c r="P239" s="677"/>
      <c r="Q239" s="677">
        <v>0</v>
      </c>
      <c r="R239" s="677"/>
      <c r="S239" s="677">
        <v>0</v>
      </c>
      <c r="T239" s="677">
        <v>0</v>
      </c>
      <c r="U239" s="677"/>
      <c r="V239" s="677">
        <v>0</v>
      </c>
      <c r="W239" s="677">
        <v>0</v>
      </c>
      <c r="X239" s="678"/>
      <c r="Y239" s="682"/>
      <c r="Z239" s="680"/>
      <c r="AA239" s="681">
        <v>185.62</v>
      </c>
      <c r="AB239" s="681"/>
      <c r="AC239" s="417">
        <v>23</v>
      </c>
      <c r="AD239" s="417"/>
      <c r="AE239" s="682" t="s">
        <v>4152</v>
      </c>
      <c r="AF239">
        <v>1</v>
      </c>
      <c r="AG239" s="713">
        <v>43101</v>
      </c>
      <c r="AH239" s="417"/>
      <c r="AI239" s="417"/>
      <c r="AJ239" s="714">
        <v>43196</v>
      </c>
      <c r="AK239" s="417"/>
      <c r="AL239" s="637" t="s">
        <v>3444</v>
      </c>
      <c r="AM239" s="417"/>
      <c r="AN239" s="417"/>
      <c r="AO239" s="636"/>
      <c r="AP239">
        <v>556669</v>
      </c>
      <c r="AQ239" s="715">
        <v>43196</v>
      </c>
      <c r="AR239" s="417">
        <v>0.3</v>
      </c>
      <c r="AS239" s="417"/>
      <c r="AT239" s="417"/>
      <c r="AU239" s="417"/>
      <c r="AV239" s="417"/>
      <c r="AW239" s="417"/>
      <c r="AX239" s="417"/>
      <c r="AY239" t="s">
        <v>3362</v>
      </c>
      <c r="AZ239" s="417"/>
      <c r="BA239" s="417"/>
      <c r="BB239" t="s">
        <v>3585</v>
      </c>
      <c r="BC239" s="636"/>
      <c r="BD239" s="417"/>
      <c r="BE239" s="612"/>
      <c r="BF239" s="613"/>
      <c r="BG239" s="614"/>
      <c r="BH239" s="682"/>
      <c r="BI239" s="417"/>
      <c r="BJ239" s="417">
        <v>3</v>
      </c>
      <c r="BK239" s="682" t="str">
        <f>Техкарта[[#This Row],[Кв-л]]&amp;" кв ("&amp;Substring(Техкарта[[#This Row],[Виділ]],"_",1)&amp;" вид) "&amp;Substring(Техкарта[[#This Row],[Виділ]],"_",2)&amp;" діл."</f>
        <v>101 кв (9 вид) 0 діл.</v>
      </c>
      <c r="BL239" s="682" t="str">
        <f>Техкарта[[#This Row],[ПолнаяДіл]] &amp;" "&amp;Техкарта[[#This Row],[ЛК]]&amp;" "&amp;Техкарта[[#This Row],[Вид рубки]]</f>
        <v>101 кв (9 вид) 0 діл. 556669 ОСВ</v>
      </c>
      <c r="BM239" s="682"/>
      <c r="BN239" s="636"/>
      <c r="BO239" s="636"/>
      <c r="BP239" s="636"/>
      <c r="BQ239" s="636" t="s">
        <v>3896</v>
      </c>
      <c r="BR239" s="636">
        <v>2</v>
      </c>
      <c r="BS239" s="636"/>
      <c r="BT239" s="636"/>
      <c r="BU239" s="636"/>
      <c r="BV239" s="636"/>
      <c r="BW239" s="636" t="s">
        <v>4145</v>
      </c>
      <c r="BX239" s="636"/>
      <c r="BY239" s="972"/>
    </row>
    <row r="240" spans="1:77">
      <c r="A240" t="s">
        <v>3896</v>
      </c>
      <c r="B240" s="675" t="s">
        <v>115</v>
      </c>
      <c r="C240" s="687" t="s">
        <v>3843</v>
      </c>
      <c r="D240" s="675">
        <v>0</v>
      </c>
      <c r="E240" s="675" t="s">
        <v>2305</v>
      </c>
      <c r="F240" s="675">
        <v>3</v>
      </c>
      <c r="G240" s="675" t="s">
        <v>79</v>
      </c>
      <c r="H240" s="675">
        <v>96</v>
      </c>
      <c r="I240" s="676" t="s">
        <v>3791</v>
      </c>
      <c r="J240" s="677">
        <v>1.4</v>
      </c>
      <c r="K240" s="683">
        <v>0</v>
      </c>
      <c r="L240" s="677"/>
      <c r="M240" s="677">
        <v>0</v>
      </c>
      <c r="N240" s="677">
        <v>60</v>
      </c>
      <c r="O240" s="677"/>
      <c r="P240" s="677"/>
      <c r="Q240" s="677">
        <v>183.33</v>
      </c>
      <c r="R240" s="677"/>
      <c r="S240" s="677">
        <v>0</v>
      </c>
      <c r="T240" s="677">
        <v>0</v>
      </c>
      <c r="U240" s="677"/>
      <c r="V240" s="677">
        <v>0</v>
      </c>
      <c r="W240" s="677">
        <v>0</v>
      </c>
      <c r="X240" s="678"/>
      <c r="Y240" s="682"/>
      <c r="Z240" s="680"/>
      <c r="AA240" s="681">
        <v>139.69</v>
      </c>
      <c r="AB240" s="681"/>
      <c r="AC240" s="417">
        <v>23</v>
      </c>
      <c r="AD240" s="417"/>
      <c r="AE240" s="682" t="s">
        <v>4153</v>
      </c>
      <c r="AF240">
        <v>1</v>
      </c>
      <c r="AG240" s="713">
        <v>43101</v>
      </c>
      <c r="AH240" s="417"/>
      <c r="AI240" s="417"/>
      <c r="AJ240" s="714">
        <v>43196</v>
      </c>
      <c r="AK240" s="417"/>
      <c r="AL240" s="637" t="s">
        <v>3444</v>
      </c>
      <c r="AM240" s="417"/>
      <c r="AN240" s="417"/>
      <c r="AO240" s="636"/>
      <c r="AP240">
        <v>556669</v>
      </c>
      <c r="AQ240" s="715">
        <v>43196</v>
      </c>
      <c r="AR240" s="417">
        <v>0.4</v>
      </c>
      <c r="AS240" s="417"/>
      <c r="AT240" s="417"/>
      <c r="AU240" s="417"/>
      <c r="AV240" s="417"/>
      <c r="AW240" s="417"/>
      <c r="AX240" s="417"/>
      <c r="AY240" t="s">
        <v>3362</v>
      </c>
      <c r="AZ240" s="417"/>
      <c r="BA240" s="417"/>
      <c r="BB240" t="s">
        <v>3585</v>
      </c>
      <c r="BC240" s="636"/>
      <c r="BD240" s="417"/>
      <c r="BE240" s="612"/>
      <c r="BF240" s="613"/>
      <c r="BG240" s="614"/>
      <c r="BH240" s="682"/>
      <c r="BI240" s="417"/>
      <c r="BJ240" s="417">
        <v>4</v>
      </c>
      <c r="BK240" s="682" t="str">
        <f>Техкарта[[#This Row],[Кв-л]]&amp;" кв ("&amp;Substring(Техкарта[[#This Row],[Виділ]],"_",1)&amp;" вид) "&amp;Substring(Техкарта[[#This Row],[Виділ]],"_",2)&amp;" діл."</f>
        <v>96 кв (7 вид) 0 діл.</v>
      </c>
      <c r="BL240" s="682" t="str">
        <f>Техкарта[[#This Row],[ПолнаяДіл]] &amp;" "&amp;Техкарта[[#This Row],[ЛК]]&amp;" "&amp;Техкарта[[#This Row],[Вид рубки]]</f>
        <v>96 кв (7 вид) 0 діл. 556669 ОСВ</v>
      </c>
      <c r="BM240" s="682"/>
      <c r="BN240" s="636"/>
      <c r="BO240" s="636"/>
      <c r="BP240" s="636"/>
      <c r="BQ240" s="636" t="s">
        <v>3896</v>
      </c>
      <c r="BR240" s="636">
        <v>5</v>
      </c>
      <c r="BS240" s="636"/>
      <c r="BT240" s="636"/>
      <c r="BU240" s="636"/>
      <c r="BV240" s="636"/>
      <c r="BW240" s="636" t="s">
        <v>4145</v>
      </c>
      <c r="BX240" s="636"/>
      <c r="BY240" s="972"/>
    </row>
    <row r="241" spans="1:77">
      <c r="A241" t="s">
        <v>3896</v>
      </c>
      <c r="B241" s="675" t="s">
        <v>115</v>
      </c>
      <c r="C241" s="687" t="s">
        <v>3843</v>
      </c>
      <c r="D241" s="675">
        <v>0</v>
      </c>
      <c r="E241" s="675" t="s">
        <v>2305</v>
      </c>
      <c r="F241" s="675">
        <v>3</v>
      </c>
      <c r="G241" s="675" t="s">
        <v>79</v>
      </c>
      <c r="H241" s="675">
        <v>126</v>
      </c>
      <c r="I241" s="676" t="s">
        <v>3830</v>
      </c>
      <c r="J241" s="677">
        <v>5.7</v>
      </c>
      <c r="K241" s="683">
        <v>0</v>
      </c>
      <c r="L241" s="677"/>
      <c r="M241" s="677">
        <v>0</v>
      </c>
      <c r="N241" s="677">
        <v>310</v>
      </c>
      <c r="O241" s="677"/>
      <c r="P241" s="677"/>
      <c r="Q241" s="677">
        <v>0</v>
      </c>
      <c r="R241" s="677"/>
      <c r="S241" s="677">
        <v>0</v>
      </c>
      <c r="T241" s="677">
        <v>0</v>
      </c>
      <c r="U241" s="677"/>
      <c r="V241" s="677">
        <v>0</v>
      </c>
      <c r="W241" s="677">
        <v>0</v>
      </c>
      <c r="X241" s="678"/>
      <c r="Y241" s="682"/>
      <c r="Z241" s="680"/>
      <c r="AA241" s="681">
        <v>229.36</v>
      </c>
      <c r="AB241" s="681"/>
      <c r="AC241" s="417">
        <v>23</v>
      </c>
      <c r="AD241" s="417"/>
      <c r="AE241" s="682" t="s">
        <v>4154</v>
      </c>
      <c r="AF241">
        <v>1</v>
      </c>
      <c r="AG241" s="713">
        <v>43101</v>
      </c>
      <c r="AH241" s="417"/>
      <c r="AI241" s="417"/>
      <c r="AJ241" s="714">
        <v>43196</v>
      </c>
      <c r="AK241" s="417"/>
      <c r="AL241" s="637" t="s">
        <v>3834</v>
      </c>
      <c r="AM241" s="417"/>
      <c r="AN241" s="417"/>
      <c r="AO241" s="636"/>
      <c r="AP241">
        <v>556669</v>
      </c>
      <c r="AQ241" s="715">
        <v>43196</v>
      </c>
      <c r="AR241" s="417">
        <v>0.4</v>
      </c>
      <c r="AS241" s="417"/>
      <c r="AT241" s="417"/>
      <c r="AU241" s="417"/>
      <c r="AV241" s="417"/>
      <c r="AW241" s="417"/>
      <c r="AX241" s="417"/>
      <c r="AY241" t="s">
        <v>3362</v>
      </c>
      <c r="AZ241" s="417"/>
      <c r="BA241" s="417"/>
      <c r="BB241" t="s">
        <v>3585</v>
      </c>
      <c r="BC241" s="636"/>
      <c r="BD241" s="417"/>
      <c r="BE241" s="612"/>
      <c r="BF241" s="613"/>
      <c r="BG241" s="614"/>
      <c r="BH241" s="682"/>
      <c r="BI241" s="417"/>
      <c r="BJ241" s="417">
        <v>5</v>
      </c>
      <c r="BK241" s="682" t="str">
        <f>Техкарта[[#This Row],[Кв-л]]&amp;" кв ("&amp;Substring(Техкарта[[#This Row],[Виділ]],"_",1)&amp;" вид) "&amp;Substring(Техкарта[[#This Row],[Виділ]],"_",2)&amp;" діл."</f>
        <v>126 кв (1 вид) 0 діл.</v>
      </c>
      <c r="BL241" s="682" t="str">
        <f>Техкарта[[#This Row],[ПолнаяДіл]] &amp;" "&amp;Техкарта[[#This Row],[ЛК]]&amp;" "&amp;Техкарта[[#This Row],[Вид рубки]]</f>
        <v>126 кв (1 вид) 0 діл. 556669 ОСВ</v>
      </c>
      <c r="BM241" s="682"/>
      <c r="BN241" s="636"/>
      <c r="BO241" s="636"/>
      <c r="BP241" s="636"/>
      <c r="BQ241" s="636" t="s">
        <v>3896</v>
      </c>
      <c r="BR241" s="636">
        <v>2</v>
      </c>
      <c r="BS241" s="636"/>
      <c r="BT241" s="636"/>
      <c r="BU241" s="636"/>
      <c r="BV241" s="636"/>
      <c r="BW241" s="636" t="s">
        <v>4145</v>
      </c>
      <c r="BX241" s="636"/>
      <c r="BY241" s="972"/>
    </row>
    <row r="242" spans="1:77">
      <c r="A242" t="s">
        <v>3896</v>
      </c>
      <c r="B242" s="675" t="s">
        <v>115</v>
      </c>
      <c r="C242" s="687" t="s">
        <v>3843</v>
      </c>
      <c r="D242" s="675">
        <v>0</v>
      </c>
      <c r="E242" s="675" t="s">
        <v>2305</v>
      </c>
      <c r="F242" s="675">
        <v>3</v>
      </c>
      <c r="G242" s="675" t="s">
        <v>79</v>
      </c>
      <c r="H242" s="675">
        <v>170</v>
      </c>
      <c r="I242" s="676" t="s">
        <v>3850</v>
      </c>
      <c r="J242" s="677">
        <v>2</v>
      </c>
      <c r="K242" s="683">
        <v>0</v>
      </c>
      <c r="L242" s="677"/>
      <c r="M242" s="677">
        <v>0</v>
      </c>
      <c r="N242" s="677">
        <v>110</v>
      </c>
      <c r="O242" s="677"/>
      <c r="P242" s="677"/>
      <c r="Q242" s="677">
        <v>0</v>
      </c>
      <c r="R242" s="677"/>
      <c r="S242" s="677">
        <v>0</v>
      </c>
      <c r="T242" s="677">
        <v>0</v>
      </c>
      <c r="U242" s="677"/>
      <c r="V242" s="677">
        <v>0</v>
      </c>
      <c r="W242" s="677">
        <v>0</v>
      </c>
      <c r="X242" s="678"/>
      <c r="Y242" s="682"/>
      <c r="Z242" s="680"/>
      <c r="AA242" s="681">
        <v>229.37</v>
      </c>
      <c r="AB242" s="681"/>
      <c r="AC242" s="417">
        <v>23</v>
      </c>
      <c r="AD242" s="417"/>
      <c r="AE242" s="682" t="s">
        <v>4155</v>
      </c>
      <c r="AF242">
        <v>1</v>
      </c>
      <c r="AG242" s="713">
        <v>43101</v>
      </c>
      <c r="AH242" s="417"/>
      <c r="AI242" s="417"/>
      <c r="AJ242" s="714">
        <v>43196</v>
      </c>
      <c r="AK242" s="417"/>
      <c r="AL242" s="637" t="s">
        <v>3483</v>
      </c>
      <c r="AM242" s="417"/>
      <c r="AN242" s="417"/>
      <c r="AO242" s="636"/>
      <c r="AP242">
        <v>556669</v>
      </c>
      <c r="AQ242" s="715">
        <v>43196</v>
      </c>
      <c r="AR242" s="417">
        <v>0.3</v>
      </c>
      <c r="AS242" s="417"/>
      <c r="AT242" s="417"/>
      <c r="AU242" s="417"/>
      <c r="AV242" s="417"/>
      <c r="AW242" s="417"/>
      <c r="AX242" s="417"/>
      <c r="AY242" t="s">
        <v>3362</v>
      </c>
      <c r="AZ242" s="417"/>
      <c r="BA242" s="417"/>
      <c r="BB242" t="s">
        <v>3585</v>
      </c>
      <c r="BC242" s="636"/>
      <c r="BD242" s="417"/>
      <c r="BE242" s="612"/>
      <c r="BF242" s="613"/>
      <c r="BG242" s="614"/>
      <c r="BH242" s="682"/>
      <c r="BI242" s="417"/>
      <c r="BJ242" s="417">
        <v>6</v>
      </c>
      <c r="BK242" s="682" t="str">
        <f>Техкарта[[#This Row],[Кв-л]]&amp;" кв ("&amp;Substring(Техкарта[[#This Row],[Виділ]],"_",1)&amp;" вид) "&amp;Substring(Техкарта[[#This Row],[Виділ]],"_",2)&amp;" діл."</f>
        <v>170 кв (6 вид) 0 діл.</v>
      </c>
      <c r="BL242" s="682" t="str">
        <f>Техкарта[[#This Row],[ПолнаяДіл]] &amp;" "&amp;Техкарта[[#This Row],[ЛК]]&amp;" "&amp;Техкарта[[#This Row],[Вид рубки]]</f>
        <v>170 кв (6 вид) 0 діл. 556669 ОСВ</v>
      </c>
      <c r="BM242" s="682"/>
      <c r="BN242" s="636"/>
      <c r="BO242" s="636"/>
      <c r="BP242" s="636"/>
      <c r="BQ242" s="636" t="s">
        <v>3896</v>
      </c>
      <c r="BR242" s="636">
        <v>2</v>
      </c>
      <c r="BS242" s="636"/>
      <c r="BT242" s="636"/>
      <c r="BU242" s="636"/>
      <c r="BV242" s="636"/>
      <c r="BW242" s="636" t="s">
        <v>4145</v>
      </c>
      <c r="BX242" s="636"/>
      <c r="BY242" s="972"/>
    </row>
    <row r="243" spans="1:77">
      <c r="A243" t="s">
        <v>3896</v>
      </c>
      <c r="B243" s="675" t="s">
        <v>113</v>
      </c>
      <c r="C243" s="687" t="s">
        <v>3843</v>
      </c>
      <c r="D243" s="675">
        <v>0</v>
      </c>
      <c r="E243" s="675" t="s">
        <v>2305</v>
      </c>
      <c r="F243" s="675">
        <v>3</v>
      </c>
      <c r="G243" s="675" t="s">
        <v>79</v>
      </c>
      <c r="H243" s="675">
        <v>74</v>
      </c>
      <c r="I243" s="676" t="s">
        <v>3831</v>
      </c>
      <c r="J243" s="677">
        <v>0.5</v>
      </c>
      <c r="K243" s="683">
        <v>0</v>
      </c>
      <c r="L243" s="677"/>
      <c r="M243" s="677">
        <v>0</v>
      </c>
      <c r="N243" s="677">
        <v>50</v>
      </c>
      <c r="O243" s="677"/>
      <c r="P243" s="677"/>
      <c r="Q243" s="677">
        <v>0</v>
      </c>
      <c r="R243" s="677"/>
      <c r="S243" s="677">
        <v>0</v>
      </c>
      <c r="T243" s="677">
        <v>0</v>
      </c>
      <c r="U243" s="677"/>
      <c r="V243" s="677">
        <v>0</v>
      </c>
      <c r="W243" s="677">
        <v>0</v>
      </c>
      <c r="X243" s="678"/>
      <c r="Y243" s="682"/>
      <c r="Z243" s="680"/>
      <c r="AA243" s="681">
        <v>185.59</v>
      </c>
      <c r="AB243" s="681"/>
      <c r="AC243" s="417">
        <v>23</v>
      </c>
      <c r="AD243" s="417"/>
      <c r="AE243" s="682" t="s">
        <v>4156</v>
      </c>
      <c r="AF243">
        <v>1</v>
      </c>
      <c r="AG243" s="713">
        <v>43101</v>
      </c>
      <c r="AH243" s="417"/>
      <c r="AI243" s="417"/>
      <c r="AJ243" s="714">
        <v>43201</v>
      </c>
      <c r="AK243" s="417"/>
      <c r="AL243" s="637" t="s">
        <v>3474</v>
      </c>
      <c r="AM243" s="417"/>
      <c r="AN243" s="417"/>
      <c r="AO243" s="636"/>
      <c r="AP243">
        <v>556671</v>
      </c>
      <c r="AQ243" s="715">
        <v>43201</v>
      </c>
      <c r="AR243" s="417">
        <v>0.3</v>
      </c>
      <c r="AS243" s="417"/>
      <c r="AT243" s="417"/>
      <c r="AU243" s="417"/>
      <c r="AV243" s="417"/>
      <c r="AW243" s="417"/>
      <c r="AX243" s="417"/>
      <c r="AY243" t="s">
        <v>80</v>
      </c>
      <c r="AZ243" s="417"/>
      <c r="BA243" s="417"/>
      <c r="BB243" t="s">
        <v>3584</v>
      </c>
      <c r="BC243" s="636"/>
      <c r="BD243" s="417"/>
      <c r="BE243" s="612"/>
      <c r="BF243" s="613"/>
      <c r="BG243" s="614"/>
      <c r="BH243" s="682"/>
      <c r="BI243" s="417"/>
      <c r="BJ243" s="417">
        <v>10</v>
      </c>
      <c r="BK243" s="682" t="str">
        <f>Техкарта[[#This Row],[Кв-л]]&amp;" кв ("&amp;Substring(Техкарта[[#This Row],[Виділ]],"_",1)&amp;" вид) "&amp;Substring(Техкарта[[#This Row],[Виділ]],"_",2)&amp;" діл."</f>
        <v>74 кв (4 вид) 0 діл.</v>
      </c>
      <c r="BL243" s="682" t="str">
        <f>Техкарта[[#This Row],[ПолнаяДіл]] &amp;" "&amp;Техкарта[[#This Row],[ЛК]]&amp;" "&amp;Техкарта[[#This Row],[Вид рубки]]</f>
        <v>74 кв (4 вид) 0 діл. 556671 ОСВ</v>
      </c>
      <c r="BM243" s="682"/>
      <c r="BN243" s="636"/>
      <c r="BO243" s="636"/>
      <c r="BP243" s="636"/>
      <c r="BQ243" s="636" t="s">
        <v>3896</v>
      </c>
      <c r="BR243" s="636">
        <v>2</v>
      </c>
      <c r="BS243" s="636"/>
      <c r="BT243" s="636"/>
      <c r="BU243" s="636"/>
      <c r="BV243" s="636"/>
      <c r="BW243" s="636" t="s">
        <v>4145</v>
      </c>
      <c r="BX243" s="636"/>
      <c r="BY243" s="972"/>
    </row>
    <row r="244" spans="1:77">
      <c r="A244" t="s">
        <v>105</v>
      </c>
      <c r="B244" s="675" t="s">
        <v>111</v>
      </c>
      <c r="C244" s="687" t="s">
        <v>3842</v>
      </c>
      <c r="D244" s="675">
        <v>0</v>
      </c>
      <c r="E244" s="675" t="s">
        <v>2305</v>
      </c>
      <c r="F244" s="675">
        <v>3</v>
      </c>
      <c r="G244" s="675" t="s">
        <v>2238</v>
      </c>
      <c r="H244" s="675">
        <v>10</v>
      </c>
      <c r="I244" s="676" t="s">
        <v>3794</v>
      </c>
      <c r="J244" s="677">
        <v>17.5</v>
      </c>
      <c r="K244" s="683">
        <v>1068</v>
      </c>
      <c r="L244" s="677">
        <v>0</v>
      </c>
      <c r="M244" s="677">
        <v>467</v>
      </c>
      <c r="N244" s="677">
        <v>0</v>
      </c>
      <c r="O244" s="677">
        <v>0</v>
      </c>
      <c r="P244" s="677">
        <v>0</v>
      </c>
      <c r="Q244" s="677">
        <v>0</v>
      </c>
      <c r="R244" s="677">
        <v>0</v>
      </c>
      <c r="S244" s="677">
        <v>156</v>
      </c>
      <c r="T244" s="677">
        <v>0</v>
      </c>
      <c r="U244" s="677">
        <v>0</v>
      </c>
      <c r="V244" s="677">
        <v>100</v>
      </c>
      <c r="W244" s="677">
        <v>0</v>
      </c>
      <c r="X244" s="678"/>
      <c r="Y244" s="682"/>
      <c r="Z244" s="680"/>
      <c r="AA244" s="681">
        <v>43.968000000000004</v>
      </c>
      <c r="AB244" s="681">
        <v>29.978000000000002</v>
      </c>
      <c r="AC244" s="417">
        <v>88</v>
      </c>
      <c r="AD244" s="417"/>
      <c r="AE244" s="682" t="s">
        <v>4157</v>
      </c>
      <c r="AF244">
        <v>1</v>
      </c>
      <c r="AG244" s="713">
        <v>43101</v>
      </c>
      <c r="AH244" s="417"/>
      <c r="AI244" s="417"/>
      <c r="AJ244" s="714">
        <v>43214</v>
      </c>
      <c r="AK244" s="417"/>
      <c r="AL244" s="637" t="s">
        <v>3462</v>
      </c>
      <c r="AM244" s="417"/>
      <c r="AN244" s="417"/>
      <c r="AO244" s="636"/>
      <c r="AP244">
        <v>556672</v>
      </c>
      <c r="AQ244" s="715">
        <v>43214</v>
      </c>
      <c r="AR244" s="417"/>
      <c r="AS244" s="417"/>
      <c r="AT244" s="417"/>
      <c r="AU244" s="417"/>
      <c r="AV244" s="417"/>
      <c r="AW244" s="417"/>
      <c r="AX244" s="417"/>
      <c r="AY244" t="s">
        <v>3424</v>
      </c>
      <c r="AZ244" s="417"/>
      <c r="BA244" s="417"/>
      <c r="BB244" t="s">
        <v>3583</v>
      </c>
      <c r="BC244" s="636"/>
      <c r="BD244" s="417"/>
      <c r="BE244" s="612">
        <v>0</v>
      </c>
      <c r="BF244" s="613">
        <v>0</v>
      </c>
      <c r="BG244" s="614" t="s">
        <v>78</v>
      </c>
      <c r="BH244" s="682"/>
      <c r="BI244" s="417"/>
      <c r="BJ244" s="417">
        <v>12</v>
      </c>
      <c r="BK244" s="682" t="str">
        <f>Техкарта[[#This Row],[Кв-л]]&amp;" кв ("&amp;Substring(Техкарта[[#This Row],[Виділ]],"_",1)&amp;" вид) "&amp;Substring(Техкарта[[#This Row],[Виділ]],"_",2)&amp;" діл."</f>
        <v>10 кв (11 вид) 0 діл.</v>
      </c>
      <c r="BL244" s="682" t="str">
        <f>Техкарта[[#This Row],[ПолнаяДіл]] &amp;" "&amp;Техкарта[[#This Row],[ЛК]]&amp;" "&amp;Техкарта[[#This Row],[Вид рубки]]</f>
        <v>10 кв (11 вид) 0 діл. 556672 РЛД</v>
      </c>
      <c r="BM244" s="682"/>
      <c r="BN244" s="636" t="s">
        <v>3784</v>
      </c>
      <c r="BO244" s="636" t="s">
        <v>3784</v>
      </c>
      <c r="BP244" s="636" t="s">
        <v>3784</v>
      </c>
      <c r="BQ244" s="636" t="s">
        <v>105</v>
      </c>
      <c r="BR244" s="636"/>
      <c r="BS244" s="636"/>
      <c r="BT244" s="636"/>
      <c r="BU244" s="636"/>
      <c r="BV244" s="636"/>
      <c r="BW244" s="636" t="s">
        <v>4145</v>
      </c>
      <c r="BX244" s="636"/>
      <c r="BY244" s="972"/>
    </row>
    <row r="245" spans="1:77">
      <c r="A245" t="s">
        <v>105</v>
      </c>
      <c r="B245" s="675" t="s">
        <v>116</v>
      </c>
      <c r="C245" s="687" t="s">
        <v>134</v>
      </c>
      <c r="D245" s="675">
        <v>0</v>
      </c>
      <c r="E245" s="675" t="s">
        <v>2305</v>
      </c>
      <c r="F245" s="675">
        <v>3</v>
      </c>
      <c r="G245" s="675" t="s">
        <v>2238</v>
      </c>
      <c r="H245" s="675">
        <v>127</v>
      </c>
      <c r="I245" s="676" t="s">
        <v>3831</v>
      </c>
      <c r="J245" s="677">
        <v>4.0999999999999996</v>
      </c>
      <c r="K245" s="683">
        <v>96</v>
      </c>
      <c r="L245" s="677">
        <v>0</v>
      </c>
      <c r="M245" s="677">
        <v>0</v>
      </c>
      <c r="N245" s="677">
        <v>0</v>
      </c>
      <c r="O245" s="677">
        <v>0</v>
      </c>
      <c r="P245" s="677">
        <v>0</v>
      </c>
      <c r="Q245" s="677">
        <v>0</v>
      </c>
      <c r="R245" s="677">
        <v>0</v>
      </c>
      <c r="S245" s="677">
        <v>0</v>
      </c>
      <c r="T245" s="677">
        <v>0</v>
      </c>
      <c r="U245" s="677">
        <v>0</v>
      </c>
      <c r="V245" s="677">
        <v>0</v>
      </c>
      <c r="W245" s="677">
        <v>5</v>
      </c>
      <c r="X245" s="678"/>
      <c r="Y245" s="682"/>
      <c r="Z245" s="680"/>
      <c r="AA245" s="681">
        <v>304.02</v>
      </c>
      <c r="AB245" s="681">
        <v>29.978000000000002</v>
      </c>
      <c r="AC245" s="417">
        <v>30</v>
      </c>
      <c r="AD245" s="417"/>
      <c r="AE245" s="682" t="s">
        <v>4158</v>
      </c>
      <c r="AF245">
        <v>1</v>
      </c>
      <c r="AG245" s="713">
        <v>43101</v>
      </c>
      <c r="AH245" s="417"/>
      <c r="AI245" s="417"/>
      <c r="AJ245" s="714">
        <v>43102</v>
      </c>
      <c r="AK245" s="417"/>
      <c r="AL245" s="637" t="s">
        <v>3455</v>
      </c>
      <c r="AM245" s="417"/>
      <c r="AN245" s="417"/>
      <c r="AO245" s="636"/>
      <c r="AP245">
        <v>556624</v>
      </c>
      <c r="AQ245" s="715">
        <v>43102</v>
      </c>
      <c r="AR245" s="417"/>
      <c r="AS245" s="417"/>
      <c r="AT245" s="417"/>
      <c r="AU245" s="417"/>
      <c r="AV245" s="417"/>
      <c r="AW245" s="417"/>
      <c r="AX245" s="417"/>
      <c r="AY245" t="s">
        <v>80</v>
      </c>
      <c r="AZ245" s="417"/>
      <c r="BA245" s="417"/>
      <c r="BB245" t="s">
        <v>3584</v>
      </c>
      <c r="BC245" s="636"/>
      <c r="BD245" s="417"/>
      <c r="BE245" s="612">
        <v>0</v>
      </c>
      <c r="BF245" s="613">
        <v>0</v>
      </c>
      <c r="BG245" s="614" t="s">
        <v>78</v>
      </c>
      <c r="BH245" s="682"/>
      <c r="BI245" s="417"/>
      <c r="BJ245" s="417">
        <v>9</v>
      </c>
      <c r="BK245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245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245" s="682"/>
      <c r="BN245" s="636" t="s">
        <v>3784</v>
      </c>
      <c r="BO245" s="636" t="s">
        <v>3784</v>
      </c>
      <c r="BP245" s="636" t="s">
        <v>3784</v>
      </c>
      <c r="BQ245" s="636" t="s">
        <v>105</v>
      </c>
      <c r="BR245" s="636"/>
      <c r="BS245" s="636"/>
      <c r="BT245" s="636"/>
      <c r="BU245" s="636"/>
      <c r="BV245" s="636"/>
      <c r="BW245" s="636" t="s">
        <v>4145</v>
      </c>
      <c r="BX245" s="636"/>
      <c r="BY245" s="972"/>
    </row>
    <row r="246" spans="1:77">
      <c r="A246" t="s">
        <v>105</v>
      </c>
      <c r="B246" s="675" t="s">
        <v>116</v>
      </c>
      <c r="C246" s="687" t="s">
        <v>124</v>
      </c>
      <c r="D246" s="675">
        <v>0</v>
      </c>
      <c r="E246" s="675" t="s">
        <v>2305</v>
      </c>
      <c r="F246" s="675">
        <v>3</v>
      </c>
      <c r="G246" s="675" t="s">
        <v>2238</v>
      </c>
      <c r="H246" s="675">
        <v>69</v>
      </c>
      <c r="I246" s="676" t="s">
        <v>3831</v>
      </c>
      <c r="J246" s="677">
        <v>1</v>
      </c>
      <c r="K246" s="683">
        <v>309</v>
      </c>
      <c r="L246" s="677">
        <v>0</v>
      </c>
      <c r="M246" s="677">
        <v>0</v>
      </c>
      <c r="N246" s="677">
        <v>0</v>
      </c>
      <c r="O246" s="677">
        <v>0</v>
      </c>
      <c r="P246" s="677">
        <v>0</v>
      </c>
      <c r="Q246" s="677">
        <v>0</v>
      </c>
      <c r="R246" s="677">
        <v>0</v>
      </c>
      <c r="S246" s="677">
        <v>0</v>
      </c>
      <c r="T246" s="677">
        <v>0</v>
      </c>
      <c r="U246" s="677">
        <v>0</v>
      </c>
      <c r="V246" s="677">
        <v>17</v>
      </c>
      <c r="W246" s="677">
        <v>3</v>
      </c>
      <c r="X246" s="678"/>
      <c r="Y246" s="682"/>
      <c r="Z246" s="680"/>
      <c r="AA246" s="681">
        <v>193.142</v>
      </c>
      <c r="AB246" s="681">
        <v>29.978000000000002</v>
      </c>
      <c r="AC246" s="417">
        <v>0</v>
      </c>
      <c r="AD246" s="417"/>
      <c r="AE246" s="682" t="s">
        <v>4159</v>
      </c>
      <c r="AF246">
        <v>1</v>
      </c>
      <c r="AG246" s="713">
        <v>43101</v>
      </c>
      <c r="AH246" s="417"/>
      <c r="AI246" s="417"/>
      <c r="AJ246" s="714">
        <v>43102</v>
      </c>
      <c r="AK246" s="417"/>
      <c r="AL246" s="637" t="s">
        <v>3470</v>
      </c>
      <c r="AM246" s="417"/>
      <c r="AN246" s="417"/>
      <c r="AO246" s="636"/>
      <c r="AP246">
        <v>556625</v>
      </c>
      <c r="AQ246" s="715">
        <v>43102</v>
      </c>
      <c r="AR246" s="417"/>
      <c r="AS246" s="417"/>
      <c r="AT246" s="417"/>
      <c r="AU246" s="417"/>
      <c r="AV246" s="417"/>
      <c r="AW246" s="417"/>
      <c r="AX246" s="417"/>
      <c r="AY246" t="s">
        <v>80</v>
      </c>
      <c r="AZ246" s="417"/>
      <c r="BA246" s="417"/>
      <c r="BB246" t="s">
        <v>3584</v>
      </c>
      <c r="BC246" s="636"/>
      <c r="BD246" s="417"/>
      <c r="BE246" s="612">
        <v>0</v>
      </c>
      <c r="BF246" s="613">
        <v>0</v>
      </c>
      <c r="BG246" s="614" t="s">
        <v>78</v>
      </c>
      <c r="BH246" s="682"/>
      <c r="BI246" s="417"/>
      <c r="BJ246" s="417">
        <v>11</v>
      </c>
      <c r="BK246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246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246" s="682"/>
      <c r="BN246" s="636" t="s">
        <v>3784</v>
      </c>
      <c r="BO246" s="636" t="s">
        <v>3784</v>
      </c>
      <c r="BP246" s="636" t="s">
        <v>3784</v>
      </c>
      <c r="BQ246" s="636" t="s">
        <v>105</v>
      </c>
      <c r="BR246" s="636"/>
      <c r="BS246" s="636"/>
      <c r="BT246" s="636"/>
      <c r="BU246" s="636"/>
      <c r="BV246" s="636"/>
      <c r="BW246" s="636" t="s">
        <v>4145</v>
      </c>
      <c r="BX246" s="636"/>
      <c r="BY246" s="972"/>
    </row>
    <row r="247" spans="1:77">
      <c r="A247" t="s">
        <v>105</v>
      </c>
      <c r="B247" s="675" t="s">
        <v>116</v>
      </c>
      <c r="C247" s="687" t="s">
        <v>124</v>
      </c>
      <c r="D247" s="675">
        <v>0</v>
      </c>
      <c r="E247" s="675" t="s">
        <v>2305</v>
      </c>
      <c r="F247" s="675">
        <v>3</v>
      </c>
      <c r="G247" s="675" t="s">
        <v>2238</v>
      </c>
      <c r="H247" s="675">
        <v>98</v>
      </c>
      <c r="I247" s="676" t="s">
        <v>3830</v>
      </c>
      <c r="J247" s="677">
        <v>2.2000000000000002</v>
      </c>
      <c r="K247" s="683">
        <v>497</v>
      </c>
      <c r="L247" s="677">
        <v>0</v>
      </c>
      <c r="M247" s="677">
        <v>0</v>
      </c>
      <c r="N247" s="677">
        <v>0</v>
      </c>
      <c r="O247" s="677">
        <v>0</v>
      </c>
      <c r="P247" s="677">
        <v>0</v>
      </c>
      <c r="Q247" s="677">
        <v>0</v>
      </c>
      <c r="R247" s="677">
        <v>0</v>
      </c>
      <c r="S247" s="677">
        <v>0</v>
      </c>
      <c r="T247" s="677">
        <v>0</v>
      </c>
      <c r="U247" s="677">
        <v>0</v>
      </c>
      <c r="V247" s="677">
        <v>14</v>
      </c>
      <c r="W247" s="677">
        <v>18</v>
      </c>
      <c r="X247" s="678"/>
      <c r="Y247" s="682"/>
      <c r="Z247" s="680"/>
      <c r="AA247" s="681">
        <v>207.07400000000001</v>
      </c>
      <c r="AB247" s="681">
        <v>29.978000000000002</v>
      </c>
      <c r="AC247" s="417">
        <v>0</v>
      </c>
      <c r="AD247" s="417"/>
      <c r="AE247" s="682" t="s">
        <v>4160</v>
      </c>
      <c r="AF247">
        <v>1</v>
      </c>
      <c r="AG247" s="713">
        <v>43101</v>
      </c>
      <c r="AH247" s="417"/>
      <c r="AI247" s="417"/>
      <c r="AJ247" s="714">
        <v>43102</v>
      </c>
      <c r="AK247" s="417"/>
      <c r="AL247" s="637" t="s">
        <v>3475</v>
      </c>
      <c r="AM247" s="417"/>
      <c r="AN247" s="417"/>
      <c r="AO247" s="636"/>
      <c r="AP247">
        <v>556625</v>
      </c>
      <c r="AQ247" s="715">
        <v>43102</v>
      </c>
      <c r="AR247" s="417"/>
      <c r="AS247" s="417"/>
      <c r="AT247" s="417"/>
      <c r="AU247" s="417"/>
      <c r="AV247" s="417"/>
      <c r="AW247" s="417"/>
      <c r="AX247" s="417"/>
      <c r="AY247" t="s">
        <v>80</v>
      </c>
      <c r="AZ247" s="417"/>
      <c r="BA247" s="417"/>
      <c r="BB247" t="s">
        <v>3584</v>
      </c>
      <c r="BC247" s="636"/>
      <c r="BD247" s="417"/>
      <c r="BE247" s="612">
        <v>0</v>
      </c>
      <c r="BF247" s="613">
        <v>0</v>
      </c>
      <c r="BG247" s="614" t="s">
        <v>78</v>
      </c>
      <c r="BH247" s="682"/>
      <c r="BI247" s="417"/>
      <c r="BJ247" s="417">
        <v>12</v>
      </c>
      <c r="BK247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247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247" s="682"/>
      <c r="BN247" s="636" t="s">
        <v>3784</v>
      </c>
      <c r="BO247" s="636" t="s">
        <v>3784</v>
      </c>
      <c r="BP247" s="636" t="s">
        <v>3784</v>
      </c>
      <c r="BQ247" s="636" t="s">
        <v>105</v>
      </c>
      <c r="BR247" s="636"/>
      <c r="BS247" s="636"/>
      <c r="BT247" s="636"/>
      <c r="BU247" s="636"/>
      <c r="BV247" s="636"/>
      <c r="BW247" s="636" t="s">
        <v>4145</v>
      </c>
      <c r="BX247" s="636"/>
      <c r="BY247" s="972"/>
    </row>
    <row r="248" spans="1:77">
      <c r="A248" t="s">
        <v>105</v>
      </c>
      <c r="B248" s="675" t="s">
        <v>116</v>
      </c>
      <c r="C248" s="687" t="s">
        <v>124</v>
      </c>
      <c r="D248" s="675">
        <v>0</v>
      </c>
      <c r="E248" s="675" t="s">
        <v>2305</v>
      </c>
      <c r="F248" s="675">
        <v>3</v>
      </c>
      <c r="G248" s="675" t="s">
        <v>2238</v>
      </c>
      <c r="H248" s="675">
        <v>120</v>
      </c>
      <c r="I248" s="676" t="s">
        <v>3851</v>
      </c>
      <c r="J248" s="677">
        <v>3.6</v>
      </c>
      <c r="K248" s="683">
        <v>1196</v>
      </c>
      <c r="L248" s="677">
        <v>0</v>
      </c>
      <c r="M248" s="677">
        <v>0</v>
      </c>
      <c r="N248" s="677">
        <v>0</v>
      </c>
      <c r="O248" s="677">
        <v>0</v>
      </c>
      <c r="P248" s="677">
        <v>0</v>
      </c>
      <c r="Q248" s="677">
        <v>0</v>
      </c>
      <c r="R248" s="677">
        <v>0</v>
      </c>
      <c r="S248" s="677">
        <v>0</v>
      </c>
      <c r="T248" s="677">
        <v>0</v>
      </c>
      <c r="U248" s="677">
        <v>25</v>
      </c>
      <c r="V248" s="677">
        <v>7</v>
      </c>
      <c r="W248" s="677">
        <v>38</v>
      </c>
      <c r="X248" s="678"/>
      <c r="Y248" s="682"/>
      <c r="Z248" s="680"/>
      <c r="AA248" s="681">
        <v>227.57900000000001</v>
      </c>
      <c r="AB248" s="681">
        <v>29.978000000000002</v>
      </c>
      <c r="AC248" s="417">
        <v>0</v>
      </c>
      <c r="AD248" s="417"/>
      <c r="AE248" s="682" t="s">
        <v>4161</v>
      </c>
      <c r="AF248">
        <v>1</v>
      </c>
      <c r="AG248" s="713">
        <v>43101</v>
      </c>
      <c r="AH248" s="417"/>
      <c r="AI248" s="417"/>
      <c r="AJ248" s="714">
        <v>43102</v>
      </c>
      <c r="AK248" s="417"/>
      <c r="AL248" s="637" t="s">
        <v>3455</v>
      </c>
      <c r="AM248" s="417"/>
      <c r="AN248" s="417"/>
      <c r="AO248" s="636"/>
      <c r="AP248">
        <v>556625</v>
      </c>
      <c r="AQ248" s="715">
        <v>43102</v>
      </c>
      <c r="AR248" s="417"/>
      <c r="AS248" s="417"/>
      <c r="AT248" s="417"/>
      <c r="AU248" s="417"/>
      <c r="AV248" s="417"/>
      <c r="AW248" s="417"/>
      <c r="AX248" s="417"/>
      <c r="AY248" t="s">
        <v>80</v>
      </c>
      <c r="AZ248" s="417"/>
      <c r="BA248" s="417"/>
      <c r="BB248" t="s">
        <v>3584</v>
      </c>
      <c r="BC248" s="636"/>
      <c r="BD248" s="417"/>
      <c r="BE248" s="612">
        <v>0</v>
      </c>
      <c r="BF248" s="613">
        <v>0</v>
      </c>
      <c r="BG248" s="614" t="s">
        <v>78</v>
      </c>
      <c r="BH248" s="682"/>
      <c r="BI248" s="417"/>
      <c r="BJ248" s="417">
        <v>13</v>
      </c>
      <c r="BK248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248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248" s="682"/>
      <c r="BN248" s="636" t="s">
        <v>3784</v>
      </c>
      <c r="BO248" s="636" t="s">
        <v>3784</v>
      </c>
      <c r="BP248" s="636" t="s">
        <v>3784</v>
      </c>
      <c r="BQ248" s="636" t="s">
        <v>105</v>
      </c>
      <c r="BR248" s="636"/>
      <c r="BS248" s="636"/>
      <c r="BT248" s="636"/>
      <c r="BU248" s="636"/>
      <c r="BV248" s="636"/>
      <c r="BW248" s="636" t="s">
        <v>4145</v>
      </c>
      <c r="BX248" s="636"/>
      <c r="BY248" s="972"/>
    </row>
    <row r="249" spans="1:77">
      <c r="A249" t="s">
        <v>105</v>
      </c>
      <c r="B249" s="675" t="s">
        <v>116</v>
      </c>
      <c r="C249" s="687" t="s">
        <v>124</v>
      </c>
      <c r="D249" s="675">
        <v>0</v>
      </c>
      <c r="E249" s="675" t="s">
        <v>2305</v>
      </c>
      <c r="F249" s="675">
        <v>3</v>
      </c>
      <c r="G249" s="675" t="s">
        <v>2238</v>
      </c>
      <c r="H249" s="675">
        <v>120</v>
      </c>
      <c r="I249" s="676" t="s">
        <v>3792</v>
      </c>
      <c r="J249" s="677">
        <v>0.8</v>
      </c>
      <c r="K249" s="683">
        <v>257</v>
      </c>
      <c r="L249" s="677">
        <v>0</v>
      </c>
      <c r="M249" s="677">
        <v>0</v>
      </c>
      <c r="N249" s="677">
        <v>0</v>
      </c>
      <c r="O249" s="677">
        <v>0</v>
      </c>
      <c r="P249" s="677">
        <v>0</v>
      </c>
      <c r="Q249" s="677">
        <v>0</v>
      </c>
      <c r="R249" s="677">
        <v>0</v>
      </c>
      <c r="S249" s="677">
        <v>0</v>
      </c>
      <c r="T249" s="677">
        <v>0</v>
      </c>
      <c r="U249" s="677">
        <v>2</v>
      </c>
      <c r="V249" s="677">
        <v>1</v>
      </c>
      <c r="W249" s="677">
        <v>8</v>
      </c>
      <c r="X249" s="678"/>
      <c r="Y249" s="682"/>
      <c r="Z249" s="680"/>
      <c r="AA249" s="681">
        <v>339.31900000000002</v>
      </c>
      <c r="AB249" s="681">
        <v>29.978000000000002</v>
      </c>
      <c r="AC249" s="417">
        <v>0</v>
      </c>
      <c r="AD249" s="417"/>
      <c r="AE249" s="682" t="s">
        <v>4162</v>
      </c>
      <c r="AF249">
        <v>1</v>
      </c>
      <c r="AG249" s="713">
        <v>43101</v>
      </c>
      <c r="AH249" s="417"/>
      <c r="AI249" s="417"/>
      <c r="AJ249" s="714">
        <v>43102</v>
      </c>
      <c r="AK249" s="417"/>
      <c r="AL249" s="637" t="s">
        <v>3455</v>
      </c>
      <c r="AM249" s="417"/>
      <c r="AN249" s="417"/>
      <c r="AO249" s="636"/>
      <c r="AP249">
        <v>556625</v>
      </c>
      <c r="AQ249" s="715">
        <v>43102</v>
      </c>
      <c r="AR249" s="417"/>
      <c r="AS249" s="417"/>
      <c r="AT249" s="417"/>
      <c r="AU249" s="417"/>
      <c r="AV249" s="417"/>
      <c r="AW249" s="417"/>
      <c r="AX249" s="417"/>
      <c r="AY249" t="s">
        <v>80</v>
      </c>
      <c r="AZ249" s="417"/>
      <c r="BA249" s="417"/>
      <c r="BB249" t="s">
        <v>3584</v>
      </c>
      <c r="BC249" s="636"/>
      <c r="BD249" s="417"/>
      <c r="BE249" s="612">
        <v>0</v>
      </c>
      <c r="BF249" s="613">
        <v>0</v>
      </c>
      <c r="BG249" s="614" t="s">
        <v>78</v>
      </c>
      <c r="BH249" s="682"/>
      <c r="BI249" s="417"/>
      <c r="BJ249" s="417">
        <v>14</v>
      </c>
      <c r="BK249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249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249" s="682"/>
      <c r="BN249" s="636" t="s">
        <v>3784</v>
      </c>
      <c r="BO249" s="636" t="s">
        <v>3784</v>
      </c>
      <c r="BP249" s="636" t="s">
        <v>3784</v>
      </c>
      <c r="BQ249" s="636" t="s">
        <v>105</v>
      </c>
      <c r="BR249" s="636"/>
      <c r="BS249" s="636"/>
      <c r="BT249" s="636"/>
      <c r="BU249" s="636"/>
      <c r="BV249" s="636"/>
      <c r="BW249" s="636" t="s">
        <v>4145</v>
      </c>
      <c r="BX249" s="636"/>
      <c r="BY249" s="972"/>
    </row>
    <row r="250" spans="1:77">
      <c r="A250" t="s">
        <v>105</v>
      </c>
      <c r="B250" s="675" t="s">
        <v>116</v>
      </c>
      <c r="C250" s="687" t="s">
        <v>140</v>
      </c>
      <c r="D250" s="675">
        <v>0</v>
      </c>
      <c r="E250" s="675" t="s">
        <v>2305</v>
      </c>
      <c r="F250" s="675">
        <v>3</v>
      </c>
      <c r="G250" s="675" t="s">
        <v>2238</v>
      </c>
      <c r="H250" s="675">
        <v>4</v>
      </c>
      <c r="I250" s="676" t="s">
        <v>4163</v>
      </c>
      <c r="J250" s="677">
        <v>1.8</v>
      </c>
      <c r="K250" s="683">
        <v>389</v>
      </c>
      <c r="L250" s="677">
        <v>0</v>
      </c>
      <c r="M250" s="677">
        <v>0</v>
      </c>
      <c r="N250" s="677">
        <v>0</v>
      </c>
      <c r="O250" s="677">
        <v>0</v>
      </c>
      <c r="P250" s="677">
        <v>0</v>
      </c>
      <c r="Q250" s="677">
        <v>0</v>
      </c>
      <c r="R250" s="677">
        <v>0</v>
      </c>
      <c r="S250" s="677">
        <v>0</v>
      </c>
      <c r="T250" s="677">
        <v>0</v>
      </c>
      <c r="U250" s="677">
        <v>2</v>
      </c>
      <c r="V250" s="677">
        <v>0</v>
      </c>
      <c r="W250" s="677">
        <v>31</v>
      </c>
      <c r="X250" s="678"/>
      <c r="Y250" s="682"/>
      <c r="Z250" s="680"/>
      <c r="AA250" s="681">
        <v>181.25399999999999</v>
      </c>
      <c r="AB250" s="681">
        <v>29.978000000000002</v>
      </c>
      <c r="AC250" s="417">
        <v>0</v>
      </c>
      <c r="AD250" s="417"/>
      <c r="AE250" s="682" t="s">
        <v>4164</v>
      </c>
      <c r="AF250">
        <v>1</v>
      </c>
      <c r="AG250" s="713">
        <v>43101</v>
      </c>
      <c r="AH250" s="417"/>
      <c r="AI250" s="417"/>
      <c r="AJ250" s="714">
        <v>43102</v>
      </c>
      <c r="AK250" s="417"/>
      <c r="AL250" s="637" t="s">
        <v>3455</v>
      </c>
      <c r="AM250" s="417"/>
      <c r="AN250" s="417"/>
      <c r="AO250" s="636"/>
      <c r="AP250">
        <v>556626</v>
      </c>
      <c r="AQ250" s="715">
        <v>43102</v>
      </c>
      <c r="AR250" s="417"/>
      <c r="AS250" s="417"/>
      <c r="AT250" s="417"/>
      <c r="AU250" s="417"/>
      <c r="AV250" s="417"/>
      <c r="AW250" s="417"/>
      <c r="AX250" s="417"/>
      <c r="AY250" t="s">
        <v>80</v>
      </c>
      <c r="AZ250" s="417"/>
      <c r="BA250" s="417"/>
      <c r="BB250" t="s">
        <v>3584</v>
      </c>
      <c r="BC250" s="636"/>
      <c r="BD250" s="417"/>
      <c r="BE250" s="612">
        <v>0</v>
      </c>
      <c r="BF250" s="613">
        <v>0</v>
      </c>
      <c r="BG250" s="614" t="s">
        <v>78</v>
      </c>
      <c r="BH250" s="682"/>
      <c r="BI250" s="417"/>
      <c r="BJ250" s="417">
        <v>15</v>
      </c>
      <c r="BK250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250" s="682" t="str">
        <f>Техкарта[[#This Row],[ПолнаяДіл]] &amp;" "&amp;Техкарта[[#This Row],[ЛК]]&amp;" "&amp;Техкарта[[#This Row],[Вид рубки]]</f>
        <v>4 кв (3 вид) 2 діл. 556626 ПРХ</v>
      </c>
      <c r="BM250" s="682"/>
      <c r="BN250" s="636" t="s">
        <v>3784</v>
      </c>
      <c r="BO250" s="636" t="s">
        <v>3784</v>
      </c>
      <c r="BP250" s="636" t="s">
        <v>3784</v>
      </c>
      <c r="BQ250" s="636" t="s">
        <v>105</v>
      </c>
      <c r="BR250" s="636"/>
      <c r="BS250" s="636"/>
      <c r="BT250" s="636"/>
      <c r="BU250" s="636"/>
      <c r="BV250" s="636"/>
      <c r="BW250" s="636" t="s">
        <v>4145</v>
      </c>
      <c r="BX250" s="636"/>
      <c r="BY250" s="972"/>
    </row>
    <row r="251" spans="1:77">
      <c r="A251" t="s">
        <v>105</v>
      </c>
      <c r="B251" s="675" t="s">
        <v>116</v>
      </c>
      <c r="C251" s="687" t="s">
        <v>140</v>
      </c>
      <c r="D251" s="675">
        <v>0</v>
      </c>
      <c r="E251" s="675" t="s">
        <v>2305</v>
      </c>
      <c r="F251" s="675">
        <v>3</v>
      </c>
      <c r="G251" s="675" t="s">
        <v>2238</v>
      </c>
      <c r="H251" s="675">
        <v>53</v>
      </c>
      <c r="I251" s="676" t="s">
        <v>3792</v>
      </c>
      <c r="J251" s="677">
        <v>4.9000000000000004</v>
      </c>
      <c r="K251" s="683">
        <v>461</v>
      </c>
      <c r="L251" s="677">
        <v>0</v>
      </c>
      <c r="M251" s="677">
        <v>11</v>
      </c>
      <c r="N251" s="677">
        <v>0</v>
      </c>
      <c r="O251" s="677">
        <v>0</v>
      </c>
      <c r="P251" s="677">
        <v>0</v>
      </c>
      <c r="Q251" s="677">
        <v>0</v>
      </c>
      <c r="R251" s="677">
        <v>0</v>
      </c>
      <c r="S251" s="677">
        <v>0</v>
      </c>
      <c r="T251" s="677">
        <v>0</v>
      </c>
      <c r="U251" s="677">
        <v>1</v>
      </c>
      <c r="V251" s="677">
        <v>56</v>
      </c>
      <c r="W251" s="677">
        <v>6</v>
      </c>
      <c r="X251" s="678"/>
      <c r="Y251" s="682"/>
      <c r="Z251" s="680"/>
      <c r="AA251" s="681">
        <v>104.047</v>
      </c>
      <c r="AB251" s="681">
        <v>29.978000000000002</v>
      </c>
      <c r="AC251" s="417">
        <v>12</v>
      </c>
      <c r="AD251" s="417"/>
      <c r="AE251" s="682" t="s">
        <v>4165</v>
      </c>
      <c r="AF251">
        <v>1</v>
      </c>
      <c r="AG251" s="713">
        <v>43101</v>
      </c>
      <c r="AH251" s="417"/>
      <c r="AI251" s="417"/>
      <c r="AJ251" s="714">
        <v>43102</v>
      </c>
      <c r="AK251" s="417"/>
      <c r="AL251" s="637" t="s">
        <v>3470</v>
      </c>
      <c r="AM251" s="417"/>
      <c r="AN251" s="417"/>
      <c r="AO251" s="636"/>
      <c r="AP251">
        <v>556626</v>
      </c>
      <c r="AQ251" s="715">
        <v>43102</v>
      </c>
      <c r="AR251" s="417"/>
      <c r="AS251" s="417"/>
      <c r="AT251" s="417"/>
      <c r="AU251" s="417"/>
      <c r="AV251" s="417"/>
      <c r="AW251" s="417"/>
      <c r="AX251" s="417"/>
      <c r="AY251" t="s">
        <v>80</v>
      </c>
      <c r="AZ251" s="417"/>
      <c r="BA251" s="417"/>
      <c r="BB251" t="s">
        <v>3584</v>
      </c>
      <c r="BC251" s="636"/>
      <c r="BD251" s="417"/>
      <c r="BE251" s="612">
        <v>0</v>
      </c>
      <c r="BF251" s="613">
        <v>0</v>
      </c>
      <c r="BG251" s="614" t="s">
        <v>78</v>
      </c>
      <c r="BH251" s="682"/>
      <c r="BI251" s="417"/>
      <c r="BJ251" s="417">
        <v>18</v>
      </c>
      <c r="BK251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251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251" s="682"/>
      <c r="BN251" s="636" t="s">
        <v>3784</v>
      </c>
      <c r="BO251" s="636" t="s">
        <v>3784</v>
      </c>
      <c r="BP251" s="636" t="s">
        <v>3784</v>
      </c>
      <c r="BQ251" s="636" t="s">
        <v>105</v>
      </c>
      <c r="BR251" s="636"/>
      <c r="BS251" s="636"/>
      <c r="BT251" s="636"/>
      <c r="BU251" s="636"/>
      <c r="BV251" s="636"/>
      <c r="BW251" s="636" t="s">
        <v>4145</v>
      </c>
      <c r="BX251" s="636"/>
      <c r="BY251" s="972"/>
    </row>
    <row r="252" spans="1:77">
      <c r="A252" t="s">
        <v>105</v>
      </c>
      <c r="B252" s="675" t="s">
        <v>116</v>
      </c>
      <c r="C252" s="687" t="s">
        <v>140</v>
      </c>
      <c r="D252" s="675">
        <v>0</v>
      </c>
      <c r="E252" s="675" t="s">
        <v>2305</v>
      </c>
      <c r="F252" s="675">
        <v>3</v>
      </c>
      <c r="G252" s="675" t="s">
        <v>2238</v>
      </c>
      <c r="H252" s="675">
        <v>63</v>
      </c>
      <c r="I252" s="676" t="s">
        <v>3831</v>
      </c>
      <c r="J252" s="677">
        <v>3.1</v>
      </c>
      <c r="K252" s="683">
        <v>435</v>
      </c>
      <c r="L252" s="677">
        <v>0</v>
      </c>
      <c r="M252" s="677">
        <v>2</v>
      </c>
      <c r="N252" s="677">
        <v>0</v>
      </c>
      <c r="O252" s="677">
        <v>0</v>
      </c>
      <c r="P252" s="677">
        <v>0</v>
      </c>
      <c r="Q252" s="677">
        <v>0</v>
      </c>
      <c r="R252" s="677">
        <v>0</v>
      </c>
      <c r="S252" s="677">
        <v>0</v>
      </c>
      <c r="T252" s="677">
        <v>0</v>
      </c>
      <c r="U252" s="677">
        <v>3</v>
      </c>
      <c r="V252" s="677">
        <v>6</v>
      </c>
      <c r="W252" s="677">
        <v>48</v>
      </c>
      <c r="X252" s="678"/>
      <c r="Y252" s="682"/>
      <c r="Z252" s="680"/>
      <c r="AA252" s="681">
        <v>127.443</v>
      </c>
      <c r="AB252" s="681">
        <v>29.978000000000002</v>
      </c>
      <c r="AC252" s="417">
        <v>6</v>
      </c>
      <c r="AD252" s="417"/>
      <c r="AE252" s="682" t="s">
        <v>4166</v>
      </c>
      <c r="AF252">
        <v>1</v>
      </c>
      <c r="AG252" s="713">
        <v>43101</v>
      </c>
      <c r="AH252" s="417"/>
      <c r="AI252" s="417"/>
      <c r="AJ252" s="714">
        <v>43102</v>
      </c>
      <c r="AK252" s="417"/>
      <c r="AL252" s="637" t="s">
        <v>3475</v>
      </c>
      <c r="AM252" s="417"/>
      <c r="AN252" s="417"/>
      <c r="AO252" s="636"/>
      <c r="AP252">
        <v>556626</v>
      </c>
      <c r="AQ252" s="715">
        <v>43102</v>
      </c>
      <c r="AR252" s="417"/>
      <c r="AS252" s="417"/>
      <c r="AT252" s="417"/>
      <c r="AU252" s="417"/>
      <c r="AV252" s="417"/>
      <c r="AW252" s="417"/>
      <c r="AX252" s="417"/>
      <c r="AY252" t="s">
        <v>80</v>
      </c>
      <c r="AZ252" s="417"/>
      <c r="BA252" s="417"/>
      <c r="BB252" t="s">
        <v>3584</v>
      </c>
      <c r="BC252" s="636"/>
      <c r="BD252" s="417"/>
      <c r="BE252" s="612">
        <v>0</v>
      </c>
      <c r="BF252" s="613">
        <v>0</v>
      </c>
      <c r="BG252" s="614" t="s">
        <v>78</v>
      </c>
      <c r="BH252" s="682"/>
      <c r="BI252" s="417"/>
      <c r="BJ252" s="417">
        <v>19</v>
      </c>
      <c r="BK252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252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252" s="682"/>
      <c r="BN252" s="636" t="s">
        <v>3784</v>
      </c>
      <c r="BO252" s="636" t="s">
        <v>3784</v>
      </c>
      <c r="BP252" s="636" t="s">
        <v>3784</v>
      </c>
      <c r="BQ252" s="636" t="s">
        <v>105</v>
      </c>
      <c r="BR252" s="636"/>
      <c r="BS252" s="636"/>
      <c r="BT252" s="636"/>
      <c r="BU252" s="636"/>
      <c r="BV252" s="636"/>
      <c r="BW252" s="636" t="s">
        <v>4145</v>
      </c>
      <c r="BX252" s="636"/>
      <c r="BY252" s="972"/>
    </row>
    <row r="253" spans="1:77">
      <c r="A253" t="s">
        <v>105</v>
      </c>
      <c r="B253" s="675" t="s">
        <v>116</v>
      </c>
      <c r="C253" s="687" t="s">
        <v>140</v>
      </c>
      <c r="D253" s="675">
        <v>0</v>
      </c>
      <c r="E253" s="675" t="s">
        <v>2305</v>
      </c>
      <c r="F253" s="675">
        <v>3</v>
      </c>
      <c r="G253" s="675" t="s">
        <v>2238</v>
      </c>
      <c r="H253" s="675">
        <v>96</v>
      </c>
      <c r="I253" s="676" t="s">
        <v>3830</v>
      </c>
      <c r="J253" s="677">
        <v>3.7</v>
      </c>
      <c r="K253" s="683">
        <v>495</v>
      </c>
      <c r="L253" s="677">
        <v>0</v>
      </c>
      <c r="M253" s="677">
        <v>0</v>
      </c>
      <c r="N253" s="677">
        <v>4</v>
      </c>
      <c r="O253" s="677">
        <v>0</v>
      </c>
      <c r="P253" s="677">
        <v>0</v>
      </c>
      <c r="Q253" s="677">
        <v>0</v>
      </c>
      <c r="R253" s="677">
        <v>0</v>
      </c>
      <c r="S253" s="677">
        <v>0</v>
      </c>
      <c r="T253" s="677">
        <v>0</v>
      </c>
      <c r="U253" s="677">
        <v>14</v>
      </c>
      <c r="V253" s="677">
        <v>13</v>
      </c>
      <c r="W253" s="677">
        <v>57</v>
      </c>
      <c r="X253" s="678"/>
      <c r="Y253" s="682"/>
      <c r="Z253" s="680"/>
      <c r="AA253" s="681">
        <v>106.38500000000001</v>
      </c>
      <c r="AB253" s="681">
        <v>29.978000000000002</v>
      </c>
      <c r="AC253" s="417">
        <v>9</v>
      </c>
      <c r="AD253" s="417"/>
      <c r="AE253" s="682" t="s">
        <v>4167</v>
      </c>
      <c r="AF253">
        <v>1</v>
      </c>
      <c r="AG253" s="713">
        <v>43101</v>
      </c>
      <c r="AH253" s="417"/>
      <c r="AI253" s="417"/>
      <c r="AJ253" s="714">
        <v>43102</v>
      </c>
      <c r="AK253" s="417"/>
      <c r="AL253" s="637" t="s">
        <v>3475</v>
      </c>
      <c r="AM253" s="417"/>
      <c r="AN253" s="417"/>
      <c r="AO253" s="636"/>
      <c r="AP253">
        <v>556626</v>
      </c>
      <c r="AQ253" s="715">
        <v>43102</v>
      </c>
      <c r="AR253" s="417"/>
      <c r="AS253" s="417"/>
      <c r="AT253" s="417"/>
      <c r="AU253" s="417"/>
      <c r="AV253" s="417"/>
      <c r="AW253" s="417"/>
      <c r="AX253" s="417"/>
      <c r="AY253" t="s">
        <v>80</v>
      </c>
      <c r="AZ253" s="417"/>
      <c r="BA253" s="417"/>
      <c r="BB253" t="s">
        <v>3584</v>
      </c>
      <c r="BC253" s="636"/>
      <c r="BD253" s="417"/>
      <c r="BE253" s="612">
        <v>0</v>
      </c>
      <c r="BF253" s="613">
        <v>0</v>
      </c>
      <c r="BG253" s="614" t="s">
        <v>78</v>
      </c>
      <c r="BH253" s="682"/>
      <c r="BI253" s="417"/>
      <c r="BJ253" s="417">
        <v>20</v>
      </c>
      <c r="BK253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253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253" s="682"/>
      <c r="BN253" s="636" t="s">
        <v>3784</v>
      </c>
      <c r="BO253" s="636" t="s">
        <v>3784</v>
      </c>
      <c r="BP253" s="636" t="s">
        <v>3784</v>
      </c>
      <c r="BQ253" s="636" t="s">
        <v>105</v>
      </c>
      <c r="BR253" s="636"/>
      <c r="BS253" s="636"/>
      <c r="BT253" s="636"/>
      <c r="BU253" s="636"/>
      <c r="BV253" s="636"/>
      <c r="BW253" s="636" t="s">
        <v>4145</v>
      </c>
      <c r="BX253" s="636"/>
      <c r="BY253" s="972"/>
    </row>
    <row r="254" spans="1:77">
      <c r="A254" t="s">
        <v>105</v>
      </c>
      <c r="B254" s="675" t="s">
        <v>116</v>
      </c>
      <c r="C254" s="687" t="s">
        <v>140</v>
      </c>
      <c r="D254" s="675">
        <v>0</v>
      </c>
      <c r="E254" s="675" t="s">
        <v>2305</v>
      </c>
      <c r="F254" s="675">
        <v>3</v>
      </c>
      <c r="G254" s="675" t="s">
        <v>2238</v>
      </c>
      <c r="H254" s="675">
        <v>102</v>
      </c>
      <c r="I254" s="676" t="s">
        <v>3790</v>
      </c>
      <c r="J254" s="677">
        <v>5.9</v>
      </c>
      <c r="K254" s="683">
        <v>996</v>
      </c>
      <c r="L254" s="677">
        <v>0</v>
      </c>
      <c r="M254" s="677">
        <v>0</v>
      </c>
      <c r="N254" s="677">
        <v>5</v>
      </c>
      <c r="O254" s="677">
        <v>0</v>
      </c>
      <c r="P254" s="677">
        <v>0</v>
      </c>
      <c r="Q254" s="677">
        <v>0</v>
      </c>
      <c r="R254" s="677">
        <v>0</v>
      </c>
      <c r="S254" s="677">
        <v>0</v>
      </c>
      <c r="T254" s="677">
        <v>0</v>
      </c>
      <c r="U254" s="677">
        <v>4</v>
      </c>
      <c r="V254" s="677">
        <v>12</v>
      </c>
      <c r="W254" s="677">
        <v>162</v>
      </c>
      <c r="X254" s="678"/>
      <c r="Y254" s="682"/>
      <c r="Z254" s="680"/>
      <c r="AA254" s="681">
        <v>106.52200000000001</v>
      </c>
      <c r="AB254" s="681">
        <v>29.978000000000002</v>
      </c>
      <c r="AC254" s="417">
        <v>18</v>
      </c>
      <c r="AD254" s="417"/>
      <c r="AE254" s="682" t="s">
        <v>4168</v>
      </c>
      <c r="AF254">
        <v>1</v>
      </c>
      <c r="AG254" s="713">
        <v>43101</v>
      </c>
      <c r="AH254" s="417"/>
      <c r="AI254" s="417"/>
      <c r="AJ254" s="714">
        <v>43102</v>
      </c>
      <c r="AK254" s="417"/>
      <c r="AL254" s="637" t="s">
        <v>3479</v>
      </c>
      <c r="AM254" s="417"/>
      <c r="AN254" s="417"/>
      <c r="AO254" s="636"/>
      <c r="AP254">
        <v>556626</v>
      </c>
      <c r="AQ254" s="715">
        <v>43102</v>
      </c>
      <c r="AR254" s="417"/>
      <c r="AS254" s="417"/>
      <c r="AT254" s="417"/>
      <c r="AU254" s="417"/>
      <c r="AV254" s="417"/>
      <c r="AW254" s="417"/>
      <c r="AX254" s="417"/>
      <c r="AY254" t="s">
        <v>80</v>
      </c>
      <c r="AZ254" s="417"/>
      <c r="BA254" s="417"/>
      <c r="BB254" t="s">
        <v>3584</v>
      </c>
      <c r="BC254" s="636"/>
      <c r="BD254" s="417"/>
      <c r="BE254" s="612">
        <v>0</v>
      </c>
      <c r="BF254" s="613">
        <v>0</v>
      </c>
      <c r="BG254" s="614" t="s">
        <v>78</v>
      </c>
      <c r="BH254" s="682"/>
      <c r="BI254" s="417"/>
      <c r="BJ254" s="417">
        <v>21</v>
      </c>
      <c r="BK254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254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254" s="682"/>
      <c r="BN254" s="636" t="s">
        <v>3784</v>
      </c>
      <c r="BO254" s="636" t="s">
        <v>3784</v>
      </c>
      <c r="BP254" s="636" t="s">
        <v>3784</v>
      </c>
      <c r="BQ254" s="636" t="s">
        <v>105</v>
      </c>
      <c r="BR254" s="636"/>
      <c r="BS254" s="636"/>
      <c r="BT254" s="636"/>
      <c r="BU254" s="636"/>
      <c r="BV254" s="636"/>
      <c r="BW254" s="636" t="s">
        <v>4145</v>
      </c>
      <c r="BX254" s="636"/>
      <c r="BY254" s="972"/>
    </row>
    <row r="255" spans="1:77">
      <c r="A255" t="s">
        <v>105</v>
      </c>
      <c r="B255" s="675" t="s">
        <v>116</v>
      </c>
      <c r="C255" s="687" t="s">
        <v>140</v>
      </c>
      <c r="D255" s="675">
        <v>0</v>
      </c>
      <c r="E255" s="675" t="s">
        <v>2305</v>
      </c>
      <c r="F255" s="675">
        <v>3</v>
      </c>
      <c r="G255" s="675" t="s">
        <v>2238</v>
      </c>
      <c r="H255" s="675">
        <v>33</v>
      </c>
      <c r="I255" s="676" t="s">
        <v>3832</v>
      </c>
      <c r="J255" s="677">
        <v>6.2</v>
      </c>
      <c r="K255" s="683">
        <v>1049</v>
      </c>
      <c r="L255" s="677">
        <v>0</v>
      </c>
      <c r="M255" s="677">
        <v>1</v>
      </c>
      <c r="N255" s="677">
        <v>5</v>
      </c>
      <c r="O255" s="677">
        <v>0</v>
      </c>
      <c r="P255" s="677">
        <v>0</v>
      </c>
      <c r="Q255" s="677">
        <v>0</v>
      </c>
      <c r="R255" s="677">
        <v>0</v>
      </c>
      <c r="S255" s="677">
        <v>0</v>
      </c>
      <c r="T255" s="677">
        <v>0</v>
      </c>
      <c r="U255" s="677">
        <v>0</v>
      </c>
      <c r="V255" s="677">
        <v>13</v>
      </c>
      <c r="W255" s="677">
        <v>168</v>
      </c>
      <c r="X255" s="678"/>
      <c r="Y255" s="682"/>
      <c r="Z255" s="680"/>
      <c r="AA255" s="681">
        <v>106.01600000000001</v>
      </c>
      <c r="AB255" s="681">
        <v>29.978000000000002</v>
      </c>
      <c r="AC255" s="417">
        <v>18</v>
      </c>
      <c r="AD255" s="417"/>
      <c r="AE255" s="682" t="s">
        <v>4169</v>
      </c>
      <c r="AF255">
        <v>1</v>
      </c>
      <c r="AG255" s="713">
        <v>43101</v>
      </c>
      <c r="AH255" s="417"/>
      <c r="AI255" s="417"/>
      <c r="AJ255" s="714">
        <v>43102</v>
      </c>
      <c r="AK255" s="417"/>
      <c r="AL255" s="637" t="s">
        <v>3437</v>
      </c>
      <c r="AM255" s="417"/>
      <c r="AN255" s="417"/>
      <c r="AO255" s="636"/>
      <c r="AP255">
        <v>556626</v>
      </c>
      <c r="AQ255" s="715">
        <v>43102</v>
      </c>
      <c r="AR255" s="417"/>
      <c r="AS255" s="417"/>
      <c r="AT255" s="417"/>
      <c r="AU255" s="417"/>
      <c r="AV255" s="417"/>
      <c r="AW255" s="417"/>
      <c r="AX255" s="417"/>
      <c r="AY255" t="s">
        <v>80</v>
      </c>
      <c r="AZ255" s="417"/>
      <c r="BA255" s="417"/>
      <c r="BB255" t="s">
        <v>3584</v>
      </c>
      <c r="BC255" s="636"/>
      <c r="BD255" s="417"/>
      <c r="BE255" s="612">
        <v>0</v>
      </c>
      <c r="BF255" s="613">
        <v>0</v>
      </c>
      <c r="BG255" s="614" t="s">
        <v>78</v>
      </c>
      <c r="BH255" s="682"/>
      <c r="BI255" s="417"/>
      <c r="BJ255" s="417">
        <v>16</v>
      </c>
      <c r="BK255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255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255" s="682"/>
      <c r="BN255" s="636" t="s">
        <v>3784</v>
      </c>
      <c r="BO255" s="636" t="s">
        <v>3784</v>
      </c>
      <c r="BP255" s="636" t="s">
        <v>3784</v>
      </c>
      <c r="BQ255" s="636" t="s">
        <v>105</v>
      </c>
      <c r="BR255" s="636"/>
      <c r="BS255" s="636"/>
      <c r="BT255" s="636"/>
      <c r="BU255" s="636"/>
      <c r="BV255" s="636"/>
      <c r="BW255" s="636" t="s">
        <v>4145</v>
      </c>
      <c r="BX255" s="636"/>
      <c r="BY255" s="972"/>
    </row>
    <row r="256" spans="1:77">
      <c r="A256" t="s">
        <v>104</v>
      </c>
      <c r="B256" s="675" t="s">
        <v>115</v>
      </c>
      <c r="C256" s="687" t="s">
        <v>104</v>
      </c>
      <c r="D256" s="675">
        <v>0</v>
      </c>
      <c r="E256" s="675" t="s">
        <v>2305</v>
      </c>
      <c r="F256" s="675">
        <v>3</v>
      </c>
      <c r="G256" s="675" t="s">
        <v>2238</v>
      </c>
      <c r="H256" s="675">
        <v>106</v>
      </c>
      <c r="I256" s="676" t="s">
        <v>4163</v>
      </c>
      <c r="J256" s="677">
        <v>4</v>
      </c>
      <c r="K256" s="683">
        <v>1513</v>
      </c>
      <c r="L256" s="677">
        <v>0</v>
      </c>
      <c r="M256" s="677">
        <v>21</v>
      </c>
      <c r="N256" s="677">
        <v>355</v>
      </c>
      <c r="O256" s="677">
        <v>0</v>
      </c>
      <c r="P256" s="677">
        <v>0</v>
      </c>
      <c r="Q256" s="677">
        <v>8</v>
      </c>
      <c r="R256" s="677">
        <v>157</v>
      </c>
      <c r="S256" s="677">
        <v>104</v>
      </c>
      <c r="T256" s="677">
        <v>284</v>
      </c>
      <c r="U256" s="677">
        <v>52</v>
      </c>
      <c r="V256" s="677">
        <v>86</v>
      </c>
      <c r="W256" s="677">
        <v>205</v>
      </c>
      <c r="X256" s="678"/>
      <c r="Y256" s="682"/>
      <c r="Z256" s="680"/>
      <c r="AA256" s="681">
        <v>80.126999999999995</v>
      </c>
      <c r="AB256" s="681">
        <v>32.584000000000003</v>
      </c>
      <c r="AC256" s="417">
        <v>95</v>
      </c>
      <c r="AD256" s="417"/>
      <c r="AE256" s="682" t="s">
        <v>4170</v>
      </c>
      <c r="AF256">
        <v>1</v>
      </c>
      <c r="AG256" s="713">
        <v>43101</v>
      </c>
      <c r="AH256" s="417"/>
      <c r="AI256" s="417"/>
      <c r="AJ256" s="714">
        <v>43222</v>
      </c>
      <c r="AK256" s="417"/>
      <c r="AL256" s="637" t="s">
        <v>3478</v>
      </c>
      <c r="AM256" s="417"/>
      <c r="AN256" s="417"/>
      <c r="AO256" s="636"/>
      <c r="AP256">
        <v>556622</v>
      </c>
      <c r="AQ256" s="715">
        <v>43077</v>
      </c>
      <c r="AR256" s="417"/>
      <c r="AS256" s="417"/>
      <c r="AT256" s="417"/>
      <c r="AU256" s="417"/>
      <c r="AV256" s="417"/>
      <c r="AW256" s="417"/>
      <c r="AX256" s="417"/>
      <c r="AY256" t="s">
        <v>3362</v>
      </c>
      <c r="AZ256" s="417"/>
      <c r="BA256" s="417"/>
      <c r="BB256" t="s">
        <v>3585</v>
      </c>
      <c r="BC256" s="636"/>
      <c r="BD256" s="417"/>
      <c r="BE256" s="612">
        <v>8</v>
      </c>
      <c r="BF256" s="613">
        <v>40</v>
      </c>
      <c r="BG256" s="614" t="s">
        <v>78</v>
      </c>
      <c r="BH256" s="682"/>
      <c r="BI256" s="417"/>
      <c r="BJ256" s="417">
        <v>2</v>
      </c>
      <c r="BK256" s="682" t="str">
        <f>Техкарта[[#This Row],[Кв-л]]&amp;" кв ("&amp;Substring(Техкарта[[#This Row],[Виділ]],"_",1)&amp;" вид) "&amp;Substring(Техкарта[[#This Row],[Виділ]],"_",2)&amp;" діл."</f>
        <v>106 кв (3 вид) 2 діл.</v>
      </c>
      <c r="BL256" s="682" t="str">
        <f>Техкарта[[#This Row],[ПолнаяДіл]] &amp;" "&amp;Техкарта[[#This Row],[ЛК]]&amp;" "&amp;Техкарта[[#This Row],[Вид рубки]]</f>
        <v>106 кв (3 вид) 2 діл. 556622 РГК</v>
      </c>
      <c r="BM256" s="682"/>
      <c r="BN256" s="636" t="s">
        <v>3784</v>
      </c>
      <c r="BO256" s="636" t="s">
        <v>3784</v>
      </c>
      <c r="BP256" s="636" t="s">
        <v>3784</v>
      </c>
      <c r="BQ256" s="636" t="s">
        <v>104</v>
      </c>
      <c r="BR256" s="636"/>
      <c r="BS256" s="636"/>
      <c r="BT256" s="636"/>
      <c r="BU256" s="636"/>
      <c r="BV256" s="636"/>
      <c r="BW256" s="636" t="s">
        <v>4171</v>
      </c>
      <c r="BX256" s="636"/>
      <c r="BY256" s="972"/>
    </row>
    <row r="257" spans="1:77">
      <c r="A257" t="s">
        <v>104</v>
      </c>
      <c r="B257" s="675" t="s">
        <v>115</v>
      </c>
      <c r="C257" s="687" t="s">
        <v>104</v>
      </c>
      <c r="D257" s="675">
        <v>0</v>
      </c>
      <c r="E257" s="675" t="s">
        <v>2305</v>
      </c>
      <c r="F257" s="675">
        <v>2</v>
      </c>
      <c r="G257" s="675" t="s">
        <v>2238</v>
      </c>
      <c r="H257" s="675">
        <v>101</v>
      </c>
      <c r="I257" s="676" t="s">
        <v>4172</v>
      </c>
      <c r="J257" s="677">
        <v>2.8</v>
      </c>
      <c r="K257" s="683">
        <v>893</v>
      </c>
      <c r="L257" s="677">
        <v>0</v>
      </c>
      <c r="M257" s="677">
        <v>12</v>
      </c>
      <c r="N257" s="677">
        <v>274</v>
      </c>
      <c r="O257" s="677">
        <v>0</v>
      </c>
      <c r="P257" s="677">
        <v>0</v>
      </c>
      <c r="Q257" s="677">
        <v>0</v>
      </c>
      <c r="R257" s="677">
        <v>83</v>
      </c>
      <c r="S257" s="677">
        <v>56</v>
      </c>
      <c r="T257" s="677">
        <v>192</v>
      </c>
      <c r="U257" s="677">
        <v>28</v>
      </c>
      <c r="V257" s="677">
        <v>46</v>
      </c>
      <c r="W257" s="677">
        <v>131</v>
      </c>
      <c r="X257" s="678"/>
      <c r="Y257" s="682"/>
      <c r="Z257" s="680"/>
      <c r="AA257" s="681">
        <v>77.227999999999994</v>
      </c>
      <c r="AB257" s="681">
        <v>30.7</v>
      </c>
      <c r="AC257" s="417">
        <v>0</v>
      </c>
      <c r="AD257" s="417"/>
      <c r="AE257" s="682" t="s">
        <v>4170</v>
      </c>
      <c r="AF257">
        <v>1</v>
      </c>
      <c r="AG257" s="713">
        <v>43101</v>
      </c>
      <c r="AH257" s="417"/>
      <c r="AI257" s="417"/>
      <c r="AJ257" s="714">
        <v>43222</v>
      </c>
      <c r="AK257" s="417"/>
      <c r="AL257" s="637" t="s">
        <v>3478</v>
      </c>
      <c r="AM257" s="417"/>
      <c r="AN257" s="417"/>
      <c r="AO257" s="636"/>
      <c r="AP257">
        <v>556622</v>
      </c>
      <c r="AQ257" s="715">
        <v>43077</v>
      </c>
      <c r="AR257" s="417"/>
      <c r="AS257" s="417"/>
      <c r="AT257" s="417"/>
      <c r="AU257" s="417"/>
      <c r="AV257" s="417"/>
      <c r="AW257" s="417"/>
      <c r="AX257" s="417"/>
      <c r="AY257" t="s">
        <v>3362</v>
      </c>
      <c r="AZ257" s="417"/>
      <c r="BA257" s="417"/>
      <c r="BB257" t="s">
        <v>3585</v>
      </c>
      <c r="BC257" s="636"/>
      <c r="BD257" s="417"/>
      <c r="BE257" s="612">
        <v>10</v>
      </c>
      <c r="BF257" s="613">
        <v>40</v>
      </c>
      <c r="BG257" s="614" t="s">
        <v>78</v>
      </c>
      <c r="BH257" s="682"/>
      <c r="BI257" s="417"/>
      <c r="BJ257" s="417">
        <v>2</v>
      </c>
      <c r="BK257" s="682" t="str">
        <f>Техкарта[[#This Row],[Кв-л]]&amp;" кв ("&amp;Substring(Техкарта[[#This Row],[Виділ]],"_",1)&amp;" вид) "&amp;Substring(Техкарта[[#This Row],[Виділ]],"_",2)&amp;" діл."</f>
        <v>101 кв (12 вид)  діл.</v>
      </c>
      <c r="BL257" s="682" t="str">
        <f>Техкарта[[#This Row],[ПолнаяДіл]] &amp;" "&amp;Техкарта[[#This Row],[ЛК]]&amp;" "&amp;Техкарта[[#This Row],[Вид рубки]]</f>
        <v>101 кв (12 вид)  діл. 556622 РГК</v>
      </c>
      <c r="BM257" s="682"/>
      <c r="BN257" s="636" t="s">
        <v>3784</v>
      </c>
      <c r="BO257" s="636" t="s">
        <v>3784</v>
      </c>
      <c r="BP257" s="636" t="s">
        <v>3784</v>
      </c>
      <c r="BQ257" s="636" t="s">
        <v>104</v>
      </c>
      <c r="BR257" s="636"/>
      <c r="BS257" s="636"/>
      <c r="BT257" s="636"/>
      <c r="BU257" s="636"/>
      <c r="BV257" s="636"/>
      <c r="BW257" s="636" t="s">
        <v>4173</v>
      </c>
      <c r="BX257" s="636"/>
      <c r="BY257" s="972"/>
    </row>
    <row r="258" spans="1:77">
      <c r="A258" t="s">
        <v>105</v>
      </c>
      <c r="B258" s="675" t="s">
        <v>113</v>
      </c>
      <c r="C258" s="687" t="s">
        <v>124</v>
      </c>
      <c r="D258" s="675">
        <v>0</v>
      </c>
      <c r="E258" s="675" t="s">
        <v>2305</v>
      </c>
      <c r="F258" s="675">
        <v>3</v>
      </c>
      <c r="G258" s="675" t="s">
        <v>2238</v>
      </c>
      <c r="H258" s="675">
        <v>133</v>
      </c>
      <c r="I258" s="676" t="s">
        <v>3789</v>
      </c>
      <c r="J258" s="677">
        <v>7.2</v>
      </c>
      <c r="K258" s="683">
        <v>973</v>
      </c>
      <c r="L258" s="677">
        <v>0</v>
      </c>
      <c r="M258" s="677">
        <v>0</v>
      </c>
      <c r="N258" s="677">
        <v>0</v>
      </c>
      <c r="O258" s="677">
        <v>0</v>
      </c>
      <c r="P258" s="677">
        <v>0</v>
      </c>
      <c r="Q258" s="677">
        <v>0</v>
      </c>
      <c r="R258" s="677">
        <v>0</v>
      </c>
      <c r="S258" s="677">
        <v>0</v>
      </c>
      <c r="T258" s="677">
        <v>0</v>
      </c>
      <c r="U258" s="677">
        <v>0</v>
      </c>
      <c r="V258" s="677">
        <v>0</v>
      </c>
      <c r="W258" s="677">
        <v>82</v>
      </c>
      <c r="X258" s="678"/>
      <c r="Y258" s="682"/>
      <c r="Z258" s="680"/>
      <c r="AA258" s="681">
        <v>194.49600000000001</v>
      </c>
      <c r="AB258" s="681">
        <v>29.978000000000002</v>
      </c>
      <c r="AC258" s="417">
        <v>13</v>
      </c>
      <c r="AD258" s="417"/>
      <c r="AE258" s="682" t="s">
        <v>4177</v>
      </c>
      <c r="AF258">
        <v>1</v>
      </c>
      <c r="AG258" s="713">
        <v>43101</v>
      </c>
      <c r="AH258" s="417"/>
      <c r="AI258" s="417"/>
      <c r="AJ258" s="714">
        <v>43222</v>
      </c>
      <c r="AK258" s="417"/>
      <c r="AL258" s="637" t="s">
        <v>3447</v>
      </c>
      <c r="AM258" s="417"/>
      <c r="AN258" s="417"/>
      <c r="AO258" s="636"/>
      <c r="AP258">
        <v>556640</v>
      </c>
      <c r="AQ258" s="715">
        <v>43102</v>
      </c>
      <c r="AR258" s="417"/>
      <c r="AS258" s="417"/>
      <c r="AT258" s="417"/>
      <c r="AU258" s="417"/>
      <c r="AV258" s="417"/>
      <c r="AW258" s="417"/>
      <c r="AX258" s="417"/>
      <c r="AY258" t="s">
        <v>80</v>
      </c>
      <c r="AZ258" s="417"/>
      <c r="BA258" s="417"/>
      <c r="BB258" t="s">
        <v>3584</v>
      </c>
      <c r="BC258" s="636"/>
      <c r="BD258" s="417"/>
      <c r="BE258" s="612">
        <v>0</v>
      </c>
      <c r="BF258" s="613">
        <v>0</v>
      </c>
      <c r="BG258" s="614" t="s">
        <v>78</v>
      </c>
      <c r="BH258" s="682"/>
      <c r="BI258" s="417"/>
      <c r="BJ258" s="417">
        <v>1</v>
      </c>
      <c r="BK258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258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258" s="682"/>
      <c r="BN258" s="636" t="s">
        <v>3784</v>
      </c>
      <c r="BO258" s="636" t="s">
        <v>3784</v>
      </c>
      <c r="BP258" s="636" t="s">
        <v>3784</v>
      </c>
      <c r="BQ258" s="636" t="s">
        <v>105</v>
      </c>
      <c r="BR258" s="636"/>
      <c r="BS258" s="636"/>
      <c r="BT258" s="636"/>
      <c r="BU258" s="636"/>
      <c r="BV258" s="636"/>
      <c r="BW258" s="636" t="s">
        <v>4176</v>
      </c>
      <c r="BX258" s="636"/>
      <c r="BY258" s="972"/>
    </row>
    <row r="259" spans="1:77">
      <c r="A259" t="s">
        <v>105</v>
      </c>
      <c r="B259" s="675" t="s">
        <v>113</v>
      </c>
      <c r="C259" s="687" t="s">
        <v>124</v>
      </c>
      <c r="D259" s="675">
        <v>0</v>
      </c>
      <c r="E259" s="675" t="s">
        <v>2305</v>
      </c>
      <c r="F259" s="675">
        <v>3</v>
      </c>
      <c r="G259" s="675" t="s">
        <v>2238</v>
      </c>
      <c r="H259" s="675">
        <v>134</v>
      </c>
      <c r="I259" s="676" t="s">
        <v>3850</v>
      </c>
      <c r="J259" s="677">
        <v>3</v>
      </c>
      <c r="K259" s="683">
        <v>167</v>
      </c>
      <c r="L259" s="677">
        <v>0</v>
      </c>
      <c r="M259" s="677">
        <v>0</v>
      </c>
      <c r="N259" s="677">
        <v>0</v>
      </c>
      <c r="O259" s="677">
        <v>0</v>
      </c>
      <c r="P259" s="677">
        <v>0</v>
      </c>
      <c r="Q259" s="677">
        <v>0</v>
      </c>
      <c r="R259" s="677">
        <v>0</v>
      </c>
      <c r="S259" s="677">
        <v>0</v>
      </c>
      <c r="T259" s="677">
        <v>0</v>
      </c>
      <c r="U259" s="677">
        <v>0</v>
      </c>
      <c r="V259" s="677">
        <v>0</v>
      </c>
      <c r="W259" s="677">
        <v>19</v>
      </c>
      <c r="X259" s="678"/>
      <c r="Y259" s="682"/>
      <c r="Z259" s="680"/>
      <c r="AA259" s="681">
        <v>163.12</v>
      </c>
      <c r="AB259" s="681">
        <v>29.978000000000002</v>
      </c>
      <c r="AC259" s="417">
        <v>0</v>
      </c>
      <c r="AD259" s="417"/>
      <c r="AE259" s="682" t="s">
        <v>4178</v>
      </c>
      <c r="AF259">
        <v>1</v>
      </c>
      <c r="AG259" s="713">
        <v>43101</v>
      </c>
      <c r="AH259" s="417"/>
      <c r="AI259" s="417"/>
      <c r="AJ259" s="714">
        <v>43222</v>
      </c>
      <c r="AK259" s="417"/>
      <c r="AL259" s="637" t="s">
        <v>3447</v>
      </c>
      <c r="AM259" s="417"/>
      <c r="AN259" s="417"/>
      <c r="AO259" s="636"/>
      <c r="AP259">
        <v>556640</v>
      </c>
      <c r="AQ259" s="715">
        <v>43102</v>
      </c>
      <c r="AR259" s="417"/>
      <c r="AS259" s="417"/>
      <c r="AT259" s="417"/>
      <c r="AU259" s="417"/>
      <c r="AV259" s="417"/>
      <c r="AW259" s="417"/>
      <c r="AX259" s="417"/>
      <c r="AY259" t="s">
        <v>80</v>
      </c>
      <c r="AZ259" s="417"/>
      <c r="BA259" s="417"/>
      <c r="BB259" t="s">
        <v>3584</v>
      </c>
      <c r="BC259" s="636"/>
      <c r="BD259" s="417"/>
      <c r="BE259" s="612">
        <v>0</v>
      </c>
      <c r="BF259" s="613">
        <v>0</v>
      </c>
      <c r="BG259" s="614" t="s">
        <v>78</v>
      </c>
      <c r="BH259" s="682"/>
      <c r="BI259" s="417"/>
      <c r="BJ259" s="417">
        <v>2</v>
      </c>
      <c r="BK259" s="682" t="str">
        <f>Техкарта[[#This Row],[Кв-л]]&amp;" кв ("&amp;Substring(Техкарта[[#This Row],[Виділ]],"_",1)&amp;" вид) "&amp;Substring(Техкарта[[#This Row],[Виділ]],"_",2)&amp;" діл."</f>
        <v>134 кв (6 вид) 0 діл.</v>
      </c>
      <c r="BL259" s="682" t="str">
        <f>Техкарта[[#This Row],[ПолнаяДіл]] &amp;" "&amp;Техкарта[[#This Row],[ЛК]]&amp;" "&amp;Техкарта[[#This Row],[Вид рубки]]</f>
        <v>134 кв (6 вид) 0 діл. 556640 ПРЖ</v>
      </c>
      <c r="BM259" s="682"/>
      <c r="BN259" s="636" t="s">
        <v>3784</v>
      </c>
      <c r="BO259" s="636" t="s">
        <v>3784</v>
      </c>
      <c r="BP259" s="636" t="s">
        <v>3784</v>
      </c>
      <c r="BQ259" s="636" t="s">
        <v>105</v>
      </c>
      <c r="BR259" s="636"/>
      <c r="BS259" s="636"/>
      <c r="BT259" s="636"/>
      <c r="BU259" s="636"/>
      <c r="BV259" s="636"/>
      <c r="BW259" s="636" t="s">
        <v>4176</v>
      </c>
      <c r="BX259" s="636"/>
      <c r="BY259" s="972"/>
    </row>
    <row r="260" spans="1:77">
      <c r="A260" t="s">
        <v>105</v>
      </c>
      <c r="B260" s="675" t="s">
        <v>113</v>
      </c>
      <c r="C260" s="687" t="s">
        <v>124</v>
      </c>
      <c r="D260" s="675">
        <v>0</v>
      </c>
      <c r="E260" s="675" t="s">
        <v>2305</v>
      </c>
      <c r="F260" s="675">
        <v>3</v>
      </c>
      <c r="G260" s="675" t="s">
        <v>2238</v>
      </c>
      <c r="H260" s="675">
        <v>28</v>
      </c>
      <c r="I260" s="676" t="s">
        <v>3829</v>
      </c>
      <c r="J260" s="677">
        <v>6.2</v>
      </c>
      <c r="K260" s="683">
        <v>564</v>
      </c>
      <c r="L260" s="677">
        <v>0</v>
      </c>
      <c r="M260" s="677">
        <v>0</v>
      </c>
      <c r="N260" s="677">
        <v>0</v>
      </c>
      <c r="O260" s="677">
        <v>0</v>
      </c>
      <c r="P260" s="677">
        <v>0</v>
      </c>
      <c r="Q260" s="677">
        <v>0</v>
      </c>
      <c r="R260" s="677">
        <v>0</v>
      </c>
      <c r="S260" s="677">
        <v>0</v>
      </c>
      <c r="T260" s="677">
        <v>0</v>
      </c>
      <c r="U260" s="677">
        <v>0</v>
      </c>
      <c r="V260" s="677">
        <v>0</v>
      </c>
      <c r="W260" s="677">
        <v>43</v>
      </c>
      <c r="X260" s="678"/>
      <c r="Y260" s="682"/>
      <c r="Z260" s="680"/>
      <c r="AA260" s="681">
        <v>210.167</v>
      </c>
      <c r="AB260" s="681">
        <v>29.978000000000002</v>
      </c>
      <c r="AC260" s="417">
        <v>1</v>
      </c>
      <c r="AD260" s="417"/>
      <c r="AE260" s="682" t="s">
        <v>4179</v>
      </c>
      <c r="AF260">
        <v>1</v>
      </c>
      <c r="AG260" s="713">
        <v>43101</v>
      </c>
      <c r="AH260" s="417"/>
      <c r="AI260" s="417"/>
      <c r="AJ260" s="714">
        <v>43222</v>
      </c>
      <c r="AK260" s="417"/>
      <c r="AL260" s="637" t="s">
        <v>3447</v>
      </c>
      <c r="AM260" s="417"/>
      <c r="AN260" s="417"/>
      <c r="AO260" s="636"/>
      <c r="AP260">
        <v>556640</v>
      </c>
      <c r="AQ260" s="715">
        <v>43102</v>
      </c>
      <c r="AR260" s="417"/>
      <c r="AS260" s="417"/>
      <c r="AT260" s="417"/>
      <c r="AU260" s="417"/>
      <c r="AV260" s="417"/>
      <c r="AW260" s="417"/>
      <c r="AX260" s="417"/>
      <c r="AY260" t="s">
        <v>80</v>
      </c>
      <c r="AZ260" s="417"/>
      <c r="BA260" s="417"/>
      <c r="BB260" t="s">
        <v>3584</v>
      </c>
      <c r="BC260" s="636"/>
      <c r="BD260" s="417"/>
      <c r="BE260" s="612">
        <v>0</v>
      </c>
      <c r="BF260" s="613">
        <v>0</v>
      </c>
      <c r="BG260" s="614" t="s">
        <v>78</v>
      </c>
      <c r="BH260" s="682"/>
      <c r="BI260" s="417"/>
      <c r="BJ260" s="417">
        <v>3</v>
      </c>
      <c r="BK260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260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260" s="682"/>
      <c r="BN260" s="636" t="s">
        <v>3784</v>
      </c>
      <c r="BO260" s="636" t="s">
        <v>3784</v>
      </c>
      <c r="BP260" s="636" t="s">
        <v>3784</v>
      </c>
      <c r="BQ260" s="636" t="s">
        <v>105</v>
      </c>
      <c r="BR260" s="636"/>
      <c r="BS260" s="636"/>
      <c r="BT260" s="636"/>
      <c r="BU260" s="636"/>
      <c r="BV260" s="636"/>
      <c r="BW260" s="636" t="s">
        <v>4176</v>
      </c>
      <c r="BX260" s="636"/>
      <c r="BY260" s="972"/>
    </row>
    <row r="261" spans="1:77">
      <c r="A261" t="s">
        <v>104</v>
      </c>
      <c r="B261" s="675" t="s">
        <v>111</v>
      </c>
      <c r="C261" s="687" t="s">
        <v>104</v>
      </c>
      <c r="D261" s="675">
        <v>0</v>
      </c>
      <c r="E261" s="675" t="s">
        <v>2305</v>
      </c>
      <c r="F261" s="675">
        <v>2</v>
      </c>
      <c r="G261" s="675" t="s">
        <v>2238</v>
      </c>
      <c r="H261" s="675">
        <v>49</v>
      </c>
      <c r="I261" s="676" t="s">
        <v>4174</v>
      </c>
      <c r="J261" s="677">
        <v>4.5999999999999996</v>
      </c>
      <c r="K261" s="683">
        <v>2679</v>
      </c>
      <c r="L261" s="677">
        <v>0</v>
      </c>
      <c r="M261" s="677">
        <v>0</v>
      </c>
      <c r="N261" s="677">
        <v>718</v>
      </c>
      <c r="O261" s="677">
        <v>0</v>
      </c>
      <c r="P261" s="677">
        <v>0</v>
      </c>
      <c r="Q261" s="677">
        <v>10</v>
      </c>
      <c r="R261" s="677">
        <v>59</v>
      </c>
      <c r="S261" s="677">
        <v>0</v>
      </c>
      <c r="T261" s="677">
        <v>582</v>
      </c>
      <c r="U261" s="677">
        <v>20</v>
      </c>
      <c r="V261" s="677">
        <v>0</v>
      </c>
      <c r="W261" s="677">
        <v>395</v>
      </c>
      <c r="X261" s="678"/>
      <c r="Y261" s="682"/>
      <c r="Z261" s="680"/>
      <c r="AA261" s="681">
        <v>77.013000000000005</v>
      </c>
      <c r="AB261" s="681">
        <v>35.042999999999999</v>
      </c>
      <c r="AC261" s="417">
        <v>114</v>
      </c>
      <c r="AD261" s="417"/>
      <c r="AE261" s="682" t="s">
        <v>4175</v>
      </c>
      <c r="AF261">
        <v>1</v>
      </c>
      <c r="AG261" s="713">
        <v>43101</v>
      </c>
      <c r="AH261" s="417"/>
      <c r="AI261" s="417"/>
      <c r="AJ261" s="714">
        <v>43230</v>
      </c>
      <c r="AK261" s="417"/>
      <c r="AL261" s="637" t="s">
        <v>3433</v>
      </c>
      <c r="AM261" s="417"/>
      <c r="AN261" s="417"/>
      <c r="AO261" s="636"/>
      <c r="AP261">
        <v>556622</v>
      </c>
      <c r="AQ261" s="715">
        <v>43077</v>
      </c>
      <c r="AR261" s="417"/>
      <c r="AS261" s="417"/>
      <c r="AT261" s="417"/>
      <c r="AU261" s="417"/>
      <c r="AV261" s="417"/>
      <c r="AW261" s="417"/>
      <c r="AX261" s="417"/>
      <c r="AY261" t="s">
        <v>3424</v>
      </c>
      <c r="AZ261" s="417"/>
      <c r="BA261" s="417"/>
      <c r="BB261" t="s">
        <v>3583</v>
      </c>
      <c r="BC261" s="636"/>
      <c r="BD261" s="417"/>
      <c r="BE261" s="612">
        <v>10</v>
      </c>
      <c r="BF261" s="613">
        <v>40</v>
      </c>
      <c r="BG261" s="614" t="s">
        <v>78</v>
      </c>
      <c r="BH261" s="682"/>
      <c r="BI261" s="417"/>
      <c r="BJ261" s="417">
        <v>1</v>
      </c>
      <c r="BK261" s="682" t="str">
        <f>Техкарта[[#This Row],[Кв-л]]&amp;" кв ("&amp;Substring(Техкарта[[#This Row],[Виділ]],"_",1)&amp;" вид) "&amp;Substring(Техкарта[[#This Row],[Виділ]],"_",2)&amp;" діл."</f>
        <v>49 кв (1,2 вид)  діл.</v>
      </c>
      <c r="BL261" s="682" t="str">
        <f>Техкарта[[#This Row],[ПолнаяДіл]] &amp;" "&amp;Техкарта[[#This Row],[ЛК]]&amp;" "&amp;Техкарта[[#This Row],[Вид рубки]]</f>
        <v>49 кв (1,2 вид)  діл. 556622 РГК</v>
      </c>
      <c r="BM261" s="682"/>
      <c r="BN261" s="636" t="s">
        <v>3784</v>
      </c>
      <c r="BO261" s="636" t="s">
        <v>3784</v>
      </c>
      <c r="BP261" s="636" t="s">
        <v>3784</v>
      </c>
      <c r="BQ261" s="636" t="s">
        <v>104</v>
      </c>
      <c r="BR261" s="636"/>
      <c r="BS261" s="636"/>
      <c r="BT261" s="636"/>
      <c r="BU261" s="636"/>
      <c r="BV261" s="636"/>
      <c r="BW261" s="636" t="s">
        <v>4176</v>
      </c>
      <c r="BX261" s="636"/>
      <c r="BY261" s="972"/>
    </row>
    <row r="262" spans="1:77">
      <c r="A262" t="s">
        <v>105</v>
      </c>
      <c r="B262" s="675" t="s">
        <v>111</v>
      </c>
      <c r="C262" s="687" t="s">
        <v>3842</v>
      </c>
      <c r="D262" s="675">
        <v>0</v>
      </c>
      <c r="E262" s="675" t="s">
        <v>2305</v>
      </c>
      <c r="F262" s="675">
        <v>3</v>
      </c>
      <c r="G262" s="675" t="s">
        <v>2238</v>
      </c>
      <c r="H262" s="675">
        <v>10</v>
      </c>
      <c r="I262" s="676" t="s">
        <v>3790</v>
      </c>
      <c r="J262" s="677">
        <v>9.1999999999999993</v>
      </c>
      <c r="K262" s="683">
        <v>1130</v>
      </c>
      <c r="L262" s="677">
        <v>0</v>
      </c>
      <c r="M262" s="677">
        <v>453</v>
      </c>
      <c r="N262" s="677">
        <v>0</v>
      </c>
      <c r="O262" s="677">
        <v>0</v>
      </c>
      <c r="P262" s="677">
        <v>0</v>
      </c>
      <c r="Q262" s="677">
        <v>0</v>
      </c>
      <c r="R262" s="677">
        <v>0</v>
      </c>
      <c r="S262" s="677">
        <v>155</v>
      </c>
      <c r="T262" s="677">
        <v>0</v>
      </c>
      <c r="U262" s="677">
        <v>0</v>
      </c>
      <c r="V262" s="677">
        <v>156</v>
      </c>
      <c r="W262" s="677">
        <v>0</v>
      </c>
      <c r="X262" s="678"/>
      <c r="Y262" s="682"/>
      <c r="Z262" s="680"/>
      <c r="AA262" s="681">
        <v>46.033999999999999</v>
      </c>
      <c r="AB262" s="681">
        <v>29.978000000000002</v>
      </c>
      <c r="AC262" s="417">
        <v>93</v>
      </c>
      <c r="AD262" s="417"/>
      <c r="AE262" s="682" t="s">
        <v>4180</v>
      </c>
      <c r="AF262">
        <v>1</v>
      </c>
      <c r="AG262" s="713">
        <v>43101</v>
      </c>
      <c r="AH262" s="417"/>
      <c r="AI262" s="417"/>
      <c r="AJ262" s="714">
        <v>43214</v>
      </c>
      <c r="AK262" s="417"/>
      <c r="AL262" s="637" t="s">
        <v>3462</v>
      </c>
      <c r="AM262" s="417"/>
      <c r="AN262" s="417"/>
      <c r="AO262" s="636"/>
      <c r="AP262">
        <v>556672</v>
      </c>
      <c r="AQ262" s="715">
        <v>43214</v>
      </c>
      <c r="AR262" s="417"/>
      <c r="AS262" s="417"/>
      <c r="AT262" s="417"/>
      <c r="AU262" s="417"/>
      <c r="AV262" s="417"/>
      <c r="AW262" s="417"/>
      <c r="AX262" s="417"/>
      <c r="AY262" t="s">
        <v>3424</v>
      </c>
      <c r="AZ262" s="417"/>
      <c r="BA262" s="417"/>
      <c r="BB262" t="s">
        <v>3583</v>
      </c>
      <c r="BC262" s="636"/>
      <c r="BD262" s="417"/>
      <c r="BE262" s="612">
        <v>0</v>
      </c>
      <c r="BF262" s="613">
        <v>0</v>
      </c>
      <c r="BG262" s="614" t="s">
        <v>78</v>
      </c>
      <c r="BH262" s="682"/>
      <c r="BI262" s="417"/>
      <c r="BJ262" s="417">
        <v>6</v>
      </c>
      <c r="BK262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262" s="682" t="str">
        <f>Техкарта[[#This Row],[ПолнаяДіл]] &amp;" "&amp;Техкарта[[#This Row],[ЛК]]&amp;" "&amp;Техкарта[[#This Row],[Вид рубки]]</f>
        <v>10 кв (2 вид) 0 діл. 556672 РЛД</v>
      </c>
      <c r="BM262" s="682"/>
      <c r="BN262" s="636" t="s">
        <v>3784</v>
      </c>
      <c r="BO262" s="636" t="s">
        <v>3784</v>
      </c>
      <c r="BP262" s="636" t="s">
        <v>3784</v>
      </c>
      <c r="BQ262" s="636" t="s">
        <v>105</v>
      </c>
      <c r="BR262" s="636"/>
      <c r="BS262" s="636"/>
      <c r="BT262" s="636"/>
      <c r="BU262" s="636"/>
      <c r="BV262" s="636"/>
      <c r="BW262" s="636" t="s">
        <v>4176</v>
      </c>
      <c r="BX262" s="636"/>
      <c r="BY262" s="972"/>
    </row>
    <row r="263" spans="1:77">
      <c r="A263" t="s">
        <v>105</v>
      </c>
      <c r="B263" s="675" t="s">
        <v>111</v>
      </c>
      <c r="C263" s="687" t="s">
        <v>3842</v>
      </c>
      <c r="D263" s="675">
        <v>0</v>
      </c>
      <c r="E263" s="675" t="s">
        <v>2305</v>
      </c>
      <c r="F263" s="675">
        <v>3</v>
      </c>
      <c r="G263" s="675" t="s">
        <v>2238</v>
      </c>
      <c r="H263" s="675">
        <v>125</v>
      </c>
      <c r="I263" s="676" t="s">
        <v>4181</v>
      </c>
      <c r="J263" s="677">
        <v>0.8</v>
      </c>
      <c r="K263" s="683">
        <v>92</v>
      </c>
      <c r="L263" s="677">
        <v>0</v>
      </c>
      <c r="M263" s="677">
        <v>9</v>
      </c>
      <c r="N263" s="677">
        <v>0</v>
      </c>
      <c r="O263" s="677">
        <v>0</v>
      </c>
      <c r="P263" s="677">
        <v>0</v>
      </c>
      <c r="Q263" s="677">
        <v>0</v>
      </c>
      <c r="R263" s="677">
        <v>0</v>
      </c>
      <c r="S263" s="677">
        <v>29</v>
      </c>
      <c r="T263" s="677">
        <v>0</v>
      </c>
      <c r="U263" s="677">
        <v>0</v>
      </c>
      <c r="V263" s="677">
        <v>20</v>
      </c>
      <c r="W263" s="677">
        <v>0</v>
      </c>
      <c r="X263" s="678"/>
      <c r="Y263" s="682"/>
      <c r="Z263" s="680"/>
      <c r="AA263" s="681">
        <v>62.817999999999998</v>
      </c>
      <c r="AB263" s="681">
        <v>29.978000000000002</v>
      </c>
      <c r="AC263" s="417">
        <v>7</v>
      </c>
      <c r="AD263" s="417"/>
      <c r="AE263" s="682" t="s">
        <v>4112</v>
      </c>
      <c r="AF263">
        <v>1</v>
      </c>
      <c r="AG263" s="713">
        <v>43101</v>
      </c>
      <c r="AH263" s="417"/>
      <c r="AI263" s="417"/>
      <c r="AJ263" s="714">
        <v>43214</v>
      </c>
      <c r="AK263" s="417"/>
      <c r="AL263" s="637" t="s">
        <v>3467</v>
      </c>
      <c r="AM263" s="417"/>
      <c r="AN263" s="417"/>
      <c r="AO263" s="636"/>
      <c r="AP263">
        <v>556672</v>
      </c>
      <c r="AQ263" s="715">
        <v>43214</v>
      </c>
      <c r="AR263" s="417"/>
      <c r="AS263" s="417"/>
      <c r="AT263" s="417"/>
      <c r="AU263" s="417"/>
      <c r="AV263" s="417"/>
      <c r="AW263" s="417"/>
      <c r="AX263" s="417"/>
      <c r="AY263" t="s">
        <v>3424</v>
      </c>
      <c r="AZ263" s="417"/>
      <c r="BA263" s="417"/>
      <c r="BB263" t="s">
        <v>3583</v>
      </c>
      <c r="BC263" s="636"/>
      <c r="BD263" s="417"/>
      <c r="BE263" s="612">
        <v>0</v>
      </c>
      <c r="BF263" s="613">
        <v>0</v>
      </c>
      <c r="BG263" s="614" t="s">
        <v>78</v>
      </c>
      <c r="BH263" s="682"/>
      <c r="BI263" s="417"/>
      <c r="BJ263" s="417">
        <v>4</v>
      </c>
      <c r="BK263" s="682" t="str">
        <f>Техкарта[[#This Row],[Кв-л]]&amp;" кв ("&amp;Substring(Техкарта[[#This Row],[Виділ]],"_",1)&amp;" вид) "&amp;Substring(Техкарта[[#This Row],[Виділ]],"_",2)&amp;" діл."</f>
        <v>125 кв (22 вид) 0 діл.</v>
      </c>
      <c r="BL263" s="682" t="str">
        <f>Техкарта[[#This Row],[ПолнаяДіл]] &amp;" "&amp;Техкарта[[#This Row],[ЛК]]&amp;" "&amp;Техкарта[[#This Row],[Вид рубки]]</f>
        <v>125 кв (22 вид) 0 діл. 556672 РЛД</v>
      </c>
      <c r="BM263" s="682"/>
      <c r="BN263" s="636" t="s">
        <v>3784</v>
      </c>
      <c r="BO263" s="636" t="s">
        <v>3784</v>
      </c>
      <c r="BP263" s="636" t="s">
        <v>3784</v>
      </c>
      <c r="BQ263" s="636" t="s">
        <v>105</v>
      </c>
      <c r="BR263" s="636"/>
      <c r="BS263" s="636"/>
      <c r="BT263" s="636"/>
      <c r="BU263" s="636"/>
      <c r="BV263" s="636"/>
      <c r="BW263" s="636" t="s">
        <v>4176</v>
      </c>
      <c r="BX263" s="636"/>
      <c r="BY263" s="972"/>
    </row>
    <row r="264" spans="1:77">
      <c r="A264" t="s">
        <v>105</v>
      </c>
      <c r="B264" s="675" t="s">
        <v>111</v>
      </c>
      <c r="C264" s="687" t="s">
        <v>3842</v>
      </c>
      <c r="D264" s="675">
        <v>0</v>
      </c>
      <c r="E264" s="675" t="s">
        <v>2305</v>
      </c>
      <c r="F264" s="675">
        <v>3</v>
      </c>
      <c r="G264" s="675" t="s">
        <v>2238</v>
      </c>
      <c r="H264" s="675">
        <v>125</v>
      </c>
      <c r="I264" s="676" t="s">
        <v>4182</v>
      </c>
      <c r="J264" s="677">
        <v>1.5</v>
      </c>
      <c r="K264" s="683">
        <v>384</v>
      </c>
      <c r="L264" s="677">
        <v>0</v>
      </c>
      <c r="M264" s="677">
        <v>59</v>
      </c>
      <c r="N264" s="677">
        <v>0</v>
      </c>
      <c r="O264" s="677">
        <v>0</v>
      </c>
      <c r="P264" s="677">
        <v>0</v>
      </c>
      <c r="Q264" s="677">
        <v>0</v>
      </c>
      <c r="R264" s="677">
        <v>0</v>
      </c>
      <c r="S264" s="677">
        <v>40</v>
      </c>
      <c r="T264" s="677">
        <v>0</v>
      </c>
      <c r="U264" s="677">
        <v>0</v>
      </c>
      <c r="V264" s="677">
        <v>57</v>
      </c>
      <c r="W264" s="677">
        <v>0</v>
      </c>
      <c r="X264" s="678"/>
      <c r="Y264" s="682"/>
      <c r="Z264" s="680"/>
      <c r="AA264" s="681">
        <v>62.106000000000002</v>
      </c>
      <c r="AB264" s="681">
        <v>29.978000000000002</v>
      </c>
      <c r="AC264" s="417">
        <v>22</v>
      </c>
      <c r="AD264" s="417"/>
      <c r="AE264" s="682" t="s">
        <v>4111</v>
      </c>
      <c r="AF264">
        <v>1</v>
      </c>
      <c r="AG264" s="713">
        <v>43101</v>
      </c>
      <c r="AH264" s="417"/>
      <c r="AI264" s="417"/>
      <c r="AJ264" s="714">
        <v>43214</v>
      </c>
      <c r="AK264" s="417"/>
      <c r="AL264" s="637" t="s">
        <v>3467</v>
      </c>
      <c r="AM264" s="417"/>
      <c r="AN264" s="417"/>
      <c r="AO264" s="636"/>
      <c r="AP264">
        <v>556672</v>
      </c>
      <c r="AQ264" s="715">
        <v>43214</v>
      </c>
      <c r="AR264" s="417"/>
      <c r="AS264" s="417"/>
      <c r="AT264" s="417"/>
      <c r="AU264" s="417"/>
      <c r="AV264" s="417"/>
      <c r="AW264" s="417"/>
      <c r="AX264" s="417"/>
      <c r="AY264" t="s">
        <v>3424</v>
      </c>
      <c r="AZ264" s="417"/>
      <c r="BA264" s="417"/>
      <c r="BB264" t="s">
        <v>3583</v>
      </c>
      <c r="BC264" s="636"/>
      <c r="BD264" s="417"/>
      <c r="BE264" s="612">
        <v>0</v>
      </c>
      <c r="BF264" s="613">
        <v>0</v>
      </c>
      <c r="BG264" s="614" t="s">
        <v>78</v>
      </c>
      <c r="BH264" s="682"/>
      <c r="BI264" s="417"/>
      <c r="BJ264" s="417">
        <v>3</v>
      </c>
      <c r="BK264" s="682" t="str">
        <f>Техкарта[[#This Row],[Кв-л]]&amp;" кв ("&amp;Substring(Техкарта[[#This Row],[Виділ]],"_",1)&amp;" вид) "&amp;Substring(Техкарта[[#This Row],[Виділ]],"_",2)&amp;" діл."</f>
        <v>125 кв (18 вид) 0 діл.</v>
      </c>
      <c r="BL264" s="682" t="str">
        <f>Техкарта[[#This Row],[ПолнаяДіл]] &amp;" "&amp;Техкарта[[#This Row],[ЛК]]&amp;" "&amp;Техкарта[[#This Row],[Вид рубки]]</f>
        <v>125 кв (18 вид) 0 діл. 556672 РЛД</v>
      </c>
      <c r="BM264" s="682"/>
      <c r="BN264" s="636" t="s">
        <v>3784</v>
      </c>
      <c r="BO264" s="636" t="s">
        <v>3784</v>
      </c>
      <c r="BP264" s="636" t="s">
        <v>3784</v>
      </c>
      <c r="BQ264" s="636" t="s">
        <v>105</v>
      </c>
      <c r="BR264" s="636"/>
      <c r="BS264" s="636"/>
      <c r="BT264" s="636"/>
      <c r="BU264" s="636"/>
      <c r="BV264" s="636"/>
      <c r="BW264" s="636" t="s">
        <v>4176</v>
      </c>
      <c r="BX264" s="636"/>
      <c r="BY264" s="972"/>
    </row>
    <row r="265" spans="1:77">
      <c r="A265" t="s">
        <v>105</v>
      </c>
      <c r="B265" s="675" t="s">
        <v>111</v>
      </c>
      <c r="C265" s="687" t="s">
        <v>3842</v>
      </c>
      <c r="D265" s="675">
        <v>0</v>
      </c>
      <c r="E265" s="675" t="s">
        <v>2305</v>
      </c>
      <c r="F265" s="675">
        <v>3</v>
      </c>
      <c r="G265" s="675" t="s">
        <v>2238</v>
      </c>
      <c r="H265" s="675">
        <v>95</v>
      </c>
      <c r="I265" s="676" t="s">
        <v>3790</v>
      </c>
      <c r="J265" s="677">
        <v>9</v>
      </c>
      <c r="K265" s="683">
        <v>1897</v>
      </c>
      <c r="L265" s="677">
        <v>0</v>
      </c>
      <c r="M265" s="677">
        <v>119</v>
      </c>
      <c r="N265" s="677">
        <v>0</v>
      </c>
      <c r="O265" s="677">
        <v>0</v>
      </c>
      <c r="P265" s="677">
        <v>0</v>
      </c>
      <c r="Q265" s="677">
        <v>0</v>
      </c>
      <c r="R265" s="677">
        <v>0</v>
      </c>
      <c r="S265" s="677">
        <v>365</v>
      </c>
      <c r="T265" s="677">
        <v>0</v>
      </c>
      <c r="U265" s="677">
        <v>0</v>
      </c>
      <c r="V265" s="677">
        <v>200</v>
      </c>
      <c r="W265" s="677">
        <v>0</v>
      </c>
      <c r="X265" s="678"/>
      <c r="Y265" s="682"/>
      <c r="Z265" s="680"/>
      <c r="AA265" s="681">
        <v>69.849999999999994</v>
      </c>
      <c r="AB265" s="681">
        <v>29.978000000000002</v>
      </c>
      <c r="AC265" s="417">
        <v>96</v>
      </c>
      <c r="AD265" s="417"/>
      <c r="AE265" s="682" t="s">
        <v>4183</v>
      </c>
      <c r="AF265">
        <v>1</v>
      </c>
      <c r="AG265" s="713">
        <v>43101</v>
      </c>
      <c r="AH265" s="417"/>
      <c r="AI265" s="417"/>
      <c r="AJ265" s="714">
        <v>43234</v>
      </c>
      <c r="AK265" s="417"/>
      <c r="AL265" s="637" t="s">
        <v>3462</v>
      </c>
      <c r="AM265" s="417"/>
      <c r="AN265" s="417"/>
      <c r="AO265" s="636"/>
      <c r="AP265">
        <v>556703</v>
      </c>
      <c r="AQ265" s="715">
        <v>43234</v>
      </c>
      <c r="AR265" s="417"/>
      <c r="AS265" s="417"/>
      <c r="AT265" s="417"/>
      <c r="AU265" s="417"/>
      <c r="AV265" s="417"/>
      <c r="AW265" s="417"/>
      <c r="AX265" s="417"/>
      <c r="AY265" t="s">
        <v>3424</v>
      </c>
      <c r="AZ265" s="417"/>
      <c r="BA265" s="417"/>
      <c r="BB265" t="s">
        <v>3583</v>
      </c>
      <c r="BC265" s="636"/>
      <c r="BD265" s="417"/>
      <c r="BE265" s="612">
        <v>0</v>
      </c>
      <c r="BF265" s="613">
        <v>0</v>
      </c>
      <c r="BG265" s="614" t="s">
        <v>78</v>
      </c>
      <c r="BH265" s="682"/>
      <c r="BI265" s="417"/>
      <c r="BJ265" s="417">
        <v>3</v>
      </c>
      <c r="BK265" s="682" t="str">
        <f>Техкарта[[#This Row],[Кв-л]]&amp;" кв ("&amp;Substring(Техкарта[[#This Row],[Виділ]],"_",1)&amp;" вид) "&amp;Substring(Техкарта[[#This Row],[Виділ]],"_",2)&amp;" діл."</f>
        <v>95 кв (2 вид) 0 діл.</v>
      </c>
      <c r="BL265" s="682" t="str">
        <f>Техкарта[[#This Row],[ПолнаяДіл]] &amp;" "&amp;Техкарта[[#This Row],[ЛК]]&amp;" "&amp;Техкарта[[#This Row],[Вид рубки]]</f>
        <v>95 кв (2 вид) 0 діл. 556703 РЛД</v>
      </c>
      <c r="BM265" s="682"/>
      <c r="BN265" s="636" t="s">
        <v>3784</v>
      </c>
      <c r="BO265" s="636" t="s">
        <v>3784</v>
      </c>
      <c r="BP265" s="636" t="s">
        <v>3784</v>
      </c>
      <c r="BQ265" s="636" t="s">
        <v>105</v>
      </c>
      <c r="BR265" s="636"/>
      <c r="BS265" s="636"/>
      <c r="BT265" s="636"/>
      <c r="BU265" s="636"/>
      <c r="BV265" s="636"/>
      <c r="BW265" s="636" t="s">
        <v>4176</v>
      </c>
      <c r="BX265" s="636"/>
      <c r="BY265" s="972"/>
    </row>
    <row r="266" spans="1:77">
      <c r="A266" t="s">
        <v>3896</v>
      </c>
      <c r="B266" s="675" t="s">
        <v>111</v>
      </c>
      <c r="C266" s="687" t="s">
        <v>134</v>
      </c>
      <c r="D266" s="675">
        <v>0</v>
      </c>
      <c r="E266" s="675" t="s">
        <v>2305</v>
      </c>
      <c r="F266" s="675">
        <v>3</v>
      </c>
      <c r="G266" s="675" t="s">
        <v>79</v>
      </c>
      <c r="H266" s="675">
        <v>32</v>
      </c>
      <c r="I266" s="676" t="s">
        <v>3831</v>
      </c>
      <c r="J266" s="677">
        <v>8</v>
      </c>
      <c r="K266" s="683">
        <v>0</v>
      </c>
      <c r="L266" s="677"/>
      <c r="M266" s="677">
        <v>0</v>
      </c>
      <c r="N266" s="677">
        <v>970</v>
      </c>
      <c r="O266" s="677"/>
      <c r="P266" s="677"/>
      <c r="Q266" s="677">
        <v>0</v>
      </c>
      <c r="R266" s="677"/>
      <c r="S266" s="677">
        <v>0</v>
      </c>
      <c r="T266" s="677">
        <v>0</v>
      </c>
      <c r="U266" s="677"/>
      <c r="V266" s="677">
        <v>0</v>
      </c>
      <c r="W266" s="677">
        <v>0</v>
      </c>
      <c r="X266" s="678"/>
      <c r="Y266" s="682"/>
      <c r="Z266" s="680"/>
      <c r="AA266" s="681">
        <v>185.62</v>
      </c>
      <c r="AB266" s="681"/>
      <c r="AC266" s="417">
        <v>23</v>
      </c>
      <c r="AD266" s="417"/>
      <c r="AE266" s="682" t="s">
        <v>4184</v>
      </c>
      <c r="AF266">
        <v>1</v>
      </c>
      <c r="AG266" s="713">
        <v>43101</v>
      </c>
      <c r="AH266" s="417"/>
      <c r="AI266" s="417"/>
      <c r="AJ266" s="714">
        <v>43222</v>
      </c>
      <c r="AK266" s="417"/>
      <c r="AL266" s="637" t="s">
        <v>3462</v>
      </c>
      <c r="AM266" s="417"/>
      <c r="AN266" s="417"/>
      <c r="AO266" s="636"/>
      <c r="AP266">
        <v>556630</v>
      </c>
      <c r="AQ266" s="715">
        <v>43102</v>
      </c>
      <c r="AR266" s="417">
        <v>0.3</v>
      </c>
      <c r="AS266" s="417"/>
      <c r="AT266" s="417"/>
      <c r="AU266" s="417"/>
      <c r="AV266" s="417"/>
      <c r="AW266" s="417"/>
      <c r="AX266" s="417"/>
      <c r="AY266" t="s">
        <v>3424</v>
      </c>
      <c r="AZ266" s="417"/>
      <c r="BA266" s="417"/>
      <c r="BB266" t="s">
        <v>3583</v>
      </c>
      <c r="BC266" s="636"/>
      <c r="BD266" s="417"/>
      <c r="BE266" s="612"/>
      <c r="BF266" s="613"/>
      <c r="BG266" s="614"/>
      <c r="BH266" s="682"/>
      <c r="BI266" s="417"/>
      <c r="BJ266" s="417">
        <v>7</v>
      </c>
      <c r="BK266" s="682" t="str">
        <f>Техкарта[[#This Row],[Кв-л]]&amp;" кв ("&amp;Substring(Техкарта[[#This Row],[Виділ]],"_",1)&amp;" вид) "&amp;Substring(Техкарта[[#This Row],[Виділ]],"_",2)&amp;" діл."</f>
        <v>32 кв (4 вид) 0 діл.</v>
      </c>
      <c r="BL266" s="682" t="str">
        <f>Техкарта[[#This Row],[ПолнаяДіл]] &amp;" "&amp;Техкарта[[#This Row],[ЛК]]&amp;" "&amp;Техкарта[[#This Row],[Вид рубки]]</f>
        <v>32 кв (4 вид) 0 діл. 556630 ПРЧ</v>
      </c>
      <c r="BM266" s="682"/>
      <c r="BN266" s="636"/>
      <c r="BO266" s="636"/>
      <c r="BP266" s="636"/>
      <c r="BQ266" s="636" t="s">
        <v>3896</v>
      </c>
      <c r="BR266" s="636">
        <v>2</v>
      </c>
      <c r="BS266" s="636"/>
      <c r="BT266" s="636"/>
      <c r="BU266" s="636"/>
      <c r="BV266" s="636"/>
      <c r="BW266" s="636" t="s">
        <v>4176</v>
      </c>
      <c r="BX266" s="636"/>
      <c r="BY266" s="972"/>
    </row>
    <row r="267" spans="1:77">
      <c r="A267" t="s">
        <v>3896</v>
      </c>
      <c r="B267" s="675" t="s">
        <v>111</v>
      </c>
      <c r="C267" s="687" t="s">
        <v>3843</v>
      </c>
      <c r="D267" s="675">
        <v>0</v>
      </c>
      <c r="E267" s="675" t="s">
        <v>2305</v>
      </c>
      <c r="F267" s="675">
        <v>3</v>
      </c>
      <c r="G267" s="675" t="s">
        <v>79</v>
      </c>
      <c r="H267" s="675">
        <v>20</v>
      </c>
      <c r="I267" s="676" t="s">
        <v>3832</v>
      </c>
      <c r="J267" s="677">
        <v>3</v>
      </c>
      <c r="K267" s="683">
        <v>0</v>
      </c>
      <c r="L267" s="677"/>
      <c r="M267" s="677">
        <v>0</v>
      </c>
      <c r="N267" s="677">
        <v>210</v>
      </c>
      <c r="O267" s="677"/>
      <c r="P267" s="677"/>
      <c r="Q267" s="677">
        <v>0</v>
      </c>
      <c r="R267" s="677"/>
      <c r="S267" s="677">
        <v>0</v>
      </c>
      <c r="T267" s="677">
        <v>0</v>
      </c>
      <c r="U267" s="677"/>
      <c r="V267" s="677">
        <v>0</v>
      </c>
      <c r="W267" s="677">
        <v>0</v>
      </c>
      <c r="X267" s="678"/>
      <c r="Y267" s="682"/>
      <c r="Z267" s="680"/>
      <c r="AA267" s="681">
        <v>204.23</v>
      </c>
      <c r="AB267" s="681"/>
      <c r="AC267" s="417">
        <v>23</v>
      </c>
      <c r="AD267" s="417"/>
      <c r="AE267" s="682" t="s">
        <v>4185</v>
      </c>
      <c r="AF267">
        <v>1</v>
      </c>
      <c r="AG267" s="713">
        <v>43101</v>
      </c>
      <c r="AH267" s="417"/>
      <c r="AI267" s="417"/>
      <c r="AJ267" s="714">
        <v>43222</v>
      </c>
      <c r="AK267" s="417"/>
      <c r="AL267" s="637" t="s">
        <v>3462</v>
      </c>
      <c r="AM267" s="417"/>
      <c r="AN267" s="417"/>
      <c r="AO267" s="636"/>
      <c r="AP267">
        <v>556667</v>
      </c>
      <c r="AQ267" s="715">
        <v>43192</v>
      </c>
      <c r="AR267" s="417">
        <v>0.3</v>
      </c>
      <c r="AS267" s="417"/>
      <c r="AT267" s="417"/>
      <c r="AU267" s="417"/>
      <c r="AV267" s="417"/>
      <c r="AW267" s="417"/>
      <c r="AX267" s="417"/>
      <c r="AY267" t="s">
        <v>3424</v>
      </c>
      <c r="AZ267" s="417"/>
      <c r="BA267" s="417"/>
      <c r="BB267" t="s">
        <v>3583</v>
      </c>
      <c r="BC267" s="636"/>
      <c r="BD267" s="417"/>
      <c r="BE267" s="612"/>
      <c r="BF267" s="613"/>
      <c r="BG267" s="614"/>
      <c r="BH267" s="682"/>
      <c r="BI267" s="417"/>
      <c r="BJ267" s="417">
        <v>8</v>
      </c>
      <c r="BK267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7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7" s="682"/>
      <c r="BN267" s="636"/>
      <c r="BO267" s="636"/>
      <c r="BP267" s="636"/>
      <c r="BQ267" s="636" t="s">
        <v>3896</v>
      </c>
      <c r="BR267" s="636">
        <v>2</v>
      </c>
      <c r="BS267" s="636"/>
      <c r="BT267" s="636"/>
      <c r="BU267" s="636"/>
      <c r="BV267" s="636"/>
      <c r="BW267" s="636" t="s">
        <v>4176</v>
      </c>
      <c r="BX267" s="636"/>
      <c r="BY267" s="972"/>
    </row>
    <row r="268" spans="1:77">
      <c r="A268" t="s">
        <v>3896</v>
      </c>
      <c r="B268" s="675" t="s">
        <v>111</v>
      </c>
      <c r="C268" s="687" t="s">
        <v>3843</v>
      </c>
      <c r="D268" s="675">
        <v>0</v>
      </c>
      <c r="E268" s="675" t="s">
        <v>2305</v>
      </c>
      <c r="F268" s="675">
        <v>3</v>
      </c>
      <c r="G268" s="675" t="s">
        <v>79</v>
      </c>
      <c r="H268" s="675">
        <v>20</v>
      </c>
      <c r="I268" s="676" t="s">
        <v>3832</v>
      </c>
      <c r="J268" s="677">
        <v>3</v>
      </c>
      <c r="K268" s="683">
        <v>0</v>
      </c>
      <c r="L268" s="677"/>
      <c r="M268" s="677">
        <v>0</v>
      </c>
      <c r="N268" s="677">
        <v>210</v>
      </c>
      <c r="O268" s="677"/>
      <c r="P268" s="677"/>
      <c r="Q268" s="677">
        <v>0</v>
      </c>
      <c r="R268" s="677"/>
      <c r="S268" s="677">
        <v>0</v>
      </c>
      <c r="T268" s="677">
        <v>0</v>
      </c>
      <c r="U268" s="677"/>
      <c r="V268" s="677">
        <v>0</v>
      </c>
      <c r="W268" s="677">
        <v>0</v>
      </c>
      <c r="X268" s="678"/>
      <c r="Y268" s="682"/>
      <c r="Z268" s="680"/>
      <c r="AA268" s="681">
        <v>204.23</v>
      </c>
      <c r="AB268" s="681"/>
      <c r="AC268" s="417">
        <v>23</v>
      </c>
      <c r="AD268" s="417"/>
      <c r="AE268" s="682" t="s">
        <v>4185</v>
      </c>
      <c r="AF268">
        <v>1</v>
      </c>
      <c r="AG268" s="713">
        <v>43101</v>
      </c>
      <c r="AH268" s="417"/>
      <c r="AI268" s="417"/>
      <c r="AJ268" s="714">
        <v>43222</v>
      </c>
      <c r="AK268" s="417"/>
      <c r="AL268" s="637" t="s">
        <v>3462</v>
      </c>
      <c r="AM268" s="417"/>
      <c r="AN268" s="417"/>
      <c r="AO268" s="636"/>
      <c r="AP268">
        <v>556667</v>
      </c>
      <c r="AQ268" s="715">
        <v>43192</v>
      </c>
      <c r="AR268" s="417">
        <v>0.3</v>
      </c>
      <c r="AS268" s="417"/>
      <c r="AT268" s="417"/>
      <c r="AU268" s="417"/>
      <c r="AV268" s="417"/>
      <c r="AW268" s="417"/>
      <c r="AX268" s="417"/>
      <c r="AY268" t="s">
        <v>3424</v>
      </c>
      <c r="AZ268" s="417"/>
      <c r="BA268" s="417"/>
      <c r="BB268" t="s">
        <v>3583</v>
      </c>
      <c r="BC268" s="636"/>
      <c r="BD268" s="417"/>
      <c r="BE268" s="612"/>
      <c r="BF268" s="613"/>
      <c r="BG268" s="614"/>
      <c r="BH268" s="682"/>
      <c r="BI268" s="417"/>
      <c r="BJ268" s="417">
        <v>8</v>
      </c>
      <c r="BK268" s="682" t="str">
        <f>Техкарта[[#This Row],[Кв-л]]&amp;" кв ("&amp;Substring(Техкарта[[#This Row],[Виділ]],"_",1)&amp;" вид) "&amp;Substring(Техкарта[[#This Row],[Виділ]],"_",2)&amp;" діл."</f>
        <v>20 кв (5 вид) 0 діл.</v>
      </c>
      <c r="BL268" s="682" t="str">
        <f>Техкарта[[#This Row],[ПолнаяДіл]] &amp;" "&amp;Техкарта[[#This Row],[ЛК]]&amp;" "&amp;Техкарта[[#This Row],[Вид рубки]]</f>
        <v>20 кв (5 вид) 0 діл. 556667 ОСВ</v>
      </c>
      <c r="BM268" s="682"/>
      <c r="BN268" s="636"/>
      <c r="BO268" s="636"/>
      <c r="BP268" s="636"/>
      <c r="BQ268" s="636" t="s">
        <v>3896</v>
      </c>
      <c r="BR268" s="636">
        <v>2</v>
      </c>
      <c r="BS268" s="636"/>
      <c r="BT268" s="636"/>
      <c r="BU268" s="636"/>
      <c r="BV268" s="636"/>
      <c r="BW268" s="636" t="s">
        <v>4176</v>
      </c>
      <c r="BX268" s="636"/>
      <c r="BY268" s="972"/>
    </row>
    <row r="269" spans="1:77">
      <c r="A269" t="s">
        <v>105</v>
      </c>
      <c r="B269" s="675" t="s">
        <v>116</v>
      </c>
      <c r="C269" s="687" t="s">
        <v>3842</v>
      </c>
      <c r="D269" s="675">
        <v>0</v>
      </c>
      <c r="E269" s="675" t="s">
        <v>2305</v>
      </c>
      <c r="F269" s="675">
        <v>3</v>
      </c>
      <c r="G269" s="675" t="s">
        <v>2238</v>
      </c>
      <c r="H269" s="675">
        <v>58</v>
      </c>
      <c r="I269" s="676" t="s">
        <v>4186</v>
      </c>
      <c r="J269" s="677">
        <v>0.8</v>
      </c>
      <c r="K269" s="683">
        <v>36</v>
      </c>
      <c r="L269" s="677">
        <v>0</v>
      </c>
      <c r="M269" s="677">
        <v>0</v>
      </c>
      <c r="N269" s="677">
        <v>0</v>
      </c>
      <c r="O269" s="677">
        <v>0</v>
      </c>
      <c r="P269" s="677">
        <v>0</v>
      </c>
      <c r="Q269" s="677">
        <v>0</v>
      </c>
      <c r="R269" s="677">
        <v>3</v>
      </c>
      <c r="S269" s="677">
        <v>0</v>
      </c>
      <c r="T269" s="677">
        <v>9</v>
      </c>
      <c r="U269" s="677">
        <v>0</v>
      </c>
      <c r="V269" s="677">
        <v>0</v>
      </c>
      <c r="W269" s="677">
        <v>0</v>
      </c>
      <c r="X269" s="678"/>
      <c r="Y269" s="682"/>
      <c r="Z269" s="680"/>
      <c r="AA269" s="681">
        <v>96.385999999999996</v>
      </c>
      <c r="AB269" s="681">
        <v>29.978000000000002</v>
      </c>
      <c r="AC269" s="417">
        <v>1</v>
      </c>
      <c r="AD269" s="417"/>
      <c r="AE269" s="682" t="s">
        <v>4187</v>
      </c>
      <c r="AF269">
        <v>1</v>
      </c>
      <c r="AG269" s="713">
        <v>43101</v>
      </c>
      <c r="AH269" s="417"/>
      <c r="AI269" s="417"/>
      <c r="AJ269" s="714">
        <v>43234</v>
      </c>
      <c r="AK269" s="417"/>
      <c r="AL269" s="637" t="s">
        <v>3475</v>
      </c>
      <c r="AM269" s="417"/>
      <c r="AN269" s="417"/>
      <c r="AO269" s="636"/>
      <c r="AP269">
        <v>556701</v>
      </c>
      <c r="AQ269" s="715">
        <v>43234</v>
      </c>
      <c r="AR269" s="417"/>
      <c r="AS269" s="417"/>
      <c r="AT269" s="417"/>
      <c r="AU269" s="417"/>
      <c r="AV269" s="417"/>
      <c r="AW269" s="417"/>
      <c r="AX269" s="417"/>
      <c r="AY269" t="s">
        <v>80</v>
      </c>
      <c r="AZ269" s="417"/>
      <c r="BA269" s="417"/>
      <c r="BB269" t="s">
        <v>3584</v>
      </c>
      <c r="BC269" s="636"/>
      <c r="BD269" s="417"/>
      <c r="BE269" s="612">
        <v>0</v>
      </c>
      <c r="BF269" s="613">
        <v>0</v>
      </c>
      <c r="BG269" s="614" t="s">
        <v>78</v>
      </c>
      <c r="BH269" s="682"/>
      <c r="BI269" s="417"/>
      <c r="BJ269" s="417">
        <v>4</v>
      </c>
      <c r="BK269" s="682" t="str">
        <f>Техкарта[[#This Row],[Кв-л]]&amp;" кв ("&amp;Substring(Техкарта[[#This Row],[Виділ]],"_",1)&amp;" вид) "&amp;Substring(Техкарта[[#This Row],[Виділ]],"_",2)&amp;" діл."</f>
        <v>58 кв (12 вид) 1 діл.</v>
      </c>
      <c r="BL269" s="682" t="str">
        <f>Техкарта[[#This Row],[ПолнаяДіл]] &amp;" "&amp;Техкарта[[#This Row],[ЛК]]&amp;" "&amp;Техкарта[[#This Row],[Вид рубки]]</f>
        <v>58 кв (12 вид) 1 діл. 556701 РЛД</v>
      </c>
      <c r="BM269" s="682"/>
      <c r="BN269" s="636" t="s">
        <v>3784</v>
      </c>
      <c r="BO269" s="636" t="s">
        <v>3784</v>
      </c>
      <c r="BP269" s="636" t="s">
        <v>3784</v>
      </c>
      <c r="BQ269" s="636" t="s">
        <v>105</v>
      </c>
      <c r="BR269" s="636"/>
      <c r="BS269" s="636"/>
      <c r="BT269" s="636"/>
      <c r="BU269" s="636"/>
      <c r="BV269" s="636"/>
      <c r="BW269" s="636" t="s">
        <v>4176</v>
      </c>
      <c r="BX269" s="636"/>
      <c r="BY269" s="972"/>
    </row>
    <row r="270" spans="1:77">
      <c r="A270" t="s">
        <v>105</v>
      </c>
      <c r="B270" s="675" t="s">
        <v>116</v>
      </c>
      <c r="C270" s="687" t="s">
        <v>3842</v>
      </c>
      <c r="D270" s="675">
        <v>0</v>
      </c>
      <c r="E270" s="675" t="s">
        <v>2305</v>
      </c>
      <c r="F270" s="675">
        <v>3</v>
      </c>
      <c r="G270" s="675" t="s">
        <v>2238</v>
      </c>
      <c r="H270" s="675">
        <v>58</v>
      </c>
      <c r="I270" s="676" t="s">
        <v>4188</v>
      </c>
      <c r="J270" s="677">
        <v>0.2</v>
      </c>
      <c r="K270" s="683">
        <v>21</v>
      </c>
      <c r="L270" s="677">
        <v>0</v>
      </c>
      <c r="M270" s="677">
        <v>0</v>
      </c>
      <c r="N270" s="677">
        <v>0</v>
      </c>
      <c r="O270" s="677">
        <v>0</v>
      </c>
      <c r="P270" s="677">
        <v>0</v>
      </c>
      <c r="Q270" s="677">
        <v>0</v>
      </c>
      <c r="R270" s="677">
        <v>1</v>
      </c>
      <c r="S270" s="677">
        <v>0</v>
      </c>
      <c r="T270" s="677">
        <v>6</v>
      </c>
      <c r="U270" s="677">
        <v>0</v>
      </c>
      <c r="V270" s="677">
        <v>0</v>
      </c>
      <c r="W270" s="677">
        <v>0</v>
      </c>
      <c r="X270" s="678"/>
      <c r="Y270" s="682"/>
      <c r="Z270" s="680"/>
      <c r="AA270" s="681">
        <v>89.997</v>
      </c>
      <c r="AB270" s="681">
        <v>29.978000000000002</v>
      </c>
      <c r="AC270" s="417">
        <v>1</v>
      </c>
      <c r="AD270" s="417"/>
      <c r="AE270" s="682" t="s">
        <v>4189</v>
      </c>
      <c r="AF270">
        <v>1</v>
      </c>
      <c r="AG270" s="713">
        <v>43101</v>
      </c>
      <c r="AH270" s="417"/>
      <c r="AI270" s="417"/>
      <c r="AJ270" s="714">
        <v>43234</v>
      </c>
      <c r="AK270" s="417"/>
      <c r="AL270" s="637" t="s">
        <v>3475</v>
      </c>
      <c r="AM270" s="417"/>
      <c r="AN270" s="417"/>
      <c r="AO270" s="636"/>
      <c r="AP270">
        <v>556701</v>
      </c>
      <c r="AQ270" s="715">
        <v>43234</v>
      </c>
      <c r="AR270" s="417"/>
      <c r="AS270" s="417"/>
      <c r="AT270" s="417"/>
      <c r="AU270" s="417"/>
      <c r="AV270" s="417"/>
      <c r="AW270" s="417"/>
      <c r="AX270" s="417"/>
      <c r="AY270" t="s">
        <v>80</v>
      </c>
      <c r="AZ270" s="417"/>
      <c r="BA270" s="417"/>
      <c r="BB270" t="s">
        <v>3584</v>
      </c>
      <c r="BC270" s="636"/>
      <c r="BD270" s="417"/>
      <c r="BE270" s="612">
        <v>0</v>
      </c>
      <c r="BF270" s="613">
        <v>0</v>
      </c>
      <c r="BG270" s="614" t="s">
        <v>78</v>
      </c>
      <c r="BH270" s="682"/>
      <c r="BI270" s="417"/>
      <c r="BJ270" s="417">
        <v>3</v>
      </c>
      <c r="BK270" s="682" t="str">
        <f>Техкарта[[#This Row],[Кв-л]]&amp;" кв ("&amp;Substring(Техкарта[[#This Row],[Виділ]],"_",1)&amp;" вид) "&amp;Substring(Техкарта[[#This Row],[Виділ]],"_",2)&amp;" діл."</f>
        <v>58 кв (14 вид) 1 діл.</v>
      </c>
      <c r="BL270" s="682" t="str">
        <f>Техкарта[[#This Row],[ПолнаяДіл]] &amp;" "&amp;Техкарта[[#This Row],[ЛК]]&amp;" "&amp;Техкарта[[#This Row],[Вид рубки]]</f>
        <v>58 кв (14 вид) 1 діл. 556701 РЛД</v>
      </c>
      <c r="BM270" s="682"/>
      <c r="BN270" s="636" t="s">
        <v>3784</v>
      </c>
      <c r="BO270" s="636" t="s">
        <v>3784</v>
      </c>
      <c r="BP270" s="636" t="s">
        <v>3784</v>
      </c>
      <c r="BQ270" s="636" t="s">
        <v>105</v>
      </c>
      <c r="BR270" s="636"/>
      <c r="BS270" s="636"/>
      <c r="BT270" s="636"/>
      <c r="BU270" s="636"/>
      <c r="BV270" s="636"/>
      <c r="BW270" s="636" t="s">
        <v>4176</v>
      </c>
      <c r="BX270" s="636"/>
      <c r="BY270" s="972"/>
    </row>
    <row r="271" spans="1:77">
      <c r="A271" t="s">
        <v>105</v>
      </c>
      <c r="B271" s="675" t="s">
        <v>116</v>
      </c>
      <c r="C271" s="687" t="s">
        <v>3842</v>
      </c>
      <c r="D271" s="675">
        <v>0</v>
      </c>
      <c r="E271" s="675" t="s">
        <v>2305</v>
      </c>
      <c r="F271" s="675">
        <v>3</v>
      </c>
      <c r="G271" s="675" t="s">
        <v>2238</v>
      </c>
      <c r="H271" s="675">
        <v>58</v>
      </c>
      <c r="I271" s="676" t="s">
        <v>3853</v>
      </c>
      <c r="J271" s="677">
        <v>1</v>
      </c>
      <c r="K271" s="683">
        <v>69</v>
      </c>
      <c r="L271" s="677">
        <v>0</v>
      </c>
      <c r="M271" s="677">
        <v>6</v>
      </c>
      <c r="N271" s="677">
        <v>0</v>
      </c>
      <c r="O271" s="677">
        <v>0</v>
      </c>
      <c r="P271" s="677">
        <v>0</v>
      </c>
      <c r="Q271" s="677">
        <v>0</v>
      </c>
      <c r="R271" s="677">
        <v>1</v>
      </c>
      <c r="S271" s="677">
        <v>0</v>
      </c>
      <c r="T271" s="677">
        <v>0</v>
      </c>
      <c r="U271" s="677">
        <v>0</v>
      </c>
      <c r="V271" s="677">
        <v>20</v>
      </c>
      <c r="W271" s="677">
        <v>0</v>
      </c>
      <c r="X271" s="678"/>
      <c r="Y271" s="682"/>
      <c r="Z271" s="680"/>
      <c r="AA271" s="681">
        <v>68.826999999999998</v>
      </c>
      <c r="AB271" s="681">
        <v>29.978000000000002</v>
      </c>
      <c r="AC271" s="417">
        <v>1</v>
      </c>
      <c r="AD271" s="417"/>
      <c r="AE271" s="682" t="s">
        <v>4190</v>
      </c>
      <c r="AF271">
        <v>1</v>
      </c>
      <c r="AG271" s="713">
        <v>43101</v>
      </c>
      <c r="AH271" s="417"/>
      <c r="AI271" s="417"/>
      <c r="AJ271" s="714">
        <v>43234</v>
      </c>
      <c r="AK271" s="417"/>
      <c r="AL271" s="637" t="s">
        <v>3475</v>
      </c>
      <c r="AM271" s="417"/>
      <c r="AN271" s="417"/>
      <c r="AO271" s="636"/>
      <c r="AP271">
        <v>556701</v>
      </c>
      <c r="AQ271" s="715">
        <v>43234</v>
      </c>
      <c r="AR271" s="417"/>
      <c r="AS271" s="417"/>
      <c r="AT271" s="417"/>
      <c r="AU271" s="417"/>
      <c r="AV271" s="417"/>
      <c r="AW271" s="417"/>
      <c r="AX271" s="417"/>
      <c r="AY271" t="s">
        <v>80</v>
      </c>
      <c r="AZ271" s="417"/>
      <c r="BA271" s="417"/>
      <c r="BB271" t="s">
        <v>3584</v>
      </c>
      <c r="BC271" s="636"/>
      <c r="BD271" s="417"/>
      <c r="BE271" s="612">
        <v>0</v>
      </c>
      <c r="BF271" s="613">
        <v>0</v>
      </c>
      <c r="BG271" s="614" t="s">
        <v>78</v>
      </c>
      <c r="BH271" s="682"/>
      <c r="BI271" s="417"/>
      <c r="BJ271" s="417">
        <v>2</v>
      </c>
      <c r="BK271" s="682" t="str">
        <f>Техкарта[[#This Row],[Кв-л]]&amp;" кв ("&amp;Substring(Техкарта[[#This Row],[Виділ]],"_",1)&amp;" вид) "&amp;Substring(Техкарта[[#This Row],[Виділ]],"_",2)&amp;" діл."</f>
        <v>58 кв (15 вид) 1 діл.</v>
      </c>
      <c r="BL271" s="682" t="str">
        <f>Техкарта[[#This Row],[ПолнаяДіл]] &amp;" "&amp;Техкарта[[#This Row],[ЛК]]&amp;" "&amp;Техкарта[[#This Row],[Вид рубки]]</f>
        <v>58 кв (15 вид) 1 діл. 556701 РЛД</v>
      </c>
      <c r="BM271" s="682"/>
      <c r="BN271" s="636" t="s">
        <v>3784</v>
      </c>
      <c r="BO271" s="636" t="s">
        <v>3784</v>
      </c>
      <c r="BP271" s="636" t="s">
        <v>3784</v>
      </c>
      <c r="BQ271" s="636" t="s">
        <v>105</v>
      </c>
      <c r="BR271" s="636"/>
      <c r="BS271" s="636"/>
      <c r="BT271" s="636"/>
      <c r="BU271" s="636"/>
      <c r="BV271" s="636"/>
      <c r="BW271" s="636" t="s">
        <v>4176</v>
      </c>
      <c r="BX271" s="636"/>
      <c r="BY271" s="972"/>
    </row>
    <row r="272" spans="1:77">
      <c r="A272" t="s">
        <v>105</v>
      </c>
      <c r="B272" s="675" t="s">
        <v>116</v>
      </c>
      <c r="C272" s="687" t="s">
        <v>3588</v>
      </c>
      <c r="D272" s="675">
        <v>0</v>
      </c>
      <c r="E272" s="675" t="s">
        <v>2305</v>
      </c>
      <c r="F272" s="675">
        <v>3</v>
      </c>
      <c r="G272" s="675" t="s">
        <v>2238</v>
      </c>
      <c r="H272" s="675">
        <v>67</v>
      </c>
      <c r="I272" s="676" t="s">
        <v>3796</v>
      </c>
      <c r="J272" s="677">
        <v>0.2</v>
      </c>
      <c r="K272" s="683">
        <v>3</v>
      </c>
      <c r="L272" s="677">
        <v>0</v>
      </c>
      <c r="M272" s="677">
        <v>1</v>
      </c>
      <c r="N272" s="677">
        <v>0</v>
      </c>
      <c r="O272" s="677">
        <v>0</v>
      </c>
      <c r="P272" s="677">
        <v>0</v>
      </c>
      <c r="Q272" s="677">
        <v>0</v>
      </c>
      <c r="R272" s="677">
        <v>0</v>
      </c>
      <c r="S272" s="677">
        <v>3</v>
      </c>
      <c r="T272" s="677">
        <v>0</v>
      </c>
      <c r="U272" s="677">
        <v>0</v>
      </c>
      <c r="V272" s="677">
        <v>0</v>
      </c>
      <c r="W272" s="677">
        <v>0</v>
      </c>
      <c r="X272" s="678"/>
      <c r="Y272" s="682"/>
      <c r="Z272" s="680"/>
      <c r="AA272" s="681">
        <v>54.204000000000001</v>
      </c>
      <c r="AB272" s="681">
        <v>29.978000000000002</v>
      </c>
      <c r="AC272" s="417">
        <v>1</v>
      </c>
      <c r="AD272" s="417"/>
      <c r="AE272" s="682" t="s">
        <v>4191</v>
      </c>
      <c r="AF272">
        <v>1</v>
      </c>
      <c r="AG272" s="713">
        <v>43101</v>
      </c>
      <c r="AH272" s="417"/>
      <c r="AI272" s="417"/>
      <c r="AJ272" s="714">
        <v>43234</v>
      </c>
      <c r="AK272" s="417"/>
      <c r="AL272" s="637" t="s">
        <v>3475</v>
      </c>
      <c r="AM272" s="417"/>
      <c r="AN272" s="417"/>
      <c r="AO272" s="636"/>
      <c r="AP272">
        <v>556702</v>
      </c>
      <c r="AQ272" s="715">
        <v>43234</v>
      </c>
      <c r="AR272" s="417"/>
      <c r="AS272" s="417"/>
      <c r="AT272" s="417"/>
      <c r="AU272" s="417"/>
      <c r="AV272" s="417"/>
      <c r="AW272" s="417"/>
      <c r="AX272" s="417"/>
      <c r="AY272" t="s">
        <v>80</v>
      </c>
      <c r="AZ272" s="417"/>
      <c r="BA272" s="417"/>
      <c r="BB272" t="s">
        <v>3584</v>
      </c>
      <c r="BC272" s="636"/>
      <c r="BD272" s="417"/>
      <c r="BE272" s="612">
        <v>0</v>
      </c>
      <c r="BF272" s="613">
        <v>0</v>
      </c>
      <c r="BG272" s="614" t="s">
        <v>78</v>
      </c>
      <c r="BH272" s="682"/>
      <c r="BI272" s="417"/>
      <c r="BJ272" s="417">
        <v>7</v>
      </c>
      <c r="BK272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272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272" s="682"/>
      <c r="BN272" s="636" t="s">
        <v>3784</v>
      </c>
      <c r="BO272" s="636" t="s">
        <v>3784</v>
      </c>
      <c r="BP272" s="636" t="s">
        <v>3784</v>
      </c>
      <c r="BQ272" s="636" t="s">
        <v>105</v>
      </c>
      <c r="BR272" s="636"/>
      <c r="BS272" s="636"/>
      <c r="BT272" s="636"/>
      <c r="BU272" s="636"/>
      <c r="BV272" s="636"/>
      <c r="BW272" s="636" t="s">
        <v>4176</v>
      </c>
      <c r="BX272" s="636"/>
      <c r="BY272" s="972"/>
    </row>
    <row r="273" spans="1:77">
      <c r="A273" t="s">
        <v>105</v>
      </c>
      <c r="B273" s="675" t="s">
        <v>116</v>
      </c>
      <c r="C273" s="687" t="s">
        <v>3588</v>
      </c>
      <c r="D273" s="675">
        <v>0</v>
      </c>
      <c r="E273" s="675" t="s">
        <v>2305</v>
      </c>
      <c r="F273" s="675">
        <v>3</v>
      </c>
      <c r="G273" s="675" t="s">
        <v>2238</v>
      </c>
      <c r="H273" s="675">
        <v>58</v>
      </c>
      <c r="I273" s="676" t="s">
        <v>4192</v>
      </c>
      <c r="J273" s="677">
        <v>0.3</v>
      </c>
      <c r="K273" s="683">
        <v>14</v>
      </c>
      <c r="L273" s="677">
        <v>0</v>
      </c>
      <c r="M273" s="677">
        <v>4</v>
      </c>
      <c r="N273" s="677">
        <v>0</v>
      </c>
      <c r="O273" s="677">
        <v>0</v>
      </c>
      <c r="P273" s="677">
        <v>0</v>
      </c>
      <c r="Q273" s="677">
        <v>0</v>
      </c>
      <c r="R273" s="677">
        <v>0</v>
      </c>
      <c r="S273" s="677">
        <v>7</v>
      </c>
      <c r="T273" s="677">
        <v>1</v>
      </c>
      <c r="U273" s="677">
        <v>0</v>
      </c>
      <c r="V273" s="677">
        <v>0</v>
      </c>
      <c r="W273" s="677">
        <v>0</v>
      </c>
      <c r="X273" s="678"/>
      <c r="Y273" s="682"/>
      <c r="Z273" s="680"/>
      <c r="AA273" s="681">
        <v>53.835000000000001</v>
      </c>
      <c r="AB273" s="681">
        <v>29.978000000000002</v>
      </c>
      <c r="AC273" s="417">
        <v>1</v>
      </c>
      <c r="AD273" s="417"/>
      <c r="AE273" s="682" t="s">
        <v>4193</v>
      </c>
      <c r="AF273">
        <v>1</v>
      </c>
      <c r="AG273" s="713">
        <v>43101</v>
      </c>
      <c r="AH273" s="417"/>
      <c r="AI273" s="417"/>
      <c r="AJ273" s="714">
        <v>43234</v>
      </c>
      <c r="AK273" s="417"/>
      <c r="AL273" s="637" t="s">
        <v>3475</v>
      </c>
      <c r="AM273" s="417"/>
      <c r="AN273" s="417"/>
      <c r="AO273" s="636"/>
      <c r="AP273">
        <v>556702</v>
      </c>
      <c r="AQ273" s="715">
        <v>43234</v>
      </c>
      <c r="AR273" s="417"/>
      <c r="AS273" s="417"/>
      <c r="AT273" s="417"/>
      <c r="AU273" s="417"/>
      <c r="AV273" s="417"/>
      <c r="AW273" s="417"/>
      <c r="AX273" s="417"/>
      <c r="AY273" t="s">
        <v>80</v>
      </c>
      <c r="AZ273" s="417"/>
      <c r="BA273" s="417"/>
      <c r="BB273" t="s">
        <v>3584</v>
      </c>
      <c r="BC273" s="636"/>
      <c r="BD273" s="417"/>
      <c r="BE273" s="612">
        <v>0</v>
      </c>
      <c r="BF273" s="613">
        <v>0</v>
      </c>
      <c r="BG273" s="614" t="s">
        <v>78</v>
      </c>
      <c r="BH273" s="682"/>
      <c r="BI273" s="417"/>
      <c r="BJ273" s="417">
        <v>6</v>
      </c>
      <c r="BK273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273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273" s="682"/>
      <c r="BN273" s="636" t="s">
        <v>3784</v>
      </c>
      <c r="BO273" s="636" t="s">
        <v>3784</v>
      </c>
      <c r="BP273" s="636" t="s">
        <v>3784</v>
      </c>
      <c r="BQ273" s="636" t="s">
        <v>105</v>
      </c>
      <c r="BR273" s="636"/>
      <c r="BS273" s="636"/>
      <c r="BT273" s="636"/>
      <c r="BU273" s="636"/>
      <c r="BV273" s="636"/>
      <c r="BW273" s="636" t="s">
        <v>4176</v>
      </c>
      <c r="BX273" s="636"/>
      <c r="BY273" s="972"/>
    </row>
    <row r="274" spans="1:77">
      <c r="A274" t="s">
        <v>105</v>
      </c>
      <c r="B274" s="675" t="s">
        <v>116</v>
      </c>
      <c r="C274" s="687" t="s">
        <v>3588</v>
      </c>
      <c r="D274" s="675">
        <v>0</v>
      </c>
      <c r="E274" s="675" t="s">
        <v>2305</v>
      </c>
      <c r="F274" s="675">
        <v>3</v>
      </c>
      <c r="G274" s="675" t="s">
        <v>2238</v>
      </c>
      <c r="H274" s="675">
        <v>58</v>
      </c>
      <c r="I274" s="676" t="s">
        <v>4035</v>
      </c>
      <c r="J274" s="677">
        <v>0.6</v>
      </c>
      <c r="K274" s="683">
        <v>38</v>
      </c>
      <c r="L274" s="677">
        <v>0</v>
      </c>
      <c r="M274" s="677">
        <v>6</v>
      </c>
      <c r="N274" s="677">
        <v>0</v>
      </c>
      <c r="O274" s="677">
        <v>0</v>
      </c>
      <c r="P274" s="677">
        <v>0</v>
      </c>
      <c r="Q274" s="677">
        <v>0</v>
      </c>
      <c r="R274" s="677">
        <v>1</v>
      </c>
      <c r="S274" s="677">
        <v>12</v>
      </c>
      <c r="T274" s="677">
        <v>1</v>
      </c>
      <c r="U274" s="677">
        <v>0</v>
      </c>
      <c r="V274" s="677">
        <v>0</v>
      </c>
      <c r="W274" s="677">
        <v>0</v>
      </c>
      <c r="X274" s="678"/>
      <c r="Y274" s="682"/>
      <c r="Z274" s="680"/>
      <c r="AA274" s="681">
        <v>60.518999999999998</v>
      </c>
      <c r="AB274" s="681">
        <v>29.978000000000002</v>
      </c>
      <c r="AC274" s="417">
        <v>1</v>
      </c>
      <c r="AD274" s="417"/>
      <c r="AE274" s="682" t="s">
        <v>4191</v>
      </c>
      <c r="AF274">
        <v>1</v>
      </c>
      <c r="AG274" s="713">
        <v>43101</v>
      </c>
      <c r="AH274" s="417"/>
      <c r="AI274" s="417"/>
      <c r="AJ274" s="714">
        <v>43234</v>
      </c>
      <c r="AK274" s="417"/>
      <c r="AL274" s="637" t="s">
        <v>3475</v>
      </c>
      <c r="AM274" s="417"/>
      <c r="AN274" s="417"/>
      <c r="AO274" s="636"/>
      <c r="AP274">
        <v>556702</v>
      </c>
      <c r="AQ274" s="715">
        <v>43234</v>
      </c>
      <c r="AR274" s="417"/>
      <c r="AS274" s="417"/>
      <c r="AT274" s="417"/>
      <c r="AU274" s="417"/>
      <c r="AV274" s="417"/>
      <c r="AW274" s="417"/>
      <c r="AX274" s="417"/>
      <c r="AY274" t="s">
        <v>80</v>
      </c>
      <c r="AZ274" s="417"/>
      <c r="BA274" s="417"/>
      <c r="BB274" t="s">
        <v>3584</v>
      </c>
      <c r="BC274" s="636"/>
      <c r="BD274" s="417"/>
      <c r="BE274" s="612">
        <v>0</v>
      </c>
      <c r="BF274" s="613">
        <v>0</v>
      </c>
      <c r="BG274" s="614" t="s">
        <v>78</v>
      </c>
      <c r="BH274" s="682"/>
      <c r="BI274" s="417"/>
      <c r="BJ274" s="417">
        <v>7</v>
      </c>
      <c r="BK274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274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274" s="682"/>
      <c r="BN274" s="636" t="s">
        <v>3784</v>
      </c>
      <c r="BO274" s="636" t="s">
        <v>3784</v>
      </c>
      <c r="BP274" s="636" t="s">
        <v>3784</v>
      </c>
      <c r="BQ274" s="636" t="s">
        <v>105</v>
      </c>
      <c r="BR274" s="636"/>
      <c r="BS274" s="636"/>
      <c r="BT274" s="636"/>
      <c r="BU274" s="636"/>
      <c r="BV274" s="636"/>
      <c r="BW274" s="636" t="s">
        <v>4176</v>
      </c>
      <c r="BX274" s="636"/>
      <c r="BY274" s="972"/>
    </row>
    <row r="275" spans="1:77">
      <c r="A275" t="s">
        <v>105</v>
      </c>
      <c r="B275" s="675" t="s">
        <v>116</v>
      </c>
      <c r="C275" s="687" t="s">
        <v>3588</v>
      </c>
      <c r="D275" s="675">
        <v>0</v>
      </c>
      <c r="E275" s="675" t="s">
        <v>2305</v>
      </c>
      <c r="F275" s="675">
        <v>3</v>
      </c>
      <c r="G275" s="675" t="s">
        <v>2238</v>
      </c>
      <c r="H275" s="675">
        <v>54</v>
      </c>
      <c r="I275" s="676" t="s">
        <v>4013</v>
      </c>
      <c r="J275" s="677">
        <v>0.8</v>
      </c>
      <c r="K275" s="683">
        <v>128</v>
      </c>
      <c r="L275" s="677">
        <v>0</v>
      </c>
      <c r="M275" s="677">
        <v>10</v>
      </c>
      <c r="N275" s="677">
        <v>0</v>
      </c>
      <c r="O275" s="677">
        <v>0</v>
      </c>
      <c r="P275" s="677">
        <v>0</v>
      </c>
      <c r="Q275" s="677">
        <v>0</v>
      </c>
      <c r="R275" s="677">
        <v>0</v>
      </c>
      <c r="S275" s="677">
        <v>27</v>
      </c>
      <c r="T275" s="677">
        <v>0</v>
      </c>
      <c r="U275" s="677">
        <v>0</v>
      </c>
      <c r="V275" s="677">
        <v>0</v>
      </c>
      <c r="W275" s="677">
        <v>0</v>
      </c>
      <c r="X275" s="678"/>
      <c r="Y275" s="682"/>
      <c r="Z275" s="680"/>
      <c r="AA275" s="681">
        <v>73.736999999999995</v>
      </c>
      <c r="AB275" s="681">
        <v>29.978000000000002</v>
      </c>
      <c r="AC275" s="417">
        <v>5</v>
      </c>
      <c r="AD275" s="417"/>
      <c r="AE275" s="682" t="s">
        <v>4194</v>
      </c>
      <c r="AF275">
        <v>1</v>
      </c>
      <c r="AG275" s="713">
        <v>43101</v>
      </c>
      <c r="AH275" s="417"/>
      <c r="AI275" s="417"/>
      <c r="AJ275" s="714">
        <v>43234</v>
      </c>
      <c r="AK275" s="417"/>
      <c r="AL275" s="637" t="s">
        <v>3470</v>
      </c>
      <c r="AM275" s="417"/>
      <c r="AN275" s="417"/>
      <c r="AO275" s="636"/>
      <c r="AP275">
        <v>556702</v>
      </c>
      <c r="AQ275" s="715">
        <v>43234</v>
      </c>
      <c r="AR275" s="417"/>
      <c r="AS275" s="417"/>
      <c r="AT275" s="417"/>
      <c r="AU275" s="417"/>
      <c r="AV275" s="417"/>
      <c r="AW275" s="417"/>
      <c r="AX275" s="417"/>
      <c r="AY275" t="s">
        <v>80</v>
      </c>
      <c r="AZ275" s="417"/>
      <c r="BA275" s="417"/>
      <c r="BB275" t="s">
        <v>3584</v>
      </c>
      <c r="BC275" s="636"/>
      <c r="BD275" s="417"/>
      <c r="BE275" s="612">
        <v>0</v>
      </c>
      <c r="BF275" s="613">
        <v>0</v>
      </c>
      <c r="BG275" s="614" t="s">
        <v>78</v>
      </c>
      <c r="BH275" s="682"/>
      <c r="BI275" s="417"/>
      <c r="BJ275" s="417">
        <v>8</v>
      </c>
      <c r="BK275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275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275" s="682"/>
      <c r="BN275" s="636" t="s">
        <v>3784</v>
      </c>
      <c r="BO275" s="636" t="s">
        <v>3784</v>
      </c>
      <c r="BP275" s="636" t="s">
        <v>3784</v>
      </c>
      <c r="BQ275" s="636" t="s">
        <v>105</v>
      </c>
      <c r="BR275" s="636"/>
      <c r="BS275" s="636"/>
      <c r="BT275" s="636"/>
      <c r="BU275" s="636"/>
      <c r="BV275" s="636"/>
      <c r="BW275" s="636" t="s">
        <v>4176</v>
      </c>
      <c r="BX275" s="636"/>
      <c r="BY275" s="972"/>
    </row>
    <row r="276" spans="1:77">
      <c r="A276" t="s">
        <v>105</v>
      </c>
      <c r="B276" s="675" t="s">
        <v>116</v>
      </c>
      <c r="C276" s="687" t="s">
        <v>3588</v>
      </c>
      <c r="D276" s="675">
        <v>0</v>
      </c>
      <c r="E276" s="675" t="s">
        <v>2305</v>
      </c>
      <c r="F276" s="675">
        <v>3</v>
      </c>
      <c r="G276" s="675" t="s">
        <v>2238</v>
      </c>
      <c r="H276" s="675">
        <v>54</v>
      </c>
      <c r="I276" s="676" t="s">
        <v>3847</v>
      </c>
      <c r="J276" s="677">
        <v>1</v>
      </c>
      <c r="K276" s="683">
        <v>55</v>
      </c>
      <c r="L276" s="677">
        <v>0</v>
      </c>
      <c r="M276" s="677">
        <v>0</v>
      </c>
      <c r="N276" s="677">
        <v>3</v>
      </c>
      <c r="O276" s="677">
        <v>0</v>
      </c>
      <c r="P276" s="677">
        <v>0</v>
      </c>
      <c r="Q276" s="677">
        <v>0</v>
      </c>
      <c r="R276" s="677">
        <v>0</v>
      </c>
      <c r="S276" s="677">
        <v>1</v>
      </c>
      <c r="T276" s="677">
        <v>27</v>
      </c>
      <c r="U276" s="677">
        <v>0</v>
      </c>
      <c r="V276" s="677">
        <v>0</v>
      </c>
      <c r="W276" s="677">
        <v>0</v>
      </c>
      <c r="X276" s="678"/>
      <c r="Y276" s="682"/>
      <c r="Z276" s="680"/>
      <c r="AA276" s="681">
        <v>73.584999999999994</v>
      </c>
      <c r="AB276" s="681">
        <v>29.978000000000002</v>
      </c>
      <c r="AC276" s="417">
        <v>2</v>
      </c>
      <c r="AD276" s="417"/>
      <c r="AE276" s="682" t="s">
        <v>4195</v>
      </c>
      <c r="AF276">
        <v>1</v>
      </c>
      <c r="AG276" s="713">
        <v>43101</v>
      </c>
      <c r="AH276" s="417"/>
      <c r="AI276" s="417"/>
      <c r="AJ276" s="714">
        <v>43234</v>
      </c>
      <c r="AK276" s="417"/>
      <c r="AL276" s="637" t="s">
        <v>3470</v>
      </c>
      <c r="AM276" s="417"/>
      <c r="AN276" s="417"/>
      <c r="AO276" s="636"/>
      <c r="AP276">
        <v>556702</v>
      </c>
      <c r="AQ276" s="715">
        <v>43234</v>
      </c>
      <c r="AR276" s="417"/>
      <c r="AS276" s="417"/>
      <c r="AT276" s="417"/>
      <c r="AU276" s="417"/>
      <c r="AV276" s="417"/>
      <c r="AW276" s="417"/>
      <c r="AX276" s="417"/>
      <c r="AY276" t="s">
        <v>80</v>
      </c>
      <c r="AZ276" s="417"/>
      <c r="BA276" s="417"/>
      <c r="BB276" t="s">
        <v>3584</v>
      </c>
      <c r="BC276" s="636"/>
      <c r="BD276" s="417"/>
      <c r="BE276" s="612">
        <v>0</v>
      </c>
      <c r="BF276" s="613">
        <v>0</v>
      </c>
      <c r="BG276" s="614" t="s">
        <v>78</v>
      </c>
      <c r="BH276" s="682"/>
      <c r="BI276" s="417"/>
      <c r="BJ276" s="417">
        <v>9</v>
      </c>
      <c r="BK276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276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276" s="682"/>
      <c r="BN276" s="636" t="s">
        <v>3784</v>
      </c>
      <c r="BO276" s="636" t="s">
        <v>3784</v>
      </c>
      <c r="BP276" s="636" t="s">
        <v>3784</v>
      </c>
      <c r="BQ276" s="636" t="s">
        <v>105</v>
      </c>
      <c r="BR276" s="636"/>
      <c r="BS276" s="636"/>
      <c r="BT276" s="636"/>
      <c r="BU276" s="636"/>
      <c r="BV276" s="636"/>
      <c r="BW276" s="636" t="s">
        <v>4176</v>
      </c>
      <c r="BX276" s="636"/>
      <c r="BY276" s="972"/>
    </row>
    <row r="277" spans="1:77">
      <c r="A277" t="s">
        <v>105</v>
      </c>
      <c r="B277" s="675" t="s">
        <v>116</v>
      </c>
      <c r="C277" s="687" t="s">
        <v>3588</v>
      </c>
      <c r="D277" s="675">
        <v>0</v>
      </c>
      <c r="E277" s="675" t="s">
        <v>2305</v>
      </c>
      <c r="F277" s="675">
        <v>3</v>
      </c>
      <c r="G277" s="675" t="s">
        <v>2238</v>
      </c>
      <c r="H277" s="675">
        <v>53</v>
      </c>
      <c r="I277" s="676" t="s">
        <v>4196</v>
      </c>
      <c r="J277" s="677">
        <v>1</v>
      </c>
      <c r="K277" s="683">
        <v>68</v>
      </c>
      <c r="L277" s="677">
        <v>0</v>
      </c>
      <c r="M277" s="677">
        <v>0</v>
      </c>
      <c r="N277" s="677">
        <v>1</v>
      </c>
      <c r="O277" s="677">
        <v>0</v>
      </c>
      <c r="P277" s="677">
        <v>0</v>
      </c>
      <c r="Q277" s="677">
        <v>0</v>
      </c>
      <c r="R277" s="677">
        <v>0</v>
      </c>
      <c r="S277" s="677">
        <v>0</v>
      </c>
      <c r="T277" s="677">
        <v>14</v>
      </c>
      <c r="U277" s="677">
        <v>0</v>
      </c>
      <c r="V277" s="677">
        <v>0</v>
      </c>
      <c r="W277" s="677">
        <v>0</v>
      </c>
      <c r="X277" s="678"/>
      <c r="Y277" s="682"/>
      <c r="Z277" s="680"/>
      <c r="AA277" s="681">
        <v>109.339</v>
      </c>
      <c r="AB277" s="681">
        <v>29.978000000000002</v>
      </c>
      <c r="AC277" s="417">
        <v>1</v>
      </c>
      <c r="AD277" s="417"/>
      <c r="AE277" s="682" t="s">
        <v>4197</v>
      </c>
      <c r="AF277">
        <v>1</v>
      </c>
      <c r="AG277" s="713">
        <v>43101</v>
      </c>
      <c r="AH277" s="417"/>
      <c r="AI277" s="417"/>
      <c r="AJ277" s="714">
        <v>43234</v>
      </c>
      <c r="AK277" s="417"/>
      <c r="AL277" s="637" t="s">
        <v>3470</v>
      </c>
      <c r="AM277" s="417"/>
      <c r="AN277" s="417"/>
      <c r="AO277" s="636"/>
      <c r="AP277">
        <v>556702</v>
      </c>
      <c r="AQ277" s="715">
        <v>43234</v>
      </c>
      <c r="AR277" s="417"/>
      <c r="AS277" s="417"/>
      <c r="AT277" s="417"/>
      <c r="AU277" s="417"/>
      <c r="AV277" s="417"/>
      <c r="AW277" s="417"/>
      <c r="AX277" s="417"/>
      <c r="AY277" t="s">
        <v>80</v>
      </c>
      <c r="AZ277" s="417"/>
      <c r="BA277" s="417"/>
      <c r="BB277" t="s">
        <v>3584</v>
      </c>
      <c r="BC277" s="636"/>
      <c r="BD277" s="417"/>
      <c r="BE277" s="612">
        <v>0</v>
      </c>
      <c r="BF277" s="613">
        <v>0</v>
      </c>
      <c r="BG277" s="614" t="s">
        <v>78</v>
      </c>
      <c r="BH277" s="682"/>
      <c r="BI277" s="417"/>
      <c r="BJ277" s="417">
        <v>10</v>
      </c>
      <c r="BK27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27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277" s="682"/>
      <c r="BN277" s="636" t="s">
        <v>3784</v>
      </c>
      <c r="BO277" s="636" t="s">
        <v>3784</v>
      </c>
      <c r="BP277" s="636" t="s">
        <v>3784</v>
      </c>
      <c r="BQ277" s="636" t="s">
        <v>105</v>
      </c>
      <c r="BR277" s="636"/>
      <c r="BS277" s="636"/>
      <c r="BT277" s="636"/>
      <c r="BU277" s="636"/>
      <c r="BV277" s="636"/>
      <c r="BW277" s="636" t="s">
        <v>4176</v>
      </c>
      <c r="BX277" s="636"/>
      <c r="BY277" s="972"/>
    </row>
    <row r="278" spans="1:77">
      <c r="A278" t="s">
        <v>105</v>
      </c>
      <c r="B278" s="675" t="s">
        <v>116</v>
      </c>
      <c r="C278" s="687" t="s">
        <v>3588</v>
      </c>
      <c r="D278" s="675">
        <v>0</v>
      </c>
      <c r="E278" s="675" t="s">
        <v>2305</v>
      </c>
      <c r="F278" s="675">
        <v>3</v>
      </c>
      <c r="G278" s="675" t="s">
        <v>2238</v>
      </c>
      <c r="H278" s="675">
        <v>53</v>
      </c>
      <c r="I278" s="676" t="s">
        <v>3806</v>
      </c>
      <c r="J278" s="677">
        <v>1</v>
      </c>
      <c r="K278" s="683">
        <v>78</v>
      </c>
      <c r="L278" s="677">
        <v>0</v>
      </c>
      <c r="M278" s="677">
        <v>3</v>
      </c>
      <c r="N278" s="677">
        <v>0</v>
      </c>
      <c r="O278" s="677">
        <v>0</v>
      </c>
      <c r="P278" s="677">
        <v>0</v>
      </c>
      <c r="Q278" s="677">
        <v>0</v>
      </c>
      <c r="R278" s="677">
        <v>19</v>
      </c>
      <c r="S278" s="677">
        <v>1</v>
      </c>
      <c r="T278" s="677">
        <v>0</v>
      </c>
      <c r="U278" s="677">
        <v>0</v>
      </c>
      <c r="V278" s="677">
        <v>0</v>
      </c>
      <c r="W278" s="677">
        <v>0</v>
      </c>
      <c r="X278" s="678"/>
      <c r="Y278" s="682"/>
      <c r="Z278" s="680"/>
      <c r="AA278" s="681">
        <v>94.004999999999995</v>
      </c>
      <c r="AB278" s="681">
        <v>29.978000000000002</v>
      </c>
      <c r="AC278" s="417">
        <v>2</v>
      </c>
      <c r="AD278" s="417"/>
      <c r="AE278" s="682" t="s">
        <v>4198</v>
      </c>
      <c r="AF278">
        <v>1</v>
      </c>
      <c r="AG278" s="713">
        <v>43101</v>
      </c>
      <c r="AH278" s="417"/>
      <c r="AI278" s="417"/>
      <c r="AJ278" s="714">
        <v>43234</v>
      </c>
      <c r="AK278" s="417"/>
      <c r="AL278" s="637" t="s">
        <v>3470</v>
      </c>
      <c r="AM278" s="417"/>
      <c r="AN278" s="417"/>
      <c r="AO278" s="636"/>
      <c r="AP278">
        <v>556702</v>
      </c>
      <c r="AQ278" s="715">
        <v>43234</v>
      </c>
      <c r="AR278" s="417"/>
      <c r="AS278" s="417"/>
      <c r="AT278" s="417"/>
      <c r="AU278" s="417"/>
      <c r="AV278" s="417"/>
      <c r="AW278" s="417"/>
      <c r="AX278" s="417"/>
      <c r="AY278" t="s">
        <v>80</v>
      </c>
      <c r="AZ278" s="417"/>
      <c r="BA278" s="417"/>
      <c r="BB278" t="s">
        <v>3584</v>
      </c>
      <c r="BC278" s="636"/>
      <c r="BD278" s="417"/>
      <c r="BE278" s="612">
        <v>0</v>
      </c>
      <c r="BF278" s="613">
        <v>0</v>
      </c>
      <c r="BG278" s="614" t="s">
        <v>78</v>
      </c>
      <c r="BH278" s="682"/>
      <c r="BI278" s="417"/>
      <c r="BJ278" s="417">
        <v>11</v>
      </c>
      <c r="BK278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278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278" s="682"/>
      <c r="BN278" s="636" t="s">
        <v>3784</v>
      </c>
      <c r="BO278" s="636" t="s">
        <v>3784</v>
      </c>
      <c r="BP278" s="636" t="s">
        <v>3784</v>
      </c>
      <c r="BQ278" s="636" t="s">
        <v>105</v>
      </c>
      <c r="BR278" s="636"/>
      <c r="BS278" s="636"/>
      <c r="BT278" s="636"/>
      <c r="BU278" s="636"/>
      <c r="BV278" s="636"/>
      <c r="BW278" s="636" t="s">
        <v>4176</v>
      </c>
      <c r="BX278" s="636"/>
      <c r="BY278" s="972"/>
    </row>
    <row r="279" spans="1:77">
      <c r="A279" t="s">
        <v>105</v>
      </c>
      <c r="B279" s="675" t="s">
        <v>116</v>
      </c>
      <c r="C279" s="687" t="s">
        <v>3588</v>
      </c>
      <c r="D279" s="675">
        <v>0</v>
      </c>
      <c r="E279" s="675" t="s">
        <v>2305</v>
      </c>
      <c r="F279" s="675">
        <v>3</v>
      </c>
      <c r="G279" s="675" t="s">
        <v>2238</v>
      </c>
      <c r="H279" s="675">
        <v>53</v>
      </c>
      <c r="I279" s="676" t="s">
        <v>3796</v>
      </c>
      <c r="J279" s="677">
        <v>2</v>
      </c>
      <c r="K279" s="683">
        <v>189</v>
      </c>
      <c r="L279" s="677">
        <v>0</v>
      </c>
      <c r="M279" s="677">
        <v>13</v>
      </c>
      <c r="N279" s="677">
        <v>0</v>
      </c>
      <c r="O279" s="677">
        <v>0</v>
      </c>
      <c r="P279" s="677">
        <v>0</v>
      </c>
      <c r="Q279" s="677">
        <v>0</v>
      </c>
      <c r="R279" s="677">
        <v>57</v>
      </c>
      <c r="S279" s="677">
        <v>1</v>
      </c>
      <c r="T279" s="677">
        <v>0</v>
      </c>
      <c r="U279" s="677">
        <v>0</v>
      </c>
      <c r="V279" s="677">
        <v>0</v>
      </c>
      <c r="W279" s="677">
        <v>0</v>
      </c>
      <c r="X279" s="678"/>
      <c r="Y279" s="682"/>
      <c r="Z279" s="680"/>
      <c r="AA279" s="681">
        <v>81.66</v>
      </c>
      <c r="AB279" s="681">
        <v>29.978000000000002</v>
      </c>
      <c r="AC279" s="417">
        <v>10</v>
      </c>
      <c r="AD279" s="417"/>
      <c r="AE279" s="682" t="s">
        <v>4199</v>
      </c>
      <c r="AF279">
        <v>1</v>
      </c>
      <c r="AG279" s="713">
        <v>43101</v>
      </c>
      <c r="AH279" s="417"/>
      <c r="AI279" s="417"/>
      <c r="AJ279" s="714">
        <v>43234</v>
      </c>
      <c r="AK279" s="417"/>
      <c r="AL279" s="637" t="s">
        <v>3470</v>
      </c>
      <c r="AM279" s="417"/>
      <c r="AN279" s="417"/>
      <c r="AO279" s="636"/>
      <c r="AP279">
        <v>556702</v>
      </c>
      <c r="AQ279" s="715">
        <v>43234</v>
      </c>
      <c r="AR279" s="417"/>
      <c r="AS279" s="417"/>
      <c r="AT279" s="417"/>
      <c r="AU279" s="417"/>
      <c r="AV279" s="417"/>
      <c r="AW279" s="417"/>
      <c r="AX279" s="417"/>
      <c r="AY279" t="s">
        <v>80</v>
      </c>
      <c r="AZ279" s="417"/>
      <c r="BA279" s="417"/>
      <c r="BB279" t="s">
        <v>3584</v>
      </c>
      <c r="BC279" s="636"/>
      <c r="BD279" s="417"/>
      <c r="BE279" s="612">
        <v>0</v>
      </c>
      <c r="BF279" s="613">
        <v>0</v>
      </c>
      <c r="BG279" s="614" t="s">
        <v>78</v>
      </c>
      <c r="BH279" s="682"/>
      <c r="BI279" s="417"/>
      <c r="BJ279" s="417">
        <v>12</v>
      </c>
      <c r="BK279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279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279" s="682"/>
      <c r="BN279" s="636" t="s">
        <v>3784</v>
      </c>
      <c r="BO279" s="636" t="s">
        <v>3784</v>
      </c>
      <c r="BP279" s="636" t="s">
        <v>3784</v>
      </c>
      <c r="BQ279" s="636" t="s">
        <v>105</v>
      </c>
      <c r="BR279" s="636"/>
      <c r="BS279" s="636"/>
      <c r="BT279" s="636"/>
      <c r="BU279" s="636"/>
      <c r="BV279" s="636"/>
      <c r="BW279" s="636" t="s">
        <v>4176</v>
      </c>
      <c r="BX279" s="636"/>
      <c r="BY279" s="972"/>
    </row>
    <row r="280" spans="1:77">
      <c r="A280" t="s">
        <v>105</v>
      </c>
      <c r="B280" s="675" t="s">
        <v>116</v>
      </c>
      <c r="C280" s="687" t="s">
        <v>3588</v>
      </c>
      <c r="D280" s="675">
        <v>0</v>
      </c>
      <c r="E280" s="675" t="s">
        <v>2305</v>
      </c>
      <c r="F280" s="675">
        <v>3</v>
      </c>
      <c r="G280" s="675" t="s">
        <v>2238</v>
      </c>
      <c r="H280" s="675">
        <v>54</v>
      </c>
      <c r="I280" s="676" t="s">
        <v>3806</v>
      </c>
      <c r="J280" s="677">
        <v>0.4</v>
      </c>
      <c r="K280" s="683">
        <v>47</v>
      </c>
      <c r="L280" s="677">
        <v>0</v>
      </c>
      <c r="M280" s="677">
        <v>0</v>
      </c>
      <c r="N280" s="677">
        <v>0</v>
      </c>
      <c r="O280" s="677">
        <v>0</v>
      </c>
      <c r="P280" s="677">
        <v>0</v>
      </c>
      <c r="Q280" s="677">
        <v>0</v>
      </c>
      <c r="R280" s="677">
        <v>0</v>
      </c>
      <c r="S280" s="677">
        <v>5</v>
      </c>
      <c r="T280" s="677">
        <v>0</v>
      </c>
      <c r="U280" s="677">
        <v>0</v>
      </c>
      <c r="V280" s="677">
        <v>0</v>
      </c>
      <c r="W280" s="677">
        <v>0</v>
      </c>
      <c r="X280" s="678"/>
      <c r="Y280" s="682"/>
      <c r="Z280" s="680"/>
      <c r="AA280" s="681">
        <v>124.059</v>
      </c>
      <c r="AB280" s="681">
        <v>29.978000000000002</v>
      </c>
      <c r="AC280" s="417">
        <v>1</v>
      </c>
      <c r="AD280" s="417"/>
      <c r="AE280" s="682" t="s">
        <v>4200</v>
      </c>
      <c r="AF280">
        <v>1</v>
      </c>
      <c r="AG280" s="713">
        <v>43101</v>
      </c>
      <c r="AH280" s="417"/>
      <c r="AI280" s="417"/>
      <c r="AJ280" s="714">
        <v>43234</v>
      </c>
      <c r="AK280" s="417"/>
      <c r="AL280" s="637" t="s">
        <v>3470</v>
      </c>
      <c r="AM280" s="417"/>
      <c r="AN280" s="417"/>
      <c r="AO280" s="636"/>
      <c r="AP280">
        <v>556702</v>
      </c>
      <c r="AQ280" s="715">
        <v>43234</v>
      </c>
      <c r="AR280" s="417"/>
      <c r="AS280" s="417"/>
      <c r="AT280" s="417"/>
      <c r="AU280" s="417"/>
      <c r="AV280" s="417"/>
      <c r="AW280" s="417"/>
      <c r="AX280" s="417"/>
      <c r="AY280" t="s">
        <v>80</v>
      </c>
      <c r="AZ280" s="417"/>
      <c r="BA280" s="417"/>
      <c r="BB280" t="s">
        <v>3584</v>
      </c>
      <c r="BC280" s="636"/>
      <c r="BD280" s="417"/>
      <c r="BE280" s="612">
        <v>0</v>
      </c>
      <c r="BF280" s="613">
        <v>0</v>
      </c>
      <c r="BG280" s="614" t="s">
        <v>78</v>
      </c>
      <c r="BH280" s="682"/>
      <c r="BI280" s="417"/>
      <c r="BJ280" s="417">
        <v>13</v>
      </c>
      <c r="BK280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280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280" s="682"/>
      <c r="BN280" s="636" t="s">
        <v>3784</v>
      </c>
      <c r="BO280" s="636" t="s">
        <v>3784</v>
      </c>
      <c r="BP280" s="636" t="s">
        <v>3784</v>
      </c>
      <c r="BQ280" s="636" t="s">
        <v>105</v>
      </c>
      <c r="BR280" s="636"/>
      <c r="BS280" s="636"/>
      <c r="BT280" s="636"/>
      <c r="BU280" s="636"/>
      <c r="BV280" s="636"/>
      <c r="BW280" s="636" t="s">
        <v>4176</v>
      </c>
      <c r="BX280" s="636"/>
      <c r="BY280" s="972"/>
    </row>
    <row r="281" spans="1:77">
      <c r="A281" t="s">
        <v>105</v>
      </c>
      <c r="B281" s="675" t="s">
        <v>116</v>
      </c>
      <c r="C281" s="687" t="s">
        <v>3588</v>
      </c>
      <c r="D281" s="675">
        <v>0</v>
      </c>
      <c r="E281" s="675" t="s">
        <v>2305</v>
      </c>
      <c r="F281" s="675">
        <v>3</v>
      </c>
      <c r="G281" s="675" t="s">
        <v>2238</v>
      </c>
      <c r="H281" s="675">
        <v>54</v>
      </c>
      <c r="I281" s="676" t="s">
        <v>3809</v>
      </c>
      <c r="J281" s="677">
        <v>0.6</v>
      </c>
      <c r="K281" s="683">
        <v>100</v>
      </c>
      <c r="L281" s="677">
        <v>0</v>
      </c>
      <c r="M281" s="677">
        <v>0</v>
      </c>
      <c r="N281" s="677">
        <v>0</v>
      </c>
      <c r="O281" s="677">
        <v>0</v>
      </c>
      <c r="P281" s="677">
        <v>0</v>
      </c>
      <c r="Q281" s="677">
        <v>0</v>
      </c>
      <c r="R281" s="677">
        <v>0</v>
      </c>
      <c r="S281" s="677">
        <v>11</v>
      </c>
      <c r="T281" s="677">
        <v>0</v>
      </c>
      <c r="U281" s="677">
        <v>0</v>
      </c>
      <c r="V281" s="677">
        <v>0</v>
      </c>
      <c r="W281" s="677">
        <v>0</v>
      </c>
      <c r="X281" s="678"/>
      <c r="Y281" s="682"/>
      <c r="Z281" s="680"/>
      <c r="AA281" s="681">
        <v>124.06</v>
      </c>
      <c r="AB281" s="681">
        <v>29.978000000000002</v>
      </c>
      <c r="AC281" s="417">
        <v>1</v>
      </c>
      <c r="AD281" s="417"/>
      <c r="AE281" s="682" t="s">
        <v>4201</v>
      </c>
      <c r="AF281">
        <v>1</v>
      </c>
      <c r="AG281" s="713">
        <v>43101</v>
      </c>
      <c r="AH281" s="417"/>
      <c r="AI281" s="417"/>
      <c r="AJ281" s="714">
        <v>43234</v>
      </c>
      <c r="AK281" s="417"/>
      <c r="AL281" s="637" t="s">
        <v>3470</v>
      </c>
      <c r="AM281" s="417"/>
      <c r="AN281" s="417"/>
      <c r="AO281" s="636"/>
      <c r="AP281">
        <v>556702</v>
      </c>
      <c r="AQ281" s="715">
        <v>43234</v>
      </c>
      <c r="AR281" s="417"/>
      <c r="AS281" s="417"/>
      <c r="AT281" s="417"/>
      <c r="AU281" s="417"/>
      <c r="AV281" s="417"/>
      <c r="AW281" s="417"/>
      <c r="AX281" s="417"/>
      <c r="AY281" t="s">
        <v>80</v>
      </c>
      <c r="AZ281" s="417"/>
      <c r="BA281" s="417"/>
      <c r="BB281" t="s">
        <v>3584</v>
      </c>
      <c r="BC281" s="636"/>
      <c r="BD281" s="417"/>
      <c r="BE281" s="612">
        <v>0</v>
      </c>
      <c r="BF281" s="613">
        <v>0</v>
      </c>
      <c r="BG281" s="614" t="s">
        <v>78</v>
      </c>
      <c r="BH281" s="682"/>
      <c r="BI281" s="417"/>
      <c r="BJ281" s="417">
        <v>14</v>
      </c>
      <c r="BK281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281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281" s="682"/>
      <c r="BN281" s="636" t="s">
        <v>3784</v>
      </c>
      <c r="BO281" s="636" t="s">
        <v>3784</v>
      </c>
      <c r="BP281" s="636" t="s">
        <v>3784</v>
      </c>
      <c r="BQ281" s="636" t="s">
        <v>105</v>
      </c>
      <c r="BR281" s="636"/>
      <c r="BS281" s="636"/>
      <c r="BT281" s="636"/>
      <c r="BU281" s="636"/>
      <c r="BV281" s="636"/>
      <c r="BW281" s="636" t="s">
        <v>4176</v>
      </c>
      <c r="BX281" s="636"/>
      <c r="BY281" s="972"/>
    </row>
    <row r="282" spans="1:77">
      <c r="A282" t="s">
        <v>105</v>
      </c>
      <c r="B282" s="675" t="s">
        <v>116</v>
      </c>
      <c r="C282" s="687" t="s">
        <v>3588</v>
      </c>
      <c r="D282" s="675">
        <v>0</v>
      </c>
      <c r="E282" s="675" t="s">
        <v>2305</v>
      </c>
      <c r="F282" s="675">
        <v>3</v>
      </c>
      <c r="G282" s="675" t="s">
        <v>2238</v>
      </c>
      <c r="H282" s="675">
        <v>54</v>
      </c>
      <c r="I282" s="676" t="s">
        <v>3791</v>
      </c>
      <c r="J282" s="677">
        <v>0.7</v>
      </c>
      <c r="K282" s="683">
        <v>174</v>
      </c>
      <c r="L282" s="677">
        <v>0</v>
      </c>
      <c r="M282" s="677">
        <v>8</v>
      </c>
      <c r="N282" s="677">
        <v>0</v>
      </c>
      <c r="O282" s="677">
        <v>0</v>
      </c>
      <c r="P282" s="677">
        <v>0</v>
      </c>
      <c r="Q282" s="677">
        <v>0</v>
      </c>
      <c r="R282" s="677">
        <v>0</v>
      </c>
      <c r="S282" s="677">
        <v>31</v>
      </c>
      <c r="T282" s="677">
        <v>2</v>
      </c>
      <c r="U282" s="677">
        <v>0</v>
      </c>
      <c r="V282" s="677">
        <v>0</v>
      </c>
      <c r="W282" s="677">
        <v>0</v>
      </c>
      <c r="X282" s="678"/>
      <c r="Y282" s="682"/>
      <c r="Z282" s="680"/>
      <c r="AA282" s="681">
        <v>81.129000000000005</v>
      </c>
      <c r="AB282" s="681">
        <v>29.978000000000002</v>
      </c>
      <c r="AC282" s="417">
        <v>6</v>
      </c>
      <c r="AD282" s="417"/>
      <c r="AE282" s="682" t="s">
        <v>4202</v>
      </c>
      <c r="AF282">
        <v>1</v>
      </c>
      <c r="AG282" s="713">
        <v>43101</v>
      </c>
      <c r="AH282" s="417"/>
      <c r="AI282" s="417"/>
      <c r="AJ282" s="714">
        <v>43234</v>
      </c>
      <c r="AK282" s="417"/>
      <c r="AL282" s="637" t="s">
        <v>3470</v>
      </c>
      <c r="AM282" s="417"/>
      <c r="AN282" s="417"/>
      <c r="AO282" s="636"/>
      <c r="AP282">
        <v>556702</v>
      </c>
      <c r="AQ282" s="715">
        <v>43234</v>
      </c>
      <c r="AR282" s="417"/>
      <c r="AS282" s="417"/>
      <c r="AT282" s="417"/>
      <c r="AU282" s="417"/>
      <c r="AV282" s="417"/>
      <c r="AW282" s="417"/>
      <c r="AX282" s="417"/>
      <c r="AY282" t="s">
        <v>80</v>
      </c>
      <c r="AZ282" s="417"/>
      <c r="BA282" s="417"/>
      <c r="BB282" t="s">
        <v>3584</v>
      </c>
      <c r="BC282" s="636"/>
      <c r="BD282" s="417"/>
      <c r="BE282" s="612">
        <v>0</v>
      </c>
      <c r="BF282" s="613">
        <v>0</v>
      </c>
      <c r="BG282" s="614" t="s">
        <v>78</v>
      </c>
      <c r="BH282" s="682"/>
      <c r="BI282" s="417"/>
      <c r="BJ282" s="417">
        <v>15</v>
      </c>
      <c r="BK282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282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282" s="682"/>
      <c r="BN282" s="636" t="s">
        <v>3784</v>
      </c>
      <c r="BO282" s="636" t="s">
        <v>3784</v>
      </c>
      <c r="BP282" s="636" t="s">
        <v>3784</v>
      </c>
      <c r="BQ282" s="636" t="s">
        <v>105</v>
      </c>
      <c r="BR282" s="636"/>
      <c r="BS282" s="636"/>
      <c r="BT282" s="636"/>
      <c r="BU282" s="636"/>
      <c r="BV282" s="636"/>
      <c r="BW282" s="636" t="s">
        <v>4176</v>
      </c>
      <c r="BX282" s="636"/>
      <c r="BY282" s="972"/>
    </row>
    <row r="283" spans="1:77">
      <c r="A283" t="s">
        <v>105</v>
      </c>
      <c r="B283" s="675" t="s">
        <v>116</v>
      </c>
      <c r="C283" s="687" t="s">
        <v>3588</v>
      </c>
      <c r="D283" s="675">
        <v>0</v>
      </c>
      <c r="E283" s="675" t="s">
        <v>2305</v>
      </c>
      <c r="F283" s="675">
        <v>3</v>
      </c>
      <c r="G283" s="675" t="s">
        <v>2238</v>
      </c>
      <c r="H283" s="675">
        <v>55</v>
      </c>
      <c r="I283" s="676" t="s">
        <v>3806</v>
      </c>
      <c r="J283" s="677">
        <v>2</v>
      </c>
      <c r="K283" s="683">
        <v>248</v>
      </c>
      <c r="L283" s="677">
        <v>0</v>
      </c>
      <c r="M283" s="677">
        <v>16</v>
      </c>
      <c r="N283" s="677">
        <v>0</v>
      </c>
      <c r="O283" s="677">
        <v>0</v>
      </c>
      <c r="P283" s="677">
        <v>0</v>
      </c>
      <c r="Q283" s="677">
        <v>0</v>
      </c>
      <c r="R283" s="677">
        <v>0</v>
      </c>
      <c r="S283" s="677">
        <v>51</v>
      </c>
      <c r="T283" s="677">
        <v>1</v>
      </c>
      <c r="U283" s="677">
        <v>0</v>
      </c>
      <c r="V283" s="677">
        <v>0</v>
      </c>
      <c r="W283" s="677">
        <v>0</v>
      </c>
      <c r="X283" s="678"/>
      <c r="Y283" s="682"/>
      <c r="Z283" s="680"/>
      <c r="AA283" s="681">
        <v>75.216999999999999</v>
      </c>
      <c r="AB283" s="681">
        <v>29.978000000000002</v>
      </c>
      <c r="AC283" s="417">
        <v>1</v>
      </c>
      <c r="AD283" s="417"/>
      <c r="AE283" s="682" t="s">
        <v>4203</v>
      </c>
      <c r="AF283">
        <v>1</v>
      </c>
      <c r="AG283" s="713">
        <v>43101</v>
      </c>
      <c r="AH283" s="417"/>
      <c r="AI283" s="417"/>
      <c r="AJ283" s="714">
        <v>43234</v>
      </c>
      <c r="AK283" s="417"/>
      <c r="AL283" s="637" t="s">
        <v>3470</v>
      </c>
      <c r="AM283" s="417"/>
      <c r="AN283" s="417"/>
      <c r="AO283" s="636"/>
      <c r="AP283">
        <v>556702</v>
      </c>
      <c r="AQ283" s="715">
        <v>43234</v>
      </c>
      <c r="AR283" s="417"/>
      <c r="AS283" s="417"/>
      <c r="AT283" s="417"/>
      <c r="AU283" s="417"/>
      <c r="AV283" s="417"/>
      <c r="AW283" s="417"/>
      <c r="AX283" s="417"/>
      <c r="AY283" t="s">
        <v>80</v>
      </c>
      <c r="AZ283" s="417"/>
      <c r="BA283" s="417"/>
      <c r="BB283" t="s">
        <v>3584</v>
      </c>
      <c r="BC283" s="636"/>
      <c r="BD283" s="417"/>
      <c r="BE283" s="612">
        <v>0</v>
      </c>
      <c r="BF283" s="613">
        <v>0</v>
      </c>
      <c r="BG283" s="614" t="s">
        <v>78</v>
      </c>
      <c r="BH283" s="682"/>
      <c r="BI283" s="417"/>
      <c r="BJ283" s="417">
        <v>16</v>
      </c>
      <c r="BK283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283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283" s="682"/>
      <c r="BN283" s="636" t="s">
        <v>3784</v>
      </c>
      <c r="BO283" s="636" t="s">
        <v>3784</v>
      </c>
      <c r="BP283" s="636" t="s">
        <v>3784</v>
      </c>
      <c r="BQ283" s="636" t="s">
        <v>105</v>
      </c>
      <c r="BR283" s="636"/>
      <c r="BS283" s="636"/>
      <c r="BT283" s="636"/>
      <c r="BU283" s="636"/>
      <c r="BV283" s="636"/>
      <c r="BW283" s="636" t="s">
        <v>4176</v>
      </c>
      <c r="BX283" s="636"/>
      <c r="BY283" s="972"/>
    </row>
    <row r="284" spans="1:77">
      <c r="A284" t="s">
        <v>105</v>
      </c>
      <c r="B284" s="675" t="s">
        <v>116</v>
      </c>
      <c r="C284" s="687" t="s">
        <v>3588</v>
      </c>
      <c r="D284" s="675">
        <v>0</v>
      </c>
      <c r="E284" s="675" t="s">
        <v>2305</v>
      </c>
      <c r="F284" s="675">
        <v>3</v>
      </c>
      <c r="G284" s="675" t="s">
        <v>2238</v>
      </c>
      <c r="H284" s="675">
        <v>55</v>
      </c>
      <c r="I284" s="676" t="s">
        <v>4042</v>
      </c>
      <c r="J284" s="677">
        <v>1</v>
      </c>
      <c r="K284" s="683">
        <v>77</v>
      </c>
      <c r="L284" s="677">
        <v>0</v>
      </c>
      <c r="M284" s="677">
        <v>0</v>
      </c>
      <c r="N284" s="677">
        <v>3</v>
      </c>
      <c r="O284" s="677">
        <v>0</v>
      </c>
      <c r="P284" s="677">
        <v>0</v>
      </c>
      <c r="Q284" s="677">
        <v>0</v>
      </c>
      <c r="R284" s="677">
        <v>0</v>
      </c>
      <c r="S284" s="677">
        <v>0</v>
      </c>
      <c r="T284" s="677">
        <v>17</v>
      </c>
      <c r="U284" s="677">
        <v>0</v>
      </c>
      <c r="V284" s="677">
        <v>0</v>
      </c>
      <c r="W284" s="677">
        <v>0</v>
      </c>
      <c r="X284" s="678"/>
      <c r="Y284" s="682"/>
      <c r="Z284" s="680"/>
      <c r="AA284" s="681">
        <v>94.741</v>
      </c>
      <c r="AB284" s="681">
        <v>29.978000000000002</v>
      </c>
      <c r="AC284" s="417">
        <v>1</v>
      </c>
      <c r="AD284" s="417"/>
      <c r="AE284" s="682" t="s">
        <v>4204</v>
      </c>
      <c r="AF284">
        <v>1</v>
      </c>
      <c r="AG284" s="713">
        <v>43101</v>
      </c>
      <c r="AH284" s="417"/>
      <c r="AI284" s="417"/>
      <c r="AJ284" s="714">
        <v>43234</v>
      </c>
      <c r="AK284" s="417"/>
      <c r="AL284" s="637" t="s">
        <v>3470</v>
      </c>
      <c r="AM284" s="417"/>
      <c r="AN284" s="417"/>
      <c r="AO284" s="636"/>
      <c r="AP284">
        <v>556702</v>
      </c>
      <c r="AQ284" s="715">
        <v>43234</v>
      </c>
      <c r="AR284" s="417"/>
      <c r="AS284" s="417"/>
      <c r="AT284" s="417"/>
      <c r="AU284" s="417"/>
      <c r="AV284" s="417"/>
      <c r="AW284" s="417"/>
      <c r="AX284" s="417"/>
      <c r="AY284" t="s">
        <v>80</v>
      </c>
      <c r="AZ284" s="417"/>
      <c r="BA284" s="417"/>
      <c r="BB284" t="s">
        <v>3584</v>
      </c>
      <c r="BC284" s="636"/>
      <c r="BD284" s="417"/>
      <c r="BE284" s="612">
        <v>0</v>
      </c>
      <c r="BF284" s="613">
        <v>0</v>
      </c>
      <c r="BG284" s="614" t="s">
        <v>78</v>
      </c>
      <c r="BH284" s="682"/>
      <c r="BI284" s="417"/>
      <c r="BJ284" s="417">
        <v>17</v>
      </c>
      <c r="BK284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284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284" s="682"/>
      <c r="BN284" s="636" t="s">
        <v>3784</v>
      </c>
      <c r="BO284" s="636" t="s">
        <v>3784</v>
      </c>
      <c r="BP284" s="636" t="s">
        <v>3784</v>
      </c>
      <c r="BQ284" s="636" t="s">
        <v>105</v>
      </c>
      <c r="BR284" s="636"/>
      <c r="BS284" s="636"/>
      <c r="BT284" s="636"/>
      <c r="BU284" s="636"/>
      <c r="BV284" s="636"/>
      <c r="BW284" s="636" t="s">
        <v>4176</v>
      </c>
      <c r="BX284" s="636"/>
      <c r="BY284" s="972"/>
    </row>
    <row r="285" spans="1:77">
      <c r="A285" t="s">
        <v>105</v>
      </c>
      <c r="B285" s="675" t="s">
        <v>116</v>
      </c>
      <c r="C285" s="687" t="s">
        <v>3588</v>
      </c>
      <c r="D285" s="675">
        <v>0</v>
      </c>
      <c r="E285" s="675" t="s">
        <v>2305</v>
      </c>
      <c r="F285" s="675">
        <v>3</v>
      </c>
      <c r="G285" s="675" t="s">
        <v>2238</v>
      </c>
      <c r="H285" s="675">
        <v>126</v>
      </c>
      <c r="I285" s="676" t="s">
        <v>3796</v>
      </c>
      <c r="J285" s="677">
        <v>1</v>
      </c>
      <c r="K285" s="683">
        <v>86</v>
      </c>
      <c r="L285" s="677">
        <v>0</v>
      </c>
      <c r="M285" s="677">
        <v>0</v>
      </c>
      <c r="N285" s="677">
        <v>2</v>
      </c>
      <c r="O285" s="677">
        <v>0</v>
      </c>
      <c r="P285" s="677">
        <v>0</v>
      </c>
      <c r="Q285" s="677">
        <v>0</v>
      </c>
      <c r="R285" s="677">
        <v>0</v>
      </c>
      <c r="S285" s="677">
        <v>9</v>
      </c>
      <c r="T285" s="677">
        <v>4</v>
      </c>
      <c r="U285" s="677">
        <v>0</v>
      </c>
      <c r="V285" s="677">
        <v>0</v>
      </c>
      <c r="W285" s="677">
        <v>0</v>
      </c>
      <c r="X285" s="678"/>
      <c r="Y285" s="682"/>
      <c r="Z285" s="680"/>
      <c r="AA285" s="681">
        <v>104.471</v>
      </c>
      <c r="AB285" s="681">
        <v>29.978000000000002</v>
      </c>
      <c r="AC285" s="417">
        <v>2</v>
      </c>
      <c r="AD285" s="417"/>
      <c r="AE285" s="682" t="s">
        <v>4205</v>
      </c>
      <c r="AF285">
        <v>1</v>
      </c>
      <c r="AG285" s="713">
        <v>43101</v>
      </c>
      <c r="AH285" s="417"/>
      <c r="AI285" s="417"/>
      <c r="AJ285" s="714">
        <v>43234</v>
      </c>
      <c r="AK285" s="417"/>
      <c r="AL285" s="637" t="s">
        <v>3470</v>
      </c>
      <c r="AM285" s="417"/>
      <c r="AN285" s="417"/>
      <c r="AO285" s="636"/>
      <c r="AP285">
        <v>556702</v>
      </c>
      <c r="AQ285" s="715">
        <v>43234</v>
      </c>
      <c r="AR285" s="417"/>
      <c r="AS285" s="417"/>
      <c r="AT285" s="417"/>
      <c r="AU285" s="417"/>
      <c r="AV285" s="417"/>
      <c r="AW285" s="417"/>
      <c r="AX285" s="417"/>
      <c r="AY285" t="s">
        <v>80</v>
      </c>
      <c r="AZ285" s="417"/>
      <c r="BA285" s="417"/>
      <c r="BB285" t="s">
        <v>3584</v>
      </c>
      <c r="BC285" s="636"/>
      <c r="BD285" s="417"/>
      <c r="BE285" s="612">
        <v>0</v>
      </c>
      <c r="BF285" s="613">
        <v>0</v>
      </c>
      <c r="BG285" s="614" t="s">
        <v>78</v>
      </c>
      <c r="BH285" s="682"/>
      <c r="BI285" s="417"/>
      <c r="BJ285" s="417">
        <v>18</v>
      </c>
      <c r="BK285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5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5" s="682"/>
      <c r="BN285" s="636" t="s">
        <v>3784</v>
      </c>
      <c r="BO285" s="636" t="s">
        <v>3784</v>
      </c>
      <c r="BP285" s="636" t="s">
        <v>3784</v>
      </c>
      <c r="BQ285" s="636" t="s">
        <v>105</v>
      </c>
      <c r="BR285" s="636"/>
      <c r="BS285" s="636"/>
      <c r="BT285" s="636"/>
      <c r="BU285" s="636"/>
      <c r="BV285" s="636"/>
      <c r="BW285" s="636" t="s">
        <v>4176</v>
      </c>
      <c r="BX285" s="636"/>
      <c r="BY285" s="972"/>
    </row>
    <row r="286" spans="1:77">
      <c r="A286" t="s">
        <v>105</v>
      </c>
      <c r="B286" s="675" t="s">
        <v>116</v>
      </c>
      <c r="C286" s="687" t="s">
        <v>3588</v>
      </c>
      <c r="D286" s="675">
        <v>0</v>
      </c>
      <c r="E286" s="675" t="s">
        <v>2305</v>
      </c>
      <c r="F286" s="675">
        <v>3</v>
      </c>
      <c r="G286" s="675" t="s">
        <v>2238</v>
      </c>
      <c r="H286" s="675">
        <v>126</v>
      </c>
      <c r="I286" s="676" t="s">
        <v>3796</v>
      </c>
      <c r="J286" s="677">
        <v>1</v>
      </c>
      <c r="K286" s="683">
        <v>86</v>
      </c>
      <c r="L286" s="677">
        <v>0</v>
      </c>
      <c r="M286" s="677">
        <v>0</v>
      </c>
      <c r="N286" s="677">
        <v>2</v>
      </c>
      <c r="O286" s="677">
        <v>0</v>
      </c>
      <c r="P286" s="677">
        <v>0</v>
      </c>
      <c r="Q286" s="677">
        <v>0</v>
      </c>
      <c r="R286" s="677">
        <v>0</v>
      </c>
      <c r="S286" s="677">
        <v>9</v>
      </c>
      <c r="T286" s="677">
        <v>4</v>
      </c>
      <c r="U286" s="677">
        <v>0</v>
      </c>
      <c r="V286" s="677">
        <v>0</v>
      </c>
      <c r="W286" s="677">
        <v>0</v>
      </c>
      <c r="X286" s="678"/>
      <c r="Y286" s="682"/>
      <c r="Z286" s="680"/>
      <c r="AA286" s="681">
        <v>104.471</v>
      </c>
      <c r="AB286" s="681">
        <v>29.978000000000002</v>
      </c>
      <c r="AC286" s="417">
        <v>2</v>
      </c>
      <c r="AD286" s="417"/>
      <c r="AE286" s="682" t="s">
        <v>4205</v>
      </c>
      <c r="AF286">
        <v>1</v>
      </c>
      <c r="AG286" s="713">
        <v>43101</v>
      </c>
      <c r="AH286" s="417"/>
      <c r="AI286" s="417"/>
      <c r="AJ286" s="714">
        <v>43234</v>
      </c>
      <c r="AK286" s="417"/>
      <c r="AL286" s="637" t="s">
        <v>3470</v>
      </c>
      <c r="AM286" s="417"/>
      <c r="AN286" s="417"/>
      <c r="AO286" s="636"/>
      <c r="AP286">
        <v>556702</v>
      </c>
      <c r="AQ286" s="715">
        <v>43234</v>
      </c>
      <c r="AR286" s="417"/>
      <c r="AS286" s="417"/>
      <c r="AT286" s="417"/>
      <c r="AU286" s="417"/>
      <c r="AV286" s="417"/>
      <c r="AW286" s="417"/>
      <c r="AX286" s="417"/>
      <c r="AY286" t="s">
        <v>80</v>
      </c>
      <c r="AZ286" s="417"/>
      <c r="BA286" s="417"/>
      <c r="BB286" t="s">
        <v>3584</v>
      </c>
      <c r="BC286" s="636"/>
      <c r="BD286" s="417"/>
      <c r="BE286" s="612">
        <v>0</v>
      </c>
      <c r="BF286" s="613">
        <v>0</v>
      </c>
      <c r="BG286" s="614" t="s">
        <v>78</v>
      </c>
      <c r="BH286" s="682"/>
      <c r="BI286" s="417"/>
      <c r="BJ286" s="417">
        <v>18</v>
      </c>
      <c r="BK286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286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286" s="682"/>
      <c r="BN286" s="636" t="s">
        <v>3784</v>
      </c>
      <c r="BO286" s="636" t="s">
        <v>3784</v>
      </c>
      <c r="BP286" s="636" t="s">
        <v>3784</v>
      </c>
      <c r="BQ286" s="636" t="s">
        <v>105</v>
      </c>
      <c r="BR286" s="636"/>
      <c r="BS286" s="636"/>
      <c r="BT286" s="636"/>
      <c r="BU286" s="636"/>
      <c r="BV286" s="636"/>
      <c r="BW286" s="636" t="s">
        <v>4176</v>
      </c>
      <c r="BX286" s="636"/>
      <c r="BY286" s="972"/>
    </row>
    <row r="287" spans="1:77">
      <c r="A287" t="s">
        <v>3896</v>
      </c>
      <c r="B287" s="675" t="s">
        <v>114</v>
      </c>
      <c r="C287" s="687" t="s">
        <v>3843</v>
      </c>
      <c r="D287" s="675">
        <v>0</v>
      </c>
      <c r="E287" s="675" t="s">
        <v>2305</v>
      </c>
      <c r="F287" s="675">
        <v>3</v>
      </c>
      <c r="G287" s="675" t="s">
        <v>79</v>
      </c>
      <c r="H287" s="675">
        <v>27</v>
      </c>
      <c r="I287" s="676" t="s">
        <v>3790</v>
      </c>
      <c r="J287" s="677">
        <v>1.5</v>
      </c>
      <c r="K287" s="683">
        <v>0</v>
      </c>
      <c r="L287" s="677"/>
      <c r="M287" s="677">
        <v>0</v>
      </c>
      <c r="N287" s="677">
        <v>220</v>
      </c>
      <c r="O287" s="677"/>
      <c r="P287" s="677"/>
      <c r="Q287" s="677">
        <v>0</v>
      </c>
      <c r="R287" s="677"/>
      <c r="S287" s="677">
        <v>0</v>
      </c>
      <c r="T287" s="677">
        <v>0</v>
      </c>
      <c r="U287" s="677"/>
      <c r="V287" s="677">
        <v>0</v>
      </c>
      <c r="W287" s="677">
        <v>0</v>
      </c>
      <c r="X287" s="678"/>
      <c r="Y287" s="682"/>
      <c r="Z287" s="680"/>
      <c r="AA287" s="681">
        <v>185.61</v>
      </c>
      <c r="AB287" s="681"/>
      <c r="AC287" s="417">
        <v>23</v>
      </c>
      <c r="AD287" s="417"/>
      <c r="AE287" s="682" t="s">
        <v>4206</v>
      </c>
      <c r="AF287">
        <v>1</v>
      </c>
      <c r="AG287" s="713">
        <v>43101</v>
      </c>
      <c r="AH287" s="417"/>
      <c r="AI287" s="417"/>
      <c r="AJ287" s="714">
        <v>43222</v>
      </c>
      <c r="AK287" s="417"/>
      <c r="AL287" s="637" t="s">
        <v>3436</v>
      </c>
      <c r="AM287" s="417"/>
      <c r="AN287" s="417"/>
      <c r="AO287" s="636"/>
      <c r="AP287">
        <v>556667</v>
      </c>
      <c r="AQ287" s="715">
        <v>43192</v>
      </c>
      <c r="AR287" s="417">
        <v>0.3</v>
      </c>
      <c r="AS287" s="417"/>
      <c r="AT287" s="417"/>
      <c r="AU287" s="417"/>
      <c r="AV287" s="417"/>
      <c r="AW287" s="417"/>
      <c r="AX287" s="417"/>
      <c r="AY287" t="s">
        <v>3424</v>
      </c>
      <c r="AZ287" s="417"/>
      <c r="BA287" s="417"/>
      <c r="BB287" t="s">
        <v>3583</v>
      </c>
      <c r="BC287" s="636"/>
      <c r="BD287" s="417"/>
      <c r="BE287" s="612"/>
      <c r="BF287" s="613"/>
      <c r="BG287" s="614"/>
      <c r="BH287" s="682"/>
      <c r="BI287" s="417"/>
      <c r="BJ287" s="417">
        <v>1</v>
      </c>
      <c r="BK287" s="682" t="str">
        <f>Техкарта[[#This Row],[Кв-л]]&amp;" кв ("&amp;Substring(Техкарта[[#This Row],[Виділ]],"_",1)&amp;" вид) "&amp;Substring(Техкарта[[#This Row],[Виділ]],"_",2)&amp;" діл."</f>
        <v>27 кв (2 вид) 0 діл.</v>
      </c>
      <c r="BL287" s="682" t="str">
        <f>Техкарта[[#This Row],[ПолнаяДіл]] &amp;" "&amp;Техкарта[[#This Row],[ЛК]]&amp;" "&amp;Техкарта[[#This Row],[Вид рубки]]</f>
        <v>27 кв (2 вид) 0 діл. 556667 ОСВ</v>
      </c>
      <c r="BM287" s="682"/>
      <c r="BN287" s="636"/>
      <c r="BO287" s="636"/>
      <c r="BP287" s="636"/>
      <c r="BQ287" s="636" t="s">
        <v>3896</v>
      </c>
      <c r="BR287" s="636">
        <v>2</v>
      </c>
      <c r="BS287" s="636"/>
      <c r="BT287" s="636"/>
      <c r="BU287" s="636"/>
      <c r="BV287" s="636"/>
      <c r="BW287" s="636" t="s">
        <v>4176</v>
      </c>
      <c r="BX287" s="636"/>
      <c r="BY287" s="972"/>
    </row>
    <row r="288" spans="1:77">
      <c r="A288" t="s">
        <v>3896</v>
      </c>
      <c r="B288" s="675" t="s">
        <v>114</v>
      </c>
      <c r="C288" s="687" t="s">
        <v>3843</v>
      </c>
      <c r="D288" s="675">
        <v>0</v>
      </c>
      <c r="E288" s="675" t="s">
        <v>2305</v>
      </c>
      <c r="F288" s="675">
        <v>3</v>
      </c>
      <c r="G288" s="675" t="s">
        <v>79</v>
      </c>
      <c r="H288" s="675">
        <v>27</v>
      </c>
      <c r="I288" s="676" t="s">
        <v>3791</v>
      </c>
      <c r="J288" s="677">
        <v>0.2</v>
      </c>
      <c r="K288" s="683">
        <v>0</v>
      </c>
      <c r="L288" s="677"/>
      <c r="M288" s="677">
        <v>0</v>
      </c>
      <c r="N288" s="677">
        <v>30</v>
      </c>
      <c r="O288" s="677"/>
      <c r="P288" s="677"/>
      <c r="Q288" s="677">
        <v>0</v>
      </c>
      <c r="R288" s="677"/>
      <c r="S288" s="677">
        <v>0</v>
      </c>
      <c r="T288" s="677">
        <v>0</v>
      </c>
      <c r="U288" s="677"/>
      <c r="V288" s="677">
        <v>0</v>
      </c>
      <c r="W288" s="677">
        <v>0</v>
      </c>
      <c r="X288" s="678"/>
      <c r="Y288" s="682"/>
      <c r="Z288" s="680"/>
      <c r="AA288" s="681">
        <v>185.59</v>
      </c>
      <c r="AB288" s="681"/>
      <c r="AC288" s="417">
        <v>23</v>
      </c>
      <c r="AD288" s="417"/>
      <c r="AE288" s="682" t="s">
        <v>4207</v>
      </c>
      <c r="AF288">
        <v>1</v>
      </c>
      <c r="AG288" s="713">
        <v>43101</v>
      </c>
      <c r="AH288" s="417"/>
      <c r="AI288" s="417"/>
      <c r="AJ288" s="714">
        <v>43222</v>
      </c>
      <c r="AK288" s="417"/>
      <c r="AL288" s="637" t="s">
        <v>3436</v>
      </c>
      <c r="AM288" s="417"/>
      <c r="AN288" s="417"/>
      <c r="AO288" s="636"/>
      <c r="AP288">
        <v>556667</v>
      </c>
      <c r="AQ288" s="715">
        <v>43192</v>
      </c>
      <c r="AR288" s="417">
        <v>0.3</v>
      </c>
      <c r="AS288" s="417"/>
      <c r="AT288" s="417"/>
      <c r="AU288" s="417"/>
      <c r="AV288" s="417"/>
      <c r="AW288" s="417"/>
      <c r="AX288" s="417"/>
      <c r="AY288" t="s">
        <v>3424</v>
      </c>
      <c r="AZ288" s="417"/>
      <c r="BA288" s="417"/>
      <c r="BB288" t="s">
        <v>3583</v>
      </c>
      <c r="BC288" s="636"/>
      <c r="BD288" s="417"/>
      <c r="BE288" s="612"/>
      <c r="BF288" s="613"/>
      <c r="BG288" s="614"/>
      <c r="BH288" s="682"/>
      <c r="BI288" s="417"/>
      <c r="BJ288" s="417">
        <v>2</v>
      </c>
      <c r="BK288" s="682" t="str">
        <f>Техкарта[[#This Row],[Кв-л]]&amp;" кв ("&amp;Substring(Техкарта[[#This Row],[Виділ]],"_",1)&amp;" вид) "&amp;Substring(Техкарта[[#This Row],[Виділ]],"_",2)&amp;" діл."</f>
        <v>27 кв (7 вид) 0 діл.</v>
      </c>
      <c r="BL288" s="682" t="str">
        <f>Техкарта[[#This Row],[ПолнаяДіл]] &amp;" "&amp;Техкарта[[#This Row],[ЛК]]&amp;" "&amp;Техкарта[[#This Row],[Вид рубки]]</f>
        <v>27 кв (7 вид) 0 діл. 556667 ОСВ</v>
      </c>
      <c r="BM288" s="682"/>
      <c r="BN288" s="636"/>
      <c r="BO288" s="636"/>
      <c r="BP288" s="636"/>
      <c r="BQ288" s="636" t="s">
        <v>3896</v>
      </c>
      <c r="BR288" s="636">
        <v>2</v>
      </c>
      <c r="BS288" s="636"/>
      <c r="BT288" s="636"/>
      <c r="BU288" s="636"/>
      <c r="BV288" s="636"/>
      <c r="BW288" s="636" t="s">
        <v>4176</v>
      </c>
      <c r="BX288" s="636"/>
      <c r="BY288" s="972"/>
    </row>
    <row r="289" spans="1:77">
      <c r="A289" t="s">
        <v>3896</v>
      </c>
      <c r="B289" s="675" t="s">
        <v>114</v>
      </c>
      <c r="C289" s="687" t="s">
        <v>3843</v>
      </c>
      <c r="D289" s="675">
        <v>0</v>
      </c>
      <c r="E289" s="675" t="s">
        <v>2305</v>
      </c>
      <c r="F289" s="675">
        <v>3</v>
      </c>
      <c r="G289" s="675" t="s">
        <v>79</v>
      </c>
      <c r="H289" s="675">
        <v>27</v>
      </c>
      <c r="I289" s="676" t="s">
        <v>3833</v>
      </c>
      <c r="J289" s="677">
        <v>2.6</v>
      </c>
      <c r="K289" s="683">
        <v>0</v>
      </c>
      <c r="L289" s="677"/>
      <c r="M289" s="677">
        <v>0</v>
      </c>
      <c r="N289" s="677">
        <v>180</v>
      </c>
      <c r="O289" s="677"/>
      <c r="P289" s="677"/>
      <c r="Q289" s="677">
        <v>0</v>
      </c>
      <c r="R289" s="677"/>
      <c r="S289" s="677">
        <v>0</v>
      </c>
      <c r="T289" s="677">
        <v>0</v>
      </c>
      <c r="U289" s="677"/>
      <c r="V289" s="677">
        <v>0</v>
      </c>
      <c r="W289" s="677">
        <v>0</v>
      </c>
      <c r="X289" s="678"/>
      <c r="Y289" s="682"/>
      <c r="Z289" s="680"/>
      <c r="AA289" s="681">
        <v>204.22</v>
      </c>
      <c r="AB289" s="681"/>
      <c r="AC289" s="417">
        <v>23</v>
      </c>
      <c r="AD289" s="417"/>
      <c r="AE289" s="682" t="s">
        <v>4207</v>
      </c>
      <c r="AF289">
        <v>1</v>
      </c>
      <c r="AG289" s="713">
        <v>43101</v>
      </c>
      <c r="AH289" s="417"/>
      <c r="AI289" s="417"/>
      <c r="AJ289" s="714">
        <v>43222</v>
      </c>
      <c r="AK289" s="417"/>
      <c r="AL289" s="637" t="s">
        <v>3436</v>
      </c>
      <c r="AM289" s="417"/>
      <c r="AN289" s="417"/>
      <c r="AO289" s="636"/>
      <c r="AP289">
        <v>556667</v>
      </c>
      <c r="AQ289" s="715">
        <v>43192</v>
      </c>
      <c r="AR289" s="417">
        <v>0.3</v>
      </c>
      <c r="AS289" s="417"/>
      <c r="AT289" s="417"/>
      <c r="AU289" s="417"/>
      <c r="AV289" s="417"/>
      <c r="AW289" s="417"/>
      <c r="AX289" s="417"/>
      <c r="AY289" t="s">
        <v>3424</v>
      </c>
      <c r="AZ289" s="417"/>
      <c r="BA289" s="417"/>
      <c r="BB289" t="s">
        <v>3583</v>
      </c>
      <c r="BC289" s="636"/>
      <c r="BD289" s="417"/>
      <c r="BE289" s="612"/>
      <c r="BF289" s="613"/>
      <c r="BG289" s="614"/>
      <c r="BH289" s="682"/>
      <c r="BI289" s="417"/>
      <c r="BJ289" s="417">
        <v>3</v>
      </c>
      <c r="BK289" s="682" t="str">
        <f>Техкарта[[#This Row],[Кв-л]]&amp;" кв ("&amp;Substring(Техкарта[[#This Row],[Виділ]],"_",1)&amp;" вид) "&amp;Substring(Техкарта[[#This Row],[Виділ]],"_",2)&amp;" діл."</f>
        <v>27 кв (8 вид) 0 діл.</v>
      </c>
      <c r="BL289" s="682" t="str">
        <f>Техкарта[[#This Row],[ПолнаяДіл]] &amp;" "&amp;Техкарта[[#This Row],[ЛК]]&amp;" "&amp;Техкарта[[#This Row],[Вид рубки]]</f>
        <v>27 кв (8 вид) 0 діл. 556667 ОСВ</v>
      </c>
      <c r="BM289" s="682"/>
      <c r="BN289" s="636"/>
      <c r="BO289" s="636"/>
      <c r="BP289" s="636"/>
      <c r="BQ289" s="636" t="s">
        <v>3896</v>
      </c>
      <c r="BR289" s="636">
        <v>2</v>
      </c>
      <c r="BS289" s="636"/>
      <c r="BT289" s="636"/>
      <c r="BU289" s="636"/>
      <c r="BV289" s="636"/>
      <c r="BW289" s="636" t="s">
        <v>4176</v>
      </c>
      <c r="BX289" s="636"/>
      <c r="BY289" s="972"/>
    </row>
    <row r="290" spans="1:77">
      <c r="A290" t="s">
        <v>3896</v>
      </c>
      <c r="B290" s="675" t="s">
        <v>114</v>
      </c>
      <c r="C290" s="687" t="s">
        <v>3843</v>
      </c>
      <c r="D290" s="675">
        <v>0</v>
      </c>
      <c r="E290" s="675" t="s">
        <v>2305</v>
      </c>
      <c r="F290" s="675">
        <v>3</v>
      </c>
      <c r="G290" s="675" t="s">
        <v>79</v>
      </c>
      <c r="H290" s="675">
        <v>65</v>
      </c>
      <c r="I290" s="676" t="s">
        <v>3831</v>
      </c>
      <c r="J290" s="677">
        <v>0.2</v>
      </c>
      <c r="K290" s="683">
        <v>0</v>
      </c>
      <c r="L290" s="677"/>
      <c r="M290" s="677">
        <v>0</v>
      </c>
      <c r="N290" s="677">
        <v>40</v>
      </c>
      <c r="O290" s="677"/>
      <c r="P290" s="677"/>
      <c r="Q290" s="677">
        <v>0</v>
      </c>
      <c r="R290" s="677"/>
      <c r="S290" s="677">
        <v>0</v>
      </c>
      <c r="T290" s="677">
        <v>0</v>
      </c>
      <c r="U290" s="677"/>
      <c r="V290" s="677">
        <v>0</v>
      </c>
      <c r="W290" s="677">
        <v>0</v>
      </c>
      <c r="X290" s="678"/>
      <c r="Y290" s="682"/>
      <c r="Z290" s="680"/>
      <c r="AA290" s="681">
        <v>185.63</v>
      </c>
      <c r="AB290" s="681"/>
      <c r="AC290" s="417">
        <v>23</v>
      </c>
      <c r="AD290" s="417"/>
      <c r="AE290" s="682" t="s">
        <v>4209</v>
      </c>
      <c r="AF290">
        <v>1</v>
      </c>
      <c r="AG290" s="713">
        <v>43101</v>
      </c>
      <c r="AH290" s="417"/>
      <c r="AI290" s="417"/>
      <c r="AJ290" s="714">
        <v>43222</v>
      </c>
      <c r="AK290" s="417"/>
      <c r="AL290" s="637" t="s">
        <v>3448</v>
      </c>
      <c r="AM290" s="417"/>
      <c r="AN290" s="417"/>
      <c r="AO290" s="636"/>
      <c r="AP290">
        <v>556667</v>
      </c>
      <c r="AQ290" s="715">
        <v>43192</v>
      </c>
      <c r="AR290" s="417">
        <v>0.3</v>
      </c>
      <c r="AS290" s="417"/>
      <c r="AT290" s="417"/>
      <c r="AU290" s="417"/>
      <c r="AV290" s="417"/>
      <c r="AW290" s="417"/>
      <c r="AX290" s="417"/>
      <c r="AY290" t="s">
        <v>3424</v>
      </c>
      <c r="AZ290" s="417"/>
      <c r="BA290" s="417"/>
      <c r="BB290" t="s">
        <v>3583</v>
      </c>
      <c r="BC290" s="636"/>
      <c r="BD290" s="417"/>
      <c r="BE290" s="612"/>
      <c r="BF290" s="613"/>
      <c r="BG290" s="614"/>
      <c r="BH290" s="682"/>
      <c r="BI290" s="417"/>
      <c r="BJ290" s="417">
        <v>5</v>
      </c>
      <c r="BK29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290" s="682" t="str">
        <f>Техкарта[[#This Row],[ПолнаяДіл]] &amp;" "&amp;Техкарта[[#This Row],[ЛК]]&amp;" "&amp;Техкарта[[#This Row],[Вид рубки]]</f>
        <v>65 кв (4 вид) 0 діл. 556667 ОСВ</v>
      </c>
      <c r="BM290" s="682"/>
      <c r="BN290" s="636"/>
      <c r="BO290" s="636"/>
      <c r="BP290" s="636"/>
      <c r="BQ290" s="636" t="s">
        <v>3896</v>
      </c>
      <c r="BR290" s="636">
        <v>2</v>
      </c>
      <c r="BS290" s="636"/>
      <c r="BT290" s="636"/>
      <c r="BU290" s="636"/>
      <c r="BV290" s="636"/>
      <c r="BW290" s="636" t="s">
        <v>4176</v>
      </c>
      <c r="BX290" s="636"/>
      <c r="BY290" s="972"/>
    </row>
    <row r="291" spans="1:77">
      <c r="A291" t="s">
        <v>3896</v>
      </c>
      <c r="B291" s="675" t="s">
        <v>114</v>
      </c>
      <c r="C291" s="687" t="s">
        <v>3843</v>
      </c>
      <c r="D291" s="675">
        <v>0</v>
      </c>
      <c r="E291" s="675" t="s">
        <v>2305</v>
      </c>
      <c r="F291" s="675">
        <v>3</v>
      </c>
      <c r="G291" s="675" t="s">
        <v>79</v>
      </c>
      <c r="H291" s="675">
        <v>52</v>
      </c>
      <c r="I291" s="676" t="s">
        <v>3831</v>
      </c>
      <c r="J291" s="677">
        <v>3.7</v>
      </c>
      <c r="K291" s="683">
        <v>0</v>
      </c>
      <c r="L291" s="677"/>
      <c r="M291" s="677">
        <v>0</v>
      </c>
      <c r="N291" s="677">
        <v>340</v>
      </c>
      <c r="O291" s="677"/>
      <c r="P291" s="677"/>
      <c r="Q291" s="677">
        <v>0</v>
      </c>
      <c r="R291" s="677"/>
      <c r="S291" s="677">
        <v>0</v>
      </c>
      <c r="T291" s="677">
        <v>0</v>
      </c>
      <c r="U291" s="677"/>
      <c r="V291" s="677">
        <v>0</v>
      </c>
      <c r="W291" s="677">
        <v>0</v>
      </c>
      <c r="X291" s="678"/>
      <c r="Y291" s="682"/>
      <c r="Z291" s="680"/>
      <c r="AA291" s="681">
        <v>204.24</v>
      </c>
      <c r="AB291" s="681"/>
      <c r="AC291" s="417">
        <v>23</v>
      </c>
      <c r="AD291" s="417"/>
      <c r="AE291" s="682" t="s">
        <v>4208</v>
      </c>
      <c r="AF291">
        <v>1</v>
      </c>
      <c r="AG291" s="713">
        <v>43101</v>
      </c>
      <c r="AH291" s="417"/>
      <c r="AI291" s="417"/>
      <c r="AJ291" s="714">
        <v>43222</v>
      </c>
      <c r="AK291" s="417"/>
      <c r="AL291" s="637" t="s">
        <v>3436</v>
      </c>
      <c r="AM291" s="417"/>
      <c r="AN291" s="417"/>
      <c r="AO291" s="636"/>
      <c r="AP291">
        <v>556667</v>
      </c>
      <c r="AQ291" s="715">
        <v>43192</v>
      </c>
      <c r="AR291" s="417">
        <v>0.3</v>
      </c>
      <c r="AS291" s="417"/>
      <c r="AT291" s="417"/>
      <c r="AU291" s="417"/>
      <c r="AV291" s="417"/>
      <c r="AW291" s="417"/>
      <c r="AX291" s="417"/>
      <c r="AY291" t="s">
        <v>3424</v>
      </c>
      <c r="AZ291" s="417"/>
      <c r="BA291" s="417"/>
      <c r="BB291" t="s">
        <v>3583</v>
      </c>
      <c r="BC291" s="636"/>
      <c r="BD291" s="417"/>
      <c r="BE291" s="612"/>
      <c r="BF291" s="613"/>
      <c r="BG291" s="614"/>
      <c r="BH291" s="682"/>
      <c r="BI291" s="417"/>
      <c r="BJ291" s="417">
        <v>4</v>
      </c>
      <c r="BK291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1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1" s="682"/>
      <c r="BN291" s="636"/>
      <c r="BO291" s="636"/>
      <c r="BP291" s="636"/>
      <c r="BQ291" s="636" t="s">
        <v>3896</v>
      </c>
      <c r="BR291" s="636">
        <v>2</v>
      </c>
      <c r="BS291" s="636"/>
      <c r="BT291" s="636"/>
      <c r="BU291" s="636"/>
      <c r="BV291" s="636"/>
      <c r="BW291" s="636" t="s">
        <v>4176</v>
      </c>
      <c r="BX291" s="636"/>
      <c r="BY291" s="972"/>
    </row>
    <row r="292" spans="1:77">
      <c r="A292" t="s">
        <v>3896</v>
      </c>
      <c r="B292" s="675" t="s">
        <v>114</v>
      </c>
      <c r="C292" s="687" t="s">
        <v>3843</v>
      </c>
      <c r="D292" s="675">
        <v>0</v>
      </c>
      <c r="E292" s="675" t="s">
        <v>2305</v>
      </c>
      <c r="F292" s="675">
        <v>3</v>
      </c>
      <c r="G292" s="675" t="s">
        <v>79</v>
      </c>
      <c r="H292" s="675">
        <v>52</v>
      </c>
      <c r="I292" s="676" t="s">
        <v>3831</v>
      </c>
      <c r="J292" s="677">
        <v>3.7</v>
      </c>
      <c r="K292" s="683">
        <v>0</v>
      </c>
      <c r="L292" s="677"/>
      <c r="M292" s="677">
        <v>0</v>
      </c>
      <c r="N292" s="677">
        <v>340</v>
      </c>
      <c r="O292" s="677"/>
      <c r="P292" s="677"/>
      <c r="Q292" s="677">
        <v>0</v>
      </c>
      <c r="R292" s="677"/>
      <c r="S292" s="677">
        <v>0</v>
      </c>
      <c r="T292" s="677">
        <v>0</v>
      </c>
      <c r="U292" s="677"/>
      <c r="V292" s="677">
        <v>0</v>
      </c>
      <c r="W292" s="677">
        <v>0</v>
      </c>
      <c r="X292" s="678"/>
      <c r="Y292" s="682"/>
      <c r="Z292" s="680"/>
      <c r="AA292" s="681">
        <v>204.24</v>
      </c>
      <c r="AB292" s="681"/>
      <c r="AC292" s="417">
        <v>23</v>
      </c>
      <c r="AD292" s="417"/>
      <c r="AE292" s="682" t="s">
        <v>4208</v>
      </c>
      <c r="AF292">
        <v>1</v>
      </c>
      <c r="AG292" s="713">
        <v>43101</v>
      </c>
      <c r="AH292" s="417"/>
      <c r="AI292" s="417"/>
      <c r="AJ292" s="714">
        <v>43222</v>
      </c>
      <c r="AK292" s="417"/>
      <c r="AL292" s="637" t="s">
        <v>3436</v>
      </c>
      <c r="AM292" s="417"/>
      <c r="AN292" s="417"/>
      <c r="AO292" s="636"/>
      <c r="AP292">
        <v>556667</v>
      </c>
      <c r="AQ292" s="715">
        <v>43192</v>
      </c>
      <c r="AR292" s="417">
        <v>0.3</v>
      </c>
      <c r="AS292" s="417"/>
      <c r="AT292" s="417"/>
      <c r="AU292" s="417"/>
      <c r="AV292" s="417"/>
      <c r="AW292" s="417"/>
      <c r="AX292" s="417"/>
      <c r="AY292" t="s">
        <v>3424</v>
      </c>
      <c r="AZ292" s="417"/>
      <c r="BA292" s="417"/>
      <c r="BB292" t="s">
        <v>3583</v>
      </c>
      <c r="BC292" s="636"/>
      <c r="BD292" s="417"/>
      <c r="BE292" s="612"/>
      <c r="BF292" s="613"/>
      <c r="BG292" s="614"/>
      <c r="BH292" s="682"/>
      <c r="BI292" s="417"/>
      <c r="BJ292" s="417">
        <v>4</v>
      </c>
      <c r="BK292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2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2" s="682"/>
      <c r="BN292" s="636"/>
      <c r="BO292" s="636"/>
      <c r="BP292" s="636"/>
      <c r="BQ292" s="636" t="s">
        <v>3896</v>
      </c>
      <c r="BR292" s="636">
        <v>2</v>
      </c>
      <c r="BS292" s="636"/>
      <c r="BT292" s="636"/>
      <c r="BU292" s="636"/>
      <c r="BV292" s="636"/>
      <c r="BW292" s="636" t="s">
        <v>4210</v>
      </c>
      <c r="BX292" s="636"/>
      <c r="BY292" s="972"/>
    </row>
    <row r="293" spans="1:77">
      <c r="A293" t="s">
        <v>3896</v>
      </c>
      <c r="B293" s="675" t="s">
        <v>114</v>
      </c>
      <c r="C293" s="687" t="s">
        <v>3843</v>
      </c>
      <c r="D293" s="675">
        <v>0</v>
      </c>
      <c r="E293" s="675" t="s">
        <v>2305</v>
      </c>
      <c r="F293" s="675">
        <v>3</v>
      </c>
      <c r="G293" s="675" t="s">
        <v>79</v>
      </c>
      <c r="H293" s="675">
        <v>52</v>
      </c>
      <c r="I293" s="676" t="s">
        <v>3831</v>
      </c>
      <c r="J293" s="677">
        <v>3.7</v>
      </c>
      <c r="K293" s="683">
        <v>0</v>
      </c>
      <c r="L293" s="677"/>
      <c r="M293" s="677">
        <v>0</v>
      </c>
      <c r="N293" s="677">
        <v>340</v>
      </c>
      <c r="O293" s="677"/>
      <c r="P293" s="677"/>
      <c r="Q293" s="677">
        <v>0</v>
      </c>
      <c r="R293" s="677"/>
      <c r="S293" s="677">
        <v>0</v>
      </c>
      <c r="T293" s="677">
        <v>0</v>
      </c>
      <c r="U293" s="677"/>
      <c r="V293" s="677">
        <v>0</v>
      </c>
      <c r="W293" s="677">
        <v>0</v>
      </c>
      <c r="X293" s="678"/>
      <c r="Y293" s="682"/>
      <c r="Z293" s="680"/>
      <c r="AA293" s="681">
        <v>204.24</v>
      </c>
      <c r="AB293" s="681"/>
      <c r="AC293" s="417">
        <v>23</v>
      </c>
      <c r="AD293" s="417"/>
      <c r="AE293" s="682" t="s">
        <v>4208</v>
      </c>
      <c r="AF293">
        <v>1</v>
      </c>
      <c r="AG293" s="713">
        <v>43101</v>
      </c>
      <c r="AH293" s="417"/>
      <c r="AI293" s="417"/>
      <c r="AJ293" s="714">
        <v>43222</v>
      </c>
      <c r="AK293" s="417"/>
      <c r="AL293" s="637" t="s">
        <v>3436</v>
      </c>
      <c r="AM293" s="417"/>
      <c r="AN293" s="417"/>
      <c r="AO293" s="636"/>
      <c r="AP293">
        <v>556667</v>
      </c>
      <c r="AQ293" s="715">
        <v>43192</v>
      </c>
      <c r="AR293" s="417">
        <v>0.3</v>
      </c>
      <c r="AS293" s="417"/>
      <c r="AT293" s="417"/>
      <c r="AU293" s="417"/>
      <c r="AV293" s="417"/>
      <c r="AW293" s="417"/>
      <c r="AX293" s="417"/>
      <c r="AY293" t="s">
        <v>3424</v>
      </c>
      <c r="AZ293" s="417"/>
      <c r="BA293" s="417"/>
      <c r="BB293" t="s">
        <v>3583</v>
      </c>
      <c r="BC293" s="636"/>
      <c r="BD293" s="417"/>
      <c r="BE293" s="612"/>
      <c r="BF293" s="613"/>
      <c r="BG293" s="614"/>
      <c r="BH293" s="682"/>
      <c r="BI293" s="417"/>
      <c r="BJ293" s="417">
        <v>4</v>
      </c>
      <c r="BK293" s="682" t="str">
        <f>Техкарта[[#This Row],[Кв-л]]&amp;" кв ("&amp;Substring(Техкарта[[#This Row],[Виділ]],"_",1)&amp;" вид) "&amp;Substring(Техкарта[[#This Row],[Виділ]],"_",2)&amp;" діл."</f>
        <v>52 кв (4 вид) 0 діл.</v>
      </c>
      <c r="BL293" s="682" t="str">
        <f>Техкарта[[#This Row],[ПолнаяДіл]] &amp;" "&amp;Техкарта[[#This Row],[ЛК]]&amp;" "&amp;Техкарта[[#This Row],[Вид рубки]]</f>
        <v>52 кв (4 вид) 0 діл. 556667 ОСВ</v>
      </c>
      <c r="BM293" s="682"/>
      <c r="BN293" s="636"/>
      <c r="BO293" s="636"/>
      <c r="BP293" s="636"/>
      <c r="BQ293" s="636" t="s">
        <v>3896</v>
      </c>
      <c r="BR293" s="636">
        <v>2</v>
      </c>
      <c r="BS293" s="636"/>
      <c r="BT293" s="636"/>
      <c r="BU293" s="636"/>
      <c r="BV293" s="636"/>
      <c r="BW293" s="636" t="s">
        <v>4210</v>
      </c>
      <c r="BX293" s="636"/>
      <c r="BY293" s="972"/>
    </row>
    <row r="294" spans="1:77">
      <c r="A294" t="s">
        <v>104</v>
      </c>
      <c r="B294" s="675" t="s">
        <v>113</v>
      </c>
      <c r="C294" s="687" t="s">
        <v>104</v>
      </c>
      <c r="D294" s="675">
        <v>0</v>
      </c>
      <c r="E294" s="675" t="s">
        <v>2305</v>
      </c>
      <c r="F294" s="675">
        <v>2</v>
      </c>
      <c r="G294" s="675" t="s">
        <v>2238</v>
      </c>
      <c r="H294" s="675">
        <v>39</v>
      </c>
      <c r="I294" s="676" t="s">
        <v>3832</v>
      </c>
      <c r="J294" s="677">
        <v>2.4</v>
      </c>
      <c r="K294" s="683">
        <v>1200</v>
      </c>
      <c r="L294" s="677">
        <v>0</v>
      </c>
      <c r="M294" s="677">
        <v>10</v>
      </c>
      <c r="N294" s="677">
        <v>99</v>
      </c>
      <c r="O294" s="677">
        <v>0</v>
      </c>
      <c r="P294" s="677">
        <v>0</v>
      </c>
      <c r="Q294" s="677">
        <v>10</v>
      </c>
      <c r="R294" s="677">
        <v>42</v>
      </c>
      <c r="S294" s="677">
        <v>76</v>
      </c>
      <c r="T294" s="677">
        <v>203</v>
      </c>
      <c r="U294" s="677">
        <v>14</v>
      </c>
      <c r="V294" s="677">
        <v>62</v>
      </c>
      <c r="W294" s="677">
        <v>139</v>
      </c>
      <c r="X294" s="678"/>
      <c r="Y294" s="682"/>
      <c r="Z294" s="680"/>
      <c r="AA294" s="681">
        <v>89.417000000000002</v>
      </c>
      <c r="AB294" s="681">
        <v>39.662999999999997</v>
      </c>
      <c r="AC294" s="417">
        <v>51</v>
      </c>
      <c r="AD294" s="417"/>
      <c r="AE294" s="682" t="s">
        <v>4211</v>
      </c>
      <c r="AF294">
        <v>1</v>
      </c>
      <c r="AG294" s="713">
        <v>43101</v>
      </c>
      <c r="AH294" s="417"/>
      <c r="AI294" s="417"/>
      <c r="AJ294" s="714">
        <v>43230</v>
      </c>
      <c r="AK294" s="417"/>
      <c r="AL294" s="637" t="s">
        <v>3469</v>
      </c>
      <c r="AM294" s="417"/>
      <c r="AN294" s="417"/>
      <c r="AO294" s="636"/>
      <c r="AP294">
        <v>556620</v>
      </c>
      <c r="AQ294" s="715">
        <v>43077</v>
      </c>
      <c r="AR294" s="417"/>
      <c r="AS294" s="417"/>
      <c r="AT294" s="417"/>
      <c r="AU294" s="417"/>
      <c r="AV294" s="417"/>
      <c r="AW294" s="417"/>
      <c r="AX294" s="417"/>
      <c r="AY294" t="s">
        <v>80</v>
      </c>
      <c r="AZ294" s="417"/>
      <c r="BA294" s="417"/>
      <c r="BB294" t="s">
        <v>3584</v>
      </c>
      <c r="BC294" s="636"/>
      <c r="BD294" s="417"/>
      <c r="BE294" s="612">
        <v>5</v>
      </c>
      <c r="BF294" s="613">
        <v>40</v>
      </c>
      <c r="BG294" s="614" t="s">
        <v>78</v>
      </c>
      <c r="BH294" s="682"/>
      <c r="BI294" s="417"/>
      <c r="BJ294" s="417">
        <v>3</v>
      </c>
      <c r="BK294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294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294" s="682"/>
      <c r="BN294" s="636" t="s">
        <v>3784</v>
      </c>
      <c r="BO294" s="636" t="s">
        <v>3784</v>
      </c>
      <c r="BP294" s="636" t="s">
        <v>3784</v>
      </c>
      <c r="BQ294" s="636" t="s">
        <v>104</v>
      </c>
      <c r="BR294" s="636"/>
      <c r="BS294" s="636"/>
      <c r="BT294" s="636"/>
      <c r="BU294" s="636"/>
      <c r="BV294" s="636"/>
      <c r="BW294" s="636" t="s">
        <v>4210</v>
      </c>
      <c r="BX294" s="636"/>
      <c r="BY294" s="972"/>
    </row>
    <row r="295" spans="1:77">
      <c r="A295" t="s">
        <v>105</v>
      </c>
      <c r="B295" s="675" t="s">
        <v>115</v>
      </c>
      <c r="C295" s="687" t="s">
        <v>3587</v>
      </c>
      <c r="D295" s="675">
        <v>0</v>
      </c>
      <c r="E295" s="675" t="s">
        <v>2305</v>
      </c>
      <c r="F295" s="675">
        <v>3</v>
      </c>
      <c r="G295" s="675" t="s">
        <v>2238</v>
      </c>
      <c r="H295" s="675">
        <v>11</v>
      </c>
      <c r="I295" s="676" t="s">
        <v>3831</v>
      </c>
      <c r="J295" s="677">
        <v>7.6</v>
      </c>
      <c r="K295" s="683">
        <v>597</v>
      </c>
      <c r="L295" s="677">
        <v>0</v>
      </c>
      <c r="M295" s="677">
        <v>0</v>
      </c>
      <c r="N295" s="677">
        <v>49</v>
      </c>
      <c r="O295" s="677">
        <v>0</v>
      </c>
      <c r="P295" s="677">
        <v>0</v>
      </c>
      <c r="Q295" s="677">
        <v>0</v>
      </c>
      <c r="R295" s="677">
        <v>0</v>
      </c>
      <c r="S295" s="677">
        <v>0</v>
      </c>
      <c r="T295" s="677">
        <v>0</v>
      </c>
      <c r="U295" s="677">
        <v>7</v>
      </c>
      <c r="V295" s="677">
        <v>4</v>
      </c>
      <c r="W295" s="677">
        <v>220</v>
      </c>
      <c r="X295" s="678"/>
      <c r="Y295" s="682"/>
      <c r="Z295" s="680"/>
      <c r="AA295" s="681">
        <v>74.394999999999996</v>
      </c>
      <c r="AB295" s="681">
        <v>29.978000000000002</v>
      </c>
      <c r="AC295" s="417">
        <v>23</v>
      </c>
      <c r="AD295" s="417"/>
      <c r="AE295" s="682" t="s">
        <v>4212</v>
      </c>
      <c r="AF295">
        <v>1</v>
      </c>
      <c r="AG295" s="713">
        <v>43101</v>
      </c>
      <c r="AH295" s="417"/>
      <c r="AI295" s="417"/>
      <c r="AJ295" s="714">
        <v>43234</v>
      </c>
      <c r="AK295" s="417"/>
      <c r="AL295" s="637" t="s">
        <v>3471</v>
      </c>
      <c r="AM295" s="417"/>
      <c r="AN295" s="417"/>
      <c r="AO295" s="636"/>
      <c r="AP295">
        <v>556704</v>
      </c>
      <c r="AQ295" s="715">
        <v>43234</v>
      </c>
      <c r="AR295" s="417"/>
      <c r="AS295" s="417"/>
      <c r="AT295" s="417"/>
      <c r="AU295" s="417"/>
      <c r="AV295" s="417"/>
      <c r="AW295" s="417"/>
      <c r="AX295" s="417"/>
      <c r="AY295" t="s">
        <v>3362</v>
      </c>
      <c r="AZ295" s="417"/>
      <c r="BA295" s="417"/>
      <c r="BB295" t="s">
        <v>3585</v>
      </c>
      <c r="BC295" s="636"/>
      <c r="BD295" s="417"/>
      <c r="BE295" s="612">
        <v>0</v>
      </c>
      <c r="BF295" s="613">
        <v>0</v>
      </c>
      <c r="BG295" s="614" t="s">
        <v>78</v>
      </c>
      <c r="BH295" s="682"/>
      <c r="BI295" s="417"/>
      <c r="BJ295" s="417">
        <v>3</v>
      </c>
      <c r="BK295" s="682" t="str">
        <f>Техкарта[[#This Row],[Кв-л]]&amp;" кв ("&amp;Substring(Техкарта[[#This Row],[Виділ]],"_",1)&amp;" вид) "&amp;Substring(Техкарта[[#This Row],[Виділ]],"_",2)&amp;" діл."</f>
        <v>11 кв (4 вид) 0 діл.</v>
      </c>
      <c r="BL295" s="682" t="str">
        <f>Техкарта[[#This Row],[ПолнаяДіл]] &amp;" "&amp;Техкарта[[#This Row],[ЛК]]&amp;" "&amp;Техкарта[[#This Row],[Вид рубки]]</f>
        <v>11 кв (4 вид) 0 діл. 556704 Догляд за ПЛНД</v>
      </c>
      <c r="BM295" s="682"/>
      <c r="BN295" s="636" t="s">
        <v>3784</v>
      </c>
      <c r="BO295" s="636" t="s">
        <v>3784</v>
      </c>
      <c r="BP295" s="636" t="s">
        <v>3784</v>
      </c>
      <c r="BQ295" s="636" t="s">
        <v>105</v>
      </c>
      <c r="BR295" s="636"/>
      <c r="BS295" s="636"/>
      <c r="BT295" s="636"/>
      <c r="BU295" s="636"/>
      <c r="BV295" s="636"/>
      <c r="BW295" s="636" t="s">
        <v>4210</v>
      </c>
      <c r="BX295" s="636"/>
      <c r="BY295" s="972"/>
    </row>
    <row r="296" spans="1:77">
      <c r="A296" t="s">
        <v>105</v>
      </c>
      <c r="B296" s="675" t="s">
        <v>115</v>
      </c>
      <c r="C296" s="687" t="s">
        <v>124</v>
      </c>
      <c r="D296" s="675">
        <v>0</v>
      </c>
      <c r="E296" s="675" t="s">
        <v>2305</v>
      </c>
      <c r="F296" s="675">
        <v>3</v>
      </c>
      <c r="G296" s="675" t="s">
        <v>2238</v>
      </c>
      <c r="H296" s="675">
        <v>82</v>
      </c>
      <c r="I296" s="676" t="s">
        <v>3831</v>
      </c>
      <c r="J296" s="677">
        <v>4.2</v>
      </c>
      <c r="K296" s="683">
        <v>311</v>
      </c>
      <c r="L296" s="677">
        <v>0</v>
      </c>
      <c r="M296" s="677">
        <v>0</v>
      </c>
      <c r="N296" s="677">
        <v>1</v>
      </c>
      <c r="O296" s="677">
        <v>0</v>
      </c>
      <c r="P296" s="677">
        <v>0</v>
      </c>
      <c r="Q296" s="677">
        <v>0</v>
      </c>
      <c r="R296" s="677">
        <v>0</v>
      </c>
      <c r="S296" s="677">
        <v>0</v>
      </c>
      <c r="T296" s="677">
        <v>35</v>
      </c>
      <c r="U296" s="677">
        <v>0</v>
      </c>
      <c r="V296" s="677">
        <v>0</v>
      </c>
      <c r="W296" s="677">
        <v>0</v>
      </c>
      <c r="X296" s="678"/>
      <c r="Y296" s="682"/>
      <c r="Z296" s="680"/>
      <c r="AA296" s="681">
        <v>168.19</v>
      </c>
      <c r="AB296" s="681">
        <v>29.978000000000002</v>
      </c>
      <c r="AC296" s="417">
        <v>1</v>
      </c>
      <c r="AD296" s="417"/>
      <c r="AE296" s="682" t="s">
        <v>4213</v>
      </c>
      <c r="AF296">
        <v>1</v>
      </c>
      <c r="AG296" s="713">
        <v>43101</v>
      </c>
      <c r="AH296" s="417"/>
      <c r="AI296" s="417"/>
      <c r="AJ296" s="714">
        <v>43222</v>
      </c>
      <c r="AK296" s="417"/>
      <c r="AL296" s="637" t="s">
        <v>3461</v>
      </c>
      <c r="AM296" s="417"/>
      <c r="AN296" s="417"/>
      <c r="AO296" s="636"/>
      <c r="AP296">
        <v>556628</v>
      </c>
      <c r="AQ296" s="715">
        <v>43102</v>
      </c>
      <c r="AR296" s="417"/>
      <c r="AS296" s="417"/>
      <c r="AT296" s="417"/>
      <c r="AU296" s="417"/>
      <c r="AV296" s="417"/>
      <c r="AW296" s="417"/>
      <c r="AX296" s="417"/>
      <c r="AY296" t="s">
        <v>3362</v>
      </c>
      <c r="AZ296" s="417"/>
      <c r="BA296" s="417"/>
      <c r="BB296" t="s">
        <v>3585</v>
      </c>
      <c r="BC296" s="636"/>
      <c r="BD296" s="417"/>
      <c r="BE296" s="612">
        <v>0</v>
      </c>
      <c r="BF296" s="613">
        <v>0</v>
      </c>
      <c r="BG296" s="614" t="s">
        <v>78</v>
      </c>
      <c r="BH296" s="682"/>
      <c r="BI296" s="417"/>
      <c r="BJ296" s="417">
        <v>12</v>
      </c>
      <c r="BK296" s="682" t="str">
        <f>Техкарта[[#This Row],[Кв-л]]&amp;" кв ("&amp;Substring(Техкарта[[#This Row],[Виділ]],"_",1)&amp;" вид) "&amp;Substring(Техкарта[[#This Row],[Виділ]],"_",2)&amp;" діл."</f>
        <v>82 кв (4 вид) 0 діл.</v>
      </c>
      <c r="BL296" s="682" t="str">
        <f>Техкарта[[#This Row],[ПолнаяДіл]] &amp;" "&amp;Техкарта[[#This Row],[ЛК]]&amp;" "&amp;Техкарта[[#This Row],[Вид рубки]]</f>
        <v>82 кв (4 вид) 0 діл. 556628 ПРЖ</v>
      </c>
      <c r="BM296" s="682"/>
      <c r="BN296" s="636" t="s">
        <v>3784</v>
      </c>
      <c r="BO296" s="636" t="s">
        <v>3784</v>
      </c>
      <c r="BP296" s="636" t="s">
        <v>3784</v>
      </c>
      <c r="BQ296" s="636" t="s">
        <v>105</v>
      </c>
      <c r="BR296" s="636"/>
      <c r="BS296" s="636"/>
      <c r="BT296" s="636"/>
      <c r="BU296" s="636"/>
      <c r="BV296" s="636"/>
      <c r="BW296" s="636" t="s">
        <v>4210</v>
      </c>
      <c r="BX296" s="636"/>
      <c r="BY296" s="972"/>
    </row>
    <row r="297" spans="1:77">
      <c r="A297" t="s">
        <v>105</v>
      </c>
      <c r="B297" s="675" t="s">
        <v>115</v>
      </c>
      <c r="C297" s="687" t="s">
        <v>124</v>
      </c>
      <c r="D297" s="675">
        <v>0</v>
      </c>
      <c r="E297" s="675" t="s">
        <v>2305</v>
      </c>
      <c r="F297" s="675">
        <v>3</v>
      </c>
      <c r="G297" s="675" t="s">
        <v>2238</v>
      </c>
      <c r="H297" s="675">
        <v>82</v>
      </c>
      <c r="I297" s="676" t="s">
        <v>3829</v>
      </c>
      <c r="J297" s="677">
        <v>3.1</v>
      </c>
      <c r="K297" s="683">
        <v>358</v>
      </c>
      <c r="L297" s="677">
        <v>0</v>
      </c>
      <c r="M297" s="677">
        <v>0</v>
      </c>
      <c r="N297" s="677">
        <v>1</v>
      </c>
      <c r="O297" s="677">
        <v>0</v>
      </c>
      <c r="P297" s="677">
        <v>0</v>
      </c>
      <c r="Q297" s="677">
        <v>0</v>
      </c>
      <c r="R297" s="677">
        <v>0</v>
      </c>
      <c r="S297" s="677">
        <v>0</v>
      </c>
      <c r="T297" s="677">
        <v>48</v>
      </c>
      <c r="U297" s="677">
        <v>0</v>
      </c>
      <c r="V297" s="677">
        <v>0</v>
      </c>
      <c r="W297" s="677">
        <v>0</v>
      </c>
      <c r="X297" s="678"/>
      <c r="Y297" s="682"/>
      <c r="Z297" s="680"/>
      <c r="AA297" s="681">
        <v>134.03700000000001</v>
      </c>
      <c r="AB297" s="681">
        <v>29.978000000000002</v>
      </c>
      <c r="AC297" s="417">
        <v>1</v>
      </c>
      <c r="AD297" s="417"/>
      <c r="AE297" s="682" t="s">
        <v>4214</v>
      </c>
      <c r="AF297">
        <v>1</v>
      </c>
      <c r="AG297" s="713">
        <v>43101</v>
      </c>
      <c r="AH297" s="417"/>
      <c r="AI297" s="417"/>
      <c r="AJ297" s="714">
        <v>43222</v>
      </c>
      <c r="AK297" s="417"/>
      <c r="AL297" s="637" t="s">
        <v>3461</v>
      </c>
      <c r="AM297" s="417"/>
      <c r="AN297" s="417"/>
      <c r="AO297" s="636"/>
      <c r="AP297">
        <v>556628</v>
      </c>
      <c r="AQ297" s="715">
        <v>43102</v>
      </c>
      <c r="AR297" s="417"/>
      <c r="AS297" s="417"/>
      <c r="AT297" s="417"/>
      <c r="AU297" s="417"/>
      <c r="AV297" s="417"/>
      <c r="AW297" s="417"/>
      <c r="AX297" s="417"/>
      <c r="AY297" t="s">
        <v>3362</v>
      </c>
      <c r="AZ297" s="417"/>
      <c r="BA297" s="417"/>
      <c r="BB297" t="s">
        <v>3585</v>
      </c>
      <c r="BC297" s="636"/>
      <c r="BD297" s="417"/>
      <c r="BE297" s="612">
        <v>0</v>
      </c>
      <c r="BF297" s="613">
        <v>0</v>
      </c>
      <c r="BG297" s="614" t="s">
        <v>78</v>
      </c>
      <c r="BH297" s="682"/>
      <c r="BI297" s="417"/>
      <c r="BJ297" s="417">
        <v>13</v>
      </c>
      <c r="BK297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7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7" s="682"/>
      <c r="BN297" s="636" t="s">
        <v>3784</v>
      </c>
      <c r="BO297" s="636" t="s">
        <v>3784</v>
      </c>
      <c r="BP297" s="636" t="s">
        <v>3784</v>
      </c>
      <c r="BQ297" s="636" t="s">
        <v>105</v>
      </c>
      <c r="BR297" s="636"/>
      <c r="BS297" s="636"/>
      <c r="BT297" s="636"/>
      <c r="BU297" s="636"/>
      <c r="BV297" s="636"/>
      <c r="BW297" s="636" t="s">
        <v>4210</v>
      </c>
      <c r="BX297" s="636"/>
      <c r="BY297" s="972"/>
    </row>
    <row r="298" spans="1:77">
      <c r="A298" t="s">
        <v>105</v>
      </c>
      <c r="B298" s="675" t="s">
        <v>115</v>
      </c>
      <c r="C298" s="687" t="s">
        <v>124</v>
      </c>
      <c r="D298" s="675">
        <v>0</v>
      </c>
      <c r="E298" s="675" t="s">
        <v>2305</v>
      </c>
      <c r="F298" s="675">
        <v>3</v>
      </c>
      <c r="G298" s="675" t="s">
        <v>2238</v>
      </c>
      <c r="H298" s="675">
        <v>82</v>
      </c>
      <c r="I298" s="676" t="s">
        <v>3829</v>
      </c>
      <c r="J298" s="677">
        <v>3.1</v>
      </c>
      <c r="K298" s="683">
        <v>358</v>
      </c>
      <c r="L298" s="677">
        <v>0</v>
      </c>
      <c r="M298" s="677">
        <v>0</v>
      </c>
      <c r="N298" s="677">
        <v>1</v>
      </c>
      <c r="O298" s="677">
        <v>0</v>
      </c>
      <c r="P298" s="677">
        <v>0</v>
      </c>
      <c r="Q298" s="677">
        <v>0</v>
      </c>
      <c r="R298" s="677">
        <v>0</v>
      </c>
      <c r="S298" s="677">
        <v>0</v>
      </c>
      <c r="T298" s="677">
        <v>48</v>
      </c>
      <c r="U298" s="677">
        <v>0</v>
      </c>
      <c r="V298" s="677">
        <v>0</v>
      </c>
      <c r="W298" s="677">
        <v>0</v>
      </c>
      <c r="X298" s="678"/>
      <c r="Y298" s="682"/>
      <c r="Z298" s="680"/>
      <c r="AA298" s="681">
        <v>134.03700000000001</v>
      </c>
      <c r="AB298" s="681">
        <v>29.978000000000002</v>
      </c>
      <c r="AC298" s="417">
        <v>1</v>
      </c>
      <c r="AD298" s="417"/>
      <c r="AE298" s="682" t="s">
        <v>4214</v>
      </c>
      <c r="AF298">
        <v>1</v>
      </c>
      <c r="AG298" s="713">
        <v>43101</v>
      </c>
      <c r="AH298" s="417"/>
      <c r="AI298" s="417"/>
      <c r="AJ298" s="714">
        <v>43222</v>
      </c>
      <c r="AK298" s="417"/>
      <c r="AL298" s="637" t="s">
        <v>3461</v>
      </c>
      <c r="AM298" s="417"/>
      <c r="AN298" s="417"/>
      <c r="AO298" s="636"/>
      <c r="AP298">
        <v>556628</v>
      </c>
      <c r="AQ298" s="715">
        <v>43102</v>
      </c>
      <c r="AR298" s="417"/>
      <c r="AS298" s="417"/>
      <c r="AT298" s="417"/>
      <c r="AU298" s="417"/>
      <c r="AV298" s="417"/>
      <c r="AW298" s="417"/>
      <c r="AX298" s="417"/>
      <c r="AY298" t="s">
        <v>3362</v>
      </c>
      <c r="AZ298" s="417"/>
      <c r="BA298" s="417"/>
      <c r="BB298" t="s">
        <v>3585</v>
      </c>
      <c r="BC298" s="636"/>
      <c r="BD298" s="417"/>
      <c r="BE298" s="612">
        <v>0</v>
      </c>
      <c r="BF298" s="613">
        <v>0</v>
      </c>
      <c r="BG298" s="614" t="s">
        <v>78</v>
      </c>
      <c r="BH298" s="682"/>
      <c r="BI298" s="417"/>
      <c r="BJ298" s="417">
        <v>13</v>
      </c>
      <c r="BK298" s="682" t="str">
        <f>Техкарта[[#This Row],[Кв-л]]&amp;" кв ("&amp;Substring(Техкарта[[#This Row],[Виділ]],"_",1)&amp;" вид) "&amp;Substring(Техкарта[[#This Row],[Виділ]],"_",2)&amp;" діл."</f>
        <v>82 кв (3 вид) 0 діл.</v>
      </c>
      <c r="BL298" s="682" t="str">
        <f>Техкарта[[#This Row],[ПолнаяДіл]] &amp;" "&amp;Техкарта[[#This Row],[ЛК]]&amp;" "&amp;Техкарта[[#This Row],[Вид рубки]]</f>
        <v>82 кв (3 вид) 0 діл. 556628 ПРЖ</v>
      </c>
      <c r="BM298" s="682"/>
      <c r="BN298" s="636" t="s">
        <v>3784</v>
      </c>
      <c r="BO298" s="636" t="s">
        <v>3784</v>
      </c>
      <c r="BP298" s="636" t="s">
        <v>3784</v>
      </c>
      <c r="BQ298" s="636" t="s">
        <v>105</v>
      </c>
      <c r="BR298" s="636"/>
      <c r="BS298" s="636"/>
      <c r="BT298" s="636"/>
      <c r="BU298" s="636"/>
      <c r="BV298" s="636"/>
      <c r="BW298" s="636" t="s">
        <v>4210</v>
      </c>
      <c r="BX298" s="636"/>
      <c r="BY298" s="972"/>
    </row>
    <row r="299" spans="1:77">
      <c r="A299" t="s">
        <v>3896</v>
      </c>
      <c r="B299" s="675" t="s">
        <v>115</v>
      </c>
      <c r="C299" s="687" t="s">
        <v>3844</v>
      </c>
      <c r="D299" s="675">
        <v>0</v>
      </c>
      <c r="E299" s="675" t="s">
        <v>2305</v>
      </c>
      <c r="F299" s="675">
        <v>3</v>
      </c>
      <c r="G299" s="675" t="s">
        <v>79</v>
      </c>
      <c r="H299" s="675">
        <v>37</v>
      </c>
      <c r="I299" s="676" t="s">
        <v>3850</v>
      </c>
      <c r="J299" s="677">
        <v>1.1000000000000001</v>
      </c>
      <c r="K299" s="683">
        <v>0</v>
      </c>
      <c r="L299" s="677"/>
      <c r="M299" s="677">
        <v>0</v>
      </c>
      <c r="N299" s="677">
        <v>40</v>
      </c>
      <c r="O299" s="677"/>
      <c r="P299" s="677"/>
      <c r="Q299" s="677">
        <v>0</v>
      </c>
      <c r="R299" s="677"/>
      <c r="S299" s="677">
        <v>0</v>
      </c>
      <c r="T299" s="677">
        <v>0</v>
      </c>
      <c r="U299" s="677"/>
      <c r="V299" s="677">
        <v>0</v>
      </c>
      <c r="W299" s="677">
        <v>0</v>
      </c>
      <c r="X299" s="678"/>
      <c r="Y299" s="682"/>
      <c r="Z299" s="680"/>
      <c r="AA299" s="681">
        <v>261.75</v>
      </c>
      <c r="AB299" s="681"/>
      <c r="AC299" s="417">
        <v>23</v>
      </c>
      <c r="AD299" s="417"/>
      <c r="AE299" s="682" t="s">
        <v>4215</v>
      </c>
      <c r="AF299">
        <v>1</v>
      </c>
      <c r="AG299" s="713">
        <v>43101</v>
      </c>
      <c r="AH299" s="417"/>
      <c r="AI299" s="417"/>
      <c r="AJ299" s="714">
        <v>43234</v>
      </c>
      <c r="AK299" s="417"/>
      <c r="AL299" s="637" t="s">
        <v>3466</v>
      </c>
      <c r="AM299" s="417"/>
      <c r="AN299" s="417"/>
      <c r="AO299" s="636"/>
      <c r="AP299">
        <v>556705</v>
      </c>
      <c r="AQ299" s="715">
        <v>43243</v>
      </c>
      <c r="AR299" s="417">
        <v>0.3</v>
      </c>
      <c r="AS299" s="417"/>
      <c r="AT299" s="417"/>
      <c r="AU299" s="417"/>
      <c r="AV299" s="417"/>
      <c r="AW299" s="417"/>
      <c r="AX299" s="417"/>
      <c r="AY299" t="s">
        <v>3362</v>
      </c>
      <c r="AZ299" s="417"/>
      <c r="BA299" s="417"/>
      <c r="BB299" t="s">
        <v>3585</v>
      </c>
      <c r="BC299" s="636"/>
      <c r="BD299" s="417"/>
      <c r="BE299" s="612"/>
      <c r="BF299" s="613"/>
      <c r="BG299" s="614"/>
      <c r="BH299" s="682"/>
      <c r="BI299" s="417"/>
      <c r="BJ299" s="417">
        <v>4</v>
      </c>
      <c r="BK299" s="682" t="str">
        <f>Техкарта[[#This Row],[Кв-л]]&amp;" кв ("&amp;Substring(Техкарта[[#This Row],[Виділ]],"_",1)&amp;" вид) "&amp;Substring(Техкарта[[#This Row],[Виділ]],"_",2)&amp;" діл."</f>
        <v>37 кв (6 вид) 0 діл.</v>
      </c>
      <c r="BL299" s="682" t="str">
        <f>Техкарта[[#This Row],[ПолнаяДіл]] &amp;" "&amp;Техкарта[[#This Row],[ЛК]]&amp;" "&amp;Техкарта[[#This Row],[Вид рубки]]</f>
        <v>37 кв (6 вид) 0 діл. 556705 ЛД</v>
      </c>
      <c r="BM299" s="682"/>
      <c r="BN299" s="636"/>
      <c r="BO299" s="636"/>
      <c r="BP299" s="636"/>
      <c r="BQ299" s="636" t="s">
        <v>3896</v>
      </c>
      <c r="BR299" s="636">
        <v>2</v>
      </c>
      <c r="BS299" s="636"/>
      <c r="BT299" s="636"/>
      <c r="BU299" s="636"/>
      <c r="BV299" s="636"/>
      <c r="BW299" s="636" t="s">
        <v>4210</v>
      </c>
      <c r="BX299" s="636"/>
      <c r="BY299" s="972"/>
    </row>
    <row r="300" spans="1:77">
      <c r="A300" t="s">
        <v>3896</v>
      </c>
      <c r="B300" s="675" t="s">
        <v>115</v>
      </c>
      <c r="C300" s="687" t="s">
        <v>3844</v>
      </c>
      <c r="D300" s="675">
        <v>0</v>
      </c>
      <c r="E300" s="675" t="s">
        <v>2305</v>
      </c>
      <c r="F300" s="675">
        <v>3</v>
      </c>
      <c r="G300" s="675" t="s">
        <v>79</v>
      </c>
      <c r="H300" s="675">
        <v>63</v>
      </c>
      <c r="I300" s="676" t="s">
        <v>3831</v>
      </c>
      <c r="J300" s="677">
        <v>3.9</v>
      </c>
      <c r="K300" s="683">
        <v>0</v>
      </c>
      <c r="L300" s="677"/>
      <c r="M300" s="677">
        <v>0</v>
      </c>
      <c r="N300" s="677">
        <v>120</v>
      </c>
      <c r="O300" s="677"/>
      <c r="P300" s="677"/>
      <c r="Q300" s="677">
        <v>0</v>
      </c>
      <c r="R300" s="677"/>
      <c r="S300" s="677">
        <v>0</v>
      </c>
      <c r="T300" s="677">
        <v>0</v>
      </c>
      <c r="U300" s="677"/>
      <c r="V300" s="677">
        <v>0</v>
      </c>
      <c r="W300" s="677">
        <v>0</v>
      </c>
      <c r="X300" s="678"/>
      <c r="Y300" s="682"/>
      <c r="Z300" s="680"/>
      <c r="AA300" s="681">
        <v>261.72000000000003</v>
      </c>
      <c r="AB300" s="681"/>
      <c r="AC300" s="417">
        <v>23</v>
      </c>
      <c r="AD300" s="417"/>
      <c r="AE300" s="682" t="s">
        <v>4216</v>
      </c>
      <c r="AF300">
        <v>1</v>
      </c>
      <c r="AG300" s="713">
        <v>43101</v>
      </c>
      <c r="AH300" s="417"/>
      <c r="AI300" s="417"/>
      <c r="AJ300" s="714">
        <v>43234</v>
      </c>
      <c r="AK300" s="417"/>
      <c r="AL300" s="637" t="s">
        <v>3461</v>
      </c>
      <c r="AM300" s="417"/>
      <c r="AN300" s="417"/>
      <c r="AO300" s="636"/>
      <c r="AP300">
        <v>556705</v>
      </c>
      <c r="AQ300" s="715">
        <v>43234</v>
      </c>
      <c r="AR300" s="417">
        <v>0.3</v>
      </c>
      <c r="AS300" s="417"/>
      <c r="AT300" s="417"/>
      <c r="AU300" s="417"/>
      <c r="AV300" s="417"/>
      <c r="AW300" s="417"/>
      <c r="AX300" s="417"/>
      <c r="AY300" t="s">
        <v>3362</v>
      </c>
      <c r="AZ300" s="417"/>
      <c r="BA300" s="417"/>
      <c r="BB300" t="s">
        <v>3585</v>
      </c>
      <c r="BC300" s="636"/>
      <c r="BD300" s="417"/>
      <c r="BE300" s="612"/>
      <c r="BF300" s="613"/>
      <c r="BG300" s="614"/>
      <c r="BH300" s="682"/>
      <c r="BI300" s="417"/>
      <c r="BJ300" s="417">
        <v>5</v>
      </c>
      <c r="BK300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00" s="682" t="str">
        <f>Техкарта[[#This Row],[ПолнаяДіл]] &amp;" "&amp;Техкарта[[#This Row],[ЛК]]&amp;" "&amp;Техкарта[[#This Row],[Вид рубки]]</f>
        <v>63 кв (4 вид) 0 діл. 556705 ЛД</v>
      </c>
      <c r="BM300" s="682"/>
      <c r="BN300" s="636"/>
      <c r="BO300" s="636"/>
      <c r="BP300" s="636"/>
      <c r="BQ300" s="636" t="s">
        <v>3896</v>
      </c>
      <c r="BR300" s="636">
        <v>2</v>
      </c>
      <c r="BS300" s="636"/>
      <c r="BT300" s="636"/>
      <c r="BU300" s="636"/>
      <c r="BV300" s="636"/>
      <c r="BW300" s="636" t="s">
        <v>4210</v>
      </c>
      <c r="BX300" s="636"/>
      <c r="BY300" s="972"/>
    </row>
    <row r="301" spans="1:77">
      <c r="A301" t="s">
        <v>3896</v>
      </c>
      <c r="B301" s="675" t="s">
        <v>115</v>
      </c>
      <c r="C301" s="687" t="s">
        <v>3844</v>
      </c>
      <c r="D301" s="675">
        <v>0</v>
      </c>
      <c r="E301" s="675" t="s">
        <v>2305</v>
      </c>
      <c r="F301" s="675">
        <v>3</v>
      </c>
      <c r="G301" s="675" t="s">
        <v>79</v>
      </c>
      <c r="H301" s="675">
        <v>94</v>
      </c>
      <c r="I301" s="676" t="s">
        <v>3829</v>
      </c>
      <c r="J301" s="677">
        <v>0.8</v>
      </c>
      <c r="K301" s="683">
        <v>0</v>
      </c>
      <c r="L301" s="677"/>
      <c r="M301" s="677">
        <v>0</v>
      </c>
      <c r="N301" s="677">
        <v>20</v>
      </c>
      <c r="O301" s="677"/>
      <c r="P301" s="677"/>
      <c r="Q301" s="677">
        <v>0</v>
      </c>
      <c r="R301" s="677"/>
      <c r="S301" s="677">
        <v>0</v>
      </c>
      <c r="T301" s="677">
        <v>0</v>
      </c>
      <c r="U301" s="677"/>
      <c r="V301" s="677">
        <v>0</v>
      </c>
      <c r="W301" s="677">
        <v>0</v>
      </c>
      <c r="X301" s="678"/>
      <c r="Y301" s="682"/>
      <c r="Z301" s="680"/>
      <c r="AA301" s="681">
        <v>261.88</v>
      </c>
      <c r="AB301" s="681"/>
      <c r="AC301" s="417">
        <v>23</v>
      </c>
      <c r="AD301" s="417"/>
      <c r="AE301" s="682" t="s">
        <v>4217</v>
      </c>
      <c r="AF301">
        <v>1</v>
      </c>
      <c r="AG301" s="713">
        <v>43101</v>
      </c>
      <c r="AH301" s="417"/>
      <c r="AI301" s="417"/>
      <c r="AJ301" s="714">
        <v>43234</v>
      </c>
      <c r="AK301" s="417"/>
      <c r="AL301" s="637" t="s">
        <v>3444</v>
      </c>
      <c r="AM301" s="417"/>
      <c r="AN301" s="417"/>
      <c r="AO301" s="636"/>
      <c r="AP301">
        <v>556705</v>
      </c>
      <c r="AQ301" s="715">
        <v>43234</v>
      </c>
      <c r="AR301" s="417">
        <v>0.3</v>
      </c>
      <c r="AS301" s="417"/>
      <c r="AT301" s="417"/>
      <c r="AU301" s="417"/>
      <c r="AV301" s="417"/>
      <c r="AW301" s="417"/>
      <c r="AX301" s="417"/>
      <c r="AY301" t="s">
        <v>3362</v>
      </c>
      <c r="AZ301" s="417"/>
      <c r="BA301" s="417"/>
      <c r="BB301" t="s">
        <v>3585</v>
      </c>
      <c r="BC301" s="636"/>
      <c r="BD301" s="417"/>
      <c r="BE301" s="612"/>
      <c r="BF301" s="613"/>
      <c r="BG301" s="614"/>
      <c r="BH301" s="682"/>
      <c r="BI301" s="417"/>
      <c r="BJ301" s="417">
        <v>7</v>
      </c>
      <c r="BK301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01" s="682" t="str">
        <f>Техкарта[[#This Row],[ПолнаяДіл]] &amp;" "&amp;Техкарта[[#This Row],[ЛК]]&amp;" "&amp;Техкарта[[#This Row],[Вид рубки]]</f>
        <v>94 кв (3 вид) 0 діл. 556705 ЛД</v>
      </c>
      <c r="BM301" s="682"/>
      <c r="BN301" s="636"/>
      <c r="BO301" s="636"/>
      <c r="BP301" s="636"/>
      <c r="BQ301" s="636" t="s">
        <v>3896</v>
      </c>
      <c r="BR301" s="636">
        <v>2</v>
      </c>
      <c r="BS301" s="636"/>
      <c r="BT301" s="636"/>
      <c r="BU301" s="636"/>
      <c r="BV301" s="636"/>
      <c r="BW301" s="636" t="s">
        <v>4210</v>
      </c>
      <c r="BX301" s="636"/>
      <c r="BY301" s="972"/>
    </row>
    <row r="302" spans="1:77">
      <c r="A302" t="s">
        <v>3896</v>
      </c>
      <c r="B302" s="675" t="s">
        <v>115</v>
      </c>
      <c r="C302" s="687" t="s">
        <v>3844</v>
      </c>
      <c r="D302" s="675">
        <v>0</v>
      </c>
      <c r="E302" s="675" t="s">
        <v>2305</v>
      </c>
      <c r="F302" s="675">
        <v>3</v>
      </c>
      <c r="G302" s="675" t="s">
        <v>79</v>
      </c>
      <c r="H302" s="675">
        <v>77</v>
      </c>
      <c r="I302" s="676" t="s">
        <v>3829</v>
      </c>
      <c r="J302" s="677">
        <v>1.6</v>
      </c>
      <c r="K302" s="683">
        <v>0</v>
      </c>
      <c r="L302" s="677"/>
      <c r="M302" s="677">
        <v>0</v>
      </c>
      <c r="N302" s="677">
        <v>60</v>
      </c>
      <c r="O302" s="677"/>
      <c r="P302" s="677"/>
      <c r="Q302" s="677">
        <v>0</v>
      </c>
      <c r="R302" s="677"/>
      <c r="S302" s="677">
        <v>0</v>
      </c>
      <c r="T302" s="677">
        <v>0</v>
      </c>
      <c r="U302" s="677"/>
      <c r="V302" s="677">
        <v>0</v>
      </c>
      <c r="W302" s="677">
        <v>0</v>
      </c>
      <c r="X302" s="678"/>
      <c r="Y302" s="682"/>
      <c r="Z302" s="680"/>
      <c r="AA302" s="681">
        <v>261.74</v>
      </c>
      <c r="AB302" s="681"/>
      <c r="AC302" s="417">
        <v>23</v>
      </c>
      <c r="AD302" s="417"/>
      <c r="AE302" s="682" t="s">
        <v>4218</v>
      </c>
      <c r="AF302">
        <v>1</v>
      </c>
      <c r="AG302" s="713">
        <v>43101</v>
      </c>
      <c r="AH302" s="417"/>
      <c r="AI302" s="417"/>
      <c r="AJ302" s="714">
        <v>43234</v>
      </c>
      <c r="AK302" s="417"/>
      <c r="AL302" s="637" t="s">
        <v>3481</v>
      </c>
      <c r="AM302" s="417"/>
      <c r="AN302" s="417"/>
      <c r="AO302" s="636"/>
      <c r="AP302">
        <v>556705</v>
      </c>
      <c r="AQ302" s="715">
        <v>43234</v>
      </c>
      <c r="AR302" s="417">
        <v>0.3</v>
      </c>
      <c r="AS302" s="417"/>
      <c r="AT302" s="417"/>
      <c r="AU302" s="417"/>
      <c r="AV302" s="417"/>
      <c r="AW302" s="417"/>
      <c r="AX302" s="417"/>
      <c r="AY302" t="s">
        <v>3362</v>
      </c>
      <c r="AZ302" s="417"/>
      <c r="BA302" s="417"/>
      <c r="BB302" t="s">
        <v>3585</v>
      </c>
      <c r="BC302" s="636"/>
      <c r="BD302" s="417"/>
      <c r="BE302" s="612"/>
      <c r="BF302" s="613"/>
      <c r="BG302" s="614"/>
      <c r="BH302" s="682"/>
      <c r="BI302" s="417"/>
      <c r="BJ302" s="417">
        <v>6</v>
      </c>
      <c r="BK302" s="682" t="str">
        <f>Техкарта[[#This Row],[Кв-л]]&amp;" кв ("&amp;Substring(Техкарта[[#This Row],[Виділ]],"_",1)&amp;" вид) "&amp;Substring(Техкарта[[#This Row],[Виділ]],"_",2)&amp;" діл."</f>
        <v>77 кв (3 вид) 0 діл.</v>
      </c>
      <c r="BL302" s="682" t="str">
        <f>Техкарта[[#This Row],[ПолнаяДіл]] &amp;" "&amp;Техкарта[[#This Row],[ЛК]]&amp;" "&amp;Техкарта[[#This Row],[Вид рубки]]</f>
        <v>77 кв (3 вид) 0 діл. 556705 ЛД</v>
      </c>
      <c r="BM302" s="682"/>
      <c r="BN302" s="636"/>
      <c r="BO302" s="636"/>
      <c r="BP302" s="636"/>
      <c r="BQ302" s="636" t="s">
        <v>3896</v>
      </c>
      <c r="BR302" s="636">
        <v>2</v>
      </c>
      <c r="BS302" s="636"/>
      <c r="BT302" s="636"/>
      <c r="BU302" s="636"/>
      <c r="BV302" s="636"/>
      <c r="BW302" s="636" t="s">
        <v>4210</v>
      </c>
      <c r="BX302" s="636"/>
      <c r="BY302" s="972"/>
    </row>
    <row r="303" spans="1:77">
      <c r="A303" t="s">
        <v>3896</v>
      </c>
      <c r="B303" s="675" t="s">
        <v>115</v>
      </c>
      <c r="C303" s="687" t="s">
        <v>3844</v>
      </c>
      <c r="D303" s="675">
        <v>0</v>
      </c>
      <c r="E303" s="675" t="s">
        <v>2305</v>
      </c>
      <c r="F303" s="675">
        <v>3</v>
      </c>
      <c r="G303" s="675" t="s">
        <v>79</v>
      </c>
      <c r="H303" s="675">
        <v>99</v>
      </c>
      <c r="I303" s="676" t="s">
        <v>4219</v>
      </c>
      <c r="J303" s="677">
        <v>4.0999999999999996</v>
      </c>
      <c r="K303" s="683">
        <v>0</v>
      </c>
      <c r="L303" s="677"/>
      <c r="M303" s="677">
        <v>0</v>
      </c>
      <c r="N303" s="677">
        <v>120</v>
      </c>
      <c r="O303" s="677"/>
      <c r="P303" s="677"/>
      <c r="Q303" s="677">
        <v>0</v>
      </c>
      <c r="R303" s="677"/>
      <c r="S303" s="677">
        <v>0</v>
      </c>
      <c r="T303" s="677">
        <v>0</v>
      </c>
      <c r="U303" s="677"/>
      <c r="V303" s="677">
        <v>0</v>
      </c>
      <c r="W303" s="677">
        <v>0</v>
      </c>
      <c r="X303" s="678"/>
      <c r="Y303" s="682"/>
      <c r="Z303" s="680"/>
      <c r="AA303" s="681">
        <v>261.72000000000003</v>
      </c>
      <c r="AB303" s="681"/>
      <c r="AC303" s="417">
        <v>23</v>
      </c>
      <c r="AD303" s="417"/>
      <c r="AE303" s="682" t="s">
        <v>4220</v>
      </c>
      <c r="AF303">
        <v>1</v>
      </c>
      <c r="AG303" s="713">
        <v>43101</v>
      </c>
      <c r="AH303" s="417"/>
      <c r="AI303" s="417"/>
      <c r="AJ303" s="714">
        <v>43234</v>
      </c>
      <c r="AK303" s="417"/>
      <c r="AL303" s="637" t="s">
        <v>3444</v>
      </c>
      <c r="AM303" s="417"/>
      <c r="AN303" s="417"/>
      <c r="AO303" s="636"/>
      <c r="AP303">
        <v>556705</v>
      </c>
      <c r="AQ303" s="715">
        <v>43234</v>
      </c>
      <c r="AR303" s="417">
        <v>0.3</v>
      </c>
      <c r="AS303" s="417"/>
      <c r="AT303" s="417"/>
      <c r="AU303" s="417"/>
      <c r="AV303" s="417"/>
      <c r="AW303" s="417"/>
      <c r="AX303" s="417"/>
      <c r="AY303" t="s">
        <v>3362</v>
      </c>
      <c r="AZ303" s="417"/>
      <c r="BA303" s="417"/>
      <c r="BB303" t="s">
        <v>3585</v>
      </c>
      <c r="BC303" s="636"/>
      <c r="BD303" s="417"/>
      <c r="BE303" s="612"/>
      <c r="BF303" s="613"/>
      <c r="BG303" s="614"/>
      <c r="BH303" s="682"/>
      <c r="BI303" s="417"/>
      <c r="BJ303" s="417">
        <v>8</v>
      </c>
      <c r="BK303" s="682" t="str">
        <f>Техкарта[[#This Row],[Кв-л]]&amp;" кв ("&amp;Substring(Техкарта[[#This Row],[Виділ]],"_",1)&amp;" вид) "&amp;Substring(Техкарта[[#This Row],[Виділ]],"_",2)&amp;" діл."</f>
        <v>99 кв (2 вид) 2 діл.</v>
      </c>
      <c r="BL303" s="682" t="str">
        <f>Техкарта[[#This Row],[ПолнаяДіл]] &amp;" "&amp;Техкарта[[#This Row],[ЛК]]&amp;" "&amp;Техкарта[[#This Row],[Вид рубки]]</f>
        <v>99 кв (2 вид) 2 діл. 556705 ЛД</v>
      </c>
      <c r="BM303" s="682"/>
      <c r="BN303" s="636"/>
      <c r="BO303" s="636"/>
      <c r="BP303" s="636"/>
      <c r="BQ303" s="636" t="s">
        <v>3896</v>
      </c>
      <c r="BR303" s="636">
        <v>2</v>
      </c>
      <c r="BS303" s="636"/>
      <c r="BT303" s="636"/>
      <c r="BU303" s="636"/>
      <c r="BV303" s="636"/>
      <c r="BW303" s="636" t="s">
        <v>4210</v>
      </c>
      <c r="BX303" s="636"/>
      <c r="BY303" s="972"/>
    </row>
    <row r="304" spans="1:77">
      <c r="A304" t="s">
        <v>3896</v>
      </c>
      <c r="B304" s="675" t="s">
        <v>115</v>
      </c>
      <c r="C304" s="687" t="s">
        <v>134</v>
      </c>
      <c r="D304" s="675">
        <v>0</v>
      </c>
      <c r="E304" s="675" t="s">
        <v>2305</v>
      </c>
      <c r="F304" s="675">
        <v>3</v>
      </c>
      <c r="G304" s="675" t="s">
        <v>79</v>
      </c>
      <c r="H304" s="675">
        <v>68</v>
      </c>
      <c r="I304" s="676" t="s">
        <v>3831</v>
      </c>
      <c r="J304" s="677">
        <v>4.9000000000000004</v>
      </c>
      <c r="K304" s="683">
        <v>0</v>
      </c>
      <c r="L304" s="677"/>
      <c r="M304" s="677">
        <v>0</v>
      </c>
      <c r="N304" s="677">
        <v>40</v>
      </c>
      <c r="O304" s="677"/>
      <c r="P304" s="677"/>
      <c r="Q304" s="677">
        <v>166.67</v>
      </c>
      <c r="R304" s="677"/>
      <c r="S304" s="677">
        <v>0</v>
      </c>
      <c r="T304" s="677">
        <v>0</v>
      </c>
      <c r="U304" s="677"/>
      <c r="V304" s="677">
        <v>0</v>
      </c>
      <c r="W304" s="677">
        <v>0</v>
      </c>
      <c r="X304" s="678"/>
      <c r="Y304" s="682"/>
      <c r="Z304" s="680"/>
      <c r="AA304" s="681">
        <v>216.7</v>
      </c>
      <c r="AB304" s="681"/>
      <c r="AC304" s="417">
        <v>23</v>
      </c>
      <c r="AD304" s="417"/>
      <c r="AE304" s="682" t="s">
        <v>4221</v>
      </c>
      <c r="AF304">
        <v>1</v>
      </c>
      <c r="AG304" s="713">
        <v>43101</v>
      </c>
      <c r="AH304" s="417"/>
      <c r="AI304" s="417"/>
      <c r="AJ304" s="714">
        <v>43222</v>
      </c>
      <c r="AK304" s="417"/>
      <c r="AL304" s="637" t="s">
        <v>3461</v>
      </c>
      <c r="AM304" s="417"/>
      <c r="AN304" s="417"/>
      <c r="AO304" s="636"/>
      <c r="AP304">
        <v>556627</v>
      </c>
      <c r="AQ304" s="715">
        <v>43102</v>
      </c>
      <c r="AR304" s="417">
        <v>0.5</v>
      </c>
      <c r="AS304" s="417"/>
      <c r="AT304" s="417"/>
      <c r="AU304" s="417"/>
      <c r="AV304" s="417"/>
      <c r="AW304" s="417"/>
      <c r="AX304" s="417"/>
      <c r="AY304" t="s">
        <v>3362</v>
      </c>
      <c r="AZ304" s="417"/>
      <c r="BA304" s="417"/>
      <c r="BB304" t="s">
        <v>3585</v>
      </c>
      <c r="BC304" s="636"/>
      <c r="BD304" s="417"/>
      <c r="BE304" s="612"/>
      <c r="BF304" s="613"/>
      <c r="BG304" s="614"/>
      <c r="BH304" s="682"/>
      <c r="BI304" s="417"/>
      <c r="BJ304" s="417">
        <v>10</v>
      </c>
      <c r="BK304" s="682" t="str">
        <f>Техкарта[[#This Row],[Кв-л]]&amp;" кв ("&amp;Substring(Техкарта[[#This Row],[Виділ]],"_",1)&amp;" вид) "&amp;Substring(Техкарта[[#This Row],[Виділ]],"_",2)&amp;" діл."</f>
        <v>68 кв (4 вид) 0 діл.</v>
      </c>
      <c r="BL304" s="682" t="str">
        <f>Техкарта[[#This Row],[ПолнаяДіл]] &amp;" "&amp;Техкарта[[#This Row],[ЛК]]&amp;" "&amp;Техкарта[[#This Row],[Вид рубки]]</f>
        <v>68 кв (4 вид) 0 діл. 556627 ПРЧ</v>
      </c>
      <c r="BM304" s="682"/>
      <c r="BN304" s="636"/>
      <c r="BO304" s="636"/>
      <c r="BP304" s="636"/>
      <c r="BQ304" s="636" t="s">
        <v>3896</v>
      </c>
      <c r="BR304" s="636">
        <v>2</v>
      </c>
      <c r="BS304" s="636"/>
      <c r="BT304" s="636"/>
      <c r="BU304" s="636"/>
      <c r="BV304" s="636"/>
      <c r="BW304" s="636" t="s">
        <v>4210</v>
      </c>
      <c r="BX304" s="636"/>
      <c r="BY304" s="972"/>
    </row>
    <row r="305" spans="1:77">
      <c r="A305" t="s">
        <v>3896</v>
      </c>
      <c r="B305" s="675" t="s">
        <v>115</v>
      </c>
      <c r="C305" s="687" t="s">
        <v>134</v>
      </c>
      <c r="D305" s="675">
        <v>0</v>
      </c>
      <c r="E305" s="675" t="s">
        <v>2305</v>
      </c>
      <c r="F305" s="675">
        <v>3</v>
      </c>
      <c r="G305" s="675" t="s">
        <v>79</v>
      </c>
      <c r="H305" s="675">
        <v>79</v>
      </c>
      <c r="I305" s="676" t="s">
        <v>3833</v>
      </c>
      <c r="J305" s="677">
        <v>3.5</v>
      </c>
      <c r="K305" s="683">
        <v>0</v>
      </c>
      <c r="L305" s="677"/>
      <c r="M305" s="677">
        <v>0</v>
      </c>
      <c r="N305" s="677">
        <v>0</v>
      </c>
      <c r="O305" s="677"/>
      <c r="P305" s="677"/>
      <c r="Q305" s="677">
        <v>0</v>
      </c>
      <c r="R305" s="677"/>
      <c r="S305" s="677">
        <v>0</v>
      </c>
      <c r="T305" s="677">
        <v>520</v>
      </c>
      <c r="U305" s="677"/>
      <c r="V305" s="677">
        <v>0</v>
      </c>
      <c r="W305" s="677">
        <v>0</v>
      </c>
      <c r="X305" s="678"/>
      <c r="Y305" s="682"/>
      <c r="Z305" s="680"/>
      <c r="AA305" s="681">
        <v>100.97</v>
      </c>
      <c r="AB305" s="681"/>
      <c r="AC305" s="417">
        <v>23</v>
      </c>
      <c r="AD305" s="417"/>
      <c r="AE305" s="682" t="s">
        <v>4222</v>
      </c>
      <c r="AF305">
        <v>1</v>
      </c>
      <c r="AG305" s="713">
        <v>43101</v>
      </c>
      <c r="AH305" s="417"/>
      <c r="AI305" s="417"/>
      <c r="AJ305" s="714">
        <v>43222</v>
      </c>
      <c r="AK305" s="417"/>
      <c r="AL305" s="637" t="s">
        <v>3461</v>
      </c>
      <c r="AM305" s="417"/>
      <c r="AN305" s="417"/>
      <c r="AO305" s="636"/>
      <c r="AP305">
        <v>556627</v>
      </c>
      <c r="AQ305" s="715">
        <v>43102</v>
      </c>
      <c r="AR305" s="417">
        <v>0.5</v>
      </c>
      <c r="AS305" s="417"/>
      <c r="AT305" s="417"/>
      <c r="AU305" s="417"/>
      <c r="AV305" s="417"/>
      <c r="AW305" s="417"/>
      <c r="AX305" s="417"/>
      <c r="AY305" t="s">
        <v>3362</v>
      </c>
      <c r="AZ305" s="417"/>
      <c r="BA305" s="417"/>
      <c r="BB305" t="s">
        <v>3585</v>
      </c>
      <c r="BC305" s="636"/>
      <c r="BD305" s="417"/>
      <c r="BE305" s="612"/>
      <c r="BF305" s="613"/>
      <c r="BG305" s="614"/>
      <c r="BH305" s="682"/>
      <c r="BI305" s="417"/>
      <c r="BJ305" s="417">
        <v>11</v>
      </c>
      <c r="BK305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5" s="682" t="str">
        <f>Техкарта[[#This Row],[ПолнаяДіл]] &amp;" "&amp;Техкарта[[#This Row],[ЛК]]&amp;" "&amp;Техкарта[[#This Row],[Вид рубки]]</f>
        <v>79 кв (8 вид) 0 діл. 556627 ПРЧ</v>
      </c>
      <c r="BM305" s="682"/>
      <c r="BN305" s="636"/>
      <c r="BO305" s="636"/>
      <c r="BP305" s="636"/>
      <c r="BQ305" s="636" t="s">
        <v>3896</v>
      </c>
      <c r="BR305" s="636">
        <v>2</v>
      </c>
      <c r="BS305" s="636"/>
      <c r="BT305" s="636"/>
      <c r="BU305" s="636"/>
      <c r="BV305" s="636"/>
      <c r="BW305" s="636" t="s">
        <v>4210</v>
      </c>
      <c r="BX305" s="636"/>
      <c r="BY305" s="972"/>
    </row>
    <row r="306" spans="1:77">
      <c r="A306" t="s">
        <v>3896</v>
      </c>
      <c r="B306" s="675" t="s">
        <v>115</v>
      </c>
      <c r="C306" s="687" t="s">
        <v>134</v>
      </c>
      <c r="D306" s="675">
        <v>0</v>
      </c>
      <c r="E306" s="675" t="s">
        <v>2305</v>
      </c>
      <c r="F306" s="675">
        <v>3</v>
      </c>
      <c r="G306" s="675" t="s">
        <v>79</v>
      </c>
      <c r="H306" s="675">
        <v>103</v>
      </c>
      <c r="I306" s="676" t="s">
        <v>3790</v>
      </c>
      <c r="J306" s="677">
        <v>1.8</v>
      </c>
      <c r="K306" s="683">
        <v>0</v>
      </c>
      <c r="L306" s="677"/>
      <c r="M306" s="677">
        <v>0</v>
      </c>
      <c r="N306" s="677">
        <v>0</v>
      </c>
      <c r="O306" s="677"/>
      <c r="P306" s="677"/>
      <c r="Q306" s="677">
        <v>66.67</v>
      </c>
      <c r="R306" s="677"/>
      <c r="S306" s="677">
        <v>0</v>
      </c>
      <c r="T306" s="677">
        <v>225</v>
      </c>
      <c r="U306" s="677"/>
      <c r="V306" s="677">
        <v>0</v>
      </c>
      <c r="W306" s="677">
        <v>0</v>
      </c>
      <c r="X306" s="678"/>
      <c r="Y306" s="682"/>
      <c r="Z306" s="680"/>
      <c r="AA306" s="681">
        <v>112.25</v>
      </c>
      <c r="AB306" s="681"/>
      <c r="AC306" s="417">
        <v>23</v>
      </c>
      <c r="AD306" s="417"/>
      <c r="AE306" s="682" t="s">
        <v>4223</v>
      </c>
      <c r="AF306">
        <v>1</v>
      </c>
      <c r="AG306" s="713">
        <v>43101</v>
      </c>
      <c r="AH306" s="417"/>
      <c r="AI306" s="417"/>
      <c r="AJ306" s="714">
        <v>43222</v>
      </c>
      <c r="AK306" s="417"/>
      <c r="AL306" s="637" t="s">
        <v>3444</v>
      </c>
      <c r="AM306" s="417"/>
      <c r="AN306" s="417"/>
      <c r="AO306" s="636"/>
      <c r="AP306">
        <v>556627</v>
      </c>
      <c r="AQ306" s="715">
        <v>43102</v>
      </c>
      <c r="AR306" s="417">
        <v>0.5</v>
      </c>
      <c r="AS306" s="417"/>
      <c r="AT306" s="417"/>
      <c r="AU306" s="417"/>
      <c r="AV306" s="417"/>
      <c r="AW306" s="417"/>
      <c r="AX306" s="417"/>
      <c r="AY306" t="s">
        <v>3362</v>
      </c>
      <c r="AZ306" s="417"/>
      <c r="BA306" s="417"/>
      <c r="BB306" t="s">
        <v>3585</v>
      </c>
      <c r="BC306" s="636"/>
      <c r="BD306" s="417"/>
      <c r="BE306" s="612"/>
      <c r="BF306" s="613"/>
      <c r="BG306" s="614"/>
      <c r="BH306" s="682"/>
      <c r="BI306" s="417"/>
      <c r="BJ306" s="417">
        <v>9</v>
      </c>
      <c r="BK306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06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06" s="682"/>
      <c r="BN306" s="636"/>
      <c r="BO306" s="636"/>
      <c r="BP306" s="636"/>
      <c r="BQ306" s="636" t="s">
        <v>3896</v>
      </c>
      <c r="BR306" s="636">
        <v>2</v>
      </c>
      <c r="BS306" s="636"/>
      <c r="BT306" s="636"/>
      <c r="BU306" s="636"/>
      <c r="BV306" s="636"/>
      <c r="BW306" s="636" t="s">
        <v>4210</v>
      </c>
      <c r="BX306" s="636"/>
      <c r="BY306" s="972"/>
    </row>
    <row r="307" spans="1:77">
      <c r="A307" t="s">
        <v>105</v>
      </c>
      <c r="B307" s="675" t="s">
        <v>115</v>
      </c>
      <c r="C307" s="687" t="s">
        <v>134</v>
      </c>
      <c r="D307" s="675">
        <v>0</v>
      </c>
      <c r="E307" s="675" t="s">
        <v>2305</v>
      </c>
      <c r="F307" s="675">
        <v>3</v>
      </c>
      <c r="G307" s="675" t="s">
        <v>2238</v>
      </c>
      <c r="H307" s="675">
        <v>79</v>
      </c>
      <c r="I307" s="676" t="s">
        <v>3833</v>
      </c>
      <c r="J307" s="677">
        <v>3.5</v>
      </c>
      <c r="K307" s="683">
        <v>210</v>
      </c>
      <c r="L307" s="677">
        <v>0</v>
      </c>
      <c r="M307" s="677">
        <v>0</v>
      </c>
      <c r="N307" s="677">
        <v>0</v>
      </c>
      <c r="O307" s="677">
        <v>0</v>
      </c>
      <c r="P307" s="677">
        <v>0</v>
      </c>
      <c r="Q307" s="677">
        <v>0</v>
      </c>
      <c r="R307" s="677">
        <v>0</v>
      </c>
      <c r="S307" s="677">
        <v>0</v>
      </c>
      <c r="T307" s="677">
        <v>0</v>
      </c>
      <c r="U307" s="677">
        <v>0</v>
      </c>
      <c r="V307" s="677">
        <v>0</v>
      </c>
      <c r="W307" s="677">
        <v>8</v>
      </c>
      <c r="X307" s="678"/>
      <c r="Y307" s="682"/>
      <c r="Z307" s="680"/>
      <c r="AA307" s="681">
        <v>285.29700000000003</v>
      </c>
      <c r="AB307" s="681">
        <v>29.978000000000002</v>
      </c>
      <c r="AC307" s="417">
        <v>104</v>
      </c>
      <c r="AD307" s="417"/>
      <c r="AE307" s="682" t="s">
        <v>4224</v>
      </c>
      <c r="AF307">
        <v>1</v>
      </c>
      <c r="AG307" s="713">
        <v>43101</v>
      </c>
      <c r="AH307" s="417"/>
      <c r="AI307" s="417"/>
      <c r="AJ307" s="714">
        <v>43222</v>
      </c>
      <c r="AK307" s="417"/>
      <c r="AL307" s="637" t="s">
        <v>3461</v>
      </c>
      <c r="AM307" s="417"/>
      <c r="AN307" s="417"/>
      <c r="AO307" s="636"/>
      <c r="AP307">
        <v>556628</v>
      </c>
      <c r="AQ307" s="715">
        <v>43102</v>
      </c>
      <c r="AR307" s="417"/>
      <c r="AS307" s="417"/>
      <c r="AT307" s="417"/>
      <c r="AU307" s="417"/>
      <c r="AV307" s="417"/>
      <c r="AW307" s="417"/>
      <c r="AX307" s="417"/>
      <c r="AY307" t="s">
        <v>3362</v>
      </c>
      <c r="AZ307" s="417"/>
      <c r="BA307" s="417"/>
      <c r="BB307" t="s">
        <v>3585</v>
      </c>
      <c r="BC307" s="636"/>
      <c r="BD307" s="417"/>
      <c r="BE307" s="612">
        <v>0</v>
      </c>
      <c r="BF307" s="613">
        <v>0</v>
      </c>
      <c r="BG307" s="614" t="s">
        <v>78</v>
      </c>
      <c r="BH307" s="682"/>
      <c r="BI307" s="417"/>
      <c r="BJ307" s="417">
        <v>15</v>
      </c>
      <c r="BK307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07" s="682" t="str">
        <f>Техкарта[[#This Row],[ПолнаяДіл]] &amp;" "&amp;Техкарта[[#This Row],[ЛК]]&amp;" "&amp;Техкарта[[#This Row],[Вид рубки]]</f>
        <v>79 кв (8 вид) 0 діл. 556628 ПРЧ</v>
      </c>
      <c r="BM307" s="682"/>
      <c r="BN307" s="636" t="s">
        <v>3784</v>
      </c>
      <c r="BO307" s="636" t="s">
        <v>3784</v>
      </c>
      <c r="BP307" s="636" t="s">
        <v>3784</v>
      </c>
      <c r="BQ307" s="636" t="s">
        <v>105</v>
      </c>
      <c r="BR307" s="636"/>
      <c r="BS307" s="636"/>
      <c r="BT307" s="636"/>
      <c r="BU307" s="636"/>
      <c r="BV307" s="636"/>
      <c r="BW307" s="636" t="s">
        <v>4210</v>
      </c>
      <c r="BX307" s="636"/>
      <c r="BY307" s="972"/>
    </row>
    <row r="308" spans="1:77">
      <c r="A308" t="s">
        <v>104</v>
      </c>
      <c r="B308" s="675" t="s">
        <v>113</v>
      </c>
      <c r="C308" s="687" t="s">
        <v>104</v>
      </c>
      <c r="D308" s="675">
        <v>0</v>
      </c>
      <c r="E308" s="675" t="s">
        <v>2305</v>
      </c>
      <c r="F308" s="675">
        <v>2</v>
      </c>
      <c r="G308" s="675" t="s">
        <v>2238</v>
      </c>
      <c r="H308" s="675">
        <v>43</v>
      </c>
      <c r="I308" s="676" t="s">
        <v>3850</v>
      </c>
      <c r="J308" s="677">
        <v>1.3</v>
      </c>
      <c r="K308" s="683">
        <v>741</v>
      </c>
      <c r="L308" s="677">
        <v>0</v>
      </c>
      <c r="M308" s="677">
        <v>4</v>
      </c>
      <c r="N308" s="677">
        <v>69</v>
      </c>
      <c r="O308" s="677">
        <v>0</v>
      </c>
      <c r="P308" s="677">
        <v>0</v>
      </c>
      <c r="Q308" s="677">
        <v>5</v>
      </c>
      <c r="R308" s="677">
        <v>32</v>
      </c>
      <c r="S308" s="677">
        <v>20</v>
      </c>
      <c r="T308" s="677">
        <v>100</v>
      </c>
      <c r="U308" s="677">
        <v>11</v>
      </c>
      <c r="V308" s="677">
        <v>17</v>
      </c>
      <c r="W308" s="677">
        <v>67</v>
      </c>
      <c r="X308" s="678"/>
      <c r="Y308" s="682"/>
      <c r="Z308" s="680"/>
      <c r="AA308" s="681">
        <v>84.84</v>
      </c>
      <c r="AB308" s="681">
        <v>40.945999999999998</v>
      </c>
      <c r="AC308" s="417">
        <v>28</v>
      </c>
      <c r="AD308" s="417"/>
      <c r="AE308" s="682" t="s">
        <v>4226</v>
      </c>
      <c r="AF308">
        <v>1</v>
      </c>
      <c r="AG308" s="713">
        <v>43101</v>
      </c>
      <c r="AH308" s="417"/>
      <c r="AI308" s="417"/>
      <c r="AJ308" s="714">
        <v>43245</v>
      </c>
      <c r="AK308" s="417"/>
      <c r="AL308" s="637" t="s">
        <v>3474</v>
      </c>
      <c r="AM308" s="417"/>
      <c r="AN308" s="417"/>
      <c r="AO308" s="636"/>
      <c r="AP308">
        <v>556620</v>
      </c>
      <c r="AQ308" s="715">
        <v>43077</v>
      </c>
      <c r="AR308" s="417"/>
      <c r="AS308" s="417"/>
      <c r="AT308" s="417"/>
      <c r="AU308" s="417"/>
      <c r="AV308" s="417"/>
      <c r="AW308" s="417"/>
      <c r="AX308" s="417"/>
      <c r="AY308" t="s">
        <v>80</v>
      </c>
      <c r="AZ308" s="417"/>
      <c r="BA308" s="417"/>
      <c r="BB308" t="s">
        <v>3584</v>
      </c>
      <c r="BC308" s="636"/>
      <c r="BD308" s="417"/>
      <c r="BE308" s="612">
        <v>0</v>
      </c>
      <c r="BF308" s="613">
        <v>20</v>
      </c>
      <c r="BG308" s="614" t="s">
        <v>78</v>
      </c>
      <c r="BH308" s="682"/>
      <c r="BI308" s="417"/>
      <c r="BJ308" s="417">
        <v>5</v>
      </c>
      <c r="BK308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08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08" s="682"/>
      <c r="BN308" s="636" t="s">
        <v>3784</v>
      </c>
      <c r="BO308" s="636" t="s">
        <v>3784</v>
      </c>
      <c r="BP308" s="636" t="s">
        <v>3784</v>
      </c>
      <c r="BQ308" s="636" t="s">
        <v>104</v>
      </c>
      <c r="BR308" s="636"/>
      <c r="BS308" s="636"/>
      <c r="BT308" s="636"/>
      <c r="BU308" s="636"/>
      <c r="BV308" s="636"/>
      <c r="BW308" s="636" t="s">
        <v>4225</v>
      </c>
      <c r="BX308" s="636"/>
      <c r="BY308" s="972"/>
    </row>
    <row r="309" spans="1:77">
      <c r="A309" t="s">
        <v>104</v>
      </c>
      <c r="B309" s="675" t="s">
        <v>115</v>
      </c>
      <c r="C309" s="687" t="s">
        <v>104</v>
      </c>
      <c r="D309" s="675">
        <v>0</v>
      </c>
      <c r="E309" s="675" t="s">
        <v>2305</v>
      </c>
      <c r="F309" s="675">
        <v>2</v>
      </c>
      <c r="G309" s="675" t="s">
        <v>2238</v>
      </c>
      <c r="H309" s="675">
        <v>68</v>
      </c>
      <c r="I309" s="676" t="s">
        <v>3832</v>
      </c>
      <c r="J309" s="677">
        <v>2.1</v>
      </c>
      <c r="K309" s="683">
        <v>615</v>
      </c>
      <c r="L309" s="677">
        <v>2</v>
      </c>
      <c r="M309" s="677">
        <v>61</v>
      </c>
      <c r="N309" s="677">
        <v>160</v>
      </c>
      <c r="O309" s="677">
        <v>0</v>
      </c>
      <c r="P309" s="677">
        <v>0</v>
      </c>
      <c r="Q309" s="677">
        <v>5</v>
      </c>
      <c r="R309" s="677">
        <v>48</v>
      </c>
      <c r="S309" s="677">
        <v>91</v>
      </c>
      <c r="T309" s="677">
        <v>151</v>
      </c>
      <c r="U309" s="677">
        <v>16</v>
      </c>
      <c r="V309" s="677">
        <v>74</v>
      </c>
      <c r="W309" s="677">
        <v>122</v>
      </c>
      <c r="X309" s="678"/>
      <c r="Y309" s="682"/>
      <c r="Z309" s="680"/>
      <c r="AA309" s="681">
        <v>70.978999999999999</v>
      </c>
      <c r="AB309" s="681">
        <v>25.576000000000001</v>
      </c>
      <c r="AC309" s="417">
        <v>49</v>
      </c>
      <c r="AD309" s="417"/>
      <c r="AE309" s="682" t="s">
        <v>4227</v>
      </c>
      <c r="AF309">
        <v>1</v>
      </c>
      <c r="AG309" s="713">
        <v>43101</v>
      </c>
      <c r="AH309" s="417"/>
      <c r="AI309" s="417"/>
      <c r="AJ309" s="714">
        <v>43222</v>
      </c>
      <c r="AK309" s="417"/>
      <c r="AL309" s="637" t="s">
        <v>3480</v>
      </c>
      <c r="AM309" s="417"/>
      <c r="AN309" s="417"/>
      <c r="AO309" s="636"/>
      <c r="AP309">
        <v>556622</v>
      </c>
      <c r="AQ309" s="715">
        <v>43077</v>
      </c>
      <c r="AR309" s="417"/>
      <c r="AS309" s="417"/>
      <c r="AT309" s="417"/>
      <c r="AU309" s="417"/>
      <c r="AV309" s="417"/>
      <c r="AW309" s="417"/>
      <c r="AX309" s="417"/>
      <c r="AY309" t="s">
        <v>3362</v>
      </c>
      <c r="AZ309" s="417"/>
      <c r="BA309" s="417"/>
      <c r="BB309" t="s">
        <v>3585</v>
      </c>
      <c r="BC309" s="636"/>
      <c r="BD309" s="417"/>
      <c r="BE309" s="612">
        <v>10</v>
      </c>
      <c r="BF309" s="613">
        <v>40</v>
      </c>
      <c r="BG309" s="614" t="s">
        <v>78</v>
      </c>
      <c r="BH309" s="682"/>
      <c r="BI309" s="417"/>
      <c r="BJ309" s="417">
        <v>14</v>
      </c>
      <c r="BK309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09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09" s="682"/>
      <c r="BN309" s="636" t="s">
        <v>3784</v>
      </c>
      <c r="BO309" s="636" t="s">
        <v>3784</v>
      </c>
      <c r="BP309" s="636" t="s">
        <v>3784</v>
      </c>
      <c r="BQ309" s="636" t="s">
        <v>104</v>
      </c>
      <c r="BR309" s="636"/>
      <c r="BS309" s="636"/>
      <c r="BT309" s="636"/>
      <c r="BU309" s="636"/>
      <c r="BV309" s="636"/>
      <c r="BW309" s="636" t="s">
        <v>4228</v>
      </c>
      <c r="BX309" s="636"/>
      <c r="BY309" s="972"/>
    </row>
    <row r="310" spans="1:77">
      <c r="A310" t="s">
        <v>104</v>
      </c>
      <c r="B310" s="675" t="s">
        <v>115</v>
      </c>
      <c r="C310" s="687" t="s">
        <v>104</v>
      </c>
      <c r="D310" s="675">
        <v>0</v>
      </c>
      <c r="E310" s="675" t="s">
        <v>2305</v>
      </c>
      <c r="F310" s="675">
        <v>2</v>
      </c>
      <c r="G310" s="675" t="s">
        <v>2238</v>
      </c>
      <c r="H310" s="675">
        <v>68</v>
      </c>
      <c r="I310" s="676" t="s">
        <v>3832</v>
      </c>
      <c r="J310" s="677">
        <v>2.1</v>
      </c>
      <c r="K310" s="683">
        <v>615</v>
      </c>
      <c r="L310" s="677">
        <v>2</v>
      </c>
      <c r="M310" s="677">
        <v>61</v>
      </c>
      <c r="N310" s="677">
        <v>160</v>
      </c>
      <c r="O310" s="677">
        <v>0</v>
      </c>
      <c r="P310" s="677">
        <v>0</v>
      </c>
      <c r="Q310" s="677">
        <v>5</v>
      </c>
      <c r="R310" s="677">
        <v>48</v>
      </c>
      <c r="S310" s="677">
        <v>91</v>
      </c>
      <c r="T310" s="677">
        <v>151</v>
      </c>
      <c r="U310" s="677">
        <v>16</v>
      </c>
      <c r="V310" s="677">
        <v>74</v>
      </c>
      <c r="W310" s="677">
        <v>122</v>
      </c>
      <c r="X310" s="678"/>
      <c r="Y310" s="682"/>
      <c r="Z310" s="680"/>
      <c r="AA310" s="681">
        <v>70.978999999999999</v>
      </c>
      <c r="AB310" s="681">
        <v>25.576000000000001</v>
      </c>
      <c r="AC310" s="417">
        <v>49</v>
      </c>
      <c r="AD310" s="417"/>
      <c r="AE310" s="682" t="s">
        <v>4227</v>
      </c>
      <c r="AF310">
        <v>1</v>
      </c>
      <c r="AG310" s="713">
        <v>43101</v>
      </c>
      <c r="AH310" s="417"/>
      <c r="AI310" s="417"/>
      <c r="AJ310" s="714">
        <v>43222</v>
      </c>
      <c r="AK310" s="417"/>
      <c r="AL310" s="637" t="s">
        <v>3480</v>
      </c>
      <c r="AM310" s="417"/>
      <c r="AN310" s="417"/>
      <c r="AO310" s="636"/>
      <c r="AP310">
        <v>556622</v>
      </c>
      <c r="AQ310" s="715">
        <v>43077</v>
      </c>
      <c r="AR310" s="417"/>
      <c r="AS310" s="417"/>
      <c r="AT310" s="417"/>
      <c r="AU310" s="417"/>
      <c r="AV310" s="417"/>
      <c r="AW310" s="417"/>
      <c r="AX310" s="417"/>
      <c r="AY310" t="s">
        <v>3362</v>
      </c>
      <c r="AZ310" s="417"/>
      <c r="BA310" s="417"/>
      <c r="BB310" t="s">
        <v>3585</v>
      </c>
      <c r="BC310" s="636"/>
      <c r="BD310" s="417"/>
      <c r="BE310" s="612">
        <v>10</v>
      </c>
      <c r="BF310" s="613">
        <v>40</v>
      </c>
      <c r="BG310" s="614" t="s">
        <v>78</v>
      </c>
      <c r="BH310" s="682"/>
      <c r="BI310" s="417"/>
      <c r="BJ310" s="417">
        <v>14</v>
      </c>
      <c r="BK310" s="682" t="str">
        <f>Техкарта[[#This Row],[Кв-л]]&amp;" кв ("&amp;Substring(Техкарта[[#This Row],[Виділ]],"_",1)&amp;" вид) "&amp;Substring(Техкарта[[#This Row],[Виділ]],"_",2)&amp;" діл."</f>
        <v>68 кв (5 вид) 0 діл.</v>
      </c>
      <c r="BL310" s="682" t="str">
        <f>Техкарта[[#This Row],[ПолнаяДіл]] &amp;" "&amp;Техкарта[[#This Row],[ЛК]]&amp;" "&amp;Техкарта[[#This Row],[Вид рубки]]</f>
        <v>68 кв (5 вид) 0 діл. 556622 РГК</v>
      </c>
      <c r="BM310" s="682"/>
      <c r="BN310" s="636" t="s">
        <v>3784</v>
      </c>
      <c r="BO310" s="636" t="s">
        <v>3784</v>
      </c>
      <c r="BP310" s="636" t="s">
        <v>3784</v>
      </c>
      <c r="BQ310" s="636" t="s">
        <v>104</v>
      </c>
      <c r="BR310" s="636"/>
      <c r="BS310" s="636"/>
      <c r="BT310" s="636"/>
      <c r="BU310" s="636"/>
      <c r="BV310" s="636"/>
      <c r="BW310" s="636" t="s">
        <v>4228</v>
      </c>
      <c r="BX310" s="636"/>
      <c r="BY310" s="972"/>
    </row>
    <row r="311" spans="1:77">
      <c r="A311" t="s">
        <v>105</v>
      </c>
      <c r="B311" s="675" t="s">
        <v>114</v>
      </c>
      <c r="C311" s="687" t="s">
        <v>3587</v>
      </c>
      <c r="D311" s="675">
        <v>0</v>
      </c>
      <c r="E311" s="675" t="s">
        <v>2305</v>
      </c>
      <c r="F311" s="675">
        <v>3</v>
      </c>
      <c r="G311" s="675" t="s">
        <v>2238</v>
      </c>
      <c r="H311" s="675">
        <v>72</v>
      </c>
      <c r="I311" s="676" t="s">
        <v>4013</v>
      </c>
      <c r="J311" s="677">
        <v>4.4000000000000004</v>
      </c>
      <c r="K311" s="683">
        <v>601</v>
      </c>
      <c r="L311" s="677">
        <v>0</v>
      </c>
      <c r="M311" s="677">
        <v>0</v>
      </c>
      <c r="N311" s="677">
        <v>5</v>
      </c>
      <c r="O311" s="677">
        <v>0</v>
      </c>
      <c r="P311" s="677">
        <v>0</v>
      </c>
      <c r="Q311" s="677">
        <v>0</v>
      </c>
      <c r="R311" s="677">
        <v>0</v>
      </c>
      <c r="S311" s="677">
        <v>0</v>
      </c>
      <c r="T311" s="677">
        <v>0</v>
      </c>
      <c r="U311" s="677">
        <v>0</v>
      </c>
      <c r="V311" s="677">
        <v>4</v>
      </c>
      <c r="W311" s="677">
        <v>69</v>
      </c>
      <c r="X311" s="678"/>
      <c r="Y311" s="682"/>
      <c r="Z311" s="680"/>
      <c r="AA311" s="681">
        <v>127.45399999999999</v>
      </c>
      <c r="AB311" s="681">
        <v>29.978000000000002</v>
      </c>
      <c r="AC311" s="417">
        <v>8</v>
      </c>
      <c r="AD311" s="417"/>
      <c r="AE311" s="682" t="s">
        <v>4229</v>
      </c>
      <c r="AF311">
        <v>1</v>
      </c>
      <c r="AG311" s="713">
        <v>43101</v>
      </c>
      <c r="AH311" s="417"/>
      <c r="AI311" s="417"/>
      <c r="AJ311" s="714">
        <v>43227</v>
      </c>
      <c r="AK311" s="417"/>
      <c r="AL311" s="637" t="s">
        <v>3436</v>
      </c>
      <c r="AM311" s="417"/>
      <c r="AN311" s="417"/>
      <c r="AO311" s="636"/>
      <c r="AP311">
        <v>556700</v>
      </c>
      <c r="AQ311" s="715">
        <v>43227</v>
      </c>
      <c r="AR311" s="417"/>
      <c r="AS311" s="417"/>
      <c r="AT311" s="417"/>
      <c r="AU311" s="417"/>
      <c r="AV311" s="417"/>
      <c r="AW311" s="417"/>
      <c r="AX311" s="417"/>
      <c r="AY311" t="s">
        <v>3424</v>
      </c>
      <c r="AZ311" s="417"/>
      <c r="BA311" s="417"/>
      <c r="BB311" t="s">
        <v>3583</v>
      </c>
      <c r="BC311" s="636"/>
      <c r="BD311" s="417"/>
      <c r="BE311" s="612">
        <v>0</v>
      </c>
      <c r="BF311" s="613">
        <v>0</v>
      </c>
      <c r="BG311" s="614" t="s">
        <v>78</v>
      </c>
      <c r="BH311" s="682"/>
      <c r="BI311" s="417"/>
      <c r="BJ311" s="417">
        <v>1</v>
      </c>
      <c r="BK311" s="682" t="str">
        <f>Техкарта[[#This Row],[Кв-л]]&amp;" кв ("&amp;Substring(Техкарта[[#This Row],[Виділ]],"_",1)&amp;" вид) "&amp;Substring(Техкарта[[#This Row],[Виділ]],"_",2)&amp;" діл."</f>
        <v>72 кв (9 вид) 1 діл.</v>
      </c>
      <c r="BL311" s="682" t="str">
        <f>Техкарта[[#This Row],[ПолнаяДіл]] &amp;" "&amp;Техкарта[[#This Row],[ЛК]]&amp;" "&amp;Техкарта[[#This Row],[Вид рубки]]</f>
        <v>72 кв (9 вид) 1 діл. 556700 Догляд за ПЛНД</v>
      </c>
      <c r="BM311" s="682"/>
      <c r="BN311" s="636" t="s">
        <v>3784</v>
      </c>
      <c r="BO311" s="636" t="s">
        <v>3784</v>
      </c>
      <c r="BP311" s="636" t="s">
        <v>3784</v>
      </c>
      <c r="BQ311" s="636" t="s">
        <v>105</v>
      </c>
      <c r="BR311" s="636"/>
      <c r="BS311" s="636"/>
      <c r="BT311" s="636"/>
      <c r="BU311" s="636"/>
      <c r="BV311" s="636"/>
      <c r="BW311" s="636" t="s">
        <v>4228</v>
      </c>
      <c r="BX311" s="636"/>
      <c r="BY311" s="972"/>
    </row>
    <row r="312" spans="1:77">
      <c r="A312" t="s">
        <v>3896</v>
      </c>
      <c r="B312" s="675" t="s">
        <v>114</v>
      </c>
      <c r="C312" s="687" t="s">
        <v>134</v>
      </c>
      <c r="D312" s="675">
        <v>0</v>
      </c>
      <c r="E312" s="675" t="s">
        <v>2305</v>
      </c>
      <c r="F312" s="675">
        <v>3</v>
      </c>
      <c r="G312" s="675" t="s">
        <v>79</v>
      </c>
      <c r="H312" s="675">
        <v>60</v>
      </c>
      <c r="I312" s="676" t="s">
        <v>3831</v>
      </c>
      <c r="J312" s="677">
        <v>7.4</v>
      </c>
      <c r="K312" s="683">
        <v>0</v>
      </c>
      <c r="L312" s="677"/>
      <c r="M312" s="677">
        <v>0</v>
      </c>
      <c r="N312" s="677">
        <v>1600</v>
      </c>
      <c r="O312" s="677"/>
      <c r="P312" s="677"/>
      <c r="Q312" s="677">
        <v>450</v>
      </c>
      <c r="R312" s="677"/>
      <c r="S312" s="677">
        <v>0</v>
      </c>
      <c r="T312" s="677">
        <v>0</v>
      </c>
      <c r="U312" s="677"/>
      <c r="V312" s="677">
        <v>0</v>
      </c>
      <c r="W312" s="677">
        <v>0</v>
      </c>
      <c r="X312" s="678"/>
      <c r="Y312" s="682"/>
      <c r="Z312" s="680"/>
      <c r="AA312" s="681">
        <v>171.65</v>
      </c>
      <c r="AB312" s="681"/>
      <c r="AC312" s="417">
        <v>23</v>
      </c>
      <c r="AD312" s="417"/>
      <c r="AE312" s="682" t="s">
        <v>4230</v>
      </c>
      <c r="AF312">
        <v>1</v>
      </c>
      <c r="AG312" s="713">
        <v>43101</v>
      </c>
      <c r="AH312" s="417"/>
      <c r="AI312" s="417"/>
      <c r="AJ312" s="714">
        <v>43222</v>
      </c>
      <c r="AK312" s="417"/>
      <c r="AL312" s="637" t="s">
        <v>3436</v>
      </c>
      <c r="AM312" s="417"/>
      <c r="AN312" s="417"/>
      <c r="AO312" s="636"/>
      <c r="AP312">
        <v>556636</v>
      </c>
      <c r="AQ312" s="715">
        <v>43102</v>
      </c>
      <c r="AR312" s="417">
        <v>0.3</v>
      </c>
      <c r="AS312" s="417"/>
      <c r="AT312" s="417"/>
      <c r="AU312" s="417"/>
      <c r="AV312" s="417"/>
      <c r="AW312" s="417"/>
      <c r="AX312" s="417"/>
      <c r="AY312" t="s">
        <v>3424</v>
      </c>
      <c r="AZ312" s="417"/>
      <c r="BA312" s="417"/>
      <c r="BB312" t="s">
        <v>3583</v>
      </c>
      <c r="BC312" s="636"/>
      <c r="BD312" s="417"/>
      <c r="BE312" s="612"/>
      <c r="BF312" s="613"/>
      <c r="BG312" s="614"/>
      <c r="BH312" s="682"/>
      <c r="BI312" s="417"/>
      <c r="BJ312" s="417">
        <v>5</v>
      </c>
      <c r="BK312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2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2" s="682"/>
      <c r="BN312" s="636"/>
      <c r="BO312" s="636"/>
      <c r="BP312" s="636"/>
      <c r="BQ312" s="636" t="s">
        <v>3896</v>
      </c>
      <c r="BR312" s="636">
        <v>2</v>
      </c>
      <c r="BS312" s="636"/>
      <c r="BT312" s="636"/>
      <c r="BU312" s="636"/>
      <c r="BV312" s="636"/>
      <c r="BW312" s="636" t="s">
        <v>4228</v>
      </c>
      <c r="BX312" s="636"/>
      <c r="BY312" s="972"/>
    </row>
    <row r="313" spans="1:77">
      <c r="A313" t="s">
        <v>3896</v>
      </c>
      <c r="B313" s="675" t="s">
        <v>116</v>
      </c>
      <c r="C313" s="687" t="s">
        <v>134</v>
      </c>
      <c r="D313" s="675">
        <v>0</v>
      </c>
      <c r="E313" s="675" t="s">
        <v>2305</v>
      </c>
      <c r="F313" s="675">
        <v>3</v>
      </c>
      <c r="G313" s="675" t="s">
        <v>79</v>
      </c>
      <c r="H313" s="675">
        <v>60</v>
      </c>
      <c r="I313" s="676" t="s">
        <v>3831</v>
      </c>
      <c r="J313" s="677">
        <v>7.4</v>
      </c>
      <c r="K313" s="683">
        <v>0</v>
      </c>
      <c r="L313" s="677"/>
      <c r="M313" s="677">
        <v>0</v>
      </c>
      <c r="N313" s="677">
        <v>1600</v>
      </c>
      <c r="O313" s="677"/>
      <c r="P313" s="677"/>
      <c r="Q313" s="677">
        <v>450</v>
      </c>
      <c r="R313" s="677"/>
      <c r="S313" s="677">
        <v>0</v>
      </c>
      <c r="T313" s="677">
        <v>0</v>
      </c>
      <c r="U313" s="677"/>
      <c r="V313" s="677">
        <v>0</v>
      </c>
      <c r="W313" s="677">
        <v>0</v>
      </c>
      <c r="X313" s="678"/>
      <c r="Y313" s="682"/>
      <c r="Z313" s="680"/>
      <c r="AA313" s="681">
        <v>171.65</v>
      </c>
      <c r="AB313" s="681"/>
      <c r="AC313" s="417">
        <v>23</v>
      </c>
      <c r="AD313" s="417"/>
      <c r="AE313" s="682" t="s">
        <v>4231</v>
      </c>
      <c r="AF313">
        <v>1</v>
      </c>
      <c r="AG313" s="713">
        <v>43101</v>
      </c>
      <c r="AH313" s="417"/>
      <c r="AI313" s="417"/>
      <c r="AJ313" s="714">
        <v>43222</v>
      </c>
      <c r="AK313" s="417"/>
      <c r="AL313" s="637" t="s">
        <v>3436</v>
      </c>
      <c r="AM313" s="417"/>
      <c r="AN313" s="417"/>
      <c r="AO313" s="636"/>
      <c r="AP313">
        <v>556636</v>
      </c>
      <c r="AQ313" s="715">
        <v>43102</v>
      </c>
      <c r="AR313" s="417">
        <v>0.3</v>
      </c>
      <c r="AS313" s="417"/>
      <c r="AT313" s="417"/>
      <c r="AU313" s="417"/>
      <c r="AV313" s="417"/>
      <c r="AW313" s="417"/>
      <c r="AX313" s="417"/>
      <c r="AY313" t="s">
        <v>80</v>
      </c>
      <c r="AZ313" s="417"/>
      <c r="BA313" s="417"/>
      <c r="BB313" t="s">
        <v>3584</v>
      </c>
      <c r="BC313" s="636"/>
      <c r="BD313" s="417"/>
      <c r="BE313" s="612"/>
      <c r="BF313" s="613"/>
      <c r="BG313" s="614"/>
      <c r="BH313" s="682"/>
      <c r="BI313" s="417"/>
      <c r="BJ313" s="417">
        <v>5</v>
      </c>
      <c r="BK31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313" s="682" t="str">
        <f>Техкарта[[#This Row],[ПолнаяДіл]] &amp;" "&amp;Техкарта[[#This Row],[ЛК]]&amp;" "&amp;Техкарта[[#This Row],[Вид рубки]]</f>
        <v>60 кв (4 вид) 0 діл. 556636 ПРЧ</v>
      </c>
      <c r="BM313" s="682"/>
      <c r="BN313" s="636"/>
      <c r="BO313" s="636"/>
      <c r="BP313" s="636"/>
      <c r="BQ313" s="636" t="s">
        <v>3896</v>
      </c>
      <c r="BR313" s="636">
        <v>2</v>
      </c>
      <c r="BS313" s="636"/>
      <c r="BT313" s="636"/>
      <c r="BU313" s="636"/>
      <c r="BV313" s="636"/>
      <c r="BW313" s="636" t="s">
        <v>4232</v>
      </c>
      <c r="BX313" s="636"/>
      <c r="BY313" s="972"/>
    </row>
    <row r="314" spans="1:77">
      <c r="A314" t="s">
        <v>104</v>
      </c>
      <c r="B314" s="675" t="s">
        <v>116</v>
      </c>
      <c r="C314" s="687" t="s">
        <v>104</v>
      </c>
      <c r="D314" s="675">
        <v>0</v>
      </c>
      <c r="E314" s="675" t="s">
        <v>2305</v>
      </c>
      <c r="F314" s="675">
        <v>2</v>
      </c>
      <c r="G314" s="675" t="s">
        <v>2238</v>
      </c>
      <c r="H314" s="675">
        <v>11</v>
      </c>
      <c r="I314" s="676" t="s">
        <v>3830</v>
      </c>
      <c r="J314" s="677">
        <v>2.8</v>
      </c>
      <c r="K314" s="683">
        <v>852</v>
      </c>
      <c r="L314" s="677">
        <v>0</v>
      </c>
      <c r="M314" s="677">
        <v>23</v>
      </c>
      <c r="N314" s="677">
        <v>233</v>
      </c>
      <c r="O314" s="677">
        <v>0</v>
      </c>
      <c r="P314" s="677">
        <v>0</v>
      </c>
      <c r="Q314" s="677">
        <v>14</v>
      </c>
      <c r="R314" s="677">
        <v>50</v>
      </c>
      <c r="S314" s="677">
        <v>22</v>
      </c>
      <c r="T314" s="677">
        <v>128</v>
      </c>
      <c r="U314" s="677">
        <v>17</v>
      </c>
      <c r="V314" s="677">
        <v>18</v>
      </c>
      <c r="W314" s="677">
        <v>89</v>
      </c>
      <c r="X314" s="678"/>
      <c r="Y314" s="682"/>
      <c r="Z314" s="680"/>
      <c r="AA314" s="681">
        <v>83.266999999999996</v>
      </c>
      <c r="AB314" s="681">
        <v>37.097000000000001</v>
      </c>
      <c r="AC314" s="417">
        <v>46</v>
      </c>
      <c r="AD314" s="417"/>
      <c r="AE314" s="682" t="s">
        <v>4233</v>
      </c>
      <c r="AF314">
        <v>1</v>
      </c>
      <c r="AG314" s="713">
        <v>43101</v>
      </c>
      <c r="AH314" s="417"/>
      <c r="AI314" s="417"/>
      <c r="AJ314" s="714">
        <v>43231</v>
      </c>
      <c r="AK314" s="417"/>
      <c r="AL314" s="637" t="s">
        <v>3477</v>
      </c>
      <c r="AM314" s="417"/>
      <c r="AN314" s="417"/>
      <c r="AO314" s="636"/>
      <c r="AP314">
        <v>556618</v>
      </c>
      <c r="AQ314" s="715">
        <v>43077</v>
      </c>
      <c r="AR314" s="417"/>
      <c r="AS314" s="417"/>
      <c r="AT314" s="417"/>
      <c r="AU314" s="417"/>
      <c r="AV314" s="417"/>
      <c r="AW314" s="417"/>
      <c r="AX314" s="417"/>
      <c r="AY314" t="s">
        <v>80</v>
      </c>
      <c r="AZ314" s="417"/>
      <c r="BA314" s="417"/>
      <c r="BB314" t="s">
        <v>3584</v>
      </c>
      <c r="BC314" s="636"/>
      <c r="BD314" s="417"/>
      <c r="BE314" s="612">
        <v>10</v>
      </c>
      <c r="BF314" s="613">
        <v>40</v>
      </c>
      <c r="BG314" s="614" t="s">
        <v>78</v>
      </c>
      <c r="BH314" s="682"/>
      <c r="BI314" s="417"/>
      <c r="BJ314" s="417">
        <v>1</v>
      </c>
      <c r="BK314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314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314" s="682"/>
      <c r="BN314" s="636" t="s">
        <v>3784</v>
      </c>
      <c r="BO314" s="636" t="s">
        <v>3784</v>
      </c>
      <c r="BP314" s="636" t="s">
        <v>3784</v>
      </c>
      <c r="BQ314" s="636" t="s">
        <v>104</v>
      </c>
      <c r="BR314" s="636"/>
      <c r="BS314" s="636"/>
      <c r="BT314" s="636"/>
      <c r="BU314" s="636"/>
      <c r="BV314" s="636"/>
      <c r="BW314" s="636" t="s">
        <v>4232</v>
      </c>
      <c r="BX314" s="636"/>
      <c r="BY314" s="972"/>
    </row>
    <row r="315" spans="1:77">
      <c r="A315" t="s">
        <v>104</v>
      </c>
      <c r="B315" s="675" t="s">
        <v>116</v>
      </c>
      <c r="C315" s="687" t="s">
        <v>104</v>
      </c>
      <c r="D315" s="675">
        <v>0</v>
      </c>
      <c r="E315" s="675" t="s">
        <v>2305</v>
      </c>
      <c r="F315" s="675">
        <v>5</v>
      </c>
      <c r="G315" s="675" t="s">
        <v>2238</v>
      </c>
      <c r="H315" s="675">
        <v>136</v>
      </c>
      <c r="I315" s="676" t="s">
        <v>4234</v>
      </c>
      <c r="J315" s="677">
        <v>2.5</v>
      </c>
      <c r="K315" s="683">
        <v>1544</v>
      </c>
      <c r="L315" s="677">
        <v>0</v>
      </c>
      <c r="M315" s="677">
        <v>0</v>
      </c>
      <c r="N315" s="677">
        <v>2</v>
      </c>
      <c r="O315" s="677">
        <v>0</v>
      </c>
      <c r="P315" s="677">
        <v>0</v>
      </c>
      <c r="Q315" s="677">
        <v>0</v>
      </c>
      <c r="R315" s="677">
        <v>0</v>
      </c>
      <c r="S315" s="677">
        <v>2</v>
      </c>
      <c r="T315" s="677">
        <v>153</v>
      </c>
      <c r="U315" s="677">
        <v>0</v>
      </c>
      <c r="V315" s="677">
        <v>4</v>
      </c>
      <c r="W315" s="677">
        <v>276</v>
      </c>
      <c r="X315" s="678"/>
      <c r="Y315" s="682"/>
      <c r="Z315" s="680"/>
      <c r="AA315" s="681">
        <v>145.74100000000001</v>
      </c>
      <c r="AB315" s="681">
        <v>42.738999999999997</v>
      </c>
      <c r="AC315" s="417">
        <v>57</v>
      </c>
      <c r="AD315" s="417"/>
      <c r="AE315" s="682" t="s">
        <v>4235</v>
      </c>
      <c r="AF315">
        <v>1</v>
      </c>
      <c r="AG315" s="713">
        <v>43101</v>
      </c>
      <c r="AH315" s="417"/>
      <c r="AI315" s="417"/>
      <c r="AJ315" s="714">
        <v>43235</v>
      </c>
      <c r="AK315" s="417"/>
      <c r="AL315" s="637" t="s">
        <v>3475</v>
      </c>
      <c r="AM315" s="417"/>
      <c r="AN315" s="417"/>
      <c r="AO315" s="636"/>
      <c r="AP315">
        <v>556618</v>
      </c>
      <c r="AQ315" s="715">
        <v>43077</v>
      </c>
      <c r="AR315" s="417"/>
      <c r="AS315" s="417"/>
      <c r="AT315" s="417"/>
      <c r="AU315" s="417"/>
      <c r="AV315" s="417"/>
      <c r="AW315" s="417"/>
      <c r="AX315" s="417"/>
      <c r="AY315" t="s">
        <v>80</v>
      </c>
      <c r="AZ315" s="417"/>
      <c r="BA315" s="417"/>
      <c r="BB315" t="s">
        <v>3584</v>
      </c>
      <c r="BC315" s="636"/>
      <c r="BD315" s="417"/>
      <c r="BE315" s="612">
        <v>5</v>
      </c>
      <c r="BF315" s="613">
        <v>20</v>
      </c>
      <c r="BG315" s="614" t="s">
        <v>78</v>
      </c>
      <c r="BH315" s="682"/>
      <c r="BI315" s="417"/>
      <c r="BJ315" s="417">
        <v>11</v>
      </c>
      <c r="BK315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315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315" s="682"/>
      <c r="BN315" s="636" t="s">
        <v>3783</v>
      </c>
      <c r="BO315" s="636" t="s">
        <v>3783</v>
      </c>
      <c r="BP315" s="636" t="s">
        <v>3783</v>
      </c>
      <c r="BQ315" s="636" t="s">
        <v>104</v>
      </c>
      <c r="BR315" s="636"/>
      <c r="BS315" s="636"/>
      <c r="BT315" s="636"/>
      <c r="BU315" s="636"/>
      <c r="BV315" s="636"/>
      <c r="BW315" s="636" t="s">
        <v>4236</v>
      </c>
      <c r="BX315" s="636"/>
      <c r="BY315" s="972"/>
    </row>
    <row r="316" spans="1:77">
      <c r="A316" t="s">
        <v>3896</v>
      </c>
      <c r="B316" s="675" t="s">
        <v>116</v>
      </c>
      <c r="C316" s="687" t="s">
        <v>134</v>
      </c>
      <c r="D316" s="675">
        <v>0</v>
      </c>
      <c r="E316" s="675" t="s">
        <v>2305</v>
      </c>
      <c r="F316" s="675">
        <v>3</v>
      </c>
      <c r="G316" s="675" t="s">
        <v>79</v>
      </c>
      <c r="H316" s="675">
        <v>105</v>
      </c>
      <c r="I316" s="676" t="s">
        <v>3790</v>
      </c>
      <c r="J316" s="677">
        <v>1.4</v>
      </c>
      <c r="K316" s="683">
        <v>0</v>
      </c>
      <c r="L316" s="677"/>
      <c r="M316" s="677">
        <v>0</v>
      </c>
      <c r="N316" s="677">
        <v>180</v>
      </c>
      <c r="O316" s="677"/>
      <c r="P316" s="677"/>
      <c r="Q316" s="677">
        <v>0</v>
      </c>
      <c r="R316" s="677"/>
      <c r="S316" s="677">
        <v>0</v>
      </c>
      <c r="T316" s="677">
        <v>0</v>
      </c>
      <c r="U316" s="677"/>
      <c r="V316" s="677">
        <v>0</v>
      </c>
      <c r="W316" s="677">
        <v>0</v>
      </c>
      <c r="X316" s="678"/>
      <c r="Y316" s="682"/>
      <c r="Z316" s="680"/>
      <c r="AA316" s="681">
        <v>185.61</v>
      </c>
      <c r="AB316" s="681"/>
      <c r="AC316" s="417">
        <v>23</v>
      </c>
      <c r="AD316" s="417"/>
      <c r="AE316" s="682" t="s">
        <v>4237</v>
      </c>
      <c r="AF316">
        <v>1</v>
      </c>
      <c r="AG316" s="713">
        <v>43101</v>
      </c>
      <c r="AH316" s="417"/>
      <c r="AI316" s="417"/>
      <c r="AJ316" s="714">
        <v>43222</v>
      </c>
      <c r="AK316" s="417"/>
      <c r="AL316" s="637" t="s">
        <v>3479</v>
      </c>
      <c r="AM316" s="417"/>
      <c r="AN316" s="417"/>
      <c r="AO316" s="636"/>
      <c r="AP316">
        <v>556665</v>
      </c>
      <c r="AQ316" s="715">
        <v>43192</v>
      </c>
      <c r="AR316" s="417">
        <v>0.3</v>
      </c>
      <c r="AS316" s="417"/>
      <c r="AT316" s="417"/>
      <c r="AU316" s="417"/>
      <c r="AV316" s="417"/>
      <c r="AW316" s="417"/>
      <c r="AX316" s="417"/>
      <c r="AY316" t="s">
        <v>80</v>
      </c>
      <c r="AZ316" s="417"/>
      <c r="BA316" s="417"/>
      <c r="BB316" t="s">
        <v>3584</v>
      </c>
      <c r="BC316" s="636"/>
      <c r="BD316" s="417"/>
      <c r="BE316" s="612"/>
      <c r="BF316" s="613"/>
      <c r="BG316" s="614"/>
      <c r="BH316" s="682"/>
      <c r="BI316" s="417"/>
      <c r="BJ316" s="417">
        <v>21</v>
      </c>
      <c r="BK316" s="682" t="str">
        <f>Техкарта[[#This Row],[Кв-л]]&amp;" кв ("&amp;Substring(Техкарта[[#This Row],[Виділ]],"_",1)&amp;" вид) "&amp;Substring(Техкарта[[#This Row],[Виділ]],"_",2)&amp;" діл."</f>
        <v>105 кв (2 вид) 0 діл.</v>
      </c>
      <c r="BL316" s="682" t="str">
        <f>Техкарта[[#This Row],[ПолнаяДіл]] &amp;" "&amp;Техкарта[[#This Row],[ЛК]]&amp;" "&amp;Техкарта[[#This Row],[Вид рубки]]</f>
        <v>105 кв (2 вид) 0 діл. 556665 ПРЧ</v>
      </c>
      <c r="BM316" s="682"/>
      <c r="BN316" s="636"/>
      <c r="BO316" s="636"/>
      <c r="BP316" s="636"/>
      <c r="BQ316" s="636" t="s">
        <v>3896</v>
      </c>
      <c r="BR316" s="636">
        <v>2</v>
      </c>
      <c r="BS316" s="636"/>
      <c r="BT316" s="636"/>
      <c r="BU316" s="636"/>
      <c r="BV316" s="636"/>
      <c r="BW316" s="636" t="s">
        <v>4236</v>
      </c>
      <c r="BX316" s="636"/>
      <c r="BY316" s="972"/>
    </row>
    <row r="317" spans="1:77">
      <c r="A317" t="s">
        <v>3896</v>
      </c>
      <c r="B317" s="675" t="s">
        <v>115</v>
      </c>
      <c r="C317" s="687" t="s">
        <v>134</v>
      </c>
      <c r="D317" s="675">
        <v>0</v>
      </c>
      <c r="E317" s="675" t="s">
        <v>2305</v>
      </c>
      <c r="F317" s="675">
        <v>3</v>
      </c>
      <c r="G317" s="675" t="s">
        <v>79</v>
      </c>
      <c r="H317" s="675">
        <v>103</v>
      </c>
      <c r="I317" s="676" t="s">
        <v>3790</v>
      </c>
      <c r="J317" s="677">
        <v>1.8</v>
      </c>
      <c r="K317" s="683">
        <v>0</v>
      </c>
      <c r="L317" s="677"/>
      <c r="M317" s="677">
        <v>0</v>
      </c>
      <c r="N317" s="677">
        <v>0</v>
      </c>
      <c r="O317" s="677"/>
      <c r="P317" s="677"/>
      <c r="Q317" s="677">
        <v>66.67</v>
      </c>
      <c r="R317" s="677"/>
      <c r="S317" s="677">
        <v>0</v>
      </c>
      <c r="T317" s="677">
        <v>225</v>
      </c>
      <c r="U317" s="677"/>
      <c r="V317" s="677">
        <v>0</v>
      </c>
      <c r="W317" s="677">
        <v>0</v>
      </c>
      <c r="X317" s="678"/>
      <c r="Y317" s="682"/>
      <c r="Z317" s="680"/>
      <c r="AA317" s="681">
        <v>112.25</v>
      </c>
      <c r="AB317" s="681"/>
      <c r="AC317" s="417">
        <v>23</v>
      </c>
      <c r="AD317" s="417"/>
      <c r="AE317" s="682" t="s">
        <v>4223</v>
      </c>
      <c r="AF317">
        <v>1</v>
      </c>
      <c r="AG317" s="738">
        <v>43101</v>
      </c>
      <c r="AH317" s="417"/>
      <c r="AI317" s="417"/>
      <c r="AJ317" s="739">
        <v>43222</v>
      </c>
      <c r="AK317" s="417"/>
      <c r="AL317" s="637" t="s">
        <v>3444</v>
      </c>
      <c r="AM317" s="417"/>
      <c r="AN317" s="417"/>
      <c r="AO317" s="636"/>
      <c r="AP317">
        <v>556627</v>
      </c>
      <c r="AQ317" s="740">
        <v>43102</v>
      </c>
      <c r="AR317" s="417">
        <v>0.5</v>
      </c>
      <c r="AS317" s="417"/>
      <c r="AT317" s="417"/>
      <c r="AU317" s="417"/>
      <c r="AV317" s="417"/>
      <c r="AW317" s="417"/>
      <c r="AX317" s="417"/>
      <c r="AY317" t="s">
        <v>3362</v>
      </c>
      <c r="AZ317" s="417"/>
      <c r="BA317" s="417"/>
      <c r="BB317" t="s">
        <v>3585</v>
      </c>
      <c r="BC317" s="636"/>
      <c r="BD317" s="417"/>
      <c r="BE317" s="612"/>
      <c r="BF317" s="613"/>
      <c r="BG317" s="614"/>
      <c r="BH317" s="682"/>
      <c r="BI317" s="417"/>
      <c r="BJ317" s="417">
        <v>9</v>
      </c>
      <c r="BK317" s="682" t="str">
        <f>Техкарта[[#This Row],[Кв-л]]&amp;" кв ("&amp;Substring(Техкарта[[#This Row],[Виділ]],"_",1)&amp;" вид) "&amp;Substring(Техкарта[[#This Row],[Виділ]],"_",2)&amp;" діл."</f>
        <v>103 кв (2 вид) 0 діл.</v>
      </c>
      <c r="BL317" s="682" t="str">
        <f>Техкарта[[#This Row],[ПолнаяДіл]] &amp;" "&amp;Техкарта[[#This Row],[ЛК]]&amp;" "&amp;Техкарта[[#This Row],[Вид рубки]]</f>
        <v>103 кв (2 вид) 0 діл. 556627 ПРЧ</v>
      </c>
      <c r="BM317" s="682"/>
      <c r="BN317" s="636"/>
      <c r="BO317" s="636"/>
      <c r="BP317" s="636"/>
      <c r="BQ317" s="636" t="s">
        <v>3896</v>
      </c>
      <c r="BR317" s="636">
        <v>2</v>
      </c>
      <c r="BS317" s="636"/>
      <c r="BT317" s="636"/>
      <c r="BU317" s="636"/>
      <c r="BV317" s="636"/>
      <c r="BW317" s="636" t="s">
        <v>4236</v>
      </c>
      <c r="BX317" s="636"/>
      <c r="BY317" s="972"/>
    </row>
    <row r="318" spans="1:77">
      <c r="A318" t="s">
        <v>104</v>
      </c>
      <c r="B318" s="675" t="s">
        <v>116</v>
      </c>
      <c r="C318" s="687" t="s">
        <v>104</v>
      </c>
      <c r="D318" s="675">
        <v>0</v>
      </c>
      <c r="E318" s="675" t="s">
        <v>2305</v>
      </c>
      <c r="F318" s="675">
        <v>2</v>
      </c>
      <c r="G318" s="675" t="s">
        <v>2238</v>
      </c>
      <c r="H318" s="675">
        <v>20</v>
      </c>
      <c r="I318" s="676" t="s">
        <v>3847</v>
      </c>
      <c r="J318" s="677">
        <v>1.6</v>
      </c>
      <c r="K318" s="683">
        <v>627</v>
      </c>
      <c r="L318" s="677">
        <v>0</v>
      </c>
      <c r="M318" s="677">
        <v>18</v>
      </c>
      <c r="N318" s="677">
        <v>174</v>
      </c>
      <c r="O318" s="677">
        <v>0</v>
      </c>
      <c r="P318" s="677">
        <v>0</v>
      </c>
      <c r="Q318" s="677">
        <v>14</v>
      </c>
      <c r="R318" s="677">
        <v>20</v>
      </c>
      <c r="S318" s="677">
        <v>25</v>
      </c>
      <c r="T318" s="677">
        <v>99</v>
      </c>
      <c r="U318" s="677">
        <v>6</v>
      </c>
      <c r="V318" s="677">
        <v>21</v>
      </c>
      <c r="W318" s="677">
        <v>68</v>
      </c>
      <c r="X318" s="678"/>
      <c r="Y318" s="682"/>
      <c r="Z318" s="680"/>
      <c r="AA318" s="681">
        <v>75.989999999999995</v>
      </c>
      <c r="AB318" s="681">
        <v>35.905000000000001</v>
      </c>
      <c r="AC318" s="417">
        <v>0</v>
      </c>
      <c r="AD318" s="417"/>
      <c r="AE318" s="682" t="s">
        <v>3960</v>
      </c>
      <c r="AF318">
        <v>1</v>
      </c>
      <c r="AG318" s="738">
        <v>43101</v>
      </c>
      <c r="AH318" s="417"/>
      <c r="AI318" s="417"/>
      <c r="AJ318" s="739">
        <v>43109</v>
      </c>
      <c r="AK318" s="417"/>
      <c r="AL318" s="637" t="s">
        <v>3477</v>
      </c>
      <c r="AM318" s="417"/>
      <c r="AN318" s="417"/>
      <c r="AO318" s="636"/>
      <c r="AP318">
        <v>556618</v>
      </c>
      <c r="AQ318" s="740" t="s">
        <v>3723</v>
      </c>
      <c r="AR318" s="417"/>
      <c r="AS318" s="417"/>
      <c r="AT318" s="417"/>
      <c r="AU318" s="417"/>
      <c r="AV318" s="417"/>
      <c r="AW318" s="417"/>
      <c r="AX318" s="417"/>
      <c r="AY318" t="s">
        <v>80</v>
      </c>
      <c r="AZ318" s="417"/>
      <c r="BA318" s="417"/>
      <c r="BB318" t="s">
        <v>3584</v>
      </c>
      <c r="BC318" s="636"/>
      <c r="BD318" s="417"/>
      <c r="BE318" s="612">
        <v>5</v>
      </c>
      <c r="BF318" s="613">
        <v>40</v>
      </c>
      <c r="BG318" s="614" t="s">
        <v>78</v>
      </c>
      <c r="BH318" s="682"/>
      <c r="BI318" s="417"/>
      <c r="BJ318" s="417">
        <v>4</v>
      </c>
      <c r="BK318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318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318" s="682"/>
      <c r="BN318" s="636" t="s">
        <v>3784</v>
      </c>
      <c r="BO318" s="636" t="s">
        <v>3784</v>
      </c>
      <c r="BP318" s="636" t="s">
        <v>3784</v>
      </c>
      <c r="BQ318" s="636" t="s">
        <v>104</v>
      </c>
      <c r="BR318" s="636"/>
      <c r="BS318" s="636"/>
      <c r="BT318" s="636"/>
      <c r="BU318" s="636"/>
      <c r="BV318" s="636"/>
      <c r="BW318" s="636" t="s">
        <v>4236</v>
      </c>
      <c r="BX318" s="636"/>
      <c r="BY318" s="972"/>
    </row>
    <row r="319" spans="1:77">
      <c r="A319" t="s">
        <v>105</v>
      </c>
      <c r="B319" s="675" t="s">
        <v>112</v>
      </c>
      <c r="C319" s="687" t="s">
        <v>124</v>
      </c>
      <c r="D319" s="675">
        <v>0</v>
      </c>
      <c r="E319" s="675" t="s">
        <v>2316</v>
      </c>
      <c r="F319" s="675">
        <v>3</v>
      </c>
      <c r="G319" s="675" t="s">
        <v>79</v>
      </c>
      <c r="H319" s="675">
        <v>18</v>
      </c>
      <c r="I319" s="676" t="s">
        <v>3833</v>
      </c>
      <c r="J319" s="677">
        <v>3.1</v>
      </c>
      <c r="K319" s="683">
        <v>310</v>
      </c>
      <c r="L319" s="677"/>
      <c r="M319" s="677"/>
      <c r="N319" s="677"/>
      <c r="O319" s="677"/>
      <c r="P319" s="677"/>
      <c r="Q319" s="677"/>
      <c r="R319" s="677"/>
      <c r="S319" s="677"/>
      <c r="T319" s="677">
        <v>17</v>
      </c>
      <c r="U319" s="677"/>
      <c r="V319" s="677"/>
      <c r="W319" s="677">
        <v>0</v>
      </c>
      <c r="X319" s="678"/>
      <c r="Y319" s="682"/>
      <c r="Z319" s="680"/>
      <c r="AA319" s="681">
        <v>247.60300000000001</v>
      </c>
      <c r="AB319" s="681"/>
      <c r="AC319" s="417">
        <v>70</v>
      </c>
      <c r="AD319" s="417"/>
      <c r="AE319" s="682" t="s">
        <v>4239</v>
      </c>
      <c r="AF319">
        <v>1</v>
      </c>
      <c r="AG319" s="738">
        <v>43101</v>
      </c>
      <c r="AH319" s="417"/>
      <c r="AI319" s="417"/>
      <c r="AJ319" s="739">
        <v>43252</v>
      </c>
      <c r="AK319" s="417"/>
      <c r="AL319" s="637" t="s">
        <v>3468</v>
      </c>
      <c r="AM319" s="417"/>
      <c r="AN319" s="417"/>
      <c r="AO319" s="636"/>
      <c r="AP319">
        <v>556634</v>
      </c>
      <c r="AQ319" s="740">
        <v>43102</v>
      </c>
      <c r="AR319" s="417"/>
      <c r="AS319" s="417"/>
      <c r="AT319" s="417"/>
      <c r="AU319" s="417"/>
      <c r="AV319" s="417"/>
      <c r="AW319" s="417"/>
      <c r="AX319" s="417"/>
      <c r="AY319" s="183" t="s">
        <v>4245</v>
      </c>
      <c r="AZ319" s="417"/>
      <c r="BA319" s="417"/>
      <c r="BB319" t="s">
        <v>4238</v>
      </c>
      <c r="BC319" s="636"/>
      <c r="BD319" s="417"/>
      <c r="BE319" s="612"/>
      <c r="BF319" s="613"/>
      <c r="BG319" s="614"/>
      <c r="BH319" s="682"/>
      <c r="BI319" s="417"/>
      <c r="BJ319" s="417">
        <v>6</v>
      </c>
      <c r="BK319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319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319" s="682"/>
      <c r="BN319" s="636"/>
      <c r="BO319" s="636"/>
      <c r="BP319" s="636"/>
      <c r="BQ319" s="636" t="s">
        <v>105</v>
      </c>
      <c r="BR319" s="636"/>
      <c r="BS319" s="636"/>
      <c r="BT319" s="636"/>
      <c r="BU319" s="636"/>
      <c r="BV319" s="636"/>
      <c r="BW319" s="636" t="s">
        <v>4236</v>
      </c>
      <c r="BX319" s="636"/>
      <c r="BY319" s="972"/>
    </row>
    <row r="320" spans="1:77">
      <c r="A320" t="s">
        <v>105</v>
      </c>
      <c r="B320" s="675" t="s">
        <v>112</v>
      </c>
      <c r="C320" s="687" t="s">
        <v>124</v>
      </c>
      <c r="D320" s="675">
        <v>0</v>
      </c>
      <c r="E320" s="675" t="s">
        <v>2316</v>
      </c>
      <c r="F320" s="675">
        <v>3</v>
      </c>
      <c r="G320" s="675" t="s">
        <v>79</v>
      </c>
      <c r="H320" s="675">
        <v>79</v>
      </c>
      <c r="I320" s="676" t="s">
        <v>3833</v>
      </c>
      <c r="J320" s="677">
        <v>2.5</v>
      </c>
      <c r="K320" s="683">
        <v>383</v>
      </c>
      <c r="L320" s="677"/>
      <c r="M320" s="677"/>
      <c r="N320" s="677"/>
      <c r="O320" s="677"/>
      <c r="P320" s="677"/>
      <c r="Q320" s="677"/>
      <c r="R320" s="677"/>
      <c r="S320" s="677"/>
      <c r="T320" s="677"/>
      <c r="U320" s="677"/>
      <c r="V320" s="677"/>
      <c r="W320" s="677">
        <v>28</v>
      </c>
      <c r="X320" s="678"/>
      <c r="Y320" s="682"/>
      <c r="Z320" s="680"/>
      <c r="AA320" s="681">
        <v>213.04900000000001</v>
      </c>
      <c r="AB320" s="681"/>
      <c r="AC320" s="417">
        <v>4</v>
      </c>
      <c r="AD320" s="417"/>
      <c r="AE320" s="682" t="s">
        <v>4240</v>
      </c>
      <c r="AF320">
        <v>1</v>
      </c>
      <c r="AG320" s="738">
        <v>43101</v>
      </c>
      <c r="AH320" s="417"/>
      <c r="AI320" s="417"/>
      <c r="AJ320" s="739">
        <v>43252</v>
      </c>
      <c r="AK320" s="417"/>
      <c r="AL320" s="637" t="s">
        <v>3463</v>
      </c>
      <c r="AM320" s="417"/>
      <c r="AN320" s="417"/>
      <c r="AO320" s="636"/>
      <c r="AP320">
        <v>556634</v>
      </c>
      <c r="AQ320" s="740">
        <v>43102</v>
      </c>
      <c r="AR320" s="417"/>
      <c r="AS320" s="417"/>
      <c r="AT320" s="417"/>
      <c r="AU320" s="417"/>
      <c r="AV320" s="417"/>
      <c r="AW320" s="417"/>
      <c r="AX320" s="417"/>
      <c r="AY320" s="183" t="s">
        <v>4245</v>
      </c>
      <c r="AZ320" s="417"/>
      <c r="BA320" s="417"/>
      <c r="BB320" t="s">
        <v>4238</v>
      </c>
      <c r="BC320" s="636"/>
      <c r="BD320" s="417"/>
      <c r="BE320" s="612"/>
      <c r="BF320" s="613"/>
      <c r="BG320" s="614"/>
      <c r="BH320" s="682"/>
      <c r="BI320" s="417"/>
      <c r="BJ320" s="417">
        <v>5</v>
      </c>
      <c r="BK320" s="682" t="str">
        <f>Техкарта[[#This Row],[Кв-л]]&amp;" кв ("&amp;Substring(Техкарта[[#This Row],[Виділ]],"_",1)&amp;" вид) "&amp;Substring(Техкарта[[#This Row],[Виділ]],"_",2)&amp;" діл."</f>
        <v>79 кв (8 вид) 0 діл.</v>
      </c>
      <c r="BL320" s="682" t="str">
        <f>Техкарта[[#This Row],[ПолнаяДіл]] &amp;" "&amp;Техкарта[[#This Row],[ЛК]]&amp;" "&amp;Техкарта[[#This Row],[Вид рубки]]</f>
        <v>79 кв (8 вид) 0 діл. 556634 ПРЖ</v>
      </c>
      <c r="BM320" s="682"/>
      <c r="BN320" s="636"/>
      <c r="BO320" s="636"/>
      <c r="BP320" s="636"/>
      <c r="BQ320" s="636" t="s">
        <v>105</v>
      </c>
      <c r="BR320" s="636"/>
      <c r="BS320" s="636"/>
      <c r="BT320" s="636"/>
      <c r="BU320" s="636"/>
      <c r="BV320" s="636"/>
      <c r="BW320" s="636" t="s">
        <v>4236</v>
      </c>
      <c r="BX320" s="636"/>
      <c r="BY320" s="972"/>
    </row>
    <row r="321" spans="1:77">
      <c r="A321" t="s">
        <v>105</v>
      </c>
      <c r="B321" s="675" t="s">
        <v>112</v>
      </c>
      <c r="C321" s="687" t="s">
        <v>140</v>
      </c>
      <c r="D321" s="675">
        <v>0</v>
      </c>
      <c r="E321" s="675" t="s">
        <v>2305</v>
      </c>
      <c r="F321" s="675">
        <v>3</v>
      </c>
      <c r="G321" s="675" t="s">
        <v>2238</v>
      </c>
      <c r="H321" s="675">
        <v>44</v>
      </c>
      <c r="I321" s="676" t="s">
        <v>3832</v>
      </c>
      <c r="J321" s="677">
        <v>5.5</v>
      </c>
      <c r="K321" s="683">
        <v>539</v>
      </c>
      <c r="L321" s="677">
        <v>0</v>
      </c>
      <c r="M321" s="677">
        <v>0</v>
      </c>
      <c r="N321" s="677">
        <v>68</v>
      </c>
      <c r="O321" s="677">
        <v>0</v>
      </c>
      <c r="P321" s="677">
        <v>0</v>
      </c>
      <c r="Q321" s="677">
        <v>0</v>
      </c>
      <c r="R321" s="677">
        <v>0</v>
      </c>
      <c r="S321" s="677">
        <v>0</v>
      </c>
      <c r="T321" s="677">
        <v>0</v>
      </c>
      <c r="U321" s="677">
        <v>0</v>
      </c>
      <c r="V321" s="677">
        <v>0</v>
      </c>
      <c r="W321" s="677">
        <v>201</v>
      </c>
      <c r="X321" s="678"/>
      <c r="Y321" s="682"/>
      <c r="Z321" s="680"/>
      <c r="AA321" s="681">
        <v>71.66</v>
      </c>
      <c r="AB321" s="681">
        <v>29.978000000000002</v>
      </c>
      <c r="AC321" s="417">
        <v>20</v>
      </c>
      <c r="AD321" s="417"/>
      <c r="AE321" s="682" t="s">
        <v>4241</v>
      </c>
      <c r="AF321">
        <v>1</v>
      </c>
      <c r="AG321" s="738">
        <v>43101</v>
      </c>
      <c r="AH321" s="417"/>
      <c r="AI321" s="417"/>
      <c r="AJ321" s="739">
        <v>43252</v>
      </c>
      <c r="AK321" s="417"/>
      <c r="AL321" s="637" t="s">
        <v>3440</v>
      </c>
      <c r="AM321" s="417"/>
      <c r="AN321" s="417"/>
      <c r="AO321" s="636"/>
      <c r="AP321">
        <v>556635</v>
      </c>
      <c r="AQ321" s="740">
        <v>43102</v>
      </c>
      <c r="AR321" s="417"/>
      <c r="AS321" s="417"/>
      <c r="AT321" s="417"/>
      <c r="AU321" s="417"/>
      <c r="AV321" s="417"/>
      <c r="AW321" s="417"/>
      <c r="AX321" s="417"/>
      <c r="AY321" s="183" t="s">
        <v>4245</v>
      </c>
      <c r="AZ321" s="417"/>
      <c r="BA321" s="417"/>
      <c r="BB321" t="s">
        <v>4238</v>
      </c>
      <c r="BC321" s="636"/>
      <c r="BD321" s="417"/>
      <c r="BE321" s="612">
        <v>0</v>
      </c>
      <c r="BF321" s="613">
        <v>0</v>
      </c>
      <c r="BG321" s="614" t="s">
        <v>78</v>
      </c>
      <c r="BH321" s="682"/>
      <c r="BI321" s="417"/>
      <c r="BJ321" s="417">
        <v>23</v>
      </c>
      <c r="BK321" s="682" t="str">
        <f>Техкарта[[#This Row],[Кв-л]]&amp;" кв ("&amp;Substring(Техкарта[[#This Row],[Виділ]],"_",1)&amp;" вид) "&amp;Substring(Техкарта[[#This Row],[Виділ]],"_",2)&amp;" діл."</f>
        <v>44 кв (5 вид) 0 діл.</v>
      </c>
      <c r="BL321" s="682" t="str">
        <f>Техкарта[[#This Row],[ПолнаяДіл]] &amp;" "&amp;Техкарта[[#This Row],[ЛК]]&amp;" "&amp;Техкарта[[#This Row],[Вид рубки]]</f>
        <v>44 кв (5 вид) 0 діл. 556635 ПРХ</v>
      </c>
      <c r="BM321" s="682"/>
      <c r="BN321" s="636" t="s">
        <v>3784</v>
      </c>
      <c r="BO321" s="636" t="s">
        <v>3784</v>
      </c>
      <c r="BP321" s="636" t="s">
        <v>3784</v>
      </c>
      <c r="BQ321" s="636" t="s">
        <v>105</v>
      </c>
      <c r="BR321" s="636"/>
      <c r="BS321" s="636"/>
      <c r="BT321" s="636"/>
      <c r="BU321" s="636"/>
      <c r="BV321" s="636"/>
      <c r="BW321" s="636" t="s">
        <v>4236</v>
      </c>
      <c r="BX321" s="636"/>
      <c r="BY321" s="972"/>
    </row>
    <row r="322" spans="1:77">
      <c r="A322" t="s">
        <v>105</v>
      </c>
      <c r="B322" s="675" t="s">
        <v>112</v>
      </c>
      <c r="C322" s="687" t="s">
        <v>140</v>
      </c>
      <c r="D322" s="675">
        <v>0</v>
      </c>
      <c r="E322" s="675" t="s">
        <v>2305</v>
      </c>
      <c r="F322" s="675">
        <v>3</v>
      </c>
      <c r="G322" s="675" t="s">
        <v>2238</v>
      </c>
      <c r="H322" s="675">
        <v>53</v>
      </c>
      <c r="I322" s="676" t="s">
        <v>3799</v>
      </c>
      <c r="J322" s="677">
        <v>8.1</v>
      </c>
      <c r="K322" s="683">
        <v>589</v>
      </c>
      <c r="L322" s="677">
        <v>0</v>
      </c>
      <c r="M322" s="677">
        <v>0</v>
      </c>
      <c r="N322" s="677">
        <v>73</v>
      </c>
      <c r="O322" s="677">
        <v>0</v>
      </c>
      <c r="P322" s="677">
        <v>0</v>
      </c>
      <c r="Q322" s="677">
        <v>0</v>
      </c>
      <c r="R322" s="677">
        <v>0</v>
      </c>
      <c r="S322" s="677">
        <v>0</v>
      </c>
      <c r="T322" s="677">
        <v>0</v>
      </c>
      <c r="U322" s="677">
        <v>0</v>
      </c>
      <c r="V322" s="677">
        <v>0</v>
      </c>
      <c r="W322" s="677">
        <v>290</v>
      </c>
      <c r="X322" s="678"/>
      <c r="Y322" s="682"/>
      <c r="Z322" s="680"/>
      <c r="AA322" s="681">
        <v>69.978999999999999</v>
      </c>
      <c r="AB322" s="681">
        <v>29.978000000000002</v>
      </c>
      <c r="AC322" s="417">
        <v>26</v>
      </c>
      <c r="AD322" s="417"/>
      <c r="AE322" s="682" t="s">
        <v>4242</v>
      </c>
      <c r="AF322">
        <v>1</v>
      </c>
      <c r="AG322" s="738">
        <v>43101</v>
      </c>
      <c r="AH322" s="417"/>
      <c r="AI322" s="417"/>
      <c r="AJ322" s="739">
        <v>43252</v>
      </c>
      <c r="AK322" s="417"/>
      <c r="AL322" s="637" t="s">
        <v>3452</v>
      </c>
      <c r="AM322" s="417"/>
      <c r="AN322" s="417"/>
      <c r="AO322" s="636"/>
      <c r="AP322">
        <v>556635</v>
      </c>
      <c r="AQ322" s="740">
        <v>43102</v>
      </c>
      <c r="AR322" s="417"/>
      <c r="AS322" s="417"/>
      <c r="AT322" s="417"/>
      <c r="AU322" s="417"/>
      <c r="AV322" s="417"/>
      <c r="AW322" s="417"/>
      <c r="AX322" s="417"/>
      <c r="AY322" s="183" t="s">
        <v>4245</v>
      </c>
      <c r="AZ322" s="417"/>
      <c r="BA322" s="417"/>
      <c r="BB322" t="s">
        <v>4238</v>
      </c>
      <c r="BC322" s="636"/>
      <c r="BD322" s="417"/>
      <c r="BE322" s="612">
        <v>0</v>
      </c>
      <c r="BF322" s="613">
        <v>0</v>
      </c>
      <c r="BG322" s="614" t="s">
        <v>78</v>
      </c>
      <c r="BH322" s="682"/>
      <c r="BI322" s="417"/>
      <c r="BJ322" s="417">
        <v>26</v>
      </c>
      <c r="BK322" s="682" t="str">
        <f>Техкарта[[#This Row],[Кв-л]]&amp;" кв ("&amp;Substring(Техкарта[[#This Row],[Виділ]],"_",1)&amp;" вид) "&amp;Substring(Техкарта[[#This Row],[Виділ]],"_",2)&amp;" діл."</f>
        <v>53 кв (1 вид) 2 діл.</v>
      </c>
      <c r="BL322" s="682" t="str">
        <f>Техкарта[[#This Row],[ПолнаяДіл]] &amp;" "&amp;Техкарта[[#This Row],[ЛК]]&amp;" "&amp;Техкарта[[#This Row],[Вид рубки]]</f>
        <v>53 кв (1 вид) 2 діл. 556635 ПРХ</v>
      </c>
      <c r="BM322" s="682"/>
      <c r="BN322" s="636" t="s">
        <v>3784</v>
      </c>
      <c r="BO322" s="636" t="s">
        <v>3784</v>
      </c>
      <c r="BP322" s="636" t="s">
        <v>3784</v>
      </c>
      <c r="BQ322" s="636" t="s">
        <v>105</v>
      </c>
      <c r="BR322" s="636"/>
      <c r="BS322" s="636"/>
      <c r="BT322" s="636"/>
      <c r="BU322" s="636"/>
      <c r="BV322" s="636"/>
      <c r="BW322" s="636" t="s">
        <v>4236</v>
      </c>
      <c r="BX322" s="636"/>
      <c r="BY322" s="972"/>
    </row>
    <row r="323" spans="1:77">
      <c r="A323" t="s">
        <v>105</v>
      </c>
      <c r="B323" s="675" t="s">
        <v>112</v>
      </c>
      <c r="C323" s="687" t="s">
        <v>126</v>
      </c>
      <c r="D323" s="675">
        <v>0</v>
      </c>
      <c r="E323" s="675" t="s">
        <v>2305</v>
      </c>
      <c r="F323" s="675">
        <v>3</v>
      </c>
      <c r="G323" s="675" t="s">
        <v>2238</v>
      </c>
      <c r="H323" s="675">
        <v>56</v>
      </c>
      <c r="I323" s="676" t="s">
        <v>3790</v>
      </c>
      <c r="J323" s="677">
        <v>9.6999999999999993</v>
      </c>
      <c r="K323" s="683">
        <v>651</v>
      </c>
      <c r="L323" s="677">
        <v>0</v>
      </c>
      <c r="M323" s="677">
        <v>0</v>
      </c>
      <c r="N323" s="677">
        <v>7</v>
      </c>
      <c r="O323" s="677">
        <v>0</v>
      </c>
      <c r="P323" s="677">
        <v>0</v>
      </c>
      <c r="Q323" s="677">
        <v>0</v>
      </c>
      <c r="R323" s="677">
        <v>0</v>
      </c>
      <c r="S323" s="677">
        <v>0</v>
      </c>
      <c r="T323" s="677">
        <v>0</v>
      </c>
      <c r="U323" s="677">
        <v>13</v>
      </c>
      <c r="V323" s="677">
        <v>0</v>
      </c>
      <c r="W323" s="677">
        <v>244</v>
      </c>
      <c r="X323" s="678"/>
      <c r="Y323" s="682"/>
      <c r="Z323" s="680"/>
      <c r="AA323" s="681">
        <v>83.545000000000002</v>
      </c>
      <c r="AB323" s="681">
        <v>29.978000000000002</v>
      </c>
      <c r="AC323" s="417">
        <v>20</v>
      </c>
      <c r="AD323" s="417"/>
      <c r="AE323" s="682" t="s">
        <v>4243</v>
      </c>
      <c r="AF323">
        <v>1</v>
      </c>
      <c r="AG323" s="742">
        <v>43101</v>
      </c>
      <c r="AH323" s="417"/>
      <c r="AI323" s="417"/>
      <c r="AJ323" s="743">
        <v>43252</v>
      </c>
      <c r="AK323" s="417"/>
      <c r="AL323" s="637" t="s">
        <v>3452</v>
      </c>
      <c r="AM323" s="417"/>
      <c r="AN323" s="417"/>
      <c r="AO323" s="636"/>
      <c r="AP323">
        <v>556651</v>
      </c>
      <c r="AQ323" s="744">
        <v>43143</v>
      </c>
      <c r="AR323" s="417"/>
      <c r="AS323" s="417"/>
      <c r="AT323" s="417"/>
      <c r="AU323" s="417"/>
      <c r="AV323" s="417"/>
      <c r="AW323" s="417"/>
      <c r="AX323" s="417"/>
      <c r="AY323" s="183" t="s">
        <v>4245</v>
      </c>
      <c r="AZ323" s="417"/>
      <c r="BA323" s="417"/>
      <c r="BB323" t="s">
        <v>4238</v>
      </c>
      <c r="BC323" s="636"/>
      <c r="BD323" s="417"/>
      <c r="BE323" s="612">
        <v>0</v>
      </c>
      <c r="BF323" s="613">
        <v>0</v>
      </c>
      <c r="BG323" s="614" t="s">
        <v>78</v>
      </c>
      <c r="BH323" s="682"/>
      <c r="BI323" s="417"/>
      <c r="BJ323" s="417">
        <v>15</v>
      </c>
      <c r="BK323" s="682" t="str">
        <f>Техкарта[[#This Row],[Кв-л]]&amp;" кв ("&amp;Substring(Техкарта[[#This Row],[Виділ]],"_",1)&amp;" вид) "&amp;Substring(Техкарта[[#This Row],[Виділ]],"_",2)&amp;" діл."</f>
        <v>56 кв (2 вид) 0 діл.</v>
      </c>
      <c r="BL323" s="682" t="str">
        <f>Техкарта[[#This Row],[ПолнаяДіл]] &amp;" "&amp;Техкарта[[#This Row],[ЛК]]&amp;" "&amp;Техкарта[[#This Row],[Вид рубки]]</f>
        <v>56 кв (2 вид) 0 діл. 556651 СРВ</v>
      </c>
      <c r="BM323" s="682"/>
      <c r="BN323" s="636" t="s">
        <v>3784</v>
      </c>
      <c r="BO323" s="636" t="s">
        <v>3784</v>
      </c>
      <c r="BP323" s="636" t="s">
        <v>3784</v>
      </c>
      <c r="BQ323" s="636" t="s">
        <v>105</v>
      </c>
      <c r="BR323" s="636"/>
      <c r="BS323" s="636"/>
      <c r="BT323" s="636"/>
      <c r="BU323" s="636"/>
      <c r="BV323" s="636"/>
      <c r="BW323" s="636" t="s">
        <v>4236</v>
      </c>
      <c r="BX323" s="636"/>
      <c r="BY323" s="972"/>
    </row>
    <row r="324" spans="1:77">
      <c r="A324" t="s">
        <v>105</v>
      </c>
      <c r="B324" s="675" t="s">
        <v>112</v>
      </c>
      <c r="C324" s="687" t="s">
        <v>126</v>
      </c>
      <c r="D324" s="675">
        <v>0</v>
      </c>
      <c r="E324" s="675" t="s">
        <v>2305</v>
      </c>
      <c r="F324" s="675">
        <v>3</v>
      </c>
      <c r="G324" s="675" t="s">
        <v>2238</v>
      </c>
      <c r="H324" s="675">
        <v>93</v>
      </c>
      <c r="I324" s="676" t="s">
        <v>3829</v>
      </c>
      <c r="J324" s="677">
        <v>10.1</v>
      </c>
      <c r="K324" s="683">
        <v>245</v>
      </c>
      <c r="L324" s="677">
        <v>0</v>
      </c>
      <c r="M324" s="677">
        <v>0</v>
      </c>
      <c r="N324" s="677">
        <v>0</v>
      </c>
      <c r="O324" s="677">
        <v>0</v>
      </c>
      <c r="P324" s="677">
        <v>0</v>
      </c>
      <c r="Q324" s="677">
        <v>0</v>
      </c>
      <c r="R324" s="677">
        <v>0</v>
      </c>
      <c r="S324" s="677">
        <v>0</v>
      </c>
      <c r="T324" s="677">
        <v>0</v>
      </c>
      <c r="U324" s="677">
        <v>0</v>
      </c>
      <c r="V324" s="677">
        <v>0</v>
      </c>
      <c r="W324" s="677">
        <v>70</v>
      </c>
      <c r="X324" s="678"/>
      <c r="Y324" s="682"/>
      <c r="Z324" s="680"/>
      <c r="AA324" s="681">
        <v>111.727</v>
      </c>
      <c r="AB324" s="681">
        <v>29.978000000000002</v>
      </c>
      <c r="AC324" s="417">
        <v>11</v>
      </c>
      <c r="AD324" s="417"/>
      <c r="AE324" s="682" t="s">
        <v>4244</v>
      </c>
      <c r="AF324">
        <v>1</v>
      </c>
      <c r="AG324" s="742">
        <v>43101</v>
      </c>
      <c r="AH324" s="417"/>
      <c r="AI324" s="417"/>
      <c r="AJ324" s="743">
        <v>43252</v>
      </c>
      <c r="AK324" s="417"/>
      <c r="AL324" s="637" t="s">
        <v>3458</v>
      </c>
      <c r="AM324" s="417"/>
      <c r="AN324" s="417"/>
      <c r="AO324" s="636"/>
      <c r="AP324">
        <v>556651</v>
      </c>
      <c r="AQ324" s="744">
        <v>43143</v>
      </c>
      <c r="AR324" s="417"/>
      <c r="AS324" s="417"/>
      <c r="AT324" s="417"/>
      <c r="AU324" s="417"/>
      <c r="AV324" s="417"/>
      <c r="AW324" s="417"/>
      <c r="AX324" s="417"/>
      <c r="AY324" s="183" t="s">
        <v>4245</v>
      </c>
      <c r="AZ324" s="417"/>
      <c r="BA324" s="417"/>
      <c r="BB324" t="s">
        <v>4238</v>
      </c>
      <c r="BC324" s="636"/>
      <c r="BD324" s="417"/>
      <c r="BE324" s="612">
        <v>0</v>
      </c>
      <c r="BF324" s="613">
        <v>0</v>
      </c>
      <c r="BG324" s="614" t="s">
        <v>78</v>
      </c>
      <c r="BH324" s="682"/>
      <c r="BI324" s="417"/>
      <c r="BJ324" s="417">
        <v>11</v>
      </c>
      <c r="BK324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324" s="682" t="str">
        <f>Техкарта[[#This Row],[ПолнаяДіл]] &amp;" "&amp;Техкарта[[#This Row],[ЛК]]&amp;" "&amp;Техкарта[[#This Row],[Вид рубки]]</f>
        <v>93 кв (3 вид) 0 діл. 556651 СРВ</v>
      </c>
      <c r="BM324" s="682"/>
      <c r="BN324" s="636" t="s">
        <v>3784</v>
      </c>
      <c r="BO324" s="636" t="s">
        <v>3784</v>
      </c>
      <c r="BP324" s="636" t="s">
        <v>3784</v>
      </c>
      <c r="BQ324" s="636" t="s">
        <v>105</v>
      </c>
      <c r="BR324" s="636"/>
      <c r="BS324" s="636"/>
      <c r="BT324" s="636"/>
      <c r="BU324" s="636"/>
      <c r="BV324" s="636"/>
      <c r="BW324" s="636" t="s">
        <v>4236</v>
      </c>
      <c r="BX324" s="636"/>
      <c r="BY324" s="972"/>
    </row>
    <row r="325" spans="1:77">
      <c r="A325" t="s">
        <v>105</v>
      </c>
      <c r="B325" s="675" t="s">
        <v>112</v>
      </c>
      <c r="C325" s="687" t="s">
        <v>126</v>
      </c>
      <c r="D325" s="675">
        <v>0</v>
      </c>
      <c r="E325" s="675" t="s">
        <v>2305</v>
      </c>
      <c r="F325" s="675">
        <v>3</v>
      </c>
      <c r="G325" s="675" t="s">
        <v>2238</v>
      </c>
      <c r="H325" s="675">
        <v>4</v>
      </c>
      <c r="I325" s="676" t="s">
        <v>3795</v>
      </c>
      <c r="J325" s="677">
        <v>2</v>
      </c>
      <c r="K325" s="683">
        <v>66</v>
      </c>
      <c r="L325" s="677">
        <v>0</v>
      </c>
      <c r="M325" s="677">
        <v>0</v>
      </c>
      <c r="N325" s="677">
        <v>1</v>
      </c>
      <c r="O325" s="677">
        <v>0</v>
      </c>
      <c r="P325" s="677">
        <v>0</v>
      </c>
      <c r="Q325" s="677">
        <v>0</v>
      </c>
      <c r="R325" s="677">
        <v>0</v>
      </c>
      <c r="S325" s="677">
        <v>0</v>
      </c>
      <c r="T325" s="677">
        <v>24</v>
      </c>
      <c r="U325" s="677">
        <v>0</v>
      </c>
      <c r="V325" s="677">
        <v>0</v>
      </c>
      <c r="W325" s="677">
        <v>0</v>
      </c>
      <c r="X325" s="678"/>
      <c r="Y325" s="682"/>
      <c r="Z325" s="680"/>
      <c r="AA325" s="681">
        <v>93.977999999999994</v>
      </c>
      <c r="AB325" s="681">
        <v>29.978000000000002</v>
      </c>
      <c r="AC325" s="417">
        <v>1</v>
      </c>
      <c r="AD325" s="417"/>
      <c r="AE325" s="682" t="s">
        <v>4246</v>
      </c>
      <c r="AF325">
        <v>1</v>
      </c>
      <c r="AG325" s="745">
        <v>43101</v>
      </c>
      <c r="AH325" s="417"/>
      <c r="AI325" s="417"/>
      <c r="AJ325" s="746">
        <v>43252</v>
      </c>
      <c r="AK325" s="417"/>
      <c r="AL325" s="637" t="s">
        <v>3468</v>
      </c>
      <c r="AM325" s="417"/>
      <c r="AN325" s="417"/>
      <c r="AO325" s="636"/>
      <c r="AP325">
        <v>556645</v>
      </c>
      <c r="AQ325" s="747">
        <v>43122</v>
      </c>
      <c r="AR325" s="417"/>
      <c r="AS325" s="417"/>
      <c r="AT325" s="417"/>
      <c r="AU325" s="417"/>
      <c r="AV325" s="417"/>
      <c r="AW325" s="417"/>
      <c r="AX325" s="417"/>
      <c r="AY325" s="183" t="s">
        <v>4245</v>
      </c>
      <c r="AZ325" s="417"/>
      <c r="BA325" s="417"/>
      <c r="BB325" t="s">
        <v>4238</v>
      </c>
      <c r="BC325" s="636"/>
      <c r="BD325" s="417"/>
      <c r="BE325" s="612">
        <v>0</v>
      </c>
      <c r="BF325" s="613">
        <v>0</v>
      </c>
      <c r="BG325" s="614" t="s">
        <v>78</v>
      </c>
      <c r="BH325" s="682"/>
      <c r="BI325" s="417"/>
      <c r="BJ325" s="417">
        <v>16</v>
      </c>
      <c r="BK325" s="682" t="str">
        <f>Техкарта[[#This Row],[Кв-л]]&amp;" кв ("&amp;Substring(Техкарта[[#This Row],[Виділ]],"_",1)&amp;" вид) "&amp;Substring(Техкарта[[#This Row],[Виділ]],"_",2)&amp;" діл."</f>
        <v>4 кв (9 вид) 0 діл.</v>
      </c>
      <c r="BL325" s="682" t="str">
        <f>Техкарта[[#This Row],[ПолнаяДіл]] &amp;" "&amp;Техкарта[[#This Row],[ЛК]]&amp;" "&amp;Техкарта[[#This Row],[Вид рубки]]</f>
        <v>4 кв (9 вид) 0 діл. 556645 СРВ</v>
      </c>
      <c r="BM325" s="682"/>
      <c r="BN325" s="636" t="s">
        <v>3784</v>
      </c>
      <c r="BO325" s="636" t="s">
        <v>3784</v>
      </c>
      <c r="BP325" s="636" t="s">
        <v>3784</v>
      </c>
      <c r="BQ325" s="636" t="s">
        <v>105</v>
      </c>
      <c r="BR325" s="636"/>
      <c r="BS325" s="636"/>
      <c r="BT325" s="636"/>
      <c r="BU325" s="636"/>
      <c r="BV325" s="636"/>
      <c r="BW325" s="636" t="s">
        <v>4236</v>
      </c>
      <c r="BX325" s="636"/>
      <c r="BY325" s="972"/>
    </row>
    <row r="326" spans="1:77">
      <c r="A326" t="s">
        <v>105</v>
      </c>
      <c r="B326" s="675" t="s">
        <v>112</v>
      </c>
      <c r="C326" s="687" t="s">
        <v>126</v>
      </c>
      <c r="D326" s="675">
        <v>0</v>
      </c>
      <c r="E326" s="675" t="s">
        <v>2305</v>
      </c>
      <c r="F326" s="675">
        <v>3</v>
      </c>
      <c r="G326" s="675" t="s">
        <v>2238</v>
      </c>
      <c r="H326" s="675">
        <v>4</v>
      </c>
      <c r="I326" s="676" t="s">
        <v>3794</v>
      </c>
      <c r="J326" s="677">
        <v>1.6</v>
      </c>
      <c r="K326" s="683">
        <v>61</v>
      </c>
      <c r="L326" s="677">
        <v>0</v>
      </c>
      <c r="M326" s="677">
        <v>0</v>
      </c>
      <c r="N326" s="677">
        <v>0</v>
      </c>
      <c r="O326" s="677">
        <v>0</v>
      </c>
      <c r="P326" s="677">
        <v>0</v>
      </c>
      <c r="Q326" s="677">
        <v>0</v>
      </c>
      <c r="R326" s="677">
        <v>0</v>
      </c>
      <c r="S326" s="677">
        <v>0</v>
      </c>
      <c r="T326" s="677">
        <v>28</v>
      </c>
      <c r="U326" s="677">
        <v>0</v>
      </c>
      <c r="V326" s="677">
        <v>0</v>
      </c>
      <c r="W326" s="677">
        <v>0</v>
      </c>
      <c r="X326" s="678"/>
      <c r="Y326" s="682"/>
      <c r="Z326" s="680"/>
      <c r="AA326" s="681">
        <v>85.326999999999998</v>
      </c>
      <c r="AB326" s="681">
        <v>29.978000000000002</v>
      </c>
      <c r="AC326" s="417">
        <v>2</v>
      </c>
      <c r="AD326" s="417"/>
      <c r="AE326" s="682" t="s">
        <v>4247</v>
      </c>
      <c r="AF326">
        <v>1</v>
      </c>
      <c r="AG326" s="745">
        <v>43101</v>
      </c>
      <c r="AH326" s="417"/>
      <c r="AI326" s="417"/>
      <c r="AJ326" s="746">
        <v>43252</v>
      </c>
      <c r="AK326" s="417"/>
      <c r="AL326" s="637" t="s">
        <v>3468</v>
      </c>
      <c r="AM326" s="417"/>
      <c r="AN326" s="417"/>
      <c r="AO326" s="636"/>
      <c r="AP326">
        <v>556645</v>
      </c>
      <c r="AQ326" s="747">
        <v>43122</v>
      </c>
      <c r="AR326" s="417"/>
      <c r="AS326" s="417"/>
      <c r="AT326" s="417"/>
      <c r="AU326" s="417"/>
      <c r="AV326" s="417"/>
      <c r="AW326" s="417"/>
      <c r="AX326" s="417"/>
      <c r="AY326" s="183" t="s">
        <v>4245</v>
      </c>
      <c r="AZ326" s="417"/>
      <c r="BA326" s="417"/>
      <c r="BB326" t="s">
        <v>4238</v>
      </c>
      <c r="BC326" s="636"/>
      <c r="BD326" s="417"/>
      <c r="BE326" s="612">
        <v>0</v>
      </c>
      <c r="BF326" s="613">
        <v>0</v>
      </c>
      <c r="BG326" s="614" t="s">
        <v>78</v>
      </c>
      <c r="BH326" s="682"/>
      <c r="BI326" s="417"/>
      <c r="BJ326" s="417">
        <v>17</v>
      </c>
      <c r="BK326" s="682" t="str">
        <f>Техкарта[[#This Row],[Кв-л]]&amp;" кв ("&amp;Substring(Техкарта[[#This Row],[Виділ]],"_",1)&amp;" вид) "&amp;Substring(Техкарта[[#This Row],[Виділ]],"_",2)&amp;" діл."</f>
        <v>4 кв (11 вид) 0 діл.</v>
      </c>
      <c r="BL326" s="682" t="str">
        <f>Техкарта[[#This Row],[ПолнаяДіл]] &amp;" "&amp;Техкарта[[#This Row],[ЛК]]&amp;" "&amp;Техкарта[[#This Row],[Вид рубки]]</f>
        <v>4 кв (11 вид) 0 діл. 556645 СРВ</v>
      </c>
      <c r="BM326" s="682"/>
      <c r="BN326" s="636" t="s">
        <v>3784</v>
      </c>
      <c r="BO326" s="636" t="s">
        <v>3784</v>
      </c>
      <c r="BP326" s="636" t="s">
        <v>3784</v>
      </c>
      <c r="BQ326" s="636" t="s">
        <v>105</v>
      </c>
      <c r="BR326" s="636"/>
      <c r="BS326" s="636"/>
      <c r="BT326" s="636"/>
      <c r="BU326" s="636"/>
      <c r="BV326" s="636"/>
      <c r="BW326" s="636" t="s">
        <v>4236</v>
      </c>
      <c r="BX326" s="636"/>
      <c r="BY326" s="972"/>
    </row>
    <row r="327" spans="1:77">
      <c r="A327" t="s">
        <v>105</v>
      </c>
      <c r="B327" s="675" t="s">
        <v>112</v>
      </c>
      <c r="C327" s="687" t="s">
        <v>126</v>
      </c>
      <c r="D327" s="675">
        <v>0</v>
      </c>
      <c r="E327" s="675" t="s">
        <v>2305</v>
      </c>
      <c r="F327" s="675">
        <v>3</v>
      </c>
      <c r="G327" s="675" t="s">
        <v>2238</v>
      </c>
      <c r="H327" s="675">
        <v>6</v>
      </c>
      <c r="I327" s="676" t="s">
        <v>3829</v>
      </c>
      <c r="J327" s="677">
        <v>8.6999999999999993</v>
      </c>
      <c r="K327" s="683">
        <v>283</v>
      </c>
      <c r="L327" s="677">
        <v>0</v>
      </c>
      <c r="M327" s="677">
        <v>0</v>
      </c>
      <c r="N327" s="677">
        <v>2</v>
      </c>
      <c r="O327" s="677">
        <v>0</v>
      </c>
      <c r="P327" s="677">
        <v>0</v>
      </c>
      <c r="Q327" s="677">
        <v>0</v>
      </c>
      <c r="R327" s="677">
        <v>0</v>
      </c>
      <c r="S327" s="677">
        <v>0</v>
      </c>
      <c r="T327" s="677">
        <v>0</v>
      </c>
      <c r="U327" s="677">
        <v>2</v>
      </c>
      <c r="V327" s="677">
        <v>0</v>
      </c>
      <c r="W327" s="677">
        <v>142</v>
      </c>
      <c r="X327" s="678"/>
      <c r="Y327" s="682"/>
      <c r="Z327" s="680"/>
      <c r="AA327" s="681">
        <v>80.704999999999998</v>
      </c>
      <c r="AB327" s="681">
        <v>38.070999999999998</v>
      </c>
      <c r="AC327" s="417">
        <v>9</v>
      </c>
      <c r="AD327" s="417"/>
      <c r="AE327" s="682" t="s">
        <v>4248</v>
      </c>
      <c r="AF327">
        <v>1</v>
      </c>
      <c r="AG327" s="745">
        <v>43101</v>
      </c>
      <c r="AH327" s="417"/>
      <c r="AI327" s="417"/>
      <c r="AJ327" s="746">
        <v>43252</v>
      </c>
      <c r="AK327" s="417"/>
      <c r="AL327" s="637" t="s">
        <v>3468</v>
      </c>
      <c r="AM327" s="417"/>
      <c r="AN327" s="417"/>
      <c r="AO327" s="636"/>
      <c r="AP327">
        <v>556645</v>
      </c>
      <c r="AQ327" s="747">
        <v>43122</v>
      </c>
      <c r="AR327" s="417"/>
      <c r="AS327" s="417"/>
      <c r="AT327" s="417"/>
      <c r="AU327" s="417"/>
      <c r="AV327" s="417"/>
      <c r="AW327" s="417"/>
      <c r="AX327" s="417"/>
      <c r="AY327" s="183" t="s">
        <v>4245</v>
      </c>
      <c r="AZ327" s="417"/>
      <c r="BA327" s="417"/>
      <c r="BB327" t="s">
        <v>4238</v>
      </c>
      <c r="BC327" s="636"/>
      <c r="BD327" s="417"/>
      <c r="BE327" s="612">
        <v>0</v>
      </c>
      <c r="BF327" s="613">
        <v>0</v>
      </c>
      <c r="BG327" s="614" t="s">
        <v>78</v>
      </c>
      <c r="BH327" s="682"/>
      <c r="BI327" s="417"/>
      <c r="BJ327" s="417">
        <v>22</v>
      </c>
      <c r="BK327" s="682" t="str">
        <f>Техкарта[[#This Row],[Кв-л]]&amp;" кв ("&amp;Substring(Техкарта[[#This Row],[Виділ]],"_",1)&amp;" вид) "&amp;Substring(Техкарта[[#This Row],[Виділ]],"_",2)&amp;" діл."</f>
        <v>6 кв (3 вид) 0 діл.</v>
      </c>
      <c r="BL327" s="682" t="str">
        <f>Техкарта[[#This Row],[ПолнаяДіл]] &amp;" "&amp;Техкарта[[#This Row],[ЛК]]&amp;" "&amp;Техкарта[[#This Row],[Вид рубки]]</f>
        <v>6 кв (3 вид) 0 діл. 556645 СРВ</v>
      </c>
      <c r="BM327" s="682"/>
      <c r="BN327" s="636" t="s">
        <v>3784</v>
      </c>
      <c r="BO327" s="636" t="s">
        <v>3784</v>
      </c>
      <c r="BP327" s="636" t="s">
        <v>3784</v>
      </c>
      <c r="BQ327" s="636" t="s">
        <v>105</v>
      </c>
      <c r="BR327" s="636"/>
      <c r="BS327" s="636"/>
      <c r="BT327" s="636"/>
      <c r="BU327" s="636"/>
      <c r="BV327" s="636"/>
      <c r="BW327" s="636" t="s">
        <v>4236</v>
      </c>
      <c r="BX327" s="636"/>
      <c r="BY327" s="972"/>
    </row>
    <row r="328" spans="1:77">
      <c r="A328" t="s">
        <v>105</v>
      </c>
      <c r="B328" s="675" t="s">
        <v>112</v>
      </c>
      <c r="C328" s="687" t="s">
        <v>126</v>
      </c>
      <c r="D328" s="675">
        <v>0</v>
      </c>
      <c r="E328" s="675" t="s">
        <v>2305</v>
      </c>
      <c r="F328" s="675">
        <v>3</v>
      </c>
      <c r="G328" s="675" t="s">
        <v>2238</v>
      </c>
      <c r="H328" s="675">
        <v>6</v>
      </c>
      <c r="I328" s="676" t="s">
        <v>3791</v>
      </c>
      <c r="J328" s="677">
        <v>0.7</v>
      </c>
      <c r="K328" s="683">
        <v>73</v>
      </c>
      <c r="L328" s="677">
        <v>0</v>
      </c>
      <c r="M328" s="677">
        <v>0</v>
      </c>
      <c r="N328" s="677">
        <v>0</v>
      </c>
      <c r="O328" s="677">
        <v>0</v>
      </c>
      <c r="P328" s="677">
        <v>0</v>
      </c>
      <c r="Q328" s="677">
        <v>0</v>
      </c>
      <c r="R328" s="677">
        <v>0</v>
      </c>
      <c r="S328" s="677">
        <v>0</v>
      </c>
      <c r="T328" s="677">
        <v>0</v>
      </c>
      <c r="U328" s="677">
        <v>0</v>
      </c>
      <c r="V328" s="677">
        <v>0</v>
      </c>
      <c r="W328" s="677">
        <v>21</v>
      </c>
      <c r="X328" s="678"/>
      <c r="Y328" s="682"/>
      <c r="Z328" s="680"/>
      <c r="AA328" s="681">
        <v>92.515000000000001</v>
      </c>
      <c r="AB328" s="681">
        <v>29.978000000000002</v>
      </c>
      <c r="AC328" s="417">
        <v>2</v>
      </c>
      <c r="AD328" s="417"/>
      <c r="AE328" s="682" t="s">
        <v>4249</v>
      </c>
      <c r="AF328">
        <v>1</v>
      </c>
      <c r="AG328" s="745">
        <v>43101</v>
      </c>
      <c r="AH328" s="417"/>
      <c r="AI328" s="417"/>
      <c r="AJ328" s="746">
        <v>43252</v>
      </c>
      <c r="AK328" s="417"/>
      <c r="AL328" s="637" t="s">
        <v>3468</v>
      </c>
      <c r="AM328" s="417"/>
      <c r="AN328" s="417"/>
      <c r="AO328" s="636"/>
      <c r="AP328">
        <v>556645</v>
      </c>
      <c r="AQ328" s="747">
        <v>43122</v>
      </c>
      <c r="AR328" s="417"/>
      <c r="AS328" s="417"/>
      <c r="AT328" s="417"/>
      <c r="AU328" s="417"/>
      <c r="AV328" s="417"/>
      <c r="AW328" s="417"/>
      <c r="AX328" s="417"/>
      <c r="AY328" s="183" t="s">
        <v>4245</v>
      </c>
      <c r="AZ328" s="417"/>
      <c r="BA328" s="417"/>
      <c r="BB328" t="s">
        <v>4238</v>
      </c>
      <c r="BC328" s="636"/>
      <c r="BD328" s="417"/>
      <c r="BE328" s="612">
        <v>0</v>
      </c>
      <c r="BF328" s="613">
        <v>0</v>
      </c>
      <c r="BG328" s="614" t="s">
        <v>78</v>
      </c>
      <c r="BH328" s="682"/>
      <c r="BI328" s="417"/>
      <c r="BJ328" s="417">
        <v>18</v>
      </c>
      <c r="BK328" s="682" t="str">
        <f>Техкарта[[#This Row],[Кв-л]]&amp;" кв ("&amp;Substring(Техкарта[[#This Row],[Виділ]],"_",1)&amp;" вид) "&amp;Substring(Техкарта[[#This Row],[Виділ]],"_",2)&amp;" діл."</f>
        <v>6 кв (7 вид) 0 діл.</v>
      </c>
      <c r="BL328" s="682" t="str">
        <f>Техкарта[[#This Row],[ПолнаяДіл]] &amp;" "&amp;Техкарта[[#This Row],[ЛК]]&amp;" "&amp;Техкарта[[#This Row],[Вид рубки]]</f>
        <v>6 кв (7 вид) 0 діл. 556645 СРВ</v>
      </c>
      <c r="BM328" s="682"/>
      <c r="BN328" s="636" t="s">
        <v>3784</v>
      </c>
      <c r="BO328" s="636" t="s">
        <v>3784</v>
      </c>
      <c r="BP328" s="636" t="s">
        <v>3784</v>
      </c>
      <c r="BQ328" s="636" t="s">
        <v>105</v>
      </c>
      <c r="BR328" s="636"/>
      <c r="BS328" s="636"/>
      <c r="BT328" s="636"/>
      <c r="BU328" s="636"/>
      <c r="BV328" s="636"/>
      <c r="BW328" s="636" t="s">
        <v>4236</v>
      </c>
      <c r="BX328" s="636"/>
      <c r="BY328" s="972"/>
    </row>
    <row r="329" spans="1:77">
      <c r="A329" t="s">
        <v>105</v>
      </c>
      <c r="B329" s="675" t="s">
        <v>112</v>
      </c>
      <c r="C329" s="687" t="s">
        <v>126</v>
      </c>
      <c r="D329" s="675">
        <v>0</v>
      </c>
      <c r="E329" s="675" t="s">
        <v>2305</v>
      </c>
      <c r="F329" s="675">
        <v>3</v>
      </c>
      <c r="G329" s="675" t="s">
        <v>2238</v>
      </c>
      <c r="H329" s="675">
        <v>20</v>
      </c>
      <c r="I329" s="676" t="s">
        <v>3794</v>
      </c>
      <c r="J329" s="677">
        <v>19.2</v>
      </c>
      <c r="K329" s="683">
        <v>877</v>
      </c>
      <c r="L329" s="677">
        <v>0</v>
      </c>
      <c r="M329" s="677">
        <v>0</v>
      </c>
      <c r="N329" s="677">
        <v>2</v>
      </c>
      <c r="O329" s="677">
        <v>0</v>
      </c>
      <c r="P329" s="677">
        <v>0</v>
      </c>
      <c r="Q329" s="677">
        <v>0</v>
      </c>
      <c r="R329" s="677">
        <v>189</v>
      </c>
      <c r="S329" s="677">
        <v>0</v>
      </c>
      <c r="T329" s="677">
        <v>143</v>
      </c>
      <c r="U329" s="677">
        <v>0</v>
      </c>
      <c r="V329" s="677">
        <v>0</v>
      </c>
      <c r="W329" s="677">
        <v>0</v>
      </c>
      <c r="X329" s="678"/>
      <c r="Y329" s="682"/>
      <c r="Z329" s="680"/>
      <c r="AA329" s="681">
        <v>93.891000000000005</v>
      </c>
      <c r="AB329" s="681">
        <v>29.978000000000002</v>
      </c>
      <c r="AC329" s="417">
        <v>39</v>
      </c>
      <c r="AD329" s="417"/>
      <c r="AE329" s="682" t="s">
        <v>4250</v>
      </c>
      <c r="AF329">
        <v>1</v>
      </c>
      <c r="AG329" s="745">
        <v>43101</v>
      </c>
      <c r="AH329" s="417"/>
      <c r="AI329" s="417"/>
      <c r="AJ329" s="746">
        <v>43252</v>
      </c>
      <c r="AK329" s="417"/>
      <c r="AL329" s="637" t="s">
        <v>3434</v>
      </c>
      <c r="AM329" s="417"/>
      <c r="AN329" s="417"/>
      <c r="AO329" s="636"/>
      <c r="AP329">
        <v>556645</v>
      </c>
      <c r="AQ329" s="747">
        <v>43122</v>
      </c>
      <c r="AR329" s="417"/>
      <c r="AS329" s="417"/>
      <c r="AT329" s="417"/>
      <c r="AU329" s="417"/>
      <c r="AV329" s="417"/>
      <c r="AW329" s="417"/>
      <c r="AX329" s="417"/>
      <c r="AY329" s="183" t="s">
        <v>4245</v>
      </c>
      <c r="AZ329" s="417"/>
      <c r="BA329" s="417"/>
      <c r="BB329" t="s">
        <v>4238</v>
      </c>
      <c r="BC329" s="636"/>
      <c r="BD329" s="417"/>
      <c r="BE329" s="612">
        <v>0</v>
      </c>
      <c r="BF329" s="613">
        <v>0</v>
      </c>
      <c r="BG329" s="614" t="s">
        <v>78</v>
      </c>
      <c r="BH329" s="682"/>
      <c r="BI329" s="417"/>
      <c r="BJ329" s="417">
        <v>3</v>
      </c>
      <c r="BK329" s="682" t="str">
        <f>Техкарта[[#This Row],[Кв-л]]&amp;" кв ("&amp;Substring(Техкарта[[#This Row],[Виділ]],"_",1)&amp;" вид) "&amp;Substring(Техкарта[[#This Row],[Виділ]],"_",2)&amp;" діл."</f>
        <v>20 кв (11 вид) 0 діл.</v>
      </c>
      <c r="BL329" s="682" t="str">
        <f>Техкарта[[#This Row],[ПолнаяДіл]] &amp;" "&amp;Техкарта[[#This Row],[ЛК]]&amp;" "&amp;Техкарта[[#This Row],[Вид рубки]]</f>
        <v>20 кв (11 вид) 0 діл. 556645 СРВ</v>
      </c>
      <c r="BM329" s="682"/>
      <c r="BN329" s="636" t="s">
        <v>3784</v>
      </c>
      <c r="BO329" s="636" t="s">
        <v>3784</v>
      </c>
      <c r="BP329" s="636" t="s">
        <v>3784</v>
      </c>
      <c r="BQ329" s="636" t="s">
        <v>105</v>
      </c>
      <c r="BR329" s="636"/>
      <c r="BS329" s="636"/>
      <c r="BT329" s="636"/>
      <c r="BU329" s="636"/>
      <c r="BV329" s="636"/>
      <c r="BW329" s="636" t="s">
        <v>4236</v>
      </c>
      <c r="BX329" s="636"/>
      <c r="BY329" s="972"/>
    </row>
    <row r="330" spans="1:77">
      <c r="A330" t="s">
        <v>105</v>
      </c>
      <c r="B330" s="675" t="s">
        <v>112</v>
      </c>
      <c r="C330" s="687" t="s">
        <v>478</v>
      </c>
      <c r="D330" s="675">
        <v>0</v>
      </c>
      <c r="E330" s="675" t="s">
        <v>2305</v>
      </c>
      <c r="F330" s="675">
        <v>3</v>
      </c>
      <c r="G330" s="675" t="s">
        <v>2238</v>
      </c>
      <c r="H330" s="675">
        <v>111</v>
      </c>
      <c r="I330" s="676" t="s">
        <v>3806</v>
      </c>
      <c r="J330" s="677">
        <v>0.1</v>
      </c>
      <c r="K330" s="683">
        <v>49</v>
      </c>
      <c r="L330" s="677">
        <v>0</v>
      </c>
      <c r="M330" s="677">
        <v>0</v>
      </c>
      <c r="N330" s="677">
        <v>0</v>
      </c>
      <c r="O330" s="677">
        <v>0</v>
      </c>
      <c r="P330" s="677">
        <v>0</v>
      </c>
      <c r="Q330" s="677">
        <v>0</v>
      </c>
      <c r="R330" s="677">
        <v>0</v>
      </c>
      <c r="S330" s="677">
        <v>0</v>
      </c>
      <c r="T330" s="677">
        <v>0</v>
      </c>
      <c r="U330" s="677">
        <v>0</v>
      </c>
      <c r="V330" s="677">
        <v>0</v>
      </c>
      <c r="W330" s="677">
        <v>3</v>
      </c>
      <c r="X330" s="678"/>
      <c r="Y330" s="682"/>
      <c r="Z330" s="680"/>
      <c r="AA330" s="681">
        <v>204.809</v>
      </c>
      <c r="AB330" s="681">
        <v>29.978000000000002</v>
      </c>
      <c r="AC330" s="417">
        <v>1</v>
      </c>
      <c r="AD330" s="417"/>
      <c r="AE330" s="682" t="s">
        <v>4251</v>
      </c>
      <c r="AF330">
        <v>1</v>
      </c>
      <c r="AG330" s="745">
        <v>43101</v>
      </c>
      <c r="AH330" s="417"/>
      <c r="AI330" s="417"/>
      <c r="AJ330" s="746">
        <v>43252</v>
      </c>
      <c r="AK330" s="417"/>
      <c r="AL330" s="637" t="s">
        <v>3458</v>
      </c>
      <c r="AM330" s="417"/>
      <c r="AN330" s="417"/>
      <c r="AO330" s="636"/>
      <c r="AP330">
        <v>556655</v>
      </c>
      <c r="AQ330" s="747">
        <v>43171</v>
      </c>
      <c r="AR330" s="417"/>
      <c r="AS330" s="417"/>
      <c r="AT330" s="417"/>
      <c r="AU330" s="417"/>
      <c r="AV330" s="417"/>
      <c r="AW330" s="417"/>
      <c r="AX330" s="417"/>
      <c r="AY330" s="183" t="s">
        <v>4245</v>
      </c>
      <c r="AZ330" s="417"/>
      <c r="BA330" s="417"/>
      <c r="BB330" t="s">
        <v>4238</v>
      </c>
      <c r="BC330" s="636"/>
      <c r="BD330" s="417"/>
      <c r="BE330" s="612">
        <v>0</v>
      </c>
      <c r="BF330" s="613">
        <v>0</v>
      </c>
      <c r="BG330" s="614" t="s">
        <v>78</v>
      </c>
      <c r="BH330" s="682"/>
      <c r="BI330" s="417"/>
      <c r="BJ330" s="417">
        <v>27</v>
      </c>
      <c r="BK330" s="682" t="str">
        <f>Техкарта[[#This Row],[Кв-л]]&amp;" кв ("&amp;Substring(Техкарта[[#This Row],[Виділ]],"_",1)&amp;" вид) "&amp;Substring(Техкарта[[#This Row],[Виділ]],"_",2)&amp;" діл."</f>
        <v>111 кв (1 вид) 1 діл.</v>
      </c>
      <c r="BL330" s="682" t="str">
        <f>Техкарта[[#This Row],[ПолнаяДіл]] &amp;" "&amp;Техкарта[[#This Row],[ЛК]]&amp;" "&amp;Техкарта[[#This Row],[Вид рубки]]</f>
        <v>111 кв (1 вид) 1 діл. 556655 РКП</v>
      </c>
      <c r="BM330" s="682"/>
      <c r="BN330" s="636" t="s">
        <v>3784</v>
      </c>
      <c r="BO330" s="636" t="s">
        <v>3784</v>
      </c>
      <c r="BP330" s="636" t="s">
        <v>3784</v>
      </c>
      <c r="BQ330" s="636" t="s">
        <v>105</v>
      </c>
      <c r="BR330" s="636"/>
      <c r="BS330" s="636"/>
      <c r="BT330" s="636"/>
      <c r="BU330" s="636"/>
      <c r="BV330" s="636"/>
      <c r="BW330" s="636" t="s">
        <v>4236</v>
      </c>
      <c r="BX330" s="636"/>
      <c r="BY330" s="972"/>
    </row>
    <row r="331" spans="1:77">
      <c r="A331" t="s">
        <v>105</v>
      </c>
      <c r="B331" s="675" t="s">
        <v>112</v>
      </c>
      <c r="C331" s="687" t="s">
        <v>478</v>
      </c>
      <c r="D331" s="675">
        <v>0</v>
      </c>
      <c r="E331" s="675" t="s">
        <v>2305</v>
      </c>
      <c r="F331" s="675">
        <v>3</v>
      </c>
      <c r="G331" s="675" t="s">
        <v>2238</v>
      </c>
      <c r="H331" s="675">
        <v>111</v>
      </c>
      <c r="I331" s="676" t="s">
        <v>3809</v>
      </c>
      <c r="J331" s="677">
        <v>0.5</v>
      </c>
      <c r="K331" s="683">
        <v>109</v>
      </c>
      <c r="L331" s="677">
        <v>0</v>
      </c>
      <c r="M331" s="677">
        <v>0</v>
      </c>
      <c r="N331" s="677">
        <v>0</v>
      </c>
      <c r="O331" s="677">
        <v>0</v>
      </c>
      <c r="P331" s="677">
        <v>0</v>
      </c>
      <c r="Q331" s="677">
        <v>0</v>
      </c>
      <c r="R331" s="677">
        <v>0</v>
      </c>
      <c r="S331" s="677">
        <v>0</v>
      </c>
      <c r="T331" s="677">
        <v>0</v>
      </c>
      <c r="U331" s="677">
        <v>0</v>
      </c>
      <c r="V331" s="677">
        <v>0</v>
      </c>
      <c r="W331" s="677">
        <v>15</v>
      </c>
      <c r="X331" s="678"/>
      <c r="Y331" s="682"/>
      <c r="Z331" s="680"/>
      <c r="AA331" s="681">
        <v>121.58</v>
      </c>
      <c r="AB331" s="681">
        <v>29.978000000000002</v>
      </c>
      <c r="AC331" s="417">
        <v>1</v>
      </c>
      <c r="AD331" s="417"/>
      <c r="AE331" s="682" t="s">
        <v>4252</v>
      </c>
      <c r="AF331">
        <v>1</v>
      </c>
      <c r="AG331" s="745">
        <v>43101</v>
      </c>
      <c r="AH331" s="417"/>
      <c r="AI331" s="417"/>
      <c r="AJ331" s="746">
        <v>43252</v>
      </c>
      <c r="AK331" s="417"/>
      <c r="AL331" s="637" t="s">
        <v>3458</v>
      </c>
      <c r="AM331" s="417"/>
      <c r="AN331" s="417"/>
      <c r="AO331" s="636"/>
      <c r="AP331">
        <v>556655</v>
      </c>
      <c r="AQ331" s="747">
        <v>43171</v>
      </c>
      <c r="AR331" s="417"/>
      <c r="AS331" s="417"/>
      <c r="AT331" s="417"/>
      <c r="AU331" s="417"/>
      <c r="AV331" s="417"/>
      <c r="AW331" s="417"/>
      <c r="AX331" s="417"/>
      <c r="AY331" s="183" t="s">
        <v>4245</v>
      </c>
      <c r="AZ331" s="417"/>
      <c r="BA331" s="417"/>
      <c r="BB331" t="s">
        <v>4238</v>
      </c>
      <c r="BC331" s="636"/>
      <c r="BD331" s="417"/>
      <c r="BE331" s="612">
        <v>0</v>
      </c>
      <c r="BF331" s="613">
        <v>0</v>
      </c>
      <c r="BG331" s="614" t="s">
        <v>78</v>
      </c>
      <c r="BH331" s="682"/>
      <c r="BI331" s="417"/>
      <c r="BJ331" s="417">
        <v>28</v>
      </c>
      <c r="BK331" s="682" t="str">
        <f>Техкарта[[#This Row],[Кв-л]]&amp;" кв ("&amp;Substring(Техкарта[[#This Row],[Виділ]],"_",1)&amp;" вид) "&amp;Substring(Техкарта[[#This Row],[Виділ]],"_",2)&amp;" діл."</f>
        <v>111 кв (2 вид) 1 діл.</v>
      </c>
      <c r="BL331" s="682" t="str">
        <f>Техкарта[[#This Row],[ПолнаяДіл]] &amp;" "&amp;Техкарта[[#This Row],[ЛК]]&amp;" "&amp;Техкарта[[#This Row],[Вид рубки]]</f>
        <v>111 кв (2 вид) 1 діл. 556655 РКП</v>
      </c>
      <c r="BM331" s="682"/>
      <c r="BN331" s="636" t="s">
        <v>3784</v>
      </c>
      <c r="BO331" s="636" t="s">
        <v>3784</v>
      </c>
      <c r="BP331" s="636" t="s">
        <v>3784</v>
      </c>
      <c r="BQ331" s="636" t="s">
        <v>105</v>
      </c>
      <c r="BR331" s="636"/>
      <c r="BS331" s="636"/>
      <c r="BT331" s="636"/>
      <c r="BU331" s="636"/>
      <c r="BV331" s="636"/>
      <c r="BW331" s="636" t="s">
        <v>4236</v>
      </c>
      <c r="BX331" s="636"/>
      <c r="BY331" s="972"/>
    </row>
    <row r="332" spans="1:77">
      <c r="A332" t="s">
        <v>105</v>
      </c>
      <c r="B332" s="675" t="s">
        <v>112</v>
      </c>
      <c r="C332" s="687" t="s">
        <v>126</v>
      </c>
      <c r="D332" s="675">
        <v>0</v>
      </c>
      <c r="E332" s="675" t="s">
        <v>2305</v>
      </c>
      <c r="F332" s="675">
        <v>3</v>
      </c>
      <c r="G332" s="675" t="s">
        <v>2238</v>
      </c>
      <c r="H332" s="675">
        <v>111</v>
      </c>
      <c r="I332" s="676" t="s">
        <v>3790</v>
      </c>
      <c r="J332" s="677">
        <v>3.4</v>
      </c>
      <c r="K332" s="683">
        <v>210</v>
      </c>
      <c r="L332" s="677">
        <v>0</v>
      </c>
      <c r="M332" s="677">
        <v>0</v>
      </c>
      <c r="N332" s="677">
        <v>0</v>
      </c>
      <c r="O332" s="677">
        <v>0</v>
      </c>
      <c r="P332" s="677">
        <v>0</v>
      </c>
      <c r="Q332" s="677">
        <v>0</v>
      </c>
      <c r="R332" s="677">
        <v>0</v>
      </c>
      <c r="S332" s="677">
        <v>0</v>
      </c>
      <c r="T332" s="677">
        <v>0</v>
      </c>
      <c r="U332" s="677">
        <v>0</v>
      </c>
      <c r="V332" s="677">
        <v>0</v>
      </c>
      <c r="W332" s="677">
        <v>22</v>
      </c>
      <c r="X332" s="678"/>
      <c r="Y332" s="682"/>
      <c r="Z332" s="680"/>
      <c r="AA332" s="681">
        <v>180.11500000000001</v>
      </c>
      <c r="AB332" s="681">
        <v>29.978000000000002</v>
      </c>
      <c r="AC332" s="417">
        <v>4</v>
      </c>
      <c r="AD332" s="417"/>
      <c r="AE332" s="682" t="s">
        <v>4253</v>
      </c>
      <c r="AF332">
        <v>1</v>
      </c>
      <c r="AG332" s="745">
        <v>43101</v>
      </c>
      <c r="AH332" s="417"/>
      <c r="AI332" s="417"/>
      <c r="AJ332" s="746">
        <v>43252</v>
      </c>
      <c r="AK332" s="417"/>
      <c r="AL332" s="637" t="s">
        <v>3458</v>
      </c>
      <c r="AM332" s="417"/>
      <c r="AN332" s="417"/>
      <c r="AO332" s="636"/>
      <c r="AP332">
        <v>556655</v>
      </c>
      <c r="AQ332" s="747">
        <v>43171</v>
      </c>
      <c r="AR332" s="417"/>
      <c r="AS332" s="417"/>
      <c r="AT332" s="417"/>
      <c r="AU332" s="417"/>
      <c r="AV332" s="417"/>
      <c r="AW332" s="417"/>
      <c r="AX332" s="417"/>
      <c r="AY332" s="183" t="s">
        <v>4245</v>
      </c>
      <c r="AZ332" s="417"/>
      <c r="BA332" s="417"/>
      <c r="BB332" t="s">
        <v>4238</v>
      </c>
      <c r="BC332" s="636"/>
      <c r="BD332" s="417"/>
      <c r="BE332" s="612">
        <v>0</v>
      </c>
      <c r="BF332" s="613">
        <v>0</v>
      </c>
      <c r="BG332" s="614" t="s">
        <v>78</v>
      </c>
      <c r="BH332" s="682"/>
      <c r="BI332" s="417"/>
      <c r="BJ332" s="417">
        <v>21</v>
      </c>
      <c r="BK332" s="682" t="str">
        <f>Техкарта[[#This Row],[Кв-л]]&amp;" кв ("&amp;Substring(Техкарта[[#This Row],[Виділ]],"_",1)&amp;" вид) "&amp;Substring(Техкарта[[#This Row],[Виділ]],"_",2)&amp;" діл."</f>
        <v>111 кв (2 вид) 0 діл.</v>
      </c>
      <c r="BL332" s="682" t="str">
        <f>Техкарта[[#This Row],[ПолнаяДіл]] &amp;" "&amp;Техкарта[[#This Row],[ЛК]]&amp;" "&amp;Техкарта[[#This Row],[Вид рубки]]</f>
        <v>111 кв (2 вид) 0 діл. 556655 СРВ</v>
      </c>
      <c r="BM332" s="682"/>
      <c r="BN332" s="636" t="s">
        <v>3784</v>
      </c>
      <c r="BO332" s="636" t="s">
        <v>3784</v>
      </c>
      <c r="BP332" s="636" t="s">
        <v>3784</v>
      </c>
      <c r="BQ332" s="636" t="s">
        <v>105</v>
      </c>
      <c r="BR332" s="636"/>
      <c r="BS332" s="636"/>
      <c r="BT332" s="636"/>
      <c r="BU332" s="636"/>
      <c r="BV332" s="636"/>
      <c r="BW332" s="636" t="s">
        <v>4236</v>
      </c>
      <c r="BX332" s="636"/>
      <c r="BY332" s="972"/>
    </row>
    <row r="333" spans="1:77">
      <c r="A333" t="s">
        <v>105</v>
      </c>
      <c r="B333" s="675" t="s">
        <v>112</v>
      </c>
      <c r="C333" s="687" t="s">
        <v>126</v>
      </c>
      <c r="D333" s="675">
        <v>0</v>
      </c>
      <c r="E333" s="675" t="s">
        <v>2305</v>
      </c>
      <c r="F333" s="675">
        <v>3</v>
      </c>
      <c r="G333" s="675" t="s">
        <v>2238</v>
      </c>
      <c r="H333" s="675">
        <v>63</v>
      </c>
      <c r="I333" s="676" t="s">
        <v>3831</v>
      </c>
      <c r="J333" s="677">
        <v>3.9</v>
      </c>
      <c r="K333" s="683">
        <v>136</v>
      </c>
      <c r="L333" s="677">
        <v>0</v>
      </c>
      <c r="M333" s="677">
        <v>0</v>
      </c>
      <c r="N333" s="677">
        <v>22</v>
      </c>
      <c r="O333" s="677">
        <v>0</v>
      </c>
      <c r="P333" s="677">
        <v>0</v>
      </c>
      <c r="Q333" s="677">
        <v>0</v>
      </c>
      <c r="R333" s="677">
        <v>0</v>
      </c>
      <c r="S333" s="677">
        <v>0</v>
      </c>
      <c r="T333" s="677">
        <v>0</v>
      </c>
      <c r="U333" s="677">
        <v>0</v>
      </c>
      <c r="V333" s="677">
        <v>0</v>
      </c>
      <c r="W333" s="677">
        <v>81</v>
      </c>
      <c r="X333" s="678"/>
      <c r="Y333" s="682"/>
      <c r="Z333" s="680"/>
      <c r="AA333" s="681">
        <v>66.290000000000006</v>
      </c>
      <c r="AB333" s="681">
        <v>29.978000000000002</v>
      </c>
      <c r="AC333" s="417">
        <v>5</v>
      </c>
      <c r="AD333" s="417"/>
      <c r="AE333" s="682" t="s">
        <v>4254</v>
      </c>
      <c r="AF333">
        <v>1</v>
      </c>
      <c r="AG333" s="745">
        <v>43101</v>
      </c>
      <c r="AH333" s="417"/>
      <c r="AI333" s="417"/>
      <c r="AJ333" s="746">
        <v>43252</v>
      </c>
      <c r="AK333" s="417"/>
      <c r="AL333" s="637" t="s">
        <v>3440</v>
      </c>
      <c r="AM333" s="417"/>
      <c r="AN333" s="417"/>
      <c r="AO333" s="636"/>
      <c r="AP333">
        <v>556655</v>
      </c>
      <c r="AQ333" s="747">
        <v>43171</v>
      </c>
      <c r="AR333" s="417"/>
      <c r="AS333" s="417"/>
      <c r="AT333" s="417"/>
      <c r="AU333" s="417"/>
      <c r="AV333" s="417"/>
      <c r="AW333" s="417"/>
      <c r="AX333" s="417"/>
      <c r="AY333" s="183" t="s">
        <v>4245</v>
      </c>
      <c r="AZ333" s="417"/>
      <c r="BA333" s="417"/>
      <c r="BB333" t="s">
        <v>4238</v>
      </c>
      <c r="BC333" s="636"/>
      <c r="BD333" s="417"/>
      <c r="BE333" s="612">
        <v>0</v>
      </c>
      <c r="BF333" s="613">
        <v>0</v>
      </c>
      <c r="BG333" s="614" t="s">
        <v>78</v>
      </c>
      <c r="BH333" s="682"/>
      <c r="BI333" s="417"/>
      <c r="BJ333" s="417">
        <v>20</v>
      </c>
      <c r="BK33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33" s="682" t="str">
        <f>Техкарта[[#This Row],[ПолнаяДіл]] &amp;" "&amp;Техкарта[[#This Row],[ЛК]]&amp;" "&amp;Техкарта[[#This Row],[Вид рубки]]</f>
        <v>63 кв (4 вид) 0 діл. 556655 СРВ</v>
      </c>
      <c r="BM333" s="682"/>
      <c r="BN333" s="636" t="s">
        <v>3784</v>
      </c>
      <c r="BO333" s="636" t="s">
        <v>3784</v>
      </c>
      <c r="BP333" s="636" t="s">
        <v>3784</v>
      </c>
      <c r="BQ333" s="636" t="s">
        <v>105</v>
      </c>
      <c r="BR333" s="636"/>
      <c r="BS333" s="636"/>
      <c r="BT333" s="636"/>
      <c r="BU333" s="636"/>
      <c r="BV333" s="636"/>
      <c r="BW333" s="636" t="s">
        <v>4236</v>
      </c>
      <c r="BX333" s="636"/>
      <c r="BY333" s="972"/>
    </row>
    <row r="334" spans="1:77">
      <c r="A334" t="s">
        <v>104</v>
      </c>
      <c r="B334" s="675" t="s">
        <v>112</v>
      </c>
      <c r="C334" s="687" t="s">
        <v>104</v>
      </c>
      <c r="D334" s="675">
        <v>0</v>
      </c>
      <c r="E334" s="675" t="s">
        <v>2305</v>
      </c>
      <c r="F334" s="675">
        <v>2</v>
      </c>
      <c r="G334" s="675" t="s">
        <v>2238</v>
      </c>
      <c r="H334" s="675">
        <v>3</v>
      </c>
      <c r="I334" s="676" t="s">
        <v>4032</v>
      </c>
      <c r="J334" s="677">
        <v>4</v>
      </c>
      <c r="K334" s="683">
        <v>2376</v>
      </c>
      <c r="L334" s="677">
        <v>0</v>
      </c>
      <c r="M334" s="677">
        <v>0</v>
      </c>
      <c r="N334" s="677">
        <v>535</v>
      </c>
      <c r="O334" s="677">
        <v>0</v>
      </c>
      <c r="P334" s="677">
        <v>0</v>
      </c>
      <c r="Q334" s="677">
        <v>26</v>
      </c>
      <c r="R334" s="677">
        <v>52</v>
      </c>
      <c r="S334" s="677">
        <v>4</v>
      </c>
      <c r="T334" s="677">
        <v>452</v>
      </c>
      <c r="U334" s="677">
        <v>18</v>
      </c>
      <c r="V334" s="677">
        <v>3</v>
      </c>
      <c r="W334" s="677">
        <v>308</v>
      </c>
      <c r="X334" s="678"/>
      <c r="Y334" s="682"/>
      <c r="Z334" s="680"/>
      <c r="AA334" s="681">
        <v>72.058999999999997</v>
      </c>
      <c r="AB334" s="681">
        <v>31.853000000000002</v>
      </c>
      <c r="AC334" s="417">
        <v>99</v>
      </c>
      <c r="AD334" s="417"/>
      <c r="AE334" s="682" t="s">
        <v>4255</v>
      </c>
      <c r="AF334">
        <v>1</v>
      </c>
      <c r="AG334" s="745">
        <v>43101</v>
      </c>
      <c r="AH334" s="417"/>
      <c r="AI334" s="417"/>
      <c r="AJ334" s="746">
        <v>43252</v>
      </c>
      <c r="AK334" s="417"/>
      <c r="AL334" s="637" t="s">
        <v>3473</v>
      </c>
      <c r="AM334" s="417"/>
      <c r="AN334" s="417"/>
      <c r="AO334" s="636"/>
      <c r="AP334">
        <v>556617</v>
      </c>
      <c r="AQ334" s="747">
        <v>43077</v>
      </c>
      <c r="AR334" s="417"/>
      <c r="AS334" s="417"/>
      <c r="AT334" s="417"/>
      <c r="AU334" s="417"/>
      <c r="AV334" s="417"/>
      <c r="AW334" s="417"/>
      <c r="AX334" s="417"/>
      <c r="AY334" s="183" t="s">
        <v>4245</v>
      </c>
      <c r="AZ334" s="417"/>
      <c r="BA334" s="417"/>
      <c r="BB334" t="s">
        <v>4238</v>
      </c>
      <c r="BC334" s="636"/>
      <c r="BD334" s="417"/>
      <c r="BE334" s="612">
        <v>5</v>
      </c>
      <c r="BF334" s="613">
        <v>20</v>
      </c>
      <c r="BG334" s="614" t="s">
        <v>78</v>
      </c>
      <c r="BH334" s="682"/>
      <c r="BI334" s="417"/>
      <c r="BJ334" s="417">
        <v>25</v>
      </c>
      <c r="BK334" s="682" t="str">
        <f>Техкарта[[#This Row],[Кв-л]]&amp;" кв ("&amp;Substring(Техкарта[[#This Row],[Виділ]],"_",1)&amp;" вид) "&amp;Substring(Техкарта[[#This Row],[Виділ]],"_",2)&amp;" діл."</f>
        <v>3 кв (3 вид) 1 діл.</v>
      </c>
      <c r="BL334" s="682" t="str">
        <f>Техкарта[[#This Row],[ПолнаяДіл]] &amp;" "&amp;Техкарта[[#This Row],[ЛК]]&amp;" "&amp;Техкарта[[#This Row],[Вид рубки]]</f>
        <v>3 кв (3 вид) 1 діл. 556617 РГК</v>
      </c>
      <c r="BM334" s="682"/>
      <c r="BN334" s="636" t="s">
        <v>3784</v>
      </c>
      <c r="BO334" s="636" t="s">
        <v>3784</v>
      </c>
      <c r="BP334" s="636" t="s">
        <v>3784</v>
      </c>
      <c r="BQ334" s="636" t="s">
        <v>104</v>
      </c>
      <c r="BR334" s="636"/>
      <c r="BS334" s="636"/>
      <c r="BT334" s="636"/>
      <c r="BU334" s="636"/>
      <c r="BV334" s="636"/>
      <c r="BW334" s="636" t="s">
        <v>4236</v>
      </c>
      <c r="BX334" s="636"/>
      <c r="BY334" s="972"/>
    </row>
    <row r="335" spans="1:77">
      <c r="A335" t="s">
        <v>104</v>
      </c>
      <c r="B335" s="675" t="s">
        <v>112</v>
      </c>
      <c r="C335" s="687" t="s">
        <v>104</v>
      </c>
      <c r="D335" s="675">
        <v>0</v>
      </c>
      <c r="E335" s="675" t="s">
        <v>2305</v>
      </c>
      <c r="F335" s="675">
        <v>2</v>
      </c>
      <c r="G335" s="675" t="s">
        <v>2238</v>
      </c>
      <c r="H335" s="675">
        <v>24</v>
      </c>
      <c r="I335" s="676" t="s">
        <v>3829</v>
      </c>
      <c r="J335" s="677">
        <v>2.9</v>
      </c>
      <c r="K335" s="683">
        <v>1351</v>
      </c>
      <c r="L335" s="677">
        <v>0</v>
      </c>
      <c r="M335" s="677">
        <v>0</v>
      </c>
      <c r="N335" s="677">
        <v>426</v>
      </c>
      <c r="O335" s="677">
        <v>0</v>
      </c>
      <c r="P335" s="677">
        <v>0</v>
      </c>
      <c r="Q335" s="677">
        <v>10</v>
      </c>
      <c r="R335" s="677">
        <v>28</v>
      </c>
      <c r="S335" s="677">
        <v>5</v>
      </c>
      <c r="T335" s="677">
        <v>280</v>
      </c>
      <c r="U335" s="677">
        <v>9</v>
      </c>
      <c r="V335" s="677">
        <v>4</v>
      </c>
      <c r="W335" s="677">
        <v>197</v>
      </c>
      <c r="X335" s="678"/>
      <c r="Y335" s="682"/>
      <c r="Z335" s="680"/>
      <c r="AA335" s="681">
        <v>73.221999999999994</v>
      </c>
      <c r="AB335" s="681">
        <v>34.326000000000001</v>
      </c>
      <c r="AC335" s="417">
        <v>0</v>
      </c>
      <c r="AD335" s="417"/>
      <c r="AE335" s="682" t="s">
        <v>4256</v>
      </c>
      <c r="AF335">
        <v>1</v>
      </c>
      <c r="AG335" s="745">
        <v>43101</v>
      </c>
      <c r="AH335" s="417"/>
      <c r="AI335" s="417"/>
      <c r="AJ335" s="746">
        <v>43252</v>
      </c>
      <c r="AK335" s="417"/>
      <c r="AL335" s="637" t="s">
        <v>3473</v>
      </c>
      <c r="AM335" s="417"/>
      <c r="AN335" s="417"/>
      <c r="AO335" s="636"/>
      <c r="AP335">
        <v>556617</v>
      </c>
      <c r="AQ335" s="747">
        <v>43077</v>
      </c>
      <c r="AR335" s="417"/>
      <c r="AS335" s="417"/>
      <c r="AT335" s="417"/>
      <c r="AU335" s="417"/>
      <c r="AV335" s="417"/>
      <c r="AW335" s="417"/>
      <c r="AX335" s="417"/>
      <c r="AY335" s="183" t="s">
        <v>4245</v>
      </c>
      <c r="AZ335" s="417"/>
      <c r="BA335" s="417"/>
      <c r="BB335" t="s">
        <v>4238</v>
      </c>
      <c r="BC335" s="636"/>
      <c r="BD335" s="417"/>
      <c r="BE335" s="612">
        <v>5</v>
      </c>
      <c r="BF335" s="613">
        <v>40</v>
      </c>
      <c r="BG335" s="614" t="s">
        <v>78</v>
      </c>
      <c r="BH335" s="682"/>
      <c r="BI335" s="417"/>
      <c r="BJ335" s="417">
        <v>24</v>
      </c>
      <c r="BK335" s="682" t="str">
        <f>Техкарта[[#This Row],[Кв-л]]&amp;" кв ("&amp;Substring(Техкарта[[#This Row],[Виділ]],"_",1)&amp;" вид) "&amp;Substring(Техкарта[[#This Row],[Виділ]],"_",2)&amp;" діл."</f>
        <v>24 кв (3 вид) 0 діл.</v>
      </c>
      <c r="BL335" s="682" t="str">
        <f>Техкарта[[#This Row],[ПолнаяДіл]] &amp;" "&amp;Техкарта[[#This Row],[ЛК]]&amp;" "&amp;Техкарта[[#This Row],[Вид рубки]]</f>
        <v>24 кв (3 вид) 0 діл. 556617 РГК</v>
      </c>
      <c r="BM335" s="682"/>
      <c r="BN335" s="636" t="s">
        <v>3784</v>
      </c>
      <c r="BO335" s="636" t="s">
        <v>3784</v>
      </c>
      <c r="BP335" s="636" t="s">
        <v>3784</v>
      </c>
      <c r="BQ335" s="636" t="s">
        <v>104</v>
      </c>
      <c r="BR335" s="636"/>
      <c r="BS335" s="636"/>
      <c r="BT335" s="636"/>
      <c r="BU335" s="636"/>
      <c r="BV335" s="636"/>
      <c r="BW335" s="636" t="s">
        <v>4236</v>
      </c>
      <c r="BX335" s="636"/>
      <c r="BY335" s="972"/>
    </row>
    <row r="336" spans="1:77">
      <c r="A336" t="s">
        <v>104</v>
      </c>
      <c r="B336" s="675" t="s">
        <v>112</v>
      </c>
      <c r="C336" s="687" t="s">
        <v>104</v>
      </c>
      <c r="D336" s="675">
        <v>0</v>
      </c>
      <c r="E336" s="675" t="s">
        <v>2316</v>
      </c>
      <c r="F336" s="675">
        <v>2</v>
      </c>
      <c r="G336" s="675" t="s">
        <v>2238</v>
      </c>
      <c r="H336" s="675">
        <v>54</v>
      </c>
      <c r="I336" s="676" t="s">
        <v>3795</v>
      </c>
      <c r="J336" s="677">
        <v>4.3</v>
      </c>
      <c r="K336" s="683">
        <v>2002</v>
      </c>
      <c r="L336" s="677">
        <v>0</v>
      </c>
      <c r="M336" s="677">
        <v>0</v>
      </c>
      <c r="N336" s="677">
        <v>678</v>
      </c>
      <c r="O336" s="677">
        <v>0</v>
      </c>
      <c r="P336" s="677">
        <v>0</v>
      </c>
      <c r="Q336" s="677">
        <v>55</v>
      </c>
      <c r="R336" s="677">
        <v>49</v>
      </c>
      <c r="S336" s="677">
        <v>2</v>
      </c>
      <c r="T336" s="677">
        <v>520</v>
      </c>
      <c r="U336" s="677">
        <v>17</v>
      </c>
      <c r="V336" s="677">
        <v>2</v>
      </c>
      <c r="W336" s="677">
        <v>351</v>
      </c>
      <c r="X336" s="678"/>
      <c r="Y336" s="682"/>
      <c r="Z336" s="680"/>
      <c r="AA336" s="681">
        <v>68.924999999999997</v>
      </c>
      <c r="AB336" s="681">
        <v>29.978000000000002</v>
      </c>
      <c r="AC336" s="417">
        <v>104</v>
      </c>
      <c r="AD336" s="417"/>
      <c r="AE336" s="682" t="s">
        <v>4257</v>
      </c>
      <c r="AF336">
        <v>1</v>
      </c>
      <c r="AG336" s="745">
        <v>43101</v>
      </c>
      <c r="AH336" s="417"/>
      <c r="AI336" s="417"/>
      <c r="AJ336" s="746">
        <v>43252</v>
      </c>
      <c r="AK336" s="417"/>
      <c r="AL336" s="637" t="s">
        <v>3473</v>
      </c>
      <c r="AM336" s="417"/>
      <c r="AN336" s="417"/>
      <c r="AO336" s="636"/>
      <c r="AP336">
        <v>556617</v>
      </c>
      <c r="AQ336" s="747" t="s">
        <v>3723</v>
      </c>
      <c r="AR336" s="417"/>
      <c r="AS336" s="417"/>
      <c r="AT336" s="417"/>
      <c r="AU336" s="417"/>
      <c r="AV336" s="417"/>
      <c r="AW336" s="417"/>
      <c r="AX336" s="417"/>
      <c r="AY336" s="183" t="s">
        <v>4245</v>
      </c>
      <c r="AZ336" s="417"/>
      <c r="BA336" s="417"/>
      <c r="BB336" t="s">
        <v>4238</v>
      </c>
      <c r="BC336" s="636"/>
      <c r="BD336" s="417"/>
      <c r="BE336" s="612">
        <v>5</v>
      </c>
      <c r="BF336" s="613">
        <v>40</v>
      </c>
      <c r="BG336" s="614" t="s">
        <v>78</v>
      </c>
      <c r="BH336" s="682"/>
      <c r="BI336" s="417"/>
      <c r="BJ336" s="417">
        <v>1</v>
      </c>
      <c r="BK336" s="682" t="str">
        <f>Техкарта[[#This Row],[Кв-л]]&amp;" кв ("&amp;Substring(Техкарта[[#This Row],[Виділ]],"_",1)&amp;" вид) "&amp;Substring(Техкарта[[#This Row],[Виділ]],"_",2)&amp;" діл."</f>
        <v>54 кв (9 вид) 0 діл.</v>
      </c>
      <c r="BL336" s="682" t="str">
        <f>Техкарта[[#This Row],[ПолнаяДіл]] &amp;" "&amp;Техкарта[[#This Row],[ЛК]]&amp;" "&amp;Техкарта[[#This Row],[Вид рубки]]</f>
        <v>54 кв (9 вид) 0 діл. 556617 РГК</v>
      </c>
      <c r="BM336" s="682"/>
      <c r="BN336" s="636" t="s">
        <v>3784</v>
      </c>
      <c r="BO336" s="636" t="s">
        <v>3784</v>
      </c>
      <c r="BP336" s="636" t="s">
        <v>3784</v>
      </c>
      <c r="BQ336" s="636" t="s">
        <v>104</v>
      </c>
      <c r="BR336" s="636"/>
      <c r="BS336" s="636"/>
      <c r="BT336" s="636"/>
      <c r="BU336" s="636"/>
      <c r="BV336" s="636"/>
      <c r="BW336" s="636" t="s">
        <v>4236</v>
      </c>
      <c r="BX336" s="636"/>
      <c r="BY336" s="972"/>
    </row>
    <row r="337" spans="1:77">
      <c r="A337" t="s">
        <v>105</v>
      </c>
      <c r="B337" s="675" t="s">
        <v>112</v>
      </c>
      <c r="C337" s="687" t="s">
        <v>124</v>
      </c>
      <c r="D337" s="675">
        <v>0</v>
      </c>
      <c r="E337" s="675" t="s">
        <v>2316</v>
      </c>
      <c r="F337" s="675">
        <v>3</v>
      </c>
      <c r="G337" s="675" t="s">
        <v>79</v>
      </c>
      <c r="H337" s="675">
        <v>36</v>
      </c>
      <c r="I337" s="676" t="s">
        <v>3792</v>
      </c>
      <c r="J337" s="677">
        <v>5.9</v>
      </c>
      <c r="K337" s="683">
        <v>434</v>
      </c>
      <c r="L337" s="677"/>
      <c r="M337" s="677"/>
      <c r="N337" s="677"/>
      <c r="O337" s="677"/>
      <c r="P337" s="677"/>
      <c r="Q337" s="677"/>
      <c r="R337" s="677"/>
      <c r="S337" s="677"/>
      <c r="T337" s="677">
        <v>28</v>
      </c>
      <c r="U337" s="677"/>
      <c r="V337" s="677"/>
      <c r="W337" s="677">
        <v>0</v>
      </c>
      <c r="X337" s="678"/>
      <c r="Y337" s="682"/>
      <c r="Z337" s="680"/>
      <c r="AA337" s="681">
        <v>232.625</v>
      </c>
      <c r="AB337" s="681"/>
      <c r="AC337" s="417">
        <v>75</v>
      </c>
      <c r="AD337" s="417"/>
      <c r="AE337" s="682" t="s">
        <v>4258</v>
      </c>
      <c r="AF337">
        <v>1</v>
      </c>
      <c r="AG337" s="745">
        <v>43101</v>
      </c>
      <c r="AH337" s="417"/>
      <c r="AI337" s="417"/>
      <c r="AJ337" s="746">
        <v>43252</v>
      </c>
      <c r="AK337" s="417"/>
      <c r="AL337" s="637" t="s">
        <v>3452</v>
      </c>
      <c r="AM337" s="417"/>
      <c r="AN337" s="417"/>
      <c r="AO337" s="636"/>
      <c r="AP337">
        <v>556634</v>
      </c>
      <c r="AQ337" s="747">
        <v>43102</v>
      </c>
      <c r="AR337" s="417"/>
      <c r="AS337" s="417"/>
      <c r="AT337" s="417"/>
      <c r="AU337" s="417"/>
      <c r="AV337" s="417"/>
      <c r="AW337" s="417"/>
      <c r="AX337" s="417"/>
      <c r="AY337" s="183" t="s">
        <v>4245</v>
      </c>
      <c r="AZ337" s="417"/>
      <c r="BA337" s="417"/>
      <c r="BB337" t="s">
        <v>4238</v>
      </c>
      <c r="BC337" s="636"/>
      <c r="BD337" s="417"/>
      <c r="BE337" s="612"/>
      <c r="BF337" s="613"/>
      <c r="BG337" s="614"/>
      <c r="BH337" s="682"/>
      <c r="BI337" s="417"/>
      <c r="BJ337" s="417">
        <v>7</v>
      </c>
      <c r="BK337" s="682" t="str">
        <f>Техкарта[[#This Row],[Кв-л]]&amp;" кв ("&amp;Substring(Техкарта[[#This Row],[Виділ]],"_",1)&amp;" вид) "&amp;Substring(Техкарта[[#This Row],[Виділ]],"_",2)&amp;" діл."</f>
        <v>36 кв (13 вид) 0 діл.</v>
      </c>
      <c r="BL337" s="682" t="str">
        <f>Техкарта[[#This Row],[ПолнаяДіл]] &amp;" "&amp;Техкарта[[#This Row],[ЛК]]&amp;" "&amp;Техкарта[[#This Row],[Вид рубки]]</f>
        <v>36 кв (13 вид) 0 діл. 556634 ПРЖ</v>
      </c>
      <c r="BM337" s="682"/>
      <c r="BN337" s="636"/>
      <c r="BO337" s="636"/>
      <c r="BP337" s="636"/>
      <c r="BQ337" s="636" t="s">
        <v>105</v>
      </c>
      <c r="BR337" s="636"/>
      <c r="BS337" s="636"/>
      <c r="BT337" s="636"/>
      <c r="BU337" s="636"/>
      <c r="BV337" s="636"/>
      <c r="BW337" s="636" t="s">
        <v>4236</v>
      </c>
      <c r="BX337" s="636"/>
      <c r="BY337" s="972"/>
    </row>
    <row r="338" spans="1:77">
      <c r="A338" t="s">
        <v>105</v>
      </c>
      <c r="B338" s="675" t="s">
        <v>116</v>
      </c>
      <c r="C338" s="687" t="s">
        <v>140</v>
      </c>
      <c r="D338" s="675">
        <v>0</v>
      </c>
      <c r="E338" s="675" t="s">
        <v>2305</v>
      </c>
      <c r="F338" s="675">
        <v>3</v>
      </c>
      <c r="G338" s="675" t="s">
        <v>2238</v>
      </c>
      <c r="H338" s="675">
        <v>4</v>
      </c>
      <c r="I338" s="676" t="s">
        <v>4163</v>
      </c>
      <c r="J338" s="677">
        <v>1.8</v>
      </c>
      <c r="K338" s="683">
        <v>389</v>
      </c>
      <c r="L338" s="677">
        <v>0</v>
      </c>
      <c r="M338" s="677">
        <v>0</v>
      </c>
      <c r="N338" s="677">
        <v>0</v>
      </c>
      <c r="O338" s="677">
        <v>0</v>
      </c>
      <c r="P338" s="677">
        <v>0</v>
      </c>
      <c r="Q338" s="677">
        <v>0</v>
      </c>
      <c r="R338" s="677">
        <v>0</v>
      </c>
      <c r="S338" s="677">
        <v>0</v>
      </c>
      <c r="T338" s="677">
        <v>0</v>
      </c>
      <c r="U338" s="677">
        <v>2</v>
      </c>
      <c r="V338" s="677">
        <v>0</v>
      </c>
      <c r="W338" s="677">
        <v>31</v>
      </c>
      <c r="X338" s="678"/>
      <c r="Y338" s="682"/>
      <c r="Z338" s="680"/>
      <c r="AA338" s="681">
        <v>181.25399999999999</v>
      </c>
      <c r="AB338" s="681">
        <v>29.978000000000002</v>
      </c>
      <c r="AC338" s="417">
        <v>0</v>
      </c>
      <c r="AD338" s="417"/>
      <c r="AE338" s="682" t="s">
        <v>4263</v>
      </c>
      <c r="AF338">
        <v>1</v>
      </c>
      <c r="AG338" s="745">
        <v>43101</v>
      </c>
      <c r="AH338" s="417"/>
      <c r="AI338" s="417"/>
      <c r="AJ338" s="746">
        <v>43252</v>
      </c>
      <c r="AK338" s="417"/>
      <c r="AL338" s="637" t="s">
        <v>3455</v>
      </c>
      <c r="AM338" s="417"/>
      <c r="AN338" s="417"/>
      <c r="AO338" s="636"/>
      <c r="AP338">
        <v>556626</v>
      </c>
      <c r="AQ338" s="747">
        <v>43102</v>
      </c>
      <c r="AR338" s="417"/>
      <c r="AS338" s="417"/>
      <c r="AT338" s="417"/>
      <c r="AU338" s="417"/>
      <c r="AV338" s="417"/>
      <c r="AW338" s="417"/>
      <c r="AX338" s="417"/>
      <c r="AY338" s="183" t="s">
        <v>4245</v>
      </c>
      <c r="AZ338" s="417"/>
      <c r="BA338" s="417"/>
      <c r="BB338" t="s">
        <v>4238</v>
      </c>
      <c r="BC338" s="636"/>
      <c r="BD338" s="417"/>
      <c r="BE338" s="612">
        <v>0</v>
      </c>
      <c r="BF338" s="613">
        <v>0</v>
      </c>
      <c r="BG338" s="614" t="s">
        <v>78</v>
      </c>
      <c r="BH338" s="682"/>
      <c r="BI338" s="417"/>
      <c r="BJ338" s="417">
        <v>7</v>
      </c>
      <c r="BK338" s="682" t="str">
        <f>Техкарта[[#This Row],[Кв-л]]&amp;" кв ("&amp;Substring(Техкарта[[#This Row],[Виділ]],"_",1)&amp;" вид) "&amp;Substring(Техкарта[[#This Row],[Виділ]],"_",2)&amp;" діл."</f>
        <v>4 кв (3 вид) 2 діл.</v>
      </c>
      <c r="BL338" s="682" t="str">
        <f>Техкарта[[#This Row],[ПолнаяДіл]] &amp;" "&amp;Техкарта[[#This Row],[ЛК]]&amp;" "&amp;Техкарта[[#This Row],[Вид рубки]]</f>
        <v>4 кв (3 вид) 2 діл. 556626 ПРХ</v>
      </c>
      <c r="BM338" s="682"/>
      <c r="BN338" s="636" t="s">
        <v>3784</v>
      </c>
      <c r="BO338" s="636" t="s">
        <v>3784</v>
      </c>
      <c r="BP338" s="636" t="s">
        <v>3784</v>
      </c>
      <c r="BQ338" s="636" t="s">
        <v>105</v>
      </c>
      <c r="BR338" s="636"/>
      <c r="BS338" s="636"/>
      <c r="BT338" s="636"/>
      <c r="BU338" s="636"/>
      <c r="BV338" s="636"/>
      <c r="BW338" s="636" t="s">
        <v>4236</v>
      </c>
      <c r="BX338" s="636"/>
      <c r="BY338" s="972"/>
    </row>
    <row r="339" spans="1:77">
      <c r="A339" t="s">
        <v>105</v>
      </c>
      <c r="B339" s="675" t="s">
        <v>116</v>
      </c>
      <c r="C339" s="687" t="s">
        <v>140</v>
      </c>
      <c r="D339" s="675">
        <v>0</v>
      </c>
      <c r="E339" s="675" t="s">
        <v>2305</v>
      </c>
      <c r="F339" s="675">
        <v>3</v>
      </c>
      <c r="G339" s="675" t="s">
        <v>2238</v>
      </c>
      <c r="H339" s="675">
        <v>33</v>
      </c>
      <c r="I339" s="676" t="s">
        <v>3832</v>
      </c>
      <c r="J339" s="677">
        <v>6.2</v>
      </c>
      <c r="K339" s="683">
        <v>1049</v>
      </c>
      <c r="L339" s="677">
        <v>0</v>
      </c>
      <c r="M339" s="677">
        <v>1</v>
      </c>
      <c r="N339" s="677">
        <v>5</v>
      </c>
      <c r="O339" s="677">
        <v>0</v>
      </c>
      <c r="P339" s="677">
        <v>0</v>
      </c>
      <c r="Q339" s="677">
        <v>0</v>
      </c>
      <c r="R339" s="677">
        <v>0</v>
      </c>
      <c r="S339" s="677">
        <v>0</v>
      </c>
      <c r="T339" s="677">
        <v>0</v>
      </c>
      <c r="U339" s="677">
        <v>0</v>
      </c>
      <c r="V339" s="677">
        <v>13</v>
      </c>
      <c r="W339" s="677">
        <v>168</v>
      </c>
      <c r="X339" s="678"/>
      <c r="Y339" s="682"/>
      <c r="Z339" s="680"/>
      <c r="AA339" s="681">
        <v>106.01600000000001</v>
      </c>
      <c r="AB339" s="681">
        <v>29.978000000000002</v>
      </c>
      <c r="AC339" s="417">
        <v>18</v>
      </c>
      <c r="AD339" s="417"/>
      <c r="AE339" s="682" t="s">
        <v>4260</v>
      </c>
      <c r="AF339">
        <v>1</v>
      </c>
      <c r="AG339" s="745">
        <v>43101</v>
      </c>
      <c r="AH339" s="417"/>
      <c r="AI339" s="417"/>
      <c r="AJ339" s="746">
        <v>43252</v>
      </c>
      <c r="AK339" s="417"/>
      <c r="AL339" s="637" t="s">
        <v>3437</v>
      </c>
      <c r="AM339" s="417"/>
      <c r="AN339" s="417"/>
      <c r="AO339" s="636"/>
      <c r="AP339">
        <v>556626</v>
      </c>
      <c r="AQ339" s="747">
        <v>43102</v>
      </c>
      <c r="AR339" s="417"/>
      <c r="AS339" s="417"/>
      <c r="AT339" s="417"/>
      <c r="AU339" s="417"/>
      <c r="AV339" s="417"/>
      <c r="AW339" s="417"/>
      <c r="AX339" s="417"/>
      <c r="AY339" s="183" t="s">
        <v>4245</v>
      </c>
      <c r="AZ339" s="417"/>
      <c r="BA339" s="417"/>
      <c r="BB339" t="s">
        <v>4238</v>
      </c>
      <c r="BC339" s="636"/>
      <c r="BD339" s="417"/>
      <c r="BE339" s="612">
        <v>0</v>
      </c>
      <c r="BF339" s="613">
        <v>0</v>
      </c>
      <c r="BG339" s="614" t="s">
        <v>78</v>
      </c>
      <c r="BH339" s="682"/>
      <c r="BI339" s="417"/>
      <c r="BJ339" s="417">
        <v>8</v>
      </c>
      <c r="BK339" s="682" t="str">
        <f>Техкарта[[#This Row],[Кв-л]]&amp;" кв ("&amp;Substring(Техкарта[[#This Row],[Виділ]],"_",1)&amp;" вид) "&amp;Substring(Техкарта[[#This Row],[Виділ]],"_",2)&amp;" діл."</f>
        <v>33 кв (5 вид) 0 діл.</v>
      </c>
      <c r="BL339" s="682" t="str">
        <f>Техкарта[[#This Row],[ПолнаяДіл]] &amp;" "&amp;Техкарта[[#This Row],[ЛК]]&amp;" "&amp;Техкарта[[#This Row],[Вид рубки]]</f>
        <v>33 кв (5 вид) 0 діл. 556626 ПРХ</v>
      </c>
      <c r="BM339" s="682"/>
      <c r="BN339" s="636" t="s">
        <v>3784</v>
      </c>
      <c r="BO339" s="636" t="s">
        <v>3784</v>
      </c>
      <c r="BP339" s="636" t="s">
        <v>3784</v>
      </c>
      <c r="BQ339" s="636" t="s">
        <v>105</v>
      </c>
      <c r="BR339" s="636"/>
      <c r="BS339" s="636"/>
      <c r="BT339" s="636"/>
      <c r="BU339" s="636"/>
      <c r="BV339" s="636"/>
      <c r="BW339" s="636" t="s">
        <v>4236</v>
      </c>
      <c r="BX339" s="636"/>
      <c r="BY339" s="972"/>
    </row>
    <row r="340" spans="1:77">
      <c r="A340" t="s">
        <v>105</v>
      </c>
      <c r="B340" s="675" t="s">
        <v>116</v>
      </c>
      <c r="C340" s="687" t="s">
        <v>140</v>
      </c>
      <c r="D340" s="675">
        <v>0</v>
      </c>
      <c r="E340" s="675" t="s">
        <v>2305</v>
      </c>
      <c r="F340" s="675">
        <v>3</v>
      </c>
      <c r="G340" s="675" t="s">
        <v>2238</v>
      </c>
      <c r="H340" s="675">
        <v>53</v>
      </c>
      <c r="I340" s="676" t="s">
        <v>3792</v>
      </c>
      <c r="J340" s="677">
        <v>4.9000000000000004</v>
      </c>
      <c r="K340" s="683">
        <v>461</v>
      </c>
      <c r="L340" s="677">
        <v>0</v>
      </c>
      <c r="M340" s="677">
        <v>11</v>
      </c>
      <c r="N340" s="677">
        <v>0</v>
      </c>
      <c r="O340" s="677">
        <v>0</v>
      </c>
      <c r="P340" s="677">
        <v>0</v>
      </c>
      <c r="Q340" s="677">
        <v>0</v>
      </c>
      <c r="R340" s="677">
        <v>0</v>
      </c>
      <c r="S340" s="677">
        <v>0</v>
      </c>
      <c r="T340" s="677">
        <v>0</v>
      </c>
      <c r="U340" s="677">
        <v>1</v>
      </c>
      <c r="V340" s="677">
        <v>56</v>
      </c>
      <c r="W340" s="677">
        <v>6</v>
      </c>
      <c r="X340" s="678"/>
      <c r="Y340" s="682"/>
      <c r="Z340" s="680"/>
      <c r="AA340" s="681">
        <v>104.047</v>
      </c>
      <c r="AB340" s="681">
        <v>29.978000000000002</v>
      </c>
      <c r="AC340" s="417">
        <v>12</v>
      </c>
      <c r="AD340" s="417"/>
      <c r="AE340" s="682" t="s">
        <v>4259</v>
      </c>
      <c r="AF340">
        <v>1</v>
      </c>
      <c r="AG340" s="745">
        <v>43101</v>
      </c>
      <c r="AH340" s="417"/>
      <c r="AI340" s="417"/>
      <c r="AJ340" s="746">
        <v>43252</v>
      </c>
      <c r="AK340" s="417"/>
      <c r="AL340" s="637" t="s">
        <v>3470</v>
      </c>
      <c r="AM340" s="417"/>
      <c r="AN340" s="417"/>
      <c r="AO340" s="636"/>
      <c r="AP340">
        <v>556626</v>
      </c>
      <c r="AQ340" s="747">
        <v>43102</v>
      </c>
      <c r="AR340" s="417"/>
      <c r="AS340" s="417"/>
      <c r="AT340" s="417"/>
      <c r="AU340" s="417"/>
      <c r="AV340" s="417"/>
      <c r="AW340" s="417"/>
      <c r="AX340" s="417"/>
      <c r="AY340" s="183" t="s">
        <v>4245</v>
      </c>
      <c r="AZ340" s="417"/>
      <c r="BA340" s="417"/>
      <c r="BB340" t="s">
        <v>4238</v>
      </c>
      <c r="BC340" s="636"/>
      <c r="BD340" s="417"/>
      <c r="BE340" s="612">
        <v>0</v>
      </c>
      <c r="BF340" s="613">
        <v>0</v>
      </c>
      <c r="BG340" s="614" t="s">
        <v>78</v>
      </c>
      <c r="BH340" s="682"/>
      <c r="BI340" s="417"/>
      <c r="BJ340" s="417">
        <v>10</v>
      </c>
      <c r="BK340" s="682" t="str">
        <f>Техкарта[[#This Row],[Кв-л]]&amp;" кв ("&amp;Substring(Техкарта[[#This Row],[Виділ]],"_",1)&amp;" вид) "&amp;Substring(Техкарта[[#This Row],[Виділ]],"_",2)&amp;" діл."</f>
        <v>53 кв (13 вид) 0 діл.</v>
      </c>
      <c r="BL340" s="682" t="str">
        <f>Техкарта[[#This Row],[ПолнаяДіл]] &amp;" "&amp;Техкарта[[#This Row],[ЛК]]&amp;" "&amp;Техкарта[[#This Row],[Вид рубки]]</f>
        <v>53 кв (13 вид) 0 діл. 556626 ПРХ</v>
      </c>
      <c r="BM340" s="682"/>
      <c r="BN340" s="636" t="s">
        <v>3784</v>
      </c>
      <c r="BO340" s="636" t="s">
        <v>3784</v>
      </c>
      <c r="BP340" s="636" t="s">
        <v>3784</v>
      </c>
      <c r="BQ340" s="636" t="s">
        <v>105</v>
      </c>
      <c r="BR340" s="636"/>
      <c r="BS340" s="636"/>
      <c r="BT340" s="636"/>
      <c r="BU340" s="636"/>
      <c r="BV340" s="636"/>
      <c r="BW340" s="636" t="s">
        <v>4236</v>
      </c>
      <c r="BX340" s="636"/>
      <c r="BY340" s="972"/>
    </row>
    <row r="341" spans="1:77">
      <c r="A341" t="s">
        <v>105</v>
      </c>
      <c r="B341" s="675" t="s">
        <v>116</v>
      </c>
      <c r="C341" s="687" t="s">
        <v>124</v>
      </c>
      <c r="D341" s="675">
        <v>0</v>
      </c>
      <c r="E341" s="675" t="s">
        <v>2316</v>
      </c>
      <c r="F341" s="675">
        <v>3</v>
      </c>
      <c r="G341" s="675" t="s">
        <v>2238</v>
      </c>
      <c r="H341" s="675">
        <v>22</v>
      </c>
      <c r="I341" s="676" t="s">
        <v>3851</v>
      </c>
      <c r="J341" s="677">
        <v>11.5</v>
      </c>
      <c r="K341" s="683">
        <v>3220</v>
      </c>
      <c r="L341" s="677">
        <v>0</v>
      </c>
      <c r="M341" s="677">
        <v>1</v>
      </c>
      <c r="N341" s="677">
        <v>2</v>
      </c>
      <c r="O341" s="677">
        <v>0</v>
      </c>
      <c r="P341" s="677">
        <v>0</v>
      </c>
      <c r="Q341" s="677">
        <v>0</v>
      </c>
      <c r="R341" s="677">
        <v>52</v>
      </c>
      <c r="S341" s="677">
        <v>123</v>
      </c>
      <c r="T341" s="677">
        <v>207</v>
      </c>
      <c r="U341" s="677">
        <v>0</v>
      </c>
      <c r="V341" s="677">
        <v>0</v>
      </c>
      <c r="W341" s="677">
        <v>0</v>
      </c>
      <c r="X341" s="678"/>
      <c r="Y341" s="682"/>
      <c r="Z341" s="680"/>
      <c r="AA341" s="681">
        <v>130.989</v>
      </c>
      <c r="AB341" s="681">
        <v>29.978000000000002</v>
      </c>
      <c r="AC341" s="417">
        <v>5</v>
      </c>
      <c r="AD341" s="417"/>
      <c r="AE341" s="682" t="s">
        <v>4261</v>
      </c>
      <c r="AF341">
        <v>1</v>
      </c>
      <c r="AG341" s="745">
        <v>43101</v>
      </c>
      <c r="AH341" s="417"/>
      <c r="AI341" s="417"/>
      <c r="AJ341" s="746">
        <v>43252</v>
      </c>
      <c r="AK341" s="417"/>
      <c r="AL341" s="637" t="s">
        <v>3449</v>
      </c>
      <c r="AM341" s="417"/>
      <c r="AN341" s="417"/>
      <c r="AO341" s="636"/>
      <c r="AP341">
        <v>556625</v>
      </c>
      <c r="AQ341" s="747">
        <v>43102</v>
      </c>
      <c r="AR341" s="417"/>
      <c r="AS341" s="417"/>
      <c r="AT341" s="417"/>
      <c r="AU341" s="417"/>
      <c r="AV341" s="417"/>
      <c r="AW341" s="417"/>
      <c r="AX341" s="417"/>
      <c r="AY341" s="183" t="s">
        <v>4245</v>
      </c>
      <c r="AZ341" s="417"/>
      <c r="BA341" s="417"/>
      <c r="BB341" t="s">
        <v>4238</v>
      </c>
      <c r="BC341" s="636"/>
      <c r="BD341" s="417"/>
      <c r="BE341" s="612">
        <v>0</v>
      </c>
      <c r="BF341" s="613">
        <v>0</v>
      </c>
      <c r="BG341" s="614" t="s">
        <v>78</v>
      </c>
      <c r="BH341" s="682"/>
      <c r="BI341" s="417"/>
      <c r="BJ341" s="417">
        <v>2</v>
      </c>
      <c r="BK341" s="682" t="str">
        <f>Техкарта[[#This Row],[Кв-л]]&amp;" кв ("&amp;Substring(Техкарта[[#This Row],[Виділ]],"_",1)&amp;" вид) "&amp;Substring(Техкарта[[#This Row],[Виділ]],"_",2)&amp;" діл."</f>
        <v>22 кв (12 вид) 0 діл.</v>
      </c>
      <c r="BL341" s="682" t="str">
        <f>Техкарта[[#This Row],[ПолнаяДіл]] &amp;" "&amp;Техкарта[[#This Row],[ЛК]]&amp;" "&amp;Техкарта[[#This Row],[Вид рубки]]</f>
        <v>22 кв (12 вид) 0 діл. 556625 ПРЖ</v>
      </c>
      <c r="BM341" s="682"/>
      <c r="BN341" s="636" t="s">
        <v>3784</v>
      </c>
      <c r="BO341" s="636" t="s">
        <v>3784</v>
      </c>
      <c r="BP341" s="636" t="s">
        <v>3784</v>
      </c>
      <c r="BQ341" s="636" t="s">
        <v>105</v>
      </c>
      <c r="BR341" s="636"/>
      <c r="BS341" s="636"/>
      <c r="BT341" s="636"/>
      <c r="BU341" s="636"/>
      <c r="BV341" s="636"/>
      <c r="BW341" s="636" t="s">
        <v>4236</v>
      </c>
      <c r="BX341" s="636"/>
      <c r="BY341" s="972"/>
    </row>
    <row r="342" spans="1:77">
      <c r="A342" t="s">
        <v>105</v>
      </c>
      <c r="B342" s="675" t="s">
        <v>116</v>
      </c>
      <c r="C342" s="687" t="s">
        <v>124</v>
      </c>
      <c r="D342" s="675">
        <v>0</v>
      </c>
      <c r="E342" s="675" t="s">
        <v>2305</v>
      </c>
      <c r="F342" s="675">
        <v>3</v>
      </c>
      <c r="G342" s="675" t="s">
        <v>2238</v>
      </c>
      <c r="H342" s="675">
        <v>120</v>
      </c>
      <c r="I342" s="676" t="s">
        <v>3851</v>
      </c>
      <c r="J342" s="677">
        <v>3.6</v>
      </c>
      <c r="K342" s="683">
        <v>1196</v>
      </c>
      <c r="L342" s="677">
        <v>0</v>
      </c>
      <c r="M342" s="677">
        <v>0</v>
      </c>
      <c r="N342" s="677">
        <v>0</v>
      </c>
      <c r="O342" s="677">
        <v>0</v>
      </c>
      <c r="P342" s="677">
        <v>0</v>
      </c>
      <c r="Q342" s="677">
        <v>0</v>
      </c>
      <c r="R342" s="677">
        <v>0</v>
      </c>
      <c r="S342" s="677">
        <v>0</v>
      </c>
      <c r="T342" s="677">
        <v>0</v>
      </c>
      <c r="U342" s="677">
        <v>25</v>
      </c>
      <c r="V342" s="677">
        <v>7</v>
      </c>
      <c r="W342" s="677">
        <v>38</v>
      </c>
      <c r="X342" s="678"/>
      <c r="Y342" s="682"/>
      <c r="Z342" s="680"/>
      <c r="AA342" s="681">
        <v>227.57900000000001</v>
      </c>
      <c r="AB342" s="681">
        <v>29.978000000000002</v>
      </c>
      <c r="AC342" s="417">
        <v>0</v>
      </c>
      <c r="AD342" s="417"/>
      <c r="AE342" s="682" t="s">
        <v>4262</v>
      </c>
      <c r="AF342">
        <v>1</v>
      </c>
      <c r="AG342" s="745">
        <v>43101</v>
      </c>
      <c r="AH342" s="417"/>
      <c r="AI342" s="417"/>
      <c r="AJ342" s="746">
        <v>43252</v>
      </c>
      <c r="AK342" s="417"/>
      <c r="AL342" s="637" t="s">
        <v>3455</v>
      </c>
      <c r="AM342" s="417"/>
      <c r="AN342" s="417"/>
      <c r="AO342" s="636"/>
      <c r="AP342">
        <v>556625</v>
      </c>
      <c r="AQ342" s="747">
        <v>43102</v>
      </c>
      <c r="AR342" s="417"/>
      <c r="AS342" s="417"/>
      <c r="AT342" s="417"/>
      <c r="AU342" s="417"/>
      <c r="AV342" s="417"/>
      <c r="AW342" s="417"/>
      <c r="AX342" s="417"/>
      <c r="AY342" s="183" t="s">
        <v>4245</v>
      </c>
      <c r="AZ342" s="417"/>
      <c r="BA342" s="417"/>
      <c r="BB342" t="s">
        <v>4238</v>
      </c>
      <c r="BC342" s="636"/>
      <c r="BD342" s="417"/>
      <c r="BE342" s="612">
        <v>0</v>
      </c>
      <c r="BF342" s="613">
        <v>0</v>
      </c>
      <c r="BG342" s="614" t="s">
        <v>78</v>
      </c>
      <c r="BH342" s="682"/>
      <c r="BI342" s="417"/>
      <c r="BJ342" s="417">
        <v>5</v>
      </c>
      <c r="BK342" s="682" t="str">
        <f>Техкарта[[#This Row],[Кв-л]]&amp;" кв ("&amp;Substring(Техкарта[[#This Row],[Виділ]],"_",1)&amp;" вид) "&amp;Substring(Техкарта[[#This Row],[Виділ]],"_",2)&amp;" діл."</f>
        <v>120 кв (12 вид) 0 діл.</v>
      </c>
      <c r="BL342" s="682" t="str">
        <f>Техкарта[[#This Row],[ПолнаяДіл]] &amp;" "&amp;Техкарта[[#This Row],[ЛК]]&amp;" "&amp;Техкарта[[#This Row],[Вид рубки]]</f>
        <v>120 кв (12 вид) 0 діл. 556625 ПРЖ</v>
      </c>
      <c r="BM342" s="682"/>
      <c r="BN342" s="636" t="s">
        <v>3784</v>
      </c>
      <c r="BO342" s="636" t="s">
        <v>3784</v>
      </c>
      <c r="BP342" s="636" t="s">
        <v>3784</v>
      </c>
      <c r="BQ342" s="636" t="s">
        <v>105</v>
      </c>
      <c r="BR342" s="636"/>
      <c r="BS342" s="636"/>
      <c r="BT342" s="636"/>
      <c r="BU342" s="636"/>
      <c r="BV342" s="636"/>
      <c r="BW342" s="636" t="s">
        <v>4236</v>
      </c>
      <c r="BX342" s="636"/>
      <c r="BY342" s="972"/>
    </row>
    <row r="343" spans="1:77">
      <c r="A343" t="s">
        <v>105</v>
      </c>
      <c r="B343" s="675" t="s">
        <v>116</v>
      </c>
      <c r="C343" s="687" t="s">
        <v>140</v>
      </c>
      <c r="D343" s="675">
        <v>0</v>
      </c>
      <c r="E343" s="675" t="s">
        <v>2305</v>
      </c>
      <c r="F343" s="675">
        <v>3</v>
      </c>
      <c r="G343" s="675" t="s">
        <v>2238</v>
      </c>
      <c r="H343" s="675">
        <v>63</v>
      </c>
      <c r="I343" s="676" t="s">
        <v>3831</v>
      </c>
      <c r="J343" s="677">
        <v>3.1</v>
      </c>
      <c r="K343" s="683">
        <v>435</v>
      </c>
      <c r="L343" s="677">
        <v>0</v>
      </c>
      <c r="M343" s="677">
        <v>2</v>
      </c>
      <c r="N343" s="677">
        <v>0</v>
      </c>
      <c r="O343" s="677">
        <v>0</v>
      </c>
      <c r="P343" s="677">
        <v>0</v>
      </c>
      <c r="Q343" s="677">
        <v>0</v>
      </c>
      <c r="R343" s="677">
        <v>0</v>
      </c>
      <c r="S343" s="677">
        <v>0</v>
      </c>
      <c r="T343" s="677">
        <v>0</v>
      </c>
      <c r="U343" s="677">
        <v>3</v>
      </c>
      <c r="V343" s="677">
        <v>6</v>
      </c>
      <c r="W343" s="677">
        <v>48</v>
      </c>
      <c r="X343" s="678"/>
      <c r="Y343" s="682"/>
      <c r="Z343" s="680"/>
      <c r="AA343" s="681">
        <v>127.443</v>
      </c>
      <c r="AB343" s="681">
        <v>29.978000000000002</v>
      </c>
      <c r="AC343" s="417">
        <v>6</v>
      </c>
      <c r="AD343" s="417"/>
      <c r="AE343" s="682" t="s">
        <v>4264</v>
      </c>
      <c r="AF343">
        <v>1</v>
      </c>
      <c r="AG343" s="745">
        <v>43101</v>
      </c>
      <c r="AH343" s="417"/>
      <c r="AI343" s="417"/>
      <c r="AJ343" s="746">
        <v>43252</v>
      </c>
      <c r="AK343" s="417"/>
      <c r="AL343" s="637" t="s">
        <v>3475</v>
      </c>
      <c r="AM343" s="417"/>
      <c r="AN343" s="417"/>
      <c r="AO343" s="636"/>
      <c r="AP343">
        <v>556626</v>
      </c>
      <c r="AQ343" s="747">
        <v>43102</v>
      </c>
      <c r="AR343" s="417"/>
      <c r="AS343" s="417"/>
      <c r="AT343" s="417"/>
      <c r="AU343" s="417"/>
      <c r="AV343" s="417"/>
      <c r="AW343" s="417"/>
      <c r="AX343" s="417"/>
      <c r="AY343" s="183" t="s">
        <v>4245</v>
      </c>
      <c r="AZ343" s="417"/>
      <c r="BA343" s="417"/>
      <c r="BB343" t="s">
        <v>4238</v>
      </c>
      <c r="BC343" s="636"/>
      <c r="BD343" s="417"/>
      <c r="BE343" s="612">
        <v>0</v>
      </c>
      <c r="BF343" s="613">
        <v>0</v>
      </c>
      <c r="BG343" s="614" t="s">
        <v>78</v>
      </c>
      <c r="BH343" s="682"/>
      <c r="BI343" s="417"/>
      <c r="BJ343" s="417">
        <v>11</v>
      </c>
      <c r="BK343" s="682" t="str">
        <f>Техкарта[[#This Row],[Кв-л]]&amp;" кв ("&amp;Substring(Техкарта[[#This Row],[Виділ]],"_",1)&amp;" вид) "&amp;Substring(Техкарта[[#This Row],[Виділ]],"_",2)&amp;" діл."</f>
        <v>63 кв (4 вид) 0 діл.</v>
      </c>
      <c r="BL343" s="682" t="str">
        <f>Техкарта[[#This Row],[ПолнаяДіл]] &amp;" "&amp;Техкарта[[#This Row],[ЛК]]&amp;" "&amp;Техкарта[[#This Row],[Вид рубки]]</f>
        <v>63 кв (4 вид) 0 діл. 556626 ПРХ</v>
      </c>
      <c r="BM343" s="682"/>
      <c r="BN343" s="636" t="s">
        <v>3784</v>
      </c>
      <c r="BO343" s="636" t="s">
        <v>3784</v>
      </c>
      <c r="BP343" s="636" t="s">
        <v>3784</v>
      </c>
      <c r="BQ343" s="636" t="s">
        <v>105</v>
      </c>
      <c r="BR343" s="636"/>
      <c r="BS343" s="636"/>
      <c r="BT343" s="636"/>
      <c r="BU343" s="636"/>
      <c r="BV343" s="636"/>
      <c r="BW343" s="636" t="s">
        <v>4236</v>
      </c>
      <c r="BX343" s="636"/>
      <c r="BY343" s="972"/>
    </row>
    <row r="344" spans="1:77">
      <c r="A344" t="s">
        <v>105</v>
      </c>
      <c r="B344" s="675" t="s">
        <v>116</v>
      </c>
      <c r="C344" s="687" t="s">
        <v>140</v>
      </c>
      <c r="D344" s="675">
        <v>0</v>
      </c>
      <c r="E344" s="675" t="s">
        <v>2305</v>
      </c>
      <c r="F344" s="675">
        <v>3</v>
      </c>
      <c r="G344" s="675" t="s">
        <v>2238</v>
      </c>
      <c r="H344" s="675">
        <v>96</v>
      </c>
      <c r="I344" s="676" t="s">
        <v>3830</v>
      </c>
      <c r="J344" s="677">
        <v>3.7</v>
      </c>
      <c r="K344" s="683">
        <v>495</v>
      </c>
      <c r="L344" s="677">
        <v>0</v>
      </c>
      <c r="M344" s="677">
        <v>0</v>
      </c>
      <c r="N344" s="677">
        <v>4</v>
      </c>
      <c r="O344" s="677">
        <v>0</v>
      </c>
      <c r="P344" s="677">
        <v>0</v>
      </c>
      <c r="Q344" s="677">
        <v>0</v>
      </c>
      <c r="R344" s="677">
        <v>0</v>
      </c>
      <c r="S344" s="677">
        <v>0</v>
      </c>
      <c r="T344" s="677">
        <v>0</v>
      </c>
      <c r="U344" s="677">
        <v>14</v>
      </c>
      <c r="V344" s="677">
        <v>13</v>
      </c>
      <c r="W344" s="677">
        <v>57</v>
      </c>
      <c r="X344" s="678"/>
      <c r="Y344" s="682"/>
      <c r="Z344" s="680"/>
      <c r="AA344" s="681">
        <v>106.38500000000001</v>
      </c>
      <c r="AB344" s="681">
        <v>29.978000000000002</v>
      </c>
      <c r="AC344" s="417">
        <v>9</v>
      </c>
      <c r="AD344" s="417"/>
      <c r="AE344" s="682" t="s">
        <v>4265</v>
      </c>
      <c r="AF344">
        <v>1</v>
      </c>
      <c r="AG344" s="745">
        <v>43101</v>
      </c>
      <c r="AH344" s="417"/>
      <c r="AI344" s="417"/>
      <c r="AJ344" s="746">
        <v>43252</v>
      </c>
      <c r="AK344" s="417"/>
      <c r="AL344" s="637" t="s">
        <v>3475</v>
      </c>
      <c r="AM344" s="417"/>
      <c r="AN344" s="417"/>
      <c r="AO344" s="636"/>
      <c r="AP344">
        <v>556626</v>
      </c>
      <c r="AQ344" s="747">
        <v>43102</v>
      </c>
      <c r="AR344" s="417"/>
      <c r="AS344" s="417"/>
      <c r="AT344" s="417"/>
      <c r="AU344" s="417"/>
      <c r="AV344" s="417"/>
      <c r="AW344" s="417"/>
      <c r="AX344" s="417"/>
      <c r="AY344" s="183" t="s">
        <v>4245</v>
      </c>
      <c r="AZ344" s="417"/>
      <c r="BA344" s="417"/>
      <c r="BB344" t="s">
        <v>4238</v>
      </c>
      <c r="BC344" s="636"/>
      <c r="BD344" s="417"/>
      <c r="BE344" s="612">
        <v>0</v>
      </c>
      <c r="BF344" s="613">
        <v>0</v>
      </c>
      <c r="BG344" s="614" t="s">
        <v>78</v>
      </c>
      <c r="BH344" s="682"/>
      <c r="BI344" s="417"/>
      <c r="BJ344" s="417">
        <v>13</v>
      </c>
      <c r="BK344" s="682" t="str">
        <f>Техкарта[[#This Row],[Кв-л]]&amp;" кв ("&amp;Substring(Техкарта[[#This Row],[Виділ]],"_",1)&amp;" вид) "&amp;Substring(Техкарта[[#This Row],[Виділ]],"_",2)&amp;" діл."</f>
        <v>96 кв (1 вид) 0 діл.</v>
      </c>
      <c r="BL344" s="682" t="str">
        <f>Техкарта[[#This Row],[ПолнаяДіл]] &amp;" "&amp;Техкарта[[#This Row],[ЛК]]&amp;" "&amp;Техкарта[[#This Row],[Вид рубки]]</f>
        <v>96 кв (1 вид) 0 діл. 556626 ПРХ</v>
      </c>
      <c r="BM344" s="682"/>
      <c r="BN344" s="636" t="s">
        <v>3784</v>
      </c>
      <c r="BO344" s="636" t="s">
        <v>3784</v>
      </c>
      <c r="BP344" s="636" t="s">
        <v>3784</v>
      </c>
      <c r="BQ344" s="636" t="s">
        <v>105</v>
      </c>
      <c r="BR344" s="636"/>
      <c r="BS344" s="636"/>
      <c r="BT344" s="636"/>
      <c r="BU344" s="636"/>
      <c r="BV344" s="636"/>
      <c r="BW344" s="636" t="s">
        <v>4236</v>
      </c>
      <c r="BX344" s="636"/>
      <c r="BY344" s="972"/>
    </row>
    <row r="345" spans="1:77">
      <c r="A345" t="s">
        <v>105</v>
      </c>
      <c r="B345" s="675" t="s">
        <v>116</v>
      </c>
      <c r="C345" s="687" t="s">
        <v>140</v>
      </c>
      <c r="D345" s="675">
        <v>0</v>
      </c>
      <c r="E345" s="675" t="s">
        <v>2305</v>
      </c>
      <c r="F345" s="675">
        <v>3</v>
      </c>
      <c r="G345" s="675" t="s">
        <v>2238</v>
      </c>
      <c r="H345" s="675">
        <v>102</v>
      </c>
      <c r="I345" s="676" t="s">
        <v>3790</v>
      </c>
      <c r="J345" s="677">
        <v>5.9</v>
      </c>
      <c r="K345" s="683">
        <v>996</v>
      </c>
      <c r="L345" s="677">
        <v>0</v>
      </c>
      <c r="M345" s="677">
        <v>0</v>
      </c>
      <c r="N345" s="677">
        <v>5</v>
      </c>
      <c r="O345" s="677">
        <v>0</v>
      </c>
      <c r="P345" s="677">
        <v>0</v>
      </c>
      <c r="Q345" s="677">
        <v>0</v>
      </c>
      <c r="R345" s="677">
        <v>0</v>
      </c>
      <c r="S345" s="677">
        <v>0</v>
      </c>
      <c r="T345" s="677">
        <v>0</v>
      </c>
      <c r="U345" s="677">
        <v>4</v>
      </c>
      <c r="V345" s="677">
        <v>12</v>
      </c>
      <c r="W345" s="677">
        <v>162</v>
      </c>
      <c r="X345" s="678"/>
      <c r="Y345" s="682"/>
      <c r="Z345" s="680"/>
      <c r="AA345" s="681">
        <v>106.52200000000001</v>
      </c>
      <c r="AB345" s="681">
        <v>29.978000000000002</v>
      </c>
      <c r="AC345" s="417">
        <v>18</v>
      </c>
      <c r="AD345" s="417"/>
      <c r="AE345" s="682" t="s">
        <v>4266</v>
      </c>
      <c r="AF345">
        <v>1</v>
      </c>
      <c r="AG345" s="745">
        <v>43101</v>
      </c>
      <c r="AH345" s="417"/>
      <c r="AI345" s="417"/>
      <c r="AJ345" s="746">
        <v>43252</v>
      </c>
      <c r="AK345" s="417"/>
      <c r="AL345" s="637" t="s">
        <v>3479</v>
      </c>
      <c r="AM345" s="417"/>
      <c r="AN345" s="417"/>
      <c r="AO345" s="636"/>
      <c r="AP345">
        <v>556626</v>
      </c>
      <c r="AQ345" s="747">
        <v>43102</v>
      </c>
      <c r="AR345" s="417"/>
      <c r="AS345" s="417"/>
      <c r="AT345" s="417"/>
      <c r="AU345" s="417"/>
      <c r="AV345" s="417"/>
      <c r="AW345" s="417"/>
      <c r="AX345" s="417"/>
      <c r="AY345" s="183" t="s">
        <v>4245</v>
      </c>
      <c r="AZ345" s="417"/>
      <c r="BA345" s="417"/>
      <c r="BB345" t="s">
        <v>4238</v>
      </c>
      <c r="BC345" s="636"/>
      <c r="BD345" s="417"/>
      <c r="BE345" s="612">
        <v>0</v>
      </c>
      <c r="BF345" s="613">
        <v>0</v>
      </c>
      <c r="BG345" s="614" t="s">
        <v>78</v>
      </c>
      <c r="BH345" s="682"/>
      <c r="BI345" s="417"/>
      <c r="BJ345" s="417">
        <v>14</v>
      </c>
      <c r="BK345" s="682" t="str">
        <f>Техкарта[[#This Row],[Кв-л]]&amp;" кв ("&amp;Substring(Техкарта[[#This Row],[Виділ]],"_",1)&amp;" вид) "&amp;Substring(Техкарта[[#This Row],[Виділ]],"_",2)&amp;" діл."</f>
        <v>102 кв (2 вид) 0 діл.</v>
      </c>
      <c r="BL345" s="682" t="str">
        <f>Техкарта[[#This Row],[ПолнаяДіл]] &amp;" "&amp;Техкарта[[#This Row],[ЛК]]&amp;" "&amp;Техкарта[[#This Row],[Вид рубки]]</f>
        <v>102 кв (2 вид) 0 діл. 556626 ПРХ</v>
      </c>
      <c r="BM345" s="682"/>
      <c r="BN345" s="636" t="s">
        <v>3784</v>
      </c>
      <c r="BO345" s="636" t="s">
        <v>3784</v>
      </c>
      <c r="BP345" s="636" t="s">
        <v>3784</v>
      </c>
      <c r="BQ345" s="636" t="s">
        <v>105</v>
      </c>
      <c r="BR345" s="636"/>
      <c r="BS345" s="636"/>
      <c r="BT345" s="636"/>
      <c r="BU345" s="636"/>
      <c r="BV345" s="636"/>
      <c r="BW345" s="636" t="s">
        <v>4236</v>
      </c>
      <c r="BX345" s="636"/>
      <c r="BY345" s="972"/>
    </row>
    <row r="346" spans="1:77">
      <c r="A346" t="s">
        <v>105</v>
      </c>
      <c r="B346" s="675" t="s">
        <v>116</v>
      </c>
      <c r="C346" s="687" t="s">
        <v>126</v>
      </c>
      <c r="D346" s="675">
        <v>0</v>
      </c>
      <c r="E346" s="675" t="s">
        <v>2311</v>
      </c>
      <c r="F346" s="675">
        <v>3</v>
      </c>
      <c r="G346" s="675" t="s">
        <v>79</v>
      </c>
      <c r="H346" s="675">
        <v>58</v>
      </c>
      <c r="I346" s="676" t="s">
        <v>3794</v>
      </c>
      <c r="J346" s="677">
        <v>1.8</v>
      </c>
      <c r="K346" s="683">
        <v>138</v>
      </c>
      <c r="L346" s="677"/>
      <c r="M346" s="677">
        <v>26</v>
      </c>
      <c r="N346" s="677">
        <v>0</v>
      </c>
      <c r="O346" s="677"/>
      <c r="P346" s="677"/>
      <c r="Q346" s="677"/>
      <c r="R346" s="677"/>
      <c r="S346" s="677">
        <v>0</v>
      </c>
      <c r="T346" s="677">
        <v>0</v>
      </c>
      <c r="U346" s="677"/>
      <c r="V346" s="677">
        <v>42</v>
      </c>
      <c r="W346" s="677">
        <v>0</v>
      </c>
      <c r="X346" s="678"/>
      <c r="Y346" s="682"/>
      <c r="Z346" s="680"/>
      <c r="AA346" s="681">
        <v>59.682000000000002</v>
      </c>
      <c r="AB346" s="681"/>
      <c r="AC346" s="417">
        <v>7</v>
      </c>
      <c r="AD346" s="417"/>
      <c r="AE346" s="682" t="s">
        <v>4267</v>
      </c>
      <c r="AF346">
        <v>1</v>
      </c>
      <c r="AG346" s="745">
        <v>43101</v>
      </c>
      <c r="AH346" s="417"/>
      <c r="AI346" s="417"/>
      <c r="AJ346" s="746">
        <v>43252</v>
      </c>
      <c r="AK346" s="417"/>
      <c r="AL346" s="637" t="s">
        <v>3475</v>
      </c>
      <c r="AM346" s="417"/>
      <c r="AN346" s="417"/>
      <c r="AO346" s="636"/>
      <c r="AP346">
        <v>556647</v>
      </c>
      <c r="AQ346" s="747">
        <v>43124</v>
      </c>
      <c r="AR346" s="417"/>
      <c r="AS346" s="417"/>
      <c r="AT346" s="417"/>
      <c r="AU346" s="417"/>
      <c r="AV346" s="417"/>
      <c r="AW346" s="417"/>
      <c r="AX346" s="417"/>
      <c r="AY346" s="183" t="s">
        <v>4245</v>
      </c>
      <c r="AZ346" s="417"/>
      <c r="BA346" s="417"/>
      <c r="BB346" t="s">
        <v>4238</v>
      </c>
      <c r="BC346" s="636"/>
      <c r="BD346" s="417"/>
      <c r="BE346" s="612"/>
      <c r="BF346" s="613"/>
      <c r="BG346" s="614"/>
      <c r="BH346" s="682"/>
      <c r="BI346" s="417"/>
      <c r="BJ346" s="417">
        <v>16</v>
      </c>
      <c r="BK346" s="682" t="str">
        <f>Техкарта[[#This Row],[Кв-л]]&amp;" кв ("&amp;Substring(Техкарта[[#This Row],[Виділ]],"_",1)&amp;" вид) "&amp;Substring(Техкарта[[#This Row],[Виділ]],"_",2)&amp;" діл."</f>
        <v>58 кв (11 вид) 0 діл.</v>
      </c>
      <c r="BL346" s="682" t="str">
        <f>Техкарта[[#This Row],[ПолнаяДіл]] &amp;" "&amp;Техкарта[[#This Row],[ЛК]]&amp;" "&amp;Техкарта[[#This Row],[Вид рубки]]</f>
        <v>58 кв (11 вид) 0 діл. 556647 СРВ</v>
      </c>
      <c r="BM346" s="682"/>
      <c r="BN346" s="636"/>
      <c r="BO346" s="636"/>
      <c r="BP346" s="636"/>
      <c r="BQ346" s="636" t="s">
        <v>105</v>
      </c>
      <c r="BR346" s="636"/>
      <c r="BS346" s="636"/>
      <c r="BT346" s="636"/>
      <c r="BU346" s="636"/>
      <c r="BV346" s="636"/>
      <c r="BW346" s="636" t="s">
        <v>4236</v>
      </c>
      <c r="BX346" s="636"/>
      <c r="BY346" s="972"/>
    </row>
    <row r="347" spans="1:77">
      <c r="A347" t="s">
        <v>104</v>
      </c>
      <c r="B347" s="675" t="s">
        <v>116</v>
      </c>
      <c r="C347" s="687" t="s">
        <v>104</v>
      </c>
      <c r="D347" s="675">
        <v>0</v>
      </c>
      <c r="E347" s="675" t="s">
        <v>2305</v>
      </c>
      <c r="F347" s="675">
        <v>3</v>
      </c>
      <c r="G347" s="675" t="s">
        <v>2238</v>
      </c>
      <c r="H347" s="675">
        <v>85</v>
      </c>
      <c r="I347" s="676" t="s">
        <v>3798</v>
      </c>
      <c r="J347" s="677">
        <v>3</v>
      </c>
      <c r="K347" s="683">
        <v>1386</v>
      </c>
      <c r="L347" s="677">
        <v>0</v>
      </c>
      <c r="M347" s="677">
        <v>298</v>
      </c>
      <c r="N347" s="677">
        <v>12</v>
      </c>
      <c r="O347" s="677">
        <v>0</v>
      </c>
      <c r="P347" s="677">
        <v>0</v>
      </c>
      <c r="Q347" s="677">
        <v>0</v>
      </c>
      <c r="R347" s="677">
        <v>0</v>
      </c>
      <c r="S347" s="677">
        <v>94</v>
      </c>
      <c r="T347" s="677">
        <v>130</v>
      </c>
      <c r="U347" s="677">
        <v>0</v>
      </c>
      <c r="V347" s="677">
        <v>65</v>
      </c>
      <c r="W347" s="677">
        <v>94</v>
      </c>
      <c r="X347" s="678"/>
      <c r="Y347" s="682"/>
      <c r="Z347" s="680"/>
      <c r="AA347" s="681">
        <v>85.484999999999999</v>
      </c>
      <c r="AB347" s="681">
        <v>42.780999999999999</v>
      </c>
      <c r="AC347" s="417">
        <v>67</v>
      </c>
      <c r="AD347" s="417"/>
      <c r="AE347" s="682" t="s">
        <v>4268</v>
      </c>
      <c r="AF347">
        <v>1</v>
      </c>
      <c r="AG347" s="745">
        <v>43101</v>
      </c>
      <c r="AH347" s="417"/>
      <c r="AI347" s="417"/>
      <c r="AJ347" s="746">
        <v>43252</v>
      </c>
      <c r="AK347" s="417"/>
      <c r="AL347" s="637" t="s">
        <v>3477</v>
      </c>
      <c r="AM347" s="417"/>
      <c r="AN347" s="417"/>
      <c r="AO347" s="636"/>
      <c r="AP347">
        <v>556618</v>
      </c>
      <c r="AQ347" s="747" t="s">
        <v>3723</v>
      </c>
      <c r="AR347" s="417"/>
      <c r="AS347" s="417"/>
      <c r="AT347" s="417"/>
      <c r="AU347" s="417"/>
      <c r="AV347" s="417"/>
      <c r="AW347" s="417"/>
      <c r="AX347" s="417"/>
      <c r="AY347" s="183" t="s">
        <v>4245</v>
      </c>
      <c r="AZ347" s="417"/>
      <c r="BA347" s="417"/>
      <c r="BB347" t="s">
        <v>4238</v>
      </c>
      <c r="BC347" s="636"/>
      <c r="BD347" s="417"/>
      <c r="BE347" s="612">
        <v>5</v>
      </c>
      <c r="BF347" s="613">
        <v>40</v>
      </c>
      <c r="BG347" s="614" t="s">
        <v>78</v>
      </c>
      <c r="BH347" s="682"/>
      <c r="BI347" s="417"/>
      <c r="BJ347" s="417">
        <v>12</v>
      </c>
      <c r="BK347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347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347" s="682"/>
      <c r="BN347" s="636" t="s">
        <v>3784</v>
      </c>
      <c r="BO347" s="636" t="s">
        <v>3784</v>
      </c>
      <c r="BP347" s="636" t="s">
        <v>3784</v>
      </c>
      <c r="BQ347" s="636" t="s">
        <v>104</v>
      </c>
      <c r="BR347" s="636"/>
      <c r="BS347" s="636"/>
      <c r="BT347" s="636"/>
      <c r="BU347" s="636"/>
      <c r="BV347" s="636"/>
      <c r="BW347" s="636" t="s">
        <v>4236</v>
      </c>
      <c r="BX347" s="636"/>
      <c r="BY347" s="972"/>
    </row>
    <row r="348" spans="1:77">
      <c r="A348" t="s">
        <v>105</v>
      </c>
      <c r="B348" s="675" t="s">
        <v>116</v>
      </c>
      <c r="C348" s="687" t="s">
        <v>3588</v>
      </c>
      <c r="D348" s="675">
        <v>0</v>
      </c>
      <c r="E348" s="675" t="s">
        <v>2311</v>
      </c>
      <c r="F348" s="675">
        <v>3</v>
      </c>
      <c r="G348" s="675" t="s">
        <v>79</v>
      </c>
      <c r="H348" s="675">
        <v>65</v>
      </c>
      <c r="I348" s="676" t="s">
        <v>3829</v>
      </c>
      <c r="J348" s="677">
        <v>0.5</v>
      </c>
      <c r="K348" s="683">
        <v>54</v>
      </c>
      <c r="L348" s="677"/>
      <c r="M348" s="677">
        <v>21</v>
      </c>
      <c r="N348" s="677">
        <v>0</v>
      </c>
      <c r="O348" s="677"/>
      <c r="P348" s="677"/>
      <c r="Q348" s="677"/>
      <c r="R348" s="677"/>
      <c r="S348" s="677">
        <v>0</v>
      </c>
      <c r="T348" s="677">
        <v>0</v>
      </c>
      <c r="U348" s="677"/>
      <c r="V348" s="677">
        <v>17</v>
      </c>
      <c r="W348" s="677">
        <v>0</v>
      </c>
      <c r="X348" s="678"/>
      <c r="Y348" s="682"/>
      <c r="Z348" s="680"/>
      <c r="AA348" s="681">
        <v>47.741</v>
      </c>
      <c r="AB348" s="681"/>
      <c r="AC348" s="417">
        <v>5</v>
      </c>
      <c r="AD348" s="417"/>
      <c r="AE348" s="682" t="s">
        <v>4269</v>
      </c>
      <c r="AF348">
        <v>1</v>
      </c>
      <c r="AG348" s="745">
        <v>43101</v>
      </c>
      <c r="AH348" s="417"/>
      <c r="AI348" s="417"/>
      <c r="AJ348" s="746">
        <v>43252</v>
      </c>
      <c r="AK348" s="417"/>
      <c r="AL348" s="637" t="s">
        <v>3470</v>
      </c>
      <c r="AM348" s="417"/>
      <c r="AN348" s="417"/>
      <c r="AO348" s="636"/>
      <c r="AP348">
        <v>556648</v>
      </c>
      <c r="AQ348" s="747">
        <v>43124</v>
      </c>
      <c r="AR348" s="417"/>
      <c r="AS348" s="417"/>
      <c r="AT348" s="417"/>
      <c r="AU348" s="417"/>
      <c r="AV348" s="417"/>
      <c r="AW348" s="417"/>
      <c r="AX348" s="417"/>
      <c r="AY348" s="183" t="s">
        <v>4245</v>
      </c>
      <c r="AZ348" s="417"/>
      <c r="BA348" s="417"/>
      <c r="BB348" t="s">
        <v>4238</v>
      </c>
      <c r="BC348" s="636"/>
      <c r="BD348" s="417"/>
      <c r="BE348" s="612"/>
      <c r="BF348" s="613"/>
      <c r="BG348" s="614"/>
      <c r="BH348" s="682"/>
      <c r="BI348" s="417"/>
      <c r="BJ348" s="417">
        <v>21</v>
      </c>
      <c r="BK348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348" s="682" t="str">
        <f>Техкарта[[#This Row],[ПолнаяДіл]] &amp;" "&amp;Техкарта[[#This Row],[ЛК]]&amp;" "&amp;Техкарта[[#This Row],[Вид рубки]]</f>
        <v>65 кв (3 вид) 0 діл. 556648 рубка в охоронній зоні ЛЕП</v>
      </c>
      <c r="BM348" s="682"/>
      <c r="BN348" s="636"/>
      <c r="BO348" s="636"/>
      <c r="BP348" s="636"/>
      <c r="BQ348" s="636" t="s">
        <v>105</v>
      </c>
      <c r="BR348" s="636"/>
      <c r="BS348" s="636"/>
      <c r="BT348" s="636"/>
      <c r="BU348" s="636"/>
      <c r="BV348" s="636"/>
      <c r="BW348" s="636" t="s">
        <v>4236</v>
      </c>
      <c r="BX348" s="636"/>
      <c r="BY348" s="972"/>
    </row>
    <row r="349" spans="1:77">
      <c r="A349" t="s">
        <v>105</v>
      </c>
      <c r="B349" s="675" t="s">
        <v>116</v>
      </c>
      <c r="C349" s="687" t="s">
        <v>3588</v>
      </c>
      <c r="D349" s="675">
        <v>0</v>
      </c>
      <c r="E349" s="675" t="s">
        <v>2311</v>
      </c>
      <c r="F349" s="675">
        <v>3</v>
      </c>
      <c r="G349" s="675" t="s">
        <v>79</v>
      </c>
      <c r="H349" s="675">
        <v>58</v>
      </c>
      <c r="I349" s="676" t="s">
        <v>3851</v>
      </c>
      <c r="J349" s="677">
        <v>0.1</v>
      </c>
      <c r="K349" s="683">
        <v>55</v>
      </c>
      <c r="L349" s="677"/>
      <c r="M349" s="677">
        <v>3</v>
      </c>
      <c r="N349" s="677">
        <v>0</v>
      </c>
      <c r="O349" s="677"/>
      <c r="P349" s="677"/>
      <c r="Q349" s="677"/>
      <c r="R349" s="677"/>
      <c r="S349" s="677">
        <v>0</v>
      </c>
      <c r="T349" s="677">
        <v>0</v>
      </c>
      <c r="U349" s="677"/>
      <c r="V349" s="677">
        <v>40</v>
      </c>
      <c r="W349" s="677">
        <v>0</v>
      </c>
      <c r="X349" s="678"/>
      <c r="Y349" s="682"/>
      <c r="Z349" s="680"/>
      <c r="AA349" s="681">
        <v>66.483999999999995</v>
      </c>
      <c r="AB349" s="681"/>
      <c r="AC349" s="417">
        <v>2</v>
      </c>
      <c r="AD349" s="417"/>
      <c r="AE349" s="682" t="s">
        <v>4270</v>
      </c>
      <c r="AF349">
        <v>1</v>
      </c>
      <c r="AG349" s="745">
        <v>43101</v>
      </c>
      <c r="AH349" s="417"/>
      <c r="AI349" s="417"/>
      <c r="AJ349" s="746">
        <v>43252</v>
      </c>
      <c r="AK349" s="417"/>
      <c r="AL349" s="637" t="s">
        <v>3470</v>
      </c>
      <c r="AM349" s="417"/>
      <c r="AN349" s="417"/>
      <c r="AO349" s="636"/>
      <c r="AP349">
        <v>556648</v>
      </c>
      <c r="AQ349" s="747">
        <v>43124</v>
      </c>
      <c r="AR349" s="417"/>
      <c r="AS349" s="417"/>
      <c r="AT349" s="417"/>
      <c r="AU349" s="417"/>
      <c r="AV349" s="417"/>
      <c r="AW349" s="417"/>
      <c r="AX349" s="417"/>
      <c r="AY349" s="183" t="s">
        <v>4245</v>
      </c>
      <c r="AZ349" s="417"/>
      <c r="BA349" s="417"/>
      <c r="BB349" t="s">
        <v>4238</v>
      </c>
      <c r="BC349" s="636"/>
      <c r="BD349" s="417"/>
      <c r="BE349" s="612"/>
      <c r="BF349" s="613"/>
      <c r="BG349" s="614"/>
      <c r="BH349" s="682"/>
      <c r="BI349" s="417"/>
      <c r="BJ349" s="417">
        <v>29</v>
      </c>
      <c r="BK349" s="682" t="str">
        <f>Техкарта[[#This Row],[Кв-л]]&amp;" кв ("&amp;Substring(Техкарта[[#This Row],[Виділ]],"_",1)&amp;" вид) "&amp;Substring(Техкарта[[#This Row],[Виділ]],"_",2)&amp;" діл."</f>
        <v>58 кв (12 вид) 0 діл.</v>
      </c>
      <c r="BL349" s="682" t="str">
        <f>Техкарта[[#This Row],[ПолнаяДіл]] &amp;" "&amp;Техкарта[[#This Row],[ЛК]]&amp;" "&amp;Техкарта[[#This Row],[Вид рубки]]</f>
        <v>58 кв (12 вид) 0 діл. 556648 рубка в охоронній зоні ЛЕП</v>
      </c>
      <c r="BM349" s="682"/>
      <c r="BN349" s="636"/>
      <c r="BO349" s="636"/>
      <c r="BP349" s="636"/>
      <c r="BQ349" s="636" t="s">
        <v>105</v>
      </c>
      <c r="BR349" s="636"/>
      <c r="BS349" s="636"/>
      <c r="BT349" s="636"/>
      <c r="BU349" s="636"/>
      <c r="BV349" s="636"/>
      <c r="BW349" s="636" t="s">
        <v>4236</v>
      </c>
      <c r="BX349" s="636"/>
      <c r="BY349" s="972"/>
    </row>
    <row r="350" spans="1:77">
      <c r="A350" t="s">
        <v>105</v>
      </c>
      <c r="B350" s="675" t="s">
        <v>116</v>
      </c>
      <c r="C350" s="687" t="s">
        <v>126</v>
      </c>
      <c r="D350" s="675">
        <v>0</v>
      </c>
      <c r="E350" s="675" t="s">
        <v>2316</v>
      </c>
      <c r="F350" s="675">
        <v>3</v>
      </c>
      <c r="G350" s="675" t="s">
        <v>2238</v>
      </c>
      <c r="H350" s="675">
        <v>17</v>
      </c>
      <c r="I350" s="676" t="s">
        <v>3829</v>
      </c>
      <c r="J350" s="677">
        <v>3.7</v>
      </c>
      <c r="K350" s="683">
        <v>226</v>
      </c>
      <c r="L350" s="677">
        <v>0</v>
      </c>
      <c r="M350" s="677">
        <v>1</v>
      </c>
      <c r="N350" s="677">
        <v>10</v>
      </c>
      <c r="O350" s="677">
        <v>0</v>
      </c>
      <c r="P350" s="677">
        <v>0</v>
      </c>
      <c r="Q350" s="677">
        <v>0</v>
      </c>
      <c r="R350" s="677">
        <v>0</v>
      </c>
      <c r="S350" s="677">
        <v>0</v>
      </c>
      <c r="T350" s="677">
        <v>0</v>
      </c>
      <c r="U350" s="677">
        <v>24</v>
      </c>
      <c r="V350" s="677">
        <v>7</v>
      </c>
      <c r="W350" s="677">
        <v>74</v>
      </c>
      <c r="X350" s="678"/>
      <c r="Y350" s="682"/>
      <c r="Z350" s="680"/>
      <c r="AA350" s="681">
        <v>74.436999999999998</v>
      </c>
      <c r="AB350" s="681">
        <v>29.978000000000002</v>
      </c>
      <c r="AC350" s="417">
        <v>9</v>
      </c>
      <c r="AD350" s="417"/>
      <c r="AE350" s="682" t="s">
        <v>4272</v>
      </c>
      <c r="AF350">
        <v>1</v>
      </c>
      <c r="AG350" s="745">
        <v>43101</v>
      </c>
      <c r="AH350" s="417"/>
      <c r="AI350" s="417"/>
      <c r="AJ350" s="746">
        <v>43252</v>
      </c>
      <c r="AK350" s="417"/>
      <c r="AL350" s="637" t="s">
        <v>3449</v>
      </c>
      <c r="AM350" s="417"/>
      <c r="AN350" s="417"/>
      <c r="AO350" s="636"/>
      <c r="AP350">
        <v>556650</v>
      </c>
      <c r="AQ350" s="747">
        <v>43137</v>
      </c>
      <c r="AR350" s="417"/>
      <c r="AS350" s="417"/>
      <c r="AT350" s="417"/>
      <c r="AU350" s="417"/>
      <c r="AV350" s="417"/>
      <c r="AW350" s="417"/>
      <c r="AX350" s="417"/>
      <c r="AY350" s="183" t="s">
        <v>4245</v>
      </c>
      <c r="AZ350" s="417"/>
      <c r="BA350" s="417"/>
      <c r="BB350" t="s">
        <v>4238</v>
      </c>
      <c r="BC350" s="636"/>
      <c r="BD350" s="417"/>
      <c r="BE350" s="612">
        <v>0</v>
      </c>
      <c r="BF350" s="613">
        <v>0</v>
      </c>
      <c r="BG350" s="614" t="s">
        <v>78</v>
      </c>
      <c r="BH350" s="682"/>
      <c r="BI350" s="417"/>
      <c r="BJ350" s="417">
        <v>38</v>
      </c>
      <c r="BK350" s="682" t="str">
        <f>Техкарта[[#This Row],[Кв-л]]&amp;" кв ("&amp;Substring(Техкарта[[#This Row],[Виділ]],"_",1)&amp;" вид) "&amp;Substring(Техкарта[[#This Row],[Виділ]],"_",2)&amp;" діл."</f>
        <v>17 кв (3 вид) 0 діл.</v>
      </c>
      <c r="BL350" s="682" t="str">
        <f>Техкарта[[#This Row],[ПолнаяДіл]] &amp;" "&amp;Техкарта[[#This Row],[ЛК]]&amp;" "&amp;Техкарта[[#This Row],[Вид рубки]]</f>
        <v>17 кв (3 вид) 0 діл. 556650 СРВ</v>
      </c>
      <c r="BM350" s="682"/>
      <c r="BN350" s="636" t="s">
        <v>3784</v>
      </c>
      <c r="BO350" s="636" t="s">
        <v>3784</v>
      </c>
      <c r="BP350" s="636" t="s">
        <v>3784</v>
      </c>
      <c r="BQ350" s="636" t="s">
        <v>105</v>
      </c>
      <c r="BR350" s="636"/>
      <c r="BS350" s="636"/>
      <c r="BT350" s="636"/>
      <c r="BU350" s="636"/>
      <c r="BV350" s="636"/>
      <c r="BW350" s="636" t="s">
        <v>4236</v>
      </c>
      <c r="BX350" s="636"/>
      <c r="BY350" s="972"/>
    </row>
    <row r="351" spans="1:77">
      <c r="A351" t="s">
        <v>105</v>
      </c>
      <c r="B351" s="675" t="s">
        <v>116</v>
      </c>
      <c r="C351" s="687" t="s">
        <v>126</v>
      </c>
      <c r="D351" s="675">
        <v>0</v>
      </c>
      <c r="E351" s="675" t="s">
        <v>2305</v>
      </c>
      <c r="F351" s="675">
        <v>3</v>
      </c>
      <c r="G351" s="675" t="s">
        <v>2238</v>
      </c>
      <c r="H351" s="675">
        <v>33</v>
      </c>
      <c r="I351" s="676" t="s">
        <v>3829</v>
      </c>
      <c r="J351" s="677">
        <v>1.7</v>
      </c>
      <c r="K351" s="683">
        <v>111</v>
      </c>
      <c r="L351" s="677">
        <v>0</v>
      </c>
      <c r="M351" s="677">
        <v>0</v>
      </c>
      <c r="N351" s="677">
        <v>13</v>
      </c>
      <c r="O351" s="677">
        <v>0</v>
      </c>
      <c r="P351" s="677">
        <v>0</v>
      </c>
      <c r="Q351" s="677">
        <v>0</v>
      </c>
      <c r="R351" s="677">
        <v>0</v>
      </c>
      <c r="S351" s="677">
        <v>0</v>
      </c>
      <c r="T351" s="677">
        <v>0</v>
      </c>
      <c r="U351" s="677">
        <v>2</v>
      </c>
      <c r="V351" s="677">
        <v>0</v>
      </c>
      <c r="W351" s="677">
        <v>72</v>
      </c>
      <c r="X351" s="678"/>
      <c r="Y351" s="682"/>
      <c r="Z351" s="680"/>
      <c r="AA351" s="681">
        <v>68.626999999999995</v>
      </c>
      <c r="AB351" s="681">
        <v>29.978000000000002</v>
      </c>
      <c r="AC351" s="417">
        <v>5</v>
      </c>
      <c r="AD351" s="417"/>
      <c r="AE351" s="682" t="s">
        <v>4271</v>
      </c>
      <c r="AF351">
        <v>1</v>
      </c>
      <c r="AG351" s="745">
        <v>43101</v>
      </c>
      <c r="AH351" s="417"/>
      <c r="AI351" s="417"/>
      <c r="AJ351" s="746">
        <v>43252</v>
      </c>
      <c r="AK351" s="417"/>
      <c r="AL351" s="637" t="s">
        <v>3437</v>
      </c>
      <c r="AM351" s="417"/>
      <c r="AN351" s="417"/>
      <c r="AO351" s="636"/>
      <c r="AP351">
        <v>556650</v>
      </c>
      <c r="AQ351" s="747">
        <v>43137</v>
      </c>
      <c r="AR351" s="417"/>
      <c r="AS351" s="417"/>
      <c r="AT351" s="417"/>
      <c r="AU351" s="417"/>
      <c r="AV351" s="417"/>
      <c r="AW351" s="417"/>
      <c r="AX351" s="417"/>
      <c r="AY351" s="183" t="s">
        <v>4245</v>
      </c>
      <c r="AZ351" s="417"/>
      <c r="BA351" s="417"/>
      <c r="BB351" t="s">
        <v>4238</v>
      </c>
      <c r="BC351" s="636"/>
      <c r="BD351" s="417"/>
      <c r="BE351" s="612">
        <v>0</v>
      </c>
      <c r="BF351" s="613">
        <v>0</v>
      </c>
      <c r="BG351" s="614" t="s">
        <v>78</v>
      </c>
      <c r="BH351" s="682"/>
      <c r="BI351" s="417"/>
      <c r="BJ351" s="417">
        <v>39</v>
      </c>
      <c r="BK351" s="682" t="str">
        <f>Техкарта[[#This Row],[Кв-л]]&amp;" кв ("&amp;Substring(Техкарта[[#This Row],[Виділ]],"_",1)&amp;" вид) "&amp;Substring(Техкарта[[#This Row],[Виділ]],"_",2)&amp;" діл."</f>
        <v>33 кв (3 вид) 0 діл.</v>
      </c>
      <c r="BL351" s="682" t="str">
        <f>Техкарта[[#This Row],[ПолнаяДіл]] &amp;" "&amp;Техкарта[[#This Row],[ЛК]]&amp;" "&amp;Техкарта[[#This Row],[Вид рубки]]</f>
        <v>33 кв (3 вид) 0 діл. 556650 СРВ</v>
      </c>
      <c r="BM351" s="682"/>
      <c r="BN351" s="636" t="s">
        <v>3784</v>
      </c>
      <c r="BO351" s="636" t="s">
        <v>3784</v>
      </c>
      <c r="BP351" s="636" t="s">
        <v>3784</v>
      </c>
      <c r="BQ351" s="636" t="s">
        <v>105</v>
      </c>
      <c r="BR351" s="636"/>
      <c r="BS351" s="636"/>
      <c r="BT351" s="636"/>
      <c r="BU351" s="636"/>
      <c r="BV351" s="636"/>
      <c r="BW351" s="636" t="s">
        <v>4236</v>
      </c>
      <c r="BX351" s="636"/>
      <c r="BY351" s="972"/>
    </row>
    <row r="352" spans="1:77">
      <c r="A352" t="s">
        <v>105</v>
      </c>
      <c r="B352" s="675" t="s">
        <v>116</v>
      </c>
      <c r="C352" s="687" t="s">
        <v>126</v>
      </c>
      <c r="D352" s="675">
        <v>0</v>
      </c>
      <c r="E352" s="675" t="s">
        <v>2305</v>
      </c>
      <c r="F352" s="675">
        <v>3</v>
      </c>
      <c r="G352" s="675" t="s">
        <v>2238</v>
      </c>
      <c r="H352" s="675">
        <v>94</v>
      </c>
      <c r="I352" s="676" t="s">
        <v>3829</v>
      </c>
      <c r="J352" s="677">
        <v>5.3</v>
      </c>
      <c r="K352" s="683">
        <v>371</v>
      </c>
      <c r="L352" s="677">
        <v>0</v>
      </c>
      <c r="M352" s="677">
        <v>0</v>
      </c>
      <c r="N352" s="677">
        <v>15</v>
      </c>
      <c r="O352" s="677">
        <v>0</v>
      </c>
      <c r="P352" s="677">
        <v>0</v>
      </c>
      <c r="Q352" s="677">
        <v>0</v>
      </c>
      <c r="R352" s="677">
        <v>0</v>
      </c>
      <c r="S352" s="677">
        <v>0</v>
      </c>
      <c r="T352" s="677">
        <v>0</v>
      </c>
      <c r="U352" s="677">
        <v>38</v>
      </c>
      <c r="V352" s="677">
        <v>1</v>
      </c>
      <c r="W352" s="677">
        <v>134</v>
      </c>
      <c r="X352" s="678"/>
      <c r="Y352" s="682"/>
      <c r="Z352" s="680"/>
      <c r="AA352" s="681">
        <v>75.290999999999997</v>
      </c>
      <c r="AB352" s="681">
        <v>29.978000000000002</v>
      </c>
      <c r="AC352" s="417">
        <v>11</v>
      </c>
      <c r="AD352" s="417"/>
      <c r="AE352" s="682" t="s">
        <v>4273</v>
      </c>
      <c r="AF352">
        <v>1</v>
      </c>
      <c r="AG352" s="745">
        <v>43101</v>
      </c>
      <c r="AH352" s="417"/>
      <c r="AI352" s="417"/>
      <c r="AJ352" s="746">
        <v>43252</v>
      </c>
      <c r="AK352" s="417"/>
      <c r="AL352" s="637" t="s">
        <v>3475</v>
      </c>
      <c r="AM352" s="417"/>
      <c r="AN352" s="417"/>
      <c r="AO352" s="636"/>
      <c r="AP352">
        <v>556650</v>
      </c>
      <c r="AQ352" s="747">
        <v>43137</v>
      </c>
      <c r="AR352" s="417"/>
      <c r="AS352" s="417"/>
      <c r="AT352" s="417"/>
      <c r="AU352" s="417"/>
      <c r="AV352" s="417"/>
      <c r="AW352" s="417"/>
      <c r="AX352" s="417"/>
      <c r="AY352" s="183" t="s">
        <v>4245</v>
      </c>
      <c r="AZ352" s="417"/>
      <c r="BA352" s="417"/>
      <c r="BB352" t="s">
        <v>4238</v>
      </c>
      <c r="BC352" s="636"/>
      <c r="BD352" s="417"/>
      <c r="BE352" s="612">
        <v>0</v>
      </c>
      <c r="BF352" s="613">
        <v>0</v>
      </c>
      <c r="BG352" s="614" t="s">
        <v>78</v>
      </c>
      <c r="BH352" s="682"/>
      <c r="BI352" s="417"/>
      <c r="BJ352" s="417">
        <v>42</v>
      </c>
      <c r="BK352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352" s="682" t="str">
        <f>Техкарта[[#This Row],[ПолнаяДіл]] &amp;" "&amp;Техкарта[[#This Row],[ЛК]]&amp;" "&amp;Техкарта[[#This Row],[Вид рубки]]</f>
        <v>94 кв (3 вид) 0 діл. 556650 СРВ</v>
      </c>
      <c r="BM352" s="682"/>
      <c r="BN352" s="636" t="s">
        <v>3784</v>
      </c>
      <c r="BO352" s="636" t="s">
        <v>3784</v>
      </c>
      <c r="BP352" s="636" t="s">
        <v>3784</v>
      </c>
      <c r="BQ352" s="636" t="s">
        <v>105</v>
      </c>
      <c r="BR352" s="636"/>
      <c r="BS352" s="636"/>
      <c r="BT352" s="636"/>
      <c r="BU352" s="636"/>
      <c r="BV352" s="636"/>
      <c r="BW352" s="636" t="s">
        <v>4236</v>
      </c>
      <c r="BX352" s="636"/>
      <c r="BY352" s="972"/>
    </row>
    <row r="353" spans="1:77">
      <c r="A353" t="s">
        <v>105</v>
      </c>
      <c r="B353" s="675" t="s">
        <v>116</v>
      </c>
      <c r="C353" s="687" t="s">
        <v>126</v>
      </c>
      <c r="D353" s="675">
        <v>0</v>
      </c>
      <c r="E353" s="675" t="s">
        <v>2305</v>
      </c>
      <c r="F353" s="675">
        <v>3</v>
      </c>
      <c r="G353" s="675" t="s">
        <v>2238</v>
      </c>
      <c r="H353" s="675">
        <v>109</v>
      </c>
      <c r="I353" s="676" t="s">
        <v>3831</v>
      </c>
      <c r="J353" s="677">
        <v>9.6</v>
      </c>
      <c r="K353" s="683">
        <v>582</v>
      </c>
      <c r="L353" s="677">
        <v>0</v>
      </c>
      <c r="M353" s="677">
        <v>0</v>
      </c>
      <c r="N353" s="677">
        <v>23</v>
      </c>
      <c r="O353" s="677">
        <v>0</v>
      </c>
      <c r="P353" s="677">
        <v>0</v>
      </c>
      <c r="Q353" s="677">
        <v>0</v>
      </c>
      <c r="R353" s="677">
        <v>0</v>
      </c>
      <c r="S353" s="677">
        <v>0</v>
      </c>
      <c r="T353" s="677">
        <v>0</v>
      </c>
      <c r="U353" s="677">
        <v>0</v>
      </c>
      <c r="V353" s="677">
        <v>4</v>
      </c>
      <c r="W353" s="677">
        <v>211</v>
      </c>
      <c r="X353" s="678"/>
      <c r="Y353" s="682"/>
      <c r="Z353" s="680"/>
      <c r="AA353" s="681">
        <v>80.712000000000003</v>
      </c>
      <c r="AB353" s="681">
        <v>29.978000000000002</v>
      </c>
      <c r="AC353" s="417">
        <v>17</v>
      </c>
      <c r="AD353" s="417"/>
      <c r="AE353" s="682" t="s">
        <v>4274</v>
      </c>
      <c r="AF353">
        <v>1</v>
      </c>
      <c r="AG353" s="745">
        <v>43101</v>
      </c>
      <c r="AH353" s="417"/>
      <c r="AI353" s="417"/>
      <c r="AJ353" s="746">
        <v>43252</v>
      </c>
      <c r="AK353" s="417"/>
      <c r="AL353" s="637" t="s">
        <v>3475</v>
      </c>
      <c r="AM353" s="417"/>
      <c r="AN353" s="417"/>
      <c r="AO353" s="636"/>
      <c r="AP353">
        <v>556650</v>
      </c>
      <c r="AQ353" s="747">
        <v>43137</v>
      </c>
      <c r="AR353" s="417"/>
      <c r="AS353" s="417"/>
      <c r="AT353" s="417"/>
      <c r="AU353" s="417"/>
      <c r="AV353" s="417"/>
      <c r="AW353" s="417"/>
      <c r="AX353" s="417"/>
      <c r="AY353" s="183" t="s">
        <v>4245</v>
      </c>
      <c r="AZ353" s="417"/>
      <c r="BA353" s="417"/>
      <c r="BB353" t="s">
        <v>4238</v>
      </c>
      <c r="BC353" s="636"/>
      <c r="BD353" s="417"/>
      <c r="BE353" s="612">
        <v>0</v>
      </c>
      <c r="BF353" s="613">
        <v>0</v>
      </c>
      <c r="BG353" s="614" t="s">
        <v>78</v>
      </c>
      <c r="BH353" s="682"/>
      <c r="BI353" s="417"/>
      <c r="BJ353" s="417">
        <v>43</v>
      </c>
      <c r="BK353" s="682" t="str">
        <f>Техкарта[[#This Row],[Кв-л]]&amp;" кв ("&amp;Substring(Техкарта[[#This Row],[Виділ]],"_",1)&amp;" вид) "&amp;Substring(Техкарта[[#This Row],[Виділ]],"_",2)&amp;" діл."</f>
        <v>109 кв (4 вид) 0 діл.</v>
      </c>
      <c r="BL353" s="682" t="str">
        <f>Техкарта[[#This Row],[ПолнаяДіл]] &amp;" "&amp;Техкарта[[#This Row],[ЛК]]&amp;" "&amp;Техкарта[[#This Row],[Вид рубки]]</f>
        <v>109 кв (4 вид) 0 діл. 556650 СРВ</v>
      </c>
      <c r="BM353" s="682"/>
      <c r="BN353" s="636" t="s">
        <v>3784</v>
      </c>
      <c r="BO353" s="636" t="s">
        <v>3784</v>
      </c>
      <c r="BP353" s="636" t="s">
        <v>3784</v>
      </c>
      <c r="BQ353" s="636" t="s">
        <v>105</v>
      </c>
      <c r="BR353" s="636"/>
      <c r="BS353" s="636"/>
      <c r="BT353" s="636"/>
      <c r="BU353" s="636"/>
      <c r="BV353" s="636"/>
      <c r="BW353" s="636" t="s">
        <v>4236</v>
      </c>
      <c r="BX353" s="636"/>
      <c r="BY353" s="972"/>
    </row>
    <row r="354" spans="1:77">
      <c r="A354" t="s">
        <v>105</v>
      </c>
      <c r="B354" s="675" t="s">
        <v>116</v>
      </c>
      <c r="C354" s="687" t="s">
        <v>126</v>
      </c>
      <c r="D354" s="675">
        <v>0</v>
      </c>
      <c r="E354" s="675" t="s">
        <v>2305</v>
      </c>
      <c r="F354" s="675">
        <v>3</v>
      </c>
      <c r="G354" s="675" t="s">
        <v>2238</v>
      </c>
      <c r="H354" s="675">
        <v>138</v>
      </c>
      <c r="I354" s="676" t="s">
        <v>4013</v>
      </c>
      <c r="J354" s="677">
        <v>7.7</v>
      </c>
      <c r="K354" s="683">
        <v>713</v>
      </c>
      <c r="L354" s="677">
        <v>0</v>
      </c>
      <c r="M354" s="677">
        <v>0</v>
      </c>
      <c r="N354" s="677">
        <v>0</v>
      </c>
      <c r="O354" s="677">
        <v>0</v>
      </c>
      <c r="P354" s="677">
        <v>0</v>
      </c>
      <c r="Q354" s="677">
        <v>0</v>
      </c>
      <c r="R354" s="677">
        <v>0</v>
      </c>
      <c r="S354" s="677">
        <v>0</v>
      </c>
      <c r="T354" s="677">
        <v>0</v>
      </c>
      <c r="U354" s="677">
        <v>0</v>
      </c>
      <c r="V354" s="677">
        <v>0</v>
      </c>
      <c r="W354" s="677">
        <v>185</v>
      </c>
      <c r="X354" s="678"/>
      <c r="Y354" s="682"/>
      <c r="Z354" s="680"/>
      <c r="AA354" s="681">
        <v>92.515000000000001</v>
      </c>
      <c r="AB354" s="681">
        <v>29.978000000000002</v>
      </c>
      <c r="AC354" s="417">
        <v>28</v>
      </c>
      <c r="AD354" s="417"/>
      <c r="AE354" s="682" t="s">
        <v>4275</v>
      </c>
      <c r="AF354">
        <v>1</v>
      </c>
      <c r="AG354" s="745">
        <v>43101</v>
      </c>
      <c r="AH354" s="417"/>
      <c r="AI354" s="417"/>
      <c r="AJ354" s="746">
        <v>43252</v>
      </c>
      <c r="AK354" s="417"/>
      <c r="AL354" s="637" t="s">
        <v>3460</v>
      </c>
      <c r="AM354" s="417"/>
      <c r="AN354" s="417"/>
      <c r="AO354" s="636"/>
      <c r="AP354">
        <v>556650</v>
      </c>
      <c r="AQ354" s="747">
        <v>43137</v>
      </c>
      <c r="AR354" s="417"/>
      <c r="AS354" s="417"/>
      <c r="AT354" s="417"/>
      <c r="AU354" s="417"/>
      <c r="AV354" s="417"/>
      <c r="AW354" s="417"/>
      <c r="AX354" s="417"/>
      <c r="AY354" s="183" t="s">
        <v>4245</v>
      </c>
      <c r="AZ354" s="417"/>
      <c r="BA354" s="417"/>
      <c r="BB354" t="s">
        <v>4238</v>
      </c>
      <c r="BC354" s="636"/>
      <c r="BD354" s="417"/>
      <c r="BE354" s="612">
        <v>0</v>
      </c>
      <c r="BF354" s="613">
        <v>0</v>
      </c>
      <c r="BG354" s="614" t="s">
        <v>78</v>
      </c>
      <c r="BH354" s="682"/>
      <c r="BI354" s="417"/>
      <c r="BJ354" s="417">
        <v>44</v>
      </c>
      <c r="BK354" s="682" t="str">
        <f>Техкарта[[#This Row],[Кв-л]]&amp;" кв ("&amp;Substring(Техкарта[[#This Row],[Виділ]],"_",1)&amp;" вид) "&amp;Substring(Техкарта[[#This Row],[Виділ]],"_",2)&amp;" діл."</f>
        <v>138 кв (9 вид) 1 діл.</v>
      </c>
      <c r="BL354" s="682" t="str">
        <f>Техкарта[[#This Row],[ПолнаяДіл]] &amp;" "&amp;Техкарта[[#This Row],[ЛК]]&amp;" "&amp;Техкарта[[#This Row],[Вид рубки]]</f>
        <v>138 кв (9 вид) 1 діл. 556650 СРВ</v>
      </c>
      <c r="BM354" s="682"/>
      <c r="BN354" s="636" t="s">
        <v>3784</v>
      </c>
      <c r="BO354" s="636" t="s">
        <v>3784</v>
      </c>
      <c r="BP354" s="636" t="s">
        <v>3784</v>
      </c>
      <c r="BQ354" s="636" t="s">
        <v>105</v>
      </c>
      <c r="BR354" s="636"/>
      <c r="BS354" s="636"/>
      <c r="BT354" s="636"/>
      <c r="BU354" s="636"/>
      <c r="BV354" s="636"/>
      <c r="BW354" s="636" t="s">
        <v>4236</v>
      </c>
      <c r="BX354" s="636"/>
      <c r="BY354" s="972"/>
    </row>
    <row r="355" spans="1:77">
      <c r="A355" t="s">
        <v>105</v>
      </c>
      <c r="B355" s="675" t="s">
        <v>116</v>
      </c>
      <c r="C355" s="687" t="s">
        <v>126</v>
      </c>
      <c r="D355" s="675">
        <v>0</v>
      </c>
      <c r="E355" s="675" t="s">
        <v>2305</v>
      </c>
      <c r="F355" s="675">
        <v>3</v>
      </c>
      <c r="G355" s="675" t="s">
        <v>2238</v>
      </c>
      <c r="H355" s="675">
        <v>11</v>
      </c>
      <c r="I355" s="676" t="s">
        <v>3850</v>
      </c>
      <c r="J355" s="677">
        <v>2.7</v>
      </c>
      <c r="K355" s="683">
        <v>185</v>
      </c>
      <c r="L355" s="677">
        <v>0</v>
      </c>
      <c r="M355" s="677">
        <v>0</v>
      </c>
      <c r="N355" s="677">
        <v>4</v>
      </c>
      <c r="O355" s="677">
        <v>0</v>
      </c>
      <c r="P355" s="677">
        <v>0</v>
      </c>
      <c r="Q355" s="677">
        <v>0</v>
      </c>
      <c r="R355" s="677">
        <v>0</v>
      </c>
      <c r="S355" s="677">
        <v>0</v>
      </c>
      <c r="T355" s="677">
        <v>0</v>
      </c>
      <c r="U355" s="677">
        <v>0</v>
      </c>
      <c r="V355" s="677">
        <v>4</v>
      </c>
      <c r="W355" s="677">
        <v>55</v>
      </c>
      <c r="X355" s="678"/>
      <c r="Y355" s="682"/>
      <c r="Z355" s="680"/>
      <c r="AA355" s="681">
        <v>85.305000000000007</v>
      </c>
      <c r="AB355" s="681">
        <v>29.978000000000002</v>
      </c>
      <c r="AC355" s="417">
        <v>5</v>
      </c>
      <c r="AD355" s="417"/>
      <c r="AE355" s="682" t="s">
        <v>4276</v>
      </c>
      <c r="AF355">
        <v>1</v>
      </c>
      <c r="AG355" s="745">
        <v>43101</v>
      </c>
      <c r="AH355" s="417"/>
      <c r="AI355" s="417"/>
      <c r="AJ355" s="746">
        <v>43252</v>
      </c>
      <c r="AK355" s="417"/>
      <c r="AL355" s="637" t="s">
        <v>3455</v>
      </c>
      <c r="AM355" s="417"/>
      <c r="AN355" s="417"/>
      <c r="AO355" s="636"/>
      <c r="AP355">
        <v>556658</v>
      </c>
      <c r="AQ355" s="747">
        <v>43172</v>
      </c>
      <c r="AR355" s="417"/>
      <c r="AS355" s="417"/>
      <c r="AT355" s="417"/>
      <c r="AU355" s="417"/>
      <c r="AV355" s="417"/>
      <c r="AW355" s="417"/>
      <c r="AX355" s="417"/>
      <c r="AY355" s="183" t="s">
        <v>4245</v>
      </c>
      <c r="AZ355" s="417"/>
      <c r="BA355" s="417"/>
      <c r="BB355" t="s">
        <v>4238</v>
      </c>
      <c r="BC355" s="636"/>
      <c r="BD355" s="417"/>
      <c r="BE355" s="612">
        <v>0</v>
      </c>
      <c r="BF355" s="613">
        <v>0</v>
      </c>
      <c r="BG355" s="614" t="s">
        <v>78</v>
      </c>
      <c r="BH355" s="682"/>
      <c r="BI355" s="417"/>
      <c r="BJ355" s="417">
        <v>45</v>
      </c>
      <c r="BK355" s="682" t="str">
        <f>Техкарта[[#This Row],[Кв-л]]&amp;" кв ("&amp;Substring(Техкарта[[#This Row],[Виділ]],"_",1)&amp;" вид) "&amp;Substring(Техкарта[[#This Row],[Виділ]],"_",2)&amp;" діл."</f>
        <v>11 кв (6 вид) 0 діл.</v>
      </c>
      <c r="BL355" s="682" t="str">
        <f>Техкарта[[#This Row],[ПолнаяДіл]] &amp;" "&amp;Техкарта[[#This Row],[ЛК]]&amp;" "&amp;Техкарта[[#This Row],[Вид рубки]]</f>
        <v>11 кв (6 вид) 0 діл. 556658 СРВ</v>
      </c>
      <c r="BM355" s="682"/>
      <c r="BN355" s="636" t="s">
        <v>3784</v>
      </c>
      <c r="BO355" s="636" t="s">
        <v>3784</v>
      </c>
      <c r="BP355" s="636" t="s">
        <v>3784</v>
      </c>
      <c r="BQ355" s="636" t="s">
        <v>105</v>
      </c>
      <c r="BR355" s="636"/>
      <c r="BS355" s="636"/>
      <c r="BT355" s="636"/>
      <c r="BU355" s="636"/>
      <c r="BV355" s="636"/>
      <c r="BW355" s="636" t="s">
        <v>4236</v>
      </c>
      <c r="BX355" s="636"/>
      <c r="BY355" s="972"/>
    </row>
    <row r="356" spans="1:77">
      <c r="A356" t="s">
        <v>105</v>
      </c>
      <c r="B356" s="675" t="s">
        <v>116</v>
      </c>
      <c r="C356" s="687" t="s">
        <v>126</v>
      </c>
      <c r="D356" s="675">
        <v>0</v>
      </c>
      <c r="E356" s="675" t="s">
        <v>2305</v>
      </c>
      <c r="F356" s="675">
        <v>3</v>
      </c>
      <c r="G356" s="675" t="s">
        <v>2238</v>
      </c>
      <c r="H356" s="675">
        <v>66</v>
      </c>
      <c r="I356" s="676" t="s">
        <v>3829</v>
      </c>
      <c r="J356" s="677">
        <v>23.9</v>
      </c>
      <c r="K356" s="683">
        <v>1266</v>
      </c>
      <c r="L356" s="677">
        <v>0</v>
      </c>
      <c r="M356" s="677">
        <v>228</v>
      </c>
      <c r="N356" s="677">
        <v>0</v>
      </c>
      <c r="O356" s="677">
        <v>0</v>
      </c>
      <c r="P356" s="677">
        <v>0</v>
      </c>
      <c r="Q356" s="677">
        <v>0</v>
      </c>
      <c r="R356" s="677">
        <v>0</v>
      </c>
      <c r="S356" s="677">
        <v>0</v>
      </c>
      <c r="T356" s="677">
        <v>0</v>
      </c>
      <c r="U356" s="677">
        <v>0</v>
      </c>
      <c r="V356" s="677">
        <v>503</v>
      </c>
      <c r="W356" s="677">
        <v>42</v>
      </c>
      <c r="X356" s="678"/>
      <c r="Y356" s="682"/>
      <c r="Z356" s="680"/>
      <c r="AA356" s="681">
        <v>60.606999999999999</v>
      </c>
      <c r="AB356" s="681">
        <v>29.978000000000002</v>
      </c>
      <c r="AC356" s="417">
        <v>93</v>
      </c>
      <c r="AD356" s="417"/>
      <c r="AE356" s="682" t="s">
        <v>4277</v>
      </c>
      <c r="AF356">
        <v>1</v>
      </c>
      <c r="AG356" s="745">
        <v>43101</v>
      </c>
      <c r="AH356" s="417"/>
      <c r="AI356" s="417"/>
      <c r="AJ356" s="746">
        <v>43252</v>
      </c>
      <c r="AK356" s="417"/>
      <c r="AL356" s="637" t="s">
        <v>3470</v>
      </c>
      <c r="AM356" s="417"/>
      <c r="AN356" s="417"/>
      <c r="AO356" s="636"/>
      <c r="AP356">
        <v>556658</v>
      </c>
      <c r="AQ356" s="747">
        <v>43172</v>
      </c>
      <c r="AR356" s="417"/>
      <c r="AS356" s="417"/>
      <c r="AT356" s="417"/>
      <c r="AU356" s="417"/>
      <c r="AV356" s="417"/>
      <c r="AW356" s="417"/>
      <c r="AX356" s="417"/>
      <c r="AY356" s="183" t="s">
        <v>4245</v>
      </c>
      <c r="AZ356" s="417"/>
      <c r="BA356" s="417"/>
      <c r="BB356" t="s">
        <v>4238</v>
      </c>
      <c r="BC356" s="636"/>
      <c r="BD356" s="417"/>
      <c r="BE356" s="612">
        <v>0</v>
      </c>
      <c r="BF356" s="613">
        <v>0</v>
      </c>
      <c r="BG356" s="614" t="s">
        <v>78</v>
      </c>
      <c r="BH356" s="682"/>
      <c r="BI356" s="417"/>
      <c r="BJ356" s="417">
        <v>47</v>
      </c>
      <c r="BK356" s="682" t="str">
        <f>Техкарта[[#This Row],[Кв-л]]&amp;" кв ("&amp;Substring(Техкарта[[#This Row],[Виділ]],"_",1)&amp;" вид) "&amp;Substring(Техкарта[[#This Row],[Виділ]],"_",2)&amp;" діл."</f>
        <v>66 кв (3 вид) 0 діл.</v>
      </c>
      <c r="BL356" s="682" t="str">
        <f>Техкарта[[#This Row],[ПолнаяДіл]] &amp;" "&amp;Техкарта[[#This Row],[ЛК]]&amp;" "&amp;Техкарта[[#This Row],[Вид рубки]]</f>
        <v>66 кв (3 вид) 0 діл. 556658 СРВ</v>
      </c>
      <c r="BM356" s="682"/>
      <c r="BN356" s="636" t="s">
        <v>3784</v>
      </c>
      <c r="BO356" s="636" t="s">
        <v>3784</v>
      </c>
      <c r="BP356" s="636" t="s">
        <v>3784</v>
      </c>
      <c r="BQ356" s="636" t="s">
        <v>105</v>
      </c>
      <c r="BR356" s="636"/>
      <c r="BS356" s="636"/>
      <c r="BT356" s="636"/>
      <c r="BU356" s="636"/>
      <c r="BV356" s="636"/>
      <c r="BW356" s="636" t="s">
        <v>4236</v>
      </c>
      <c r="BX356" s="636"/>
      <c r="BY356" s="972"/>
    </row>
    <row r="357" spans="1:77">
      <c r="A357" t="s">
        <v>105</v>
      </c>
      <c r="B357" s="675" t="s">
        <v>116</v>
      </c>
      <c r="C357" s="687" t="s">
        <v>126</v>
      </c>
      <c r="D357" s="675">
        <v>0</v>
      </c>
      <c r="E357" s="675" t="s">
        <v>2305</v>
      </c>
      <c r="F357" s="675">
        <v>3</v>
      </c>
      <c r="G357" s="675" t="s">
        <v>2238</v>
      </c>
      <c r="H357" s="675">
        <v>71</v>
      </c>
      <c r="I357" s="676" t="s">
        <v>3790</v>
      </c>
      <c r="J357" s="677">
        <v>13.5</v>
      </c>
      <c r="K357" s="683">
        <v>219</v>
      </c>
      <c r="L357" s="677">
        <v>0</v>
      </c>
      <c r="M357" s="677">
        <v>39</v>
      </c>
      <c r="N357" s="677">
        <v>0</v>
      </c>
      <c r="O357" s="677">
        <v>0</v>
      </c>
      <c r="P357" s="677">
        <v>0</v>
      </c>
      <c r="Q357" s="677">
        <v>0</v>
      </c>
      <c r="R357" s="677">
        <v>0</v>
      </c>
      <c r="S357" s="677">
        <v>0</v>
      </c>
      <c r="T357" s="677">
        <v>0</v>
      </c>
      <c r="U357" s="677">
        <v>0</v>
      </c>
      <c r="V357" s="677">
        <v>112</v>
      </c>
      <c r="W357" s="677">
        <v>9</v>
      </c>
      <c r="X357" s="678"/>
      <c r="Y357" s="682"/>
      <c r="Z357" s="680"/>
      <c r="AA357" s="681">
        <v>66.593000000000004</v>
      </c>
      <c r="AB357" s="681">
        <v>29.978000000000002</v>
      </c>
      <c r="AC357" s="417">
        <v>18</v>
      </c>
      <c r="AD357" s="417"/>
      <c r="AE357" s="682" t="s">
        <v>4278</v>
      </c>
      <c r="AF357">
        <v>1</v>
      </c>
      <c r="AG357" s="745">
        <v>43101</v>
      </c>
      <c r="AH357" s="417"/>
      <c r="AI357" s="417"/>
      <c r="AJ357" s="746">
        <v>43252</v>
      </c>
      <c r="AK357" s="417"/>
      <c r="AL357" s="637" t="s">
        <v>3470</v>
      </c>
      <c r="AM357" s="417"/>
      <c r="AN357" s="417"/>
      <c r="AO357" s="636"/>
      <c r="AP357">
        <v>556658</v>
      </c>
      <c r="AQ357" s="747">
        <v>43172</v>
      </c>
      <c r="AR357" s="417"/>
      <c r="AS357" s="417"/>
      <c r="AT357" s="417"/>
      <c r="AU357" s="417"/>
      <c r="AV357" s="417"/>
      <c r="AW357" s="417"/>
      <c r="AX357" s="417"/>
      <c r="AY357" s="183" t="s">
        <v>4245</v>
      </c>
      <c r="AZ357" s="417"/>
      <c r="BA357" s="417"/>
      <c r="BB357" t="s">
        <v>4238</v>
      </c>
      <c r="BC357" s="636"/>
      <c r="BD357" s="417"/>
      <c r="BE357" s="612">
        <v>0</v>
      </c>
      <c r="BF357" s="613">
        <v>0</v>
      </c>
      <c r="BG357" s="614" t="s">
        <v>78</v>
      </c>
      <c r="BH357" s="682"/>
      <c r="BI357" s="417"/>
      <c r="BJ357" s="417">
        <v>48</v>
      </c>
      <c r="BK357" s="682" t="str">
        <f>Техкарта[[#This Row],[Кв-л]]&amp;" кв ("&amp;Substring(Техкарта[[#This Row],[Виділ]],"_",1)&amp;" вид) "&amp;Substring(Техкарта[[#This Row],[Виділ]],"_",2)&amp;" діл."</f>
        <v>71 кв (2 вид) 0 діл.</v>
      </c>
      <c r="BL357" s="682" t="str">
        <f>Техкарта[[#This Row],[ПолнаяДіл]] &amp;" "&amp;Техкарта[[#This Row],[ЛК]]&amp;" "&amp;Техкарта[[#This Row],[Вид рубки]]</f>
        <v>71 кв (2 вид) 0 діл. 556658 СРВ</v>
      </c>
      <c r="BM357" s="682"/>
      <c r="BN357" s="636" t="s">
        <v>3784</v>
      </c>
      <c r="BO357" s="636" t="s">
        <v>3784</v>
      </c>
      <c r="BP357" s="636" t="s">
        <v>3784</v>
      </c>
      <c r="BQ357" s="636" t="s">
        <v>105</v>
      </c>
      <c r="BR357" s="636"/>
      <c r="BS357" s="636"/>
      <c r="BT357" s="636"/>
      <c r="BU357" s="636"/>
      <c r="BV357" s="636"/>
      <c r="BW357" s="636" t="s">
        <v>4236</v>
      </c>
      <c r="BX357" s="636"/>
      <c r="BY357" s="972"/>
    </row>
    <row r="358" spans="1:77">
      <c r="A358" t="s">
        <v>105</v>
      </c>
      <c r="B358" s="675" t="s">
        <v>116</v>
      </c>
      <c r="C358" s="687" t="s">
        <v>126</v>
      </c>
      <c r="D358" s="675">
        <v>0</v>
      </c>
      <c r="E358" s="675" t="s">
        <v>2305</v>
      </c>
      <c r="F358" s="675">
        <v>3</v>
      </c>
      <c r="G358" s="675" t="s">
        <v>2238</v>
      </c>
      <c r="H358" s="675">
        <v>81</v>
      </c>
      <c r="I358" s="676" t="s">
        <v>3830</v>
      </c>
      <c r="J358" s="677">
        <v>4.4000000000000004</v>
      </c>
      <c r="K358" s="683">
        <v>383</v>
      </c>
      <c r="L358" s="677">
        <v>0</v>
      </c>
      <c r="M358" s="677">
        <v>34</v>
      </c>
      <c r="N358" s="677">
        <v>0</v>
      </c>
      <c r="O358" s="677">
        <v>0</v>
      </c>
      <c r="P358" s="677">
        <v>0</v>
      </c>
      <c r="Q358" s="677">
        <v>0</v>
      </c>
      <c r="R358" s="677">
        <v>0</v>
      </c>
      <c r="S358" s="677">
        <v>0</v>
      </c>
      <c r="T358" s="677">
        <v>0</v>
      </c>
      <c r="U358" s="677">
        <v>0</v>
      </c>
      <c r="V358" s="677">
        <v>88</v>
      </c>
      <c r="W358" s="677">
        <v>22</v>
      </c>
      <c r="X358" s="678"/>
      <c r="Y358" s="682"/>
      <c r="Z358" s="680"/>
      <c r="AA358" s="681">
        <v>68.847999999999999</v>
      </c>
      <c r="AB358" s="681">
        <v>29.978000000000002</v>
      </c>
      <c r="AC358" s="417">
        <v>19</v>
      </c>
      <c r="AD358" s="417"/>
      <c r="AE358" s="682" t="s">
        <v>4279</v>
      </c>
      <c r="AF358">
        <v>1</v>
      </c>
      <c r="AG358" s="745">
        <v>43101</v>
      </c>
      <c r="AH358" s="417"/>
      <c r="AI358" s="417"/>
      <c r="AJ358" s="746">
        <v>43252</v>
      </c>
      <c r="AK358" s="417"/>
      <c r="AL358" s="637" t="s">
        <v>3443</v>
      </c>
      <c r="AM358" s="417"/>
      <c r="AN358" s="417"/>
      <c r="AO358" s="636"/>
      <c r="AP358">
        <v>556658</v>
      </c>
      <c r="AQ358" s="747">
        <v>43172</v>
      </c>
      <c r="AR358" s="417"/>
      <c r="AS358" s="417"/>
      <c r="AT358" s="417"/>
      <c r="AU358" s="417"/>
      <c r="AV358" s="417"/>
      <c r="AW358" s="417"/>
      <c r="AX358" s="417"/>
      <c r="AY358" s="183" t="s">
        <v>4245</v>
      </c>
      <c r="AZ358" s="417"/>
      <c r="BA358" s="417"/>
      <c r="BB358" t="s">
        <v>4238</v>
      </c>
      <c r="BC358" s="636"/>
      <c r="BD358" s="417"/>
      <c r="BE358" s="612">
        <v>0</v>
      </c>
      <c r="BF358" s="613">
        <v>0</v>
      </c>
      <c r="BG358" s="614" t="s">
        <v>78</v>
      </c>
      <c r="BH358" s="682"/>
      <c r="BI358" s="417"/>
      <c r="BJ358" s="417">
        <v>50</v>
      </c>
      <c r="BK358" s="682" t="str">
        <f>Техкарта[[#This Row],[Кв-л]]&amp;" кв ("&amp;Substring(Техкарта[[#This Row],[Виділ]],"_",1)&amp;" вид) "&amp;Substring(Техкарта[[#This Row],[Виділ]],"_",2)&amp;" діл."</f>
        <v>81 кв (1 вид) 0 діл.</v>
      </c>
      <c r="BL358" s="682" t="str">
        <f>Техкарта[[#This Row],[ПолнаяДіл]] &amp;" "&amp;Техкарта[[#This Row],[ЛК]]&amp;" "&amp;Техкарта[[#This Row],[Вид рубки]]</f>
        <v>81 кв (1 вид) 0 діл. 556658 СРВ</v>
      </c>
      <c r="BM358" s="682"/>
      <c r="BN358" s="636" t="s">
        <v>3784</v>
      </c>
      <c r="BO358" s="636" t="s">
        <v>3784</v>
      </c>
      <c r="BP358" s="636" t="s">
        <v>3784</v>
      </c>
      <c r="BQ358" s="636" t="s">
        <v>105</v>
      </c>
      <c r="BR358" s="636"/>
      <c r="BS358" s="636"/>
      <c r="BT358" s="636"/>
      <c r="BU358" s="636"/>
      <c r="BV358" s="636"/>
      <c r="BW358" s="636" t="s">
        <v>4236</v>
      </c>
      <c r="BX358" s="636"/>
      <c r="BY358" s="972"/>
    </row>
    <row r="359" spans="1:77">
      <c r="A359" t="s">
        <v>105</v>
      </c>
      <c r="B359" s="675" t="s">
        <v>116</v>
      </c>
      <c r="C359" s="687" t="s">
        <v>126</v>
      </c>
      <c r="D359" s="675">
        <v>0</v>
      </c>
      <c r="E359" s="675" t="s">
        <v>2305</v>
      </c>
      <c r="F359" s="675">
        <v>3</v>
      </c>
      <c r="G359" s="675" t="s">
        <v>2238</v>
      </c>
      <c r="H359" s="675">
        <v>69</v>
      </c>
      <c r="I359" s="676" t="s">
        <v>3830</v>
      </c>
      <c r="J359" s="677">
        <v>8.1999999999999993</v>
      </c>
      <c r="K359" s="683">
        <v>419</v>
      </c>
      <c r="L359" s="677">
        <v>0</v>
      </c>
      <c r="M359" s="677">
        <v>0</v>
      </c>
      <c r="N359" s="677">
        <v>20</v>
      </c>
      <c r="O359" s="677">
        <v>0</v>
      </c>
      <c r="P359" s="677">
        <v>0</v>
      </c>
      <c r="Q359" s="677">
        <v>0</v>
      </c>
      <c r="R359" s="677">
        <v>0</v>
      </c>
      <c r="S359" s="677">
        <v>0</v>
      </c>
      <c r="T359" s="677">
        <v>0</v>
      </c>
      <c r="U359" s="677">
        <v>45</v>
      </c>
      <c r="V359" s="677">
        <v>0</v>
      </c>
      <c r="W359" s="677">
        <v>150</v>
      </c>
      <c r="X359" s="678"/>
      <c r="Y359" s="682"/>
      <c r="Z359" s="680"/>
      <c r="AA359" s="681">
        <v>74.903999999999996</v>
      </c>
      <c r="AB359" s="681">
        <v>29.978000000000002</v>
      </c>
      <c r="AC359" s="417">
        <v>16</v>
      </c>
      <c r="AD359" s="417"/>
      <c r="AE359" s="682" t="s">
        <v>4280</v>
      </c>
      <c r="AF359">
        <v>1</v>
      </c>
      <c r="AG359" s="745">
        <v>43101</v>
      </c>
      <c r="AH359" s="417"/>
      <c r="AI359" s="417"/>
      <c r="AJ359" s="746">
        <v>43252</v>
      </c>
      <c r="AK359" s="417"/>
      <c r="AL359" s="637" t="s">
        <v>3475</v>
      </c>
      <c r="AM359" s="417"/>
      <c r="AN359" s="417"/>
      <c r="AO359" s="636"/>
      <c r="AP359">
        <v>556663</v>
      </c>
      <c r="AQ359" s="747">
        <v>43182</v>
      </c>
      <c r="AR359" s="417"/>
      <c r="AS359" s="417"/>
      <c r="AT359" s="417"/>
      <c r="AU359" s="417"/>
      <c r="AV359" s="417"/>
      <c r="AW359" s="417"/>
      <c r="AX359" s="417"/>
      <c r="AY359" s="183" t="s">
        <v>4245</v>
      </c>
      <c r="AZ359" s="417"/>
      <c r="BA359" s="417"/>
      <c r="BB359" t="s">
        <v>4238</v>
      </c>
      <c r="BC359" s="636"/>
      <c r="BD359" s="417"/>
      <c r="BE359" s="612">
        <v>0</v>
      </c>
      <c r="BF359" s="613">
        <v>0</v>
      </c>
      <c r="BG359" s="614" t="s">
        <v>78</v>
      </c>
      <c r="BH359" s="682"/>
      <c r="BI359" s="417"/>
      <c r="BJ359" s="417">
        <v>51</v>
      </c>
      <c r="BK359" s="682" t="str">
        <f>Техкарта[[#This Row],[Кв-л]]&amp;" кв ("&amp;Substring(Техкарта[[#This Row],[Виділ]],"_",1)&amp;" вид) "&amp;Substring(Техкарта[[#This Row],[Виділ]],"_",2)&amp;" діл."</f>
        <v>69 кв (1 вид) 0 діл.</v>
      </c>
      <c r="BL359" s="682" t="str">
        <f>Техкарта[[#This Row],[ПолнаяДіл]] &amp;" "&amp;Техкарта[[#This Row],[ЛК]]&amp;" "&amp;Техкарта[[#This Row],[Вид рубки]]</f>
        <v>69 кв (1 вид) 0 діл. 556663 СРВ</v>
      </c>
      <c r="BM359" s="682"/>
      <c r="BN359" s="636" t="s">
        <v>3784</v>
      </c>
      <c r="BO359" s="636" t="s">
        <v>3784</v>
      </c>
      <c r="BP359" s="636" t="s">
        <v>3784</v>
      </c>
      <c r="BQ359" s="636" t="s">
        <v>105</v>
      </c>
      <c r="BR359" s="636"/>
      <c r="BS359" s="636"/>
      <c r="BT359" s="636"/>
      <c r="BU359" s="636"/>
      <c r="BV359" s="636"/>
      <c r="BW359" s="636" t="s">
        <v>4236</v>
      </c>
      <c r="BX359" s="636"/>
      <c r="BY359" s="972"/>
    </row>
    <row r="360" spans="1:77">
      <c r="A360" t="s">
        <v>105</v>
      </c>
      <c r="B360" s="675" t="s">
        <v>116</v>
      </c>
      <c r="C360" s="687" t="s">
        <v>126</v>
      </c>
      <c r="D360" s="675">
        <v>0</v>
      </c>
      <c r="E360" s="675" t="s">
        <v>2305</v>
      </c>
      <c r="F360" s="675">
        <v>3</v>
      </c>
      <c r="G360" s="675" t="s">
        <v>2238</v>
      </c>
      <c r="H360" s="675">
        <v>95</v>
      </c>
      <c r="I360" s="676" t="s">
        <v>3852</v>
      </c>
      <c r="J360" s="677">
        <v>1.1000000000000001</v>
      </c>
      <c r="K360" s="683">
        <v>141</v>
      </c>
      <c r="L360" s="677">
        <v>0</v>
      </c>
      <c r="M360" s="677">
        <v>0</v>
      </c>
      <c r="N360" s="677">
        <v>7</v>
      </c>
      <c r="O360" s="677">
        <v>0</v>
      </c>
      <c r="P360" s="677">
        <v>0</v>
      </c>
      <c r="Q360" s="677">
        <v>0</v>
      </c>
      <c r="R360" s="677">
        <v>0</v>
      </c>
      <c r="S360" s="677">
        <v>0</v>
      </c>
      <c r="T360" s="677">
        <v>0</v>
      </c>
      <c r="U360" s="677">
        <v>7</v>
      </c>
      <c r="V360" s="677">
        <v>0</v>
      </c>
      <c r="W360" s="677">
        <v>64</v>
      </c>
      <c r="X360" s="678"/>
      <c r="Y360" s="682"/>
      <c r="Z360" s="680"/>
      <c r="AA360" s="681">
        <v>74.328000000000003</v>
      </c>
      <c r="AB360" s="681">
        <v>29.978000000000002</v>
      </c>
      <c r="AC360" s="417">
        <v>5</v>
      </c>
      <c r="AD360" s="417"/>
      <c r="AE360" s="682" t="s">
        <v>4281</v>
      </c>
      <c r="AF360">
        <v>1</v>
      </c>
      <c r="AG360" s="745">
        <v>43101</v>
      </c>
      <c r="AH360" s="417"/>
      <c r="AI360" s="417"/>
      <c r="AJ360" s="746">
        <v>43252</v>
      </c>
      <c r="AK360" s="417"/>
      <c r="AL360" s="637" t="s">
        <v>3475</v>
      </c>
      <c r="AM360" s="417"/>
      <c r="AN360" s="417"/>
      <c r="AO360" s="636"/>
      <c r="AP360">
        <v>556663</v>
      </c>
      <c r="AQ360" s="747">
        <v>43182</v>
      </c>
      <c r="AR360" s="417"/>
      <c r="AS360" s="417"/>
      <c r="AT360" s="417"/>
      <c r="AU360" s="417"/>
      <c r="AV360" s="417"/>
      <c r="AW360" s="417"/>
      <c r="AX360" s="417"/>
      <c r="AY360" s="183" t="s">
        <v>4245</v>
      </c>
      <c r="AZ360" s="417"/>
      <c r="BA360" s="417"/>
      <c r="BB360" t="s">
        <v>4238</v>
      </c>
      <c r="BC360" s="636"/>
      <c r="BD360" s="417"/>
      <c r="BE360" s="612">
        <v>0</v>
      </c>
      <c r="BF360" s="613">
        <v>0</v>
      </c>
      <c r="BG360" s="614" t="s">
        <v>78</v>
      </c>
      <c r="BH360" s="682"/>
      <c r="BI360" s="417"/>
      <c r="BJ360" s="417">
        <v>52</v>
      </c>
      <c r="BK360" s="682" t="str">
        <f>Техкарта[[#This Row],[Кв-л]]&amp;" кв ("&amp;Substring(Техкарта[[#This Row],[Виділ]],"_",1)&amp;" вид) "&amp;Substring(Техкарта[[#This Row],[Виділ]],"_",2)&amp;" діл."</f>
        <v>95 кв (14 вид) 0 діл.</v>
      </c>
      <c r="BL360" s="682" t="str">
        <f>Техкарта[[#This Row],[ПолнаяДіл]] &amp;" "&amp;Техкарта[[#This Row],[ЛК]]&amp;" "&amp;Техкарта[[#This Row],[Вид рубки]]</f>
        <v>95 кв (14 вид) 0 діл. 556663 СРВ</v>
      </c>
      <c r="BM360" s="682"/>
      <c r="BN360" s="636" t="s">
        <v>3784</v>
      </c>
      <c r="BO360" s="636" t="s">
        <v>3784</v>
      </c>
      <c r="BP360" s="636" t="s">
        <v>3784</v>
      </c>
      <c r="BQ360" s="636" t="s">
        <v>105</v>
      </c>
      <c r="BR360" s="636"/>
      <c r="BS360" s="636"/>
      <c r="BT360" s="636"/>
      <c r="BU360" s="636"/>
      <c r="BV360" s="636"/>
      <c r="BW360" s="636" t="s">
        <v>4236</v>
      </c>
      <c r="BX360" s="636"/>
      <c r="BY360" s="972"/>
    </row>
    <row r="361" spans="1:77">
      <c r="A361" t="s">
        <v>105</v>
      </c>
      <c r="B361" s="675" t="s">
        <v>116</v>
      </c>
      <c r="C361" s="687" t="s">
        <v>126</v>
      </c>
      <c r="D361" s="675">
        <v>0</v>
      </c>
      <c r="E361" s="675" t="s">
        <v>2305</v>
      </c>
      <c r="F361" s="675">
        <v>3</v>
      </c>
      <c r="G361" s="675" t="s">
        <v>2238</v>
      </c>
      <c r="H361" s="675">
        <v>99</v>
      </c>
      <c r="I361" s="676" t="s">
        <v>3790</v>
      </c>
      <c r="J361" s="677">
        <v>1.3</v>
      </c>
      <c r="K361" s="683">
        <v>151</v>
      </c>
      <c r="L361" s="677">
        <v>0</v>
      </c>
      <c r="M361" s="677">
        <v>0</v>
      </c>
      <c r="N361" s="677">
        <v>12</v>
      </c>
      <c r="O361" s="677">
        <v>0</v>
      </c>
      <c r="P361" s="677">
        <v>0</v>
      </c>
      <c r="Q361" s="677">
        <v>0</v>
      </c>
      <c r="R361" s="677">
        <v>0</v>
      </c>
      <c r="S361" s="677">
        <v>0</v>
      </c>
      <c r="T361" s="677">
        <v>0</v>
      </c>
      <c r="U361" s="677">
        <v>7</v>
      </c>
      <c r="V361" s="677">
        <v>0</v>
      </c>
      <c r="W361" s="677">
        <v>81</v>
      </c>
      <c r="X361" s="678"/>
      <c r="Y361" s="682"/>
      <c r="Z361" s="680"/>
      <c r="AA361" s="681">
        <v>69.891999999999996</v>
      </c>
      <c r="AB361" s="681">
        <v>29.978000000000002</v>
      </c>
      <c r="AC361" s="417">
        <v>7</v>
      </c>
      <c r="AD361" s="417"/>
      <c r="AE361" s="682" t="s">
        <v>4282</v>
      </c>
      <c r="AF361">
        <v>1</v>
      </c>
      <c r="AG361" s="745">
        <v>43101</v>
      </c>
      <c r="AH361" s="417"/>
      <c r="AI361" s="417"/>
      <c r="AJ361" s="746">
        <v>43252</v>
      </c>
      <c r="AK361" s="417"/>
      <c r="AL361" s="637" t="s">
        <v>3475</v>
      </c>
      <c r="AM361" s="417"/>
      <c r="AN361" s="417"/>
      <c r="AO361" s="636"/>
      <c r="AP361">
        <v>556663</v>
      </c>
      <c r="AQ361" s="747">
        <v>43182</v>
      </c>
      <c r="AR361" s="417"/>
      <c r="AS361" s="417"/>
      <c r="AT361" s="417"/>
      <c r="AU361" s="417"/>
      <c r="AV361" s="417"/>
      <c r="AW361" s="417"/>
      <c r="AX361" s="417"/>
      <c r="AY361" s="183" t="s">
        <v>4245</v>
      </c>
      <c r="AZ361" s="417"/>
      <c r="BA361" s="417"/>
      <c r="BB361" t="s">
        <v>4238</v>
      </c>
      <c r="BC361" s="636"/>
      <c r="BD361" s="417"/>
      <c r="BE361" s="612">
        <v>0</v>
      </c>
      <c r="BF361" s="613">
        <v>0</v>
      </c>
      <c r="BG361" s="614" t="s">
        <v>78</v>
      </c>
      <c r="BH361" s="682"/>
      <c r="BI361" s="417"/>
      <c r="BJ361" s="417">
        <v>53</v>
      </c>
      <c r="BK361" s="682" t="str">
        <f>Техкарта[[#This Row],[Кв-л]]&amp;" кв ("&amp;Substring(Техкарта[[#This Row],[Виділ]],"_",1)&amp;" вид) "&amp;Substring(Техкарта[[#This Row],[Виділ]],"_",2)&amp;" діл."</f>
        <v>99 кв (2 вид) 0 діл.</v>
      </c>
      <c r="BL361" s="682" t="str">
        <f>Техкарта[[#This Row],[ПолнаяДіл]] &amp;" "&amp;Техкарта[[#This Row],[ЛК]]&amp;" "&amp;Техкарта[[#This Row],[Вид рубки]]</f>
        <v>99 кв (2 вид) 0 діл. 556663 СРВ</v>
      </c>
      <c r="BM361" s="682"/>
      <c r="BN361" s="636" t="s">
        <v>3784</v>
      </c>
      <c r="BO361" s="636" t="s">
        <v>3784</v>
      </c>
      <c r="BP361" s="636" t="s">
        <v>3784</v>
      </c>
      <c r="BQ361" s="636" t="s">
        <v>105</v>
      </c>
      <c r="BR361" s="636"/>
      <c r="BS361" s="636"/>
      <c r="BT361" s="636"/>
      <c r="BU361" s="636"/>
      <c r="BV361" s="636"/>
      <c r="BW361" s="636" t="s">
        <v>4236</v>
      </c>
      <c r="BX361" s="636"/>
      <c r="BY361" s="972"/>
    </row>
    <row r="362" spans="1:77">
      <c r="A362" t="s">
        <v>105</v>
      </c>
      <c r="B362" s="675" t="s">
        <v>116</v>
      </c>
      <c r="C362" s="687" t="s">
        <v>126</v>
      </c>
      <c r="D362" s="675">
        <v>0</v>
      </c>
      <c r="E362" s="675" t="s">
        <v>2305</v>
      </c>
      <c r="F362" s="675">
        <v>3</v>
      </c>
      <c r="G362" s="675" t="s">
        <v>2238</v>
      </c>
      <c r="H362" s="675">
        <v>113</v>
      </c>
      <c r="I362" s="676" t="s">
        <v>3832</v>
      </c>
      <c r="J362" s="677">
        <v>6.5</v>
      </c>
      <c r="K362" s="683">
        <v>283</v>
      </c>
      <c r="L362" s="677">
        <v>0</v>
      </c>
      <c r="M362" s="677">
        <v>0</v>
      </c>
      <c r="N362" s="677">
        <v>23</v>
      </c>
      <c r="O362" s="677">
        <v>0</v>
      </c>
      <c r="P362" s="677">
        <v>0</v>
      </c>
      <c r="Q362" s="677">
        <v>0</v>
      </c>
      <c r="R362" s="677">
        <v>0</v>
      </c>
      <c r="S362" s="677">
        <v>0</v>
      </c>
      <c r="T362" s="677">
        <v>0</v>
      </c>
      <c r="U362" s="677">
        <v>0</v>
      </c>
      <c r="V362" s="677">
        <v>0</v>
      </c>
      <c r="W362" s="677">
        <v>143</v>
      </c>
      <c r="X362" s="678"/>
      <c r="Y362" s="682"/>
      <c r="Z362" s="680"/>
      <c r="AA362" s="681">
        <v>72.131</v>
      </c>
      <c r="AB362" s="681">
        <v>29.978000000000002</v>
      </c>
      <c r="AC362" s="417">
        <v>10</v>
      </c>
      <c r="AD362" s="417"/>
      <c r="AE362" s="682" t="s">
        <v>4283</v>
      </c>
      <c r="AF362">
        <v>1</v>
      </c>
      <c r="AG362" s="745">
        <v>43101</v>
      </c>
      <c r="AH362" s="417"/>
      <c r="AI362" s="417"/>
      <c r="AJ362" s="746">
        <v>43252</v>
      </c>
      <c r="AK362" s="417"/>
      <c r="AL362" s="637" t="s">
        <v>3479</v>
      </c>
      <c r="AM362" s="417"/>
      <c r="AN362" s="417"/>
      <c r="AO362" s="636"/>
      <c r="AP362">
        <v>556663</v>
      </c>
      <c r="AQ362" s="747">
        <v>43182</v>
      </c>
      <c r="AR362" s="417"/>
      <c r="AS362" s="417"/>
      <c r="AT362" s="417"/>
      <c r="AU362" s="417"/>
      <c r="AV362" s="417"/>
      <c r="AW362" s="417"/>
      <c r="AX362" s="417"/>
      <c r="AY362" s="183" t="s">
        <v>4245</v>
      </c>
      <c r="AZ362" s="417"/>
      <c r="BA362" s="417"/>
      <c r="BB362" t="s">
        <v>4238</v>
      </c>
      <c r="BC362" s="636"/>
      <c r="BD362" s="417"/>
      <c r="BE362" s="612">
        <v>0</v>
      </c>
      <c r="BF362" s="613">
        <v>0</v>
      </c>
      <c r="BG362" s="614" t="s">
        <v>78</v>
      </c>
      <c r="BH362" s="682"/>
      <c r="BI362" s="417"/>
      <c r="BJ362" s="417">
        <v>54</v>
      </c>
      <c r="BK362" s="682" t="str">
        <f>Техкарта[[#This Row],[Кв-л]]&amp;" кв ("&amp;Substring(Техкарта[[#This Row],[Виділ]],"_",1)&amp;" вид) "&amp;Substring(Техкарта[[#This Row],[Виділ]],"_",2)&amp;" діл."</f>
        <v>113 кв (5 вид) 0 діл.</v>
      </c>
      <c r="BL362" s="682" t="str">
        <f>Техкарта[[#This Row],[ПолнаяДіл]] &amp;" "&amp;Техкарта[[#This Row],[ЛК]]&amp;" "&amp;Техкарта[[#This Row],[Вид рубки]]</f>
        <v>113 кв (5 вид) 0 діл. 556663 СРВ</v>
      </c>
      <c r="BM362" s="682"/>
      <c r="BN362" s="636" t="s">
        <v>3784</v>
      </c>
      <c r="BO362" s="636" t="s">
        <v>3784</v>
      </c>
      <c r="BP362" s="636" t="s">
        <v>3784</v>
      </c>
      <c r="BQ362" s="636" t="s">
        <v>105</v>
      </c>
      <c r="BR362" s="636"/>
      <c r="BS362" s="636"/>
      <c r="BT362" s="636"/>
      <c r="BU362" s="636"/>
      <c r="BV362" s="636"/>
      <c r="BW362" s="636" t="s">
        <v>4236</v>
      </c>
      <c r="BX362" s="636"/>
      <c r="BY362" s="972"/>
    </row>
    <row r="363" spans="1:77">
      <c r="A363" t="s">
        <v>105</v>
      </c>
      <c r="B363" s="675" t="s">
        <v>116</v>
      </c>
      <c r="C363" s="687" t="s">
        <v>3588</v>
      </c>
      <c r="D363" s="675">
        <v>0</v>
      </c>
      <c r="E363" s="675" t="s">
        <v>2305</v>
      </c>
      <c r="F363" s="675">
        <v>3</v>
      </c>
      <c r="G363" s="675" t="s">
        <v>2238</v>
      </c>
      <c r="H363" s="675">
        <v>54</v>
      </c>
      <c r="I363" s="676" t="s">
        <v>3809</v>
      </c>
      <c r="J363" s="677">
        <v>0.6</v>
      </c>
      <c r="K363" s="683">
        <v>100</v>
      </c>
      <c r="L363" s="677">
        <v>0</v>
      </c>
      <c r="M363" s="677">
        <v>0</v>
      </c>
      <c r="N363" s="677">
        <v>0</v>
      </c>
      <c r="O363" s="677">
        <v>0</v>
      </c>
      <c r="P363" s="677">
        <v>0</v>
      </c>
      <c r="Q363" s="677">
        <v>0</v>
      </c>
      <c r="R363" s="677">
        <v>0</v>
      </c>
      <c r="S363" s="677">
        <v>11</v>
      </c>
      <c r="T363" s="677">
        <v>0</v>
      </c>
      <c r="U363" s="677">
        <v>0</v>
      </c>
      <c r="V363" s="677">
        <v>0</v>
      </c>
      <c r="W363" s="677">
        <v>0</v>
      </c>
      <c r="X363" s="678"/>
      <c r="Y363" s="682"/>
      <c r="Z363" s="680"/>
      <c r="AA363" s="681">
        <v>124.06</v>
      </c>
      <c r="AB363" s="681">
        <v>29.978000000000002</v>
      </c>
      <c r="AC363" s="417">
        <v>1</v>
      </c>
      <c r="AD363" s="417"/>
      <c r="AE363" s="682" t="s">
        <v>4284</v>
      </c>
      <c r="AF363">
        <v>1</v>
      </c>
      <c r="AG363" s="745">
        <v>43101</v>
      </c>
      <c r="AH363" s="417"/>
      <c r="AI363" s="417"/>
      <c r="AJ363" s="746">
        <v>43252</v>
      </c>
      <c r="AK363" s="417"/>
      <c r="AL363" s="637" t="s">
        <v>3470</v>
      </c>
      <c r="AM363" s="417"/>
      <c r="AN363" s="417"/>
      <c r="AO363" s="636"/>
      <c r="AP363">
        <v>556702</v>
      </c>
      <c r="AQ363" s="747">
        <v>43234</v>
      </c>
      <c r="AR363" s="417"/>
      <c r="AS363" s="417"/>
      <c r="AT363" s="417"/>
      <c r="AU363" s="417"/>
      <c r="AV363" s="417"/>
      <c r="AW363" s="417"/>
      <c r="AX363" s="417"/>
      <c r="AY363" s="183" t="s">
        <v>4245</v>
      </c>
      <c r="AZ363" s="417"/>
      <c r="BA363" s="417"/>
      <c r="BB363" t="s">
        <v>4238</v>
      </c>
      <c r="BC363" s="636"/>
      <c r="BD363" s="417"/>
      <c r="BE363" s="612">
        <v>0</v>
      </c>
      <c r="BF363" s="613">
        <v>0</v>
      </c>
      <c r="BG363" s="614" t="s">
        <v>78</v>
      </c>
      <c r="BH363" s="682"/>
      <c r="BI363" s="417"/>
      <c r="BJ363" s="417">
        <v>61</v>
      </c>
      <c r="BK363" s="682" t="str">
        <f>Техкарта[[#This Row],[Кв-л]]&amp;" кв ("&amp;Substring(Техкарта[[#This Row],[Виділ]],"_",1)&amp;" вид) "&amp;Substring(Техкарта[[#This Row],[Виділ]],"_",2)&amp;" діл."</f>
        <v>54 кв (2 вид) 1 діл.</v>
      </c>
      <c r="BL363" s="682" t="str">
        <f>Техкарта[[#This Row],[ПолнаяДіл]] &amp;" "&amp;Техкарта[[#This Row],[ЛК]]&amp;" "&amp;Техкарта[[#This Row],[Вид рубки]]</f>
        <v>54 кв (2 вид) 1 діл. 556702 рубка в охоронній зоні ЛЕП</v>
      </c>
      <c r="BM363" s="682"/>
      <c r="BN363" s="636" t="s">
        <v>3784</v>
      </c>
      <c r="BO363" s="636" t="s">
        <v>3784</v>
      </c>
      <c r="BP363" s="636" t="s">
        <v>3784</v>
      </c>
      <c r="BQ363" s="636" t="s">
        <v>105</v>
      </c>
      <c r="BR363" s="636"/>
      <c r="BS363" s="636"/>
      <c r="BT363" s="636"/>
      <c r="BU363" s="636"/>
      <c r="BV363" s="636"/>
      <c r="BW363" s="636" t="s">
        <v>4236</v>
      </c>
      <c r="BX363" s="636"/>
      <c r="BY363" s="972"/>
    </row>
    <row r="364" spans="1:77">
      <c r="A364" t="s">
        <v>105</v>
      </c>
      <c r="B364" s="675" t="s">
        <v>116</v>
      </c>
      <c r="C364" s="687" t="s">
        <v>3588</v>
      </c>
      <c r="D364" s="675">
        <v>0</v>
      </c>
      <c r="E364" s="675" t="s">
        <v>2305</v>
      </c>
      <c r="F364" s="675">
        <v>3</v>
      </c>
      <c r="G364" s="675" t="s">
        <v>2238</v>
      </c>
      <c r="H364" s="675">
        <v>55</v>
      </c>
      <c r="I364" s="676" t="s">
        <v>3806</v>
      </c>
      <c r="J364" s="677">
        <v>2</v>
      </c>
      <c r="K364" s="683">
        <v>248</v>
      </c>
      <c r="L364" s="677">
        <v>0</v>
      </c>
      <c r="M364" s="677">
        <v>16</v>
      </c>
      <c r="N364" s="677">
        <v>0</v>
      </c>
      <c r="O364" s="677">
        <v>0</v>
      </c>
      <c r="P364" s="677">
        <v>0</v>
      </c>
      <c r="Q364" s="677">
        <v>0</v>
      </c>
      <c r="R364" s="677">
        <v>0</v>
      </c>
      <c r="S364" s="677">
        <v>51</v>
      </c>
      <c r="T364" s="677">
        <v>1</v>
      </c>
      <c r="U364" s="677">
        <v>0</v>
      </c>
      <c r="V364" s="677">
        <v>0</v>
      </c>
      <c r="W364" s="677">
        <v>0</v>
      </c>
      <c r="X364" s="678"/>
      <c r="Y364" s="682"/>
      <c r="Z364" s="680"/>
      <c r="AA364" s="681">
        <v>75.216999999999999</v>
      </c>
      <c r="AB364" s="681">
        <v>29.978000000000002</v>
      </c>
      <c r="AC364" s="417">
        <v>1</v>
      </c>
      <c r="AD364" s="417"/>
      <c r="AE364" s="682" t="s">
        <v>4285</v>
      </c>
      <c r="AF364">
        <v>1</v>
      </c>
      <c r="AG364" s="745">
        <v>43101</v>
      </c>
      <c r="AH364" s="417"/>
      <c r="AI364" s="417"/>
      <c r="AJ364" s="746">
        <v>43252</v>
      </c>
      <c r="AK364" s="417"/>
      <c r="AL364" s="637" t="s">
        <v>3470</v>
      </c>
      <c r="AM364" s="417"/>
      <c r="AN364" s="417"/>
      <c r="AO364" s="636"/>
      <c r="AP364">
        <v>556702</v>
      </c>
      <c r="AQ364" s="747">
        <v>43234</v>
      </c>
      <c r="AR364" s="417"/>
      <c r="AS364" s="417"/>
      <c r="AT364" s="417"/>
      <c r="AU364" s="417"/>
      <c r="AV364" s="417"/>
      <c r="AW364" s="417"/>
      <c r="AX364" s="417"/>
      <c r="AY364" s="183" t="s">
        <v>4245</v>
      </c>
      <c r="AZ364" s="417"/>
      <c r="BA364" s="417"/>
      <c r="BB364" t="s">
        <v>4238</v>
      </c>
      <c r="BC364" s="636"/>
      <c r="BD364" s="417"/>
      <c r="BE364" s="612">
        <v>0</v>
      </c>
      <c r="BF364" s="613">
        <v>0</v>
      </c>
      <c r="BG364" s="614" t="s">
        <v>78</v>
      </c>
      <c r="BH364" s="682"/>
      <c r="BI364" s="417"/>
      <c r="BJ364" s="417">
        <v>63</v>
      </c>
      <c r="BK364" s="682" t="str">
        <f>Техкарта[[#This Row],[Кв-л]]&amp;" кв ("&amp;Substring(Техкарта[[#This Row],[Виділ]],"_",1)&amp;" вид) "&amp;Substring(Техкарта[[#This Row],[Виділ]],"_",2)&amp;" діл."</f>
        <v>55 кв (1 вид) 1 діл.</v>
      </c>
      <c r="BL364" s="682" t="str">
        <f>Техкарта[[#This Row],[ПолнаяДіл]] &amp;" "&amp;Техкарта[[#This Row],[ЛК]]&amp;" "&amp;Техкарта[[#This Row],[Вид рубки]]</f>
        <v>55 кв (1 вид) 1 діл. 556702 рубка в охоронній зоні ЛЕП</v>
      </c>
      <c r="BM364" s="682"/>
      <c r="BN364" s="636" t="s">
        <v>3784</v>
      </c>
      <c r="BO364" s="636" t="s">
        <v>3784</v>
      </c>
      <c r="BP364" s="636" t="s">
        <v>3784</v>
      </c>
      <c r="BQ364" s="636" t="s">
        <v>105</v>
      </c>
      <c r="BR364" s="636"/>
      <c r="BS364" s="636"/>
      <c r="BT364" s="636"/>
      <c r="BU364" s="636"/>
      <c r="BV364" s="636"/>
      <c r="BW364" s="636" t="s">
        <v>4236</v>
      </c>
      <c r="BX364" s="636"/>
      <c r="BY364" s="972"/>
    </row>
    <row r="365" spans="1:77">
      <c r="A365" t="s">
        <v>105</v>
      </c>
      <c r="B365" s="675" t="s">
        <v>116</v>
      </c>
      <c r="C365" s="687" t="s">
        <v>3588</v>
      </c>
      <c r="D365" s="675">
        <v>0</v>
      </c>
      <c r="E365" s="675" t="s">
        <v>2305</v>
      </c>
      <c r="F365" s="675">
        <v>3</v>
      </c>
      <c r="G365" s="675" t="s">
        <v>2238</v>
      </c>
      <c r="H365" s="675">
        <v>58</v>
      </c>
      <c r="I365" s="676" t="s">
        <v>4192</v>
      </c>
      <c r="J365" s="677">
        <v>0.3</v>
      </c>
      <c r="K365" s="683">
        <v>14</v>
      </c>
      <c r="L365" s="677">
        <v>0</v>
      </c>
      <c r="M365" s="677">
        <v>4</v>
      </c>
      <c r="N365" s="677">
        <v>0</v>
      </c>
      <c r="O365" s="677">
        <v>0</v>
      </c>
      <c r="P365" s="677">
        <v>0</v>
      </c>
      <c r="Q365" s="677">
        <v>0</v>
      </c>
      <c r="R365" s="677">
        <v>0</v>
      </c>
      <c r="S365" s="677">
        <v>7</v>
      </c>
      <c r="T365" s="677">
        <v>1</v>
      </c>
      <c r="U365" s="677">
        <v>0</v>
      </c>
      <c r="V365" s="677">
        <v>0</v>
      </c>
      <c r="W365" s="677">
        <v>0</v>
      </c>
      <c r="X365" s="678"/>
      <c r="Y365" s="682"/>
      <c r="Z365" s="680"/>
      <c r="AA365" s="681">
        <v>53.835000000000001</v>
      </c>
      <c r="AB365" s="681">
        <v>29.978000000000002</v>
      </c>
      <c r="AC365" s="417">
        <v>1</v>
      </c>
      <c r="AD365" s="417"/>
      <c r="AE365" s="682" t="s">
        <v>4286</v>
      </c>
      <c r="AF365">
        <v>1</v>
      </c>
      <c r="AG365" s="745">
        <v>43101</v>
      </c>
      <c r="AH365" s="417"/>
      <c r="AI365" s="417"/>
      <c r="AJ365" s="746">
        <v>43252</v>
      </c>
      <c r="AK365" s="417"/>
      <c r="AL365" s="637" t="s">
        <v>3475</v>
      </c>
      <c r="AM365" s="417"/>
      <c r="AN365" s="417"/>
      <c r="AO365" s="636"/>
      <c r="AP365">
        <v>556702</v>
      </c>
      <c r="AQ365" s="747">
        <v>43234</v>
      </c>
      <c r="AR365" s="417"/>
      <c r="AS365" s="417"/>
      <c r="AT365" s="417"/>
      <c r="AU365" s="417"/>
      <c r="AV365" s="417"/>
      <c r="AW365" s="417"/>
      <c r="AX365" s="417"/>
      <c r="AY365" s="183" t="s">
        <v>4245</v>
      </c>
      <c r="AZ365" s="417"/>
      <c r="BA365" s="417"/>
      <c r="BB365" t="s">
        <v>4238</v>
      </c>
      <c r="BC365" s="636"/>
      <c r="BD365" s="417"/>
      <c r="BE365" s="612">
        <v>0</v>
      </c>
      <c r="BF365" s="613">
        <v>0</v>
      </c>
      <c r="BG365" s="614" t="s">
        <v>78</v>
      </c>
      <c r="BH365" s="682"/>
      <c r="BI365" s="417"/>
      <c r="BJ365" s="417">
        <v>70</v>
      </c>
      <c r="BK365" s="682" t="str">
        <f>Техкарта[[#This Row],[Кв-л]]&amp;" кв ("&amp;Substring(Техкарта[[#This Row],[Виділ]],"_",1)&amp;" вид) "&amp;Substring(Техкарта[[#This Row],[Виділ]],"_",2)&amp;" діл."</f>
        <v>58 кв (13 вид) 1 діл.</v>
      </c>
      <c r="BL365" s="682" t="str">
        <f>Техкарта[[#This Row],[ПолнаяДіл]] &amp;" "&amp;Техкарта[[#This Row],[ЛК]]&amp;" "&amp;Техкарта[[#This Row],[Вид рубки]]</f>
        <v>58 кв (13 вид) 1 діл. 556702 рубка в охоронній зоні ЛЕП</v>
      </c>
      <c r="BM365" s="682"/>
      <c r="BN365" s="636" t="s">
        <v>3784</v>
      </c>
      <c r="BO365" s="636" t="s">
        <v>3784</v>
      </c>
      <c r="BP365" s="636" t="s">
        <v>3784</v>
      </c>
      <c r="BQ365" s="636" t="s">
        <v>105</v>
      </c>
      <c r="BR365" s="636"/>
      <c r="BS365" s="636"/>
      <c r="BT365" s="636"/>
      <c r="BU365" s="636"/>
      <c r="BV365" s="636"/>
      <c r="BW365" s="636" t="s">
        <v>4236</v>
      </c>
      <c r="BX365" s="636"/>
      <c r="BY365" s="972"/>
    </row>
    <row r="366" spans="1:77">
      <c r="A366" t="s">
        <v>105</v>
      </c>
      <c r="B366" s="675" t="s">
        <v>116</v>
      </c>
      <c r="C366" s="687" t="s">
        <v>3588</v>
      </c>
      <c r="D366" s="675">
        <v>0</v>
      </c>
      <c r="E366" s="675" t="s">
        <v>2305</v>
      </c>
      <c r="F366" s="675">
        <v>3</v>
      </c>
      <c r="G366" s="675" t="s">
        <v>2238</v>
      </c>
      <c r="H366" s="675">
        <v>67</v>
      </c>
      <c r="I366" s="676" t="s">
        <v>3796</v>
      </c>
      <c r="J366" s="677">
        <v>0.2</v>
      </c>
      <c r="K366" s="683">
        <v>3</v>
      </c>
      <c r="L366" s="677">
        <v>0</v>
      </c>
      <c r="M366" s="677">
        <v>1</v>
      </c>
      <c r="N366" s="677">
        <v>0</v>
      </c>
      <c r="O366" s="677">
        <v>0</v>
      </c>
      <c r="P366" s="677">
        <v>0</v>
      </c>
      <c r="Q366" s="677">
        <v>0</v>
      </c>
      <c r="R366" s="677">
        <v>0</v>
      </c>
      <c r="S366" s="677">
        <v>3</v>
      </c>
      <c r="T366" s="677">
        <v>0</v>
      </c>
      <c r="U366" s="677">
        <v>0</v>
      </c>
      <c r="V366" s="677">
        <v>0</v>
      </c>
      <c r="W366" s="677">
        <v>0</v>
      </c>
      <c r="X366" s="678"/>
      <c r="Y366" s="682"/>
      <c r="Z366" s="680"/>
      <c r="AA366" s="681">
        <v>54.204000000000001</v>
      </c>
      <c r="AB366" s="681">
        <v>29.978000000000002</v>
      </c>
      <c r="AC366" s="417">
        <v>1</v>
      </c>
      <c r="AD366" s="417"/>
      <c r="AE366" s="682" t="s">
        <v>4287</v>
      </c>
      <c r="AF366">
        <v>1</v>
      </c>
      <c r="AG366" s="745">
        <v>43101</v>
      </c>
      <c r="AH366" s="417"/>
      <c r="AI366" s="417"/>
      <c r="AJ366" s="746">
        <v>43252</v>
      </c>
      <c r="AK366" s="417"/>
      <c r="AL366" s="637" t="s">
        <v>3475</v>
      </c>
      <c r="AM366" s="417"/>
      <c r="AN366" s="417"/>
      <c r="AO366" s="636"/>
      <c r="AP366">
        <v>556702</v>
      </c>
      <c r="AQ366" s="747">
        <v>43234</v>
      </c>
      <c r="AR366" s="417"/>
      <c r="AS366" s="417"/>
      <c r="AT366" s="417"/>
      <c r="AU366" s="417"/>
      <c r="AV366" s="417"/>
      <c r="AW366" s="417"/>
      <c r="AX366" s="417"/>
      <c r="AY366" s="183" t="s">
        <v>4245</v>
      </c>
      <c r="AZ366" s="417"/>
      <c r="BA366" s="417"/>
      <c r="BB366" t="s">
        <v>4238</v>
      </c>
      <c r="BC366" s="636"/>
      <c r="BD366" s="417"/>
      <c r="BE366" s="612">
        <v>0</v>
      </c>
      <c r="BF366" s="613">
        <v>0</v>
      </c>
      <c r="BG366" s="614" t="s">
        <v>78</v>
      </c>
      <c r="BH366" s="682"/>
      <c r="BI366" s="417"/>
      <c r="BJ366" s="417">
        <v>71</v>
      </c>
      <c r="BK366" s="682" t="str">
        <f>Техкарта[[#This Row],[Кв-л]]&amp;" кв ("&amp;Substring(Техкарта[[#This Row],[Виділ]],"_",1)&amp;" вид) "&amp;Substring(Техкарта[[#This Row],[Виділ]],"_",2)&amp;" діл."</f>
        <v>67 кв (5 вид) 1 діл.</v>
      </c>
      <c r="BL366" s="682" t="str">
        <f>Техкарта[[#This Row],[ПолнаяДіл]] &amp;" "&amp;Техкарта[[#This Row],[ЛК]]&amp;" "&amp;Техкарта[[#This Row],[Вид рубки]]</f>
        <v>67 кв (5 вид) 1 діл. 556702 рубка в охоронній зоні ЛЕП</v>
      </c>
      <c r="BM366" s="682"/>
      <c r="BN366" s="636" t="s">
        <v>3784</v>
      </c>
      <c r="BO366" s="636" t="s">
        <v>3784</v>
      </c>
      <c r="BP366" s="636" t="s">
        <v>3784</v>
      </c>
      <c r="BQ366" s="636" t="s">
        <v>105</v>
      </c>
      <c r="BR366" s="636"/>
      <c r="BS366" s="636"/>
      <c r="BT366" s="636"/>
      <c r="BU366" s="636"/>
      <c r="BV366" s="636"/>
      <c r="BW366" s="636" t="s">
        <v>4236</v>
      </c>
      <c r="BX366" s="636"/>
      <c r="BY366" s="972"/>
    </row>
    <row r="367" spans="1:77">
      <c r="A367" t="s">
        <v>104</v>
      </c>
      <c r="B367" s="675" t="s">
        <v>113</v>
      </c>
      <c r="C367" s="687" t="s">
        <v>104</v>
      </c>
      <c r="D367" s="675">
        <v>0</v>
      </c>
      <c r="E367" s="675" t="s">
        <v>2305</v>
      </c>
      <c r="F367" s="675">
        <v>3</v>
      </c>
      <c r="G367" s="675" t="s">
        <v>2238</v>
      </c>
      <c r="H367" s="675">
        <v>21</v>
      </c>
      <c r="I367" s="676" t="s">
        <v>3790</v>
      </c>
      <c r="J367" s="677">
        <v>1</v>
      </c>
      <c r="K367" s="683">
        <v>366</v>
      </c>
      <c r="L367" s="677">
        <v>0</v>
      </c>
      <c r="M367" s="677">
        <v>0</v>
      </c>
      <c r="N367" s="677">
        <v>140</v>
      </c>
      <c r="O367" s="677">
        <v>0</v>
      </c>
      <c r="P367" s="677">
        <v>0</v>
      </c>
      <c r="Q367" s="677">
        <v>30</v>
      </c>
      <c r="R367" s="677">
        <v>7</v>
      </c>
      <c r="S367" s="677">
        <v>2</v>
      </c>
      <c r="T367" s="677">
        <v>139</v>
      </c>
      <c r="U367" s="677">
        <v>2</v>
      </c>
      <c r="V367" s="677">
        <v>1</v>
      </c>
      <c r="W367" s="677">
        <v>96</v>
      </c>
      <c r="X367" s="678"/>
      <c r="Y367" s="682"/>
      <c r="Z367" s="680"/>
      <c r="AA367" s="681">
        <v>72.188000000000002</v>
      </c>
      <c r="AB367" s="681">
        <v>29.172000000000001</v>
      </c>
      <c r="AC367" s="417">
        <v>22</v>
      </c>
      <c r="AD367" s="417"/>
      <c r="AE367" s="682" t="s">
        <v>4288</v>
      </c>
      <c r="AF367">
        <v>1</v>
      </c>
      <c r="AG367" s="745">
        <v>43101</v>
      </c>
      <c r="AH367" s="417"/>
      <c r="AI367" s="417"/>
      <c r="AJ367" s="746">
        <v>43252</v>
      </c>
      <c r="AK367" s="417"/>
      <c r="AL367" s="637" t="s">
        <v>3469</v>
      </c>
      <c r="AM367" s="417"/>
      <c r="AN367" s="417"/>
      <c r="AO367" s="636"/>
      <c r="AP367">
        <v>556620</v>
      </c>
      <c r="AQ367" s="747" t="s">
        <v>3723</v>
      </c>
      <c r="AR367" s="417"/>
      <c r="AS367" s="417"/>
      <c r="AT367" s="417"/>
      <c r="AU367" s="417"/>
      <c r="AV367" s="417"/>
      <c r="AW367" s="417"/>
      <c r="AX367" s="417"/>
      <c r="AY367" s="183" t="s">
        <v>4245</v>
      </c>
      <c r="AZ367" s="417"/>
      <c r="BA367" s="417"/>
      <c r="BB367" t="s">
        <v>4238</v>
      </c>
      <c r="BC367" s="636"/>
      <c r="BD367" s="417"/>
      <c r="BE367" s="612">
        <v>5</v>
      </c>
      <c r="BF367" s="613">
        <v>40</v>
      </c>
      <c r="BG367" s="614" t="s">
        <v>78</v>
      </c>
      <c r="BH367" s="682"/>
      <c r="BI367" s="417"/>
      <c r="BJ367" s="417">
        <v>1</v>
      </c>
      <c r="BK367" s="682" t="str">
        <f>Техкарта[[#This Row],[Кв-л]]&amp;" кв ("&amp;Substring(Техкарта[[#This Row],[Виділ]],"_",1)&amp;" вид) "&amp;Substring(Техкарта[[#This Row],[Виділ]],"_",2)&amp;" діл."</f>
        <v>21 кв (2 вид) 0 діл.</v>
      </c>
      <c r="BL367" s="682" t="str">
        <f>Техкарта[[#This Row],[ПолнаяДіл]] &amp;" "&amp;Техкарта[[#This Row],[ЛК]]&amp;" "&amp;Техкарта[[#This Row],[Вид рубки]]</f>
        <v>21 кв (2 вид) 0 діл. 556620 РГК</v>
      </c>
      <c r="BM367" s="682"/>
      <c r="BN367" s="636" t="s">
        <v>3784</v>
      </c>
      <c r="BO367" s="636" t="s">
        <v>3784</v>
      </c>
      <c r="BP367" s="636" t="s">
        <v>3784</v>
      </c>
      <c r="BQ367" s="636" t="s">
        <v>104</v>
      </c>
      <c r="BR367" s="636"/>
      <c r="BS367" s="636"/>
      <c r="BT367" s="636"/>
      <c r="BU367" s="636"/>
      <c r="BV367" s="636"/>
      <c r="BW367" s="636" t="s">
        <v>4236</v>
      </c>
      <c r="BX367" s="636"/>
      <c r="BY367" s="972"/>
    </row>
    <row r="368" spans="1:77">
      <c r="A368" t="s">
        <v>104</v>
      </c>
      <c r="B368" s="675" t="s">
        <v>113</v>
      </c>
      <c r="C368" s="687" t="s">
        <v>104</v>
      </c>
      <c r="D368" s="675">
        <v>0</v>
      </c>
      <c r="E368" s="675" t="s">
        <v>2316</v>
      </c>
      <c r="F368" s="675">
        <v>2</v>
      </c>
      <c r="G368" s="675" t="s">
        <v>2238</v>
      </c>
      <c r="H368" s="675">
        <v>55</v>
      </c>
      <c r="I368" s="676" t="s">
        <v>3791</v>
      </c>
      <c r="J368" s="677">
        <v>0.3</v>
      </c>
      <c r="K368" s="683">
        <v>111</v>
      </c>
      <c r="L368" s="677">
        <v>0</v>
      </c>
      <c r="M368" s="677">
        <v>0</v>
      </c>
      <c r="N368" s="677">
        <v>24</v>
      </c>
      <c r="O368" s="677">
        <v>0</v>
      </c>
      <c r="P368" s="677">
        <v>0</v>
      </c>
      <c r="Q368" s="677">
        <v>0</v>
      </c>
      <c r="R368" s="677">
        <v>15</v>
      </c>
      <c r="S368" s="677">
        <v>0</v>
      </c>
      <c r="T368" s="677">
        <v>18</v>
      </c>
      <c r="U368" s="677">
        <v>4</v>
      </c>
      <c r="V368" s="677">
        <v>0</v>
      </c>
      <c r="W368" s="677">
        <v>13</v>
      </c>
      <c r="X368" s="678"/>
      <c r="Y368" s="682"/>
      <c r="Z368" s="680"/>
      <c r="AA368" s="681">
        <v>82.066000000000003</v>
      </c>
      <c r="AB368" s="681">
        <v>38.347000000000001</v>
      </c>
      <c r="AC368" s="417">
        <v>6</v>
      </c>
      <c r="AD368" s="417"/>
      <c r="AE368" s="682" t="s">
        <v>4289</v>
      </c>
      <c r="AF368">
        <v>1</v>
      </c>
      <c r="AG368" s="745">
        <v>43101</v>
      </c>
      <c r="AH368" s="417"/>
      <c r="AI368" s="417"/>
      <c r="AJ368" s="746">
        <v>43252</v>
      </c>
      <c r="AK368" s="417"/>
      <c r="AL368" s="637" t="s">
        <v>3453</v>
      </c>
      <c r="AM368" s="417"/>
      <c r="AN368" s="417"/>
      <c r="AO368" s="636"/>
      <c r="AP368">
        <v>556620</v>
      </c>
      <c r="AQ368" s="747" t="s">
        <v>3723</v>
      </c>
      <c r="AR368" s="417"/>
      <c r="AS368" s="417"/>
      <c r="AT368" s="417"/>
      <c r="AU368" s="417"/>
      <c r="AV368" s="417"/>
      <c r="AW368" s="417"/>
      <c r="AX368" s="417"/>
      <c r="AY368" s="183" t="s">
        <v>4245</v>
      </c>
      <c r="AZ368" s="417"/>
      <c r="BA368" s="417"/>
      <c r="BB368" t="s">
        <v>4238</v>
      </c>
      <c r="BC368" s="636"/>
      <c r="BD368" s="417"/>
      <c r="BE368" s="612">
        <v>5</v>
      </c>
      <c r="BF368" s="613">
        <v>40</v>
      </c>
      <c r="BG368" s="614" t="s">
        <v>78</v>
      </c>
      <c r="BH368" s="682"/>
      <c r="BI368" s="417"/>
      <c r="BJ368" s="417">
        <v>12</v>
      </c>
      <c r="BK368" s="682" t="str">
        <f>Техкарта[[#This Row],[Кв-л]]&amp;" кв ("&amp;Substring(Техкарта[[#This Row],[Виділ]],"_",1)&amp;" вид) "&amp;Substring(Техкарта[[#This Row],[Виділ]],"_",2)&amp;" діл."</f>
        <v>55 кв (7 вид) 0 діл.</v>
      </c>
      <c r="BL368" s="682" t="str">
        <f>Техкарта[[#This Row],[ПолнаяДіл]] &amp;" "&amp;Техкарта[[#This Row],[ЛК]]&amp;" "&amp;Техкарта[[#This Row],[Вид рубки]]</f>
        <v>55 кв (7 вид) 0 діл. 556620 РГК</v>
      </c>
      <c r="BM368" s="682"/>
      <c r="BN368" s="636" t="s">
        <v>3784</v>
      </c>
      <c r="BO368" s="636" t="s">
        <v>3784</v>
      </c>
      <c r="BP368" s="636" t="s">
        <v>3784</v>
      </c>
      <c r="BQ368" s="636" t="s">
        <v>104</v>
      </c>
      <c r="BR368" s="636"/>
      <c r="BS368" s="636"/>
      <c r="BT368" s="636"/>
      <c r="BU368" s="636"/>
      <c r="BV368" s="636"/>
      <c r="BW368" s="636" t="s">
        <v>4236</v>
      </c>
      <c r="BX368" s="636"/>
      <c r="BY368" s="972"/>
    </row>
    <row r="369" spans="1:77">
      <c r="A369" t="s">
        <v>104</v>
      </c>
      <c r="B369" s="675" t="s">
        <v>113</v>
      </c>
      <c r="C369" s="687" t="s">
        <v>104</v>
      </c>
      <c r="D369" s="675">
        <v>0</v>
      </c>
      <c r="E369" s="675" t="s">
        <v>2316</v>
      </c>
      <c r="F369" s="675">
        <v>2</v>
      </c>
      <c r="G369" s="675" t="s">
        <v>2238</v>
      </c>
      <c r="H369" s="675">
        <v>90</v>
      </c>
      <c r="I369" s="676" t="s">
        <v>3793</v>
      </c>
      <c r="J369" s="677">
        <v>2.6</v>
      </c>
      <c r="K369" s="683">
        <v>848</v>
      </c>
      <c r="L369" s="677">
        <v>0</v>
      </c>
      <c r="M369" s="677">
        <v>1</v>
      </c>
      <c r="N369" s="677">
        <v>145</v>
      </c>
      <c r="O369" s="677">
        <v>0</v>
      </c>
      <c r="P369" s="677">
        <v>0</v>
      </c>
      <c r="Q369" s="677">
        <v>10</v>
      </c>
      <c r="R369" s="677">
        <v>8</v>
      </c>
      <c r="S369" s="677">
        <v>18</v>
      </c>
      <c r="T369" s="677">
        <v>280</v>
      </c>
      <c r="U369" s="677">
        <v>3</v>
      </c>
      <c r="V369" s="677">
        <v>15</v>
      </c>
      <c r="W369" s="677">
        <v>191</v>
      </c>
      <c r="X369" s="678"/>
      <c r="Y369" s="682"/>
      <c r="Z369" s="680"/>
      <c r="AA369" s="681">
        <v>83.341999999999999</v>
      </c>
      <c r="AB369" s="681">
        <v>32.786000000000001</v>
      </c>
      <c r="AC369" s="417">
        <v>38</v>
      </c>
      <c r="AD369" s="417"/>
      <c r="AE369" s="682" t="s">
        <v>4290</v>
      </c>
      <c r="AF369">
        <v>1</v>
      </c>
      <c r="AG369" s="745">
        <v>43101</v>
      </c>
      <c r="AH369" s="417"/>
      <c r="AI369" s="417"/>
      <c r="AJ369" s="746">
        <v>43252</v>
      </c>
      <c r="AK369" s="417"/>
      <c r="AL369" s="637" t="s">
        <v>3469</v>
      </c>
      <c r="AM369" s="417"/>
      <c r="AN369" s="417"/>
      <c r="AO369" s="636"/>
      <c r="AP369">
        <v>556620</v>
      </c>
      <c r="AQ369" s="747" t="s">
        <v>3723</v>
      </c>
      <c r="AR369" s="417"/>
      <c r="AS369" s="417"/>
      <c r="AT369" s="417"/>
      <c r="AU369" s="417"/>
      <c r="AV369" s="417"/>
      <c r="AW369" s="417"/>
      <c r="AX369" s="417"/>
      <c r="AY369" s="183" t="s">
        <v>4245</v>
      </c>
      <c r="AZ369" s="417"/>
      <c r="BA369" s="417"/>
      <c r="BB369" t="s">
        <v>4238</v>
      </c>
      <c r="BC369" s="636"/>
      <c r="BD369" s="417"/>
      <c r="BE369" s="612">
        <v>5</v>
      </c>
      <c r="BF369" s="613">
        <v>40</v>
      </c>
      <c r="BG369" s="614" t="s">
        <v>78</v>
      </c>
      <c r="BH369" s="682"/>
      <c r="BI369" s="417"/>
      <c r="BJ369" s="417">
        <v>14</v>
      </c>
      <c r="BK369" s="682" t="str">
        <f>Техкарта[[#This Row],[Кв-л]]&amp;" кв ("&amp;Substring(Техкарта[[#This Row],[Виділ]],"_",1)&amp;" вид) "&amp;Substring(Техкарта[[#This Row],[Виділ]],"_",2)&amp;" діл."</f>
        <v>90 кв (6 вид) 1 діл.</v>
      </c>
      <c r="BL369" s="682" t="str">
        <f>Техкарта[[#This Row],[ПолнаяДіл]] &amp;" "&amp;Техкарта[[#This Row],[ЛК]]&amp;" "&amp;Техкарта[[#This Row],[Вид рубки]]</f>
        <v>90 кв (6 вид) 1 діл. 556620 РГК</v>
      </c>
      <c r="BM369" s="682"/>
      <c r="BN369" s="636" t="s">
        <v>3784</v>
      </c>
      <c r="BO369" s="636" t="s">
        <v>3784</v>
      </c>
      <c r="BP369" s="636" t="s">
        <v>3784</v>
      </c>
      <c r="BQ369" s="636" t="s">
        <v>104</v>
      </c>
      <c r="BR369" s="636"/>
      <c r="BS369" s="636"/>
      <c r="BT369" s="636"/>
      <c r="BU369" s="636"/>
      <c r="BV369" s="636"/>
      <c r="BW369" s="636" t="s">
        <v>4236</v>
      </c>
      <c r="BX369" s="636"/>
      <c r="BY369" s="972"/>
    </row>
    <row r="370" spans="1:77">
      <c r="A370" t="s">
        <v>104</v>
      </c>
      <c r="B370" s="675" t="s">
        <v>113</v>
      </c>
      <c r="C370" s="687" t="s">
        <v>104</v>
      </c>
      <c r="D370" s="675">
        <v>0</v>
      </c>
      <c r="E370" s="675" t="s">
        <v>2305</v>
      </c>
      <c r="F370" s="675">
        <v>2</v>
      </c>
      <c r="G370" s="675" t="s">
        <v>2238</v>
      </c>
      <c r="H370" s="675">
        <v>56</v>
      </c>
      <c r="I370" s="676" t="s">
        <v>3792</v>
      </c>
      <c r="J370" s="677">
        <v>0.8</v>
      </c>
      <c r="K370" s="683">
        <v>444</v>
      </c>
      <c r="L370" s="677">
        <v>0</v>
      </c>
      <c r="M370" s="677">
        <v>0</v>
      </c>
      <c r="N370" s="677">
        <v>116</v>
      </c>
      <c r="O370" s="677">
        <v>0</v>
      </c>
      <c r="P370" s="677">
        <v>0</v>
      </c>
      <c r="Q370" s="677">
        <v>6</v>
      </c>
      <c r="R370" s="677">
        <v>15</v>
      </c>
      <c r="S370" s="677">
        <v>2</v>
      </c>
      <c r="T370" s="677">
        <v>88</v>
      </c>
      <c r="U370" s="677">
        <v>5</v>
      </c>
      <c r="V370" s="677">
        <v>1</v>
      </c>
      <c r="W370" s="677">
        <v>58</v>
      </c>
      <c r="X370" s="678"/>
      <c r="Y370" s="682"/>
      <c r="Z370" s="680"/>
      <c r="AA370" s="681">
        <v>74.016000000000005</v>
      </c>
      <c r="AB370" s="681">
        <v>35.381</v>
      </c>
      <c r="AC370" s="417">
        <v>22</v>
      </c>
      <c r="AD370" s="417"/>
      <c r="AE370" s="682" t="s">
        <v>4291</v>
      </c>
      <c r="AF370">
        <v>1</v>
      </c>
      <c r="AG370" s="745">
        <v>43101</v>
      </c>
      <c r="AH370" s="417"/>
      <c r="AI370" s="417"/>
      <c r="AJ370" s="746">
        <v>43252</v>
      </c>
      <c r="AK370" s="417"/>
      <c r="AL370" s="637" t="s">
        <v>3474</v>
      </c>
      <c r="AM370" s="417"/>
      <c r="AN370" s="417"/>
      <c r="AO370" s="636"/>
      <c r="AP370">
        <v>556620</v>
      </c>
      <c r="AQ370" s="747" t="s">
        <v>3723</v>
      </c>
      <c r="AR370" s="417"/>
      <c r="AS370" s="417"/>
      <c r="AT370" s="417"/>
      <c r="AU370" s="417"/>
      <c r="AV370" s="417"/>
      <c r="AW370" s="417"/>
      <c r="AX370" s="417"/>
      <c r="AY370" s="183" t="s">
        <v>4245</v>
      </c>
      <c r="AZ370" s="417"/>
      <c r="BA370" s="417"/>
      <c r="BB370" t="s">
        <v>4238</v>
      </c>
      <c r="BC370" s="636"/>
      <c r="BD370" s="417"/>
      <c r="BE370" s="612">
        <v>5</v>
      </c>
      <c r="BF370" s="613">
        <v>40</v>
      </c>
      <c r="BG370" s="614" t="s">
        <v>78</v>
      </c>
      <c r="BH370" s="682"/>
      <c r="BI370" s="417"/>
      <c r="BJ370" s="417">
        <v>15</v>
      </c>
      <c r="BK370" s="682" t="str">
        <f>Техкарта[[#This Row],[Кв-л]]&amp;" кв ("&amp;Substring(Техкарта[[#This Row],[Виділ]],"_",1)&amp;" вид) "&amp;Substring(Техкарта[[#This Row],[Виділ]],"_",2)&amp;" діл."</f>
        <v>56 кв (13 вид) 0 діл.</v>
      </c>
      <c r="BL370" s="682" t="str">
        <f>Техкарта[[#This Row],[ПолнаяДіл]] &amp;" "&amp;Техкарта[[#This Row],[ЛК]]&amp;" "&amp;Техкарта[[#This Row],[Вид рубки]]</f>
        <v>56 кв (13 вид) 0 діл. 556620 РГК</v>
      </c>
      <c r="BM370" s="682"/>
      <c r="BN370" s="636" t="s">
        <v>3784</v>
      </c>
      <c r="BO370" s="636" t="s">
        <v>3784</v>
      </c>
      <c r="BP370" s="636" t="s">
        <v>3784</v>
      </c>
      <c r="BQ370" s="636" t="s">
        <v>104</v>
      </c>
      <c r="BR370" s="636"/>
      <c r="BS370" s="636"/>
      <c r="BT370" s="636"/>
      <c r="BU370" s="636"/>
      <c r="BV370" s="636"/>
      <c r="BW370" s="636" t="s">
        <v>4236</v>
      </c>
      <c r="BX370" s="636"/>
      <c r="BY370" s="972"/>
    </row>
    <row r="371" spans="1:77">
      <c r="A371" t="s">
        <v>104</v>
      </c>
      <c r="B371" s="675" t="s">
        <v>113</v>
      </c>
      <c r="C371" s="687" t="s">
        <v>104</v>
      </c>
      <c r="D371" s="675">
        <v>0</v>
      </c>
      <c r="E371" s="675" t="s">
        <v>2305</v>
      </c>
      <c r="F371" s="675">
        <v>2</v>
      </c>
      <c r="G371" s="675" t="s">
        <v>2238</v>
      </c>
      <c r="H371" s="675">
        <v>20</v>
      </c>
      <c r="I371" s="676" t="s">
        <v>3829</v>
      </c>
      <c r="J371" s="677">
        <v>2.8</v>
      </c>
      <c r="K371" s="683">
        <v>1040</v>
      </c>
      <c r="L371" s="677">
        <v>0</v>
      </c>
      <c r="M371" s="677">
        <v>6</v>
      </c>
      <c r="N371" s="677">
        <v>169</v>
      </c>
      <c r="O371" s="677">
        <v>0</v>
      </c>
      <c r="P371" s="677">
        <v>0</v>
      </c>
      <c r="Q371" s="677">
        <v>28</v>
      </c>
      <c r="R371" s="677">
        <v>62</v>
      </c>
      <c r="S371" s="677">
        <v>50</v>
      </c>
      <c r="T371" s="677">
        <v>426</v>
      </c>
      <c r="U371" s="677">
        <v>5</v>
      </c>
      <c r="V371" s="677">
        <v>12</v>
      </c>
      <c r="W371" s="677">
        <v>25</v>
      </c>
      <c r="X371" s="678"/>
      <c r="Y371" s="682"/>
      <c r="Z371" s="680"/>
      <c r="AA371" s="681">
        <v>59.284999999999997</v>
      </c>
      <c r="AB371" s="681">
        <v>35.494</v>
      </c>
      <c r="AC371" s="417">
        <v>57</v>
      </c>
      <c r="AD371" s="417"/>
      <c r="AE371" s="682" t="s">
        <v>4292</v>
      </c>
      <c r="AF371">
        <v>1</v>
      </c>
      <c r="AG371" s="745">
        <v>43101</v>
      </c>
      <c r="AH371" s="417"/>
      <c r="AI371" s="417"/>
      <c r="AJ371" s="746">
        <v>43252</v>
      </c>
      <c r="AK371" s="417"/>
      <c r="AL371" s="637" t="s">
        <v>3469</v>
      </c>
      <c r="AM371" s="417"/>
      <c r="AN371" s="417"/>
      <c r="AO371" s="636"/>
      <c r="AP371">
        <v>556618</v>
      </c>
      <c r="AQ371" s="747" t="s">
        <v>3723</v>
      </c>
      <c r="AR371" s="417"/>
      <c r="AS371" s="417"/>
      <c r="AT371" s="417"/>
      <c r="AU371" s="417"/>
      <c r="AV371" s="417"/>
      <c r="AW371" s="417"/>
      <c r="AX371" s="417"/>
      <c r="AY371" s="183" t="s">
        <v>4245</v>
      </c>
      <c r="AZ371" s="417"/>
      <c r="BA371" s="417"/>
      <c r="BB371" t="s">
        <v>4238</v>
      </c>
      <c r="BC371" s="636"/>
      <c r="BD371" s="417"/>
      <c r="BE371" s="612">
        <v>5</v>
      </c>
      <c r="BF371" s="613">
        <v>40</v>
      </c>
      <c r="BG371" s="614" t="s">
        <v>78</v>
      </c>
      <c r="BH371" s="682"/>
      <c r="BI371" s="417"/>
      <c r="BJ371" s="417">
        <v>18</v>
      </c>
      <c r="BK371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1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1" s="682"/>
      <c r="BN371" s="636" t="s">
        <v>3784</v>
      </c>
      <c r="BO371" s="636" t="s">
        <v>3784</v>
      </c>
      <c r="BP371" s="636" t="s">
        <v>3784</v>
      </c>
      <c r="BQ371" s="636" t="s">
        <v>104</v>
      </c>
      <c r="BR371" s="636"/>
      <c r="BS371" s="636"/>
      <c r="BT371" s="636"/>
      <c r="BU371" s="636"/>
      <c r="BV371" s="636"/>
      <c r="BW371" s="636" t="s">
        <v>4236</v>
      </c>
      <c r="BX371" s="636"/>
      <c r="BY371" s="972"/>
    </row>
    <row r="372" spans="1:77">
      <c r="A372" t="s">
        <v>104</v>
      </c>
      <c r="B372" s="675" t="s">
        <v>113</v>
      </c>
      <c r="C372" s="687" t="s">
        <v>104</v>
      </c>
      <c r="D372" s="675">
        <v>0</v>
      </c>
      <c r="E372" s="675" t="s">
        <v>2305</v>
      </c>
      <c r="F372" s="675">
        <v>2</v>
      </c>
      <c r="G372" s="675" t="s">
        <v>2238</v>
      </c>
      <c r="H372" s="675">
        <v>20</v>
      </c>
      <c r="I372" s="676" t="s">
        <v>3829</v>
      </c>
      <c r="J372" s="677">
        <v>2.8</v>
      </c>
      <c r="K372" s="683">
        <v>1040</v>
      </c>
      <c r="L372" s="677">
        <v>0</v>
      </c>
      <c r="M372" s="677">
        <v>6</v>
      </c>
      <c r="N372" s="677">
        <v>169</v>
      </c>
      <c r="O372" s="677">
        <v>0</v>
      </c>
      <c r="P372" s="677">
        <v>0</v>
      </c>
      <c r="Q372" s="677">
        <v>28</v>
      </c>
      <c r="R372" s="677">
        <v>62</v>
      </c>
      <c r="S372" s="677">
        <v>50</v>
      </c>
      <c r="T372" s="677">
        <v>426</v>
      </c>
      <c r="U372" s="677">
        <v>5</v>
      </c>
      <c r="V372" s="677">
        <v>12</v>
      </c>
      <c r="W372" s="677">
        <v>25</v>
      </c>
      <c r="X372" s="678"/>
      <c r="Y372" s="682"/>
      <c r="Z372" s="680"/>
      <c r="AA372" s="681">
        <v>59.284999999999997</v>
      </c>
      <c r="AB372" s="681">
        <v>35.494</v>
      </c>
      <c r="AC372" s="417">
        <v>57</v>
      </c>
      <c r="AD372" s="417"/>
      <c r="AE372" s="682" t="s">
        <v>4292</v>
      </c>
      <c r="AF372">
        <v>1</v>
      </c>
      <c r="AG372" s="745">
        <v>43101</v>
      </c>
      <c r="AH372" s="417"/>
      <c r="AI372" s="417"/>
      <c r="AJ372" s="746">
        <v>43252</v>
      </c>
      <c r="AK372" s="417"/>
      <c r="AL372" s="637" t="s">
        <v>3469</v>
      </c>
      <c r="AM372" s="417"/>
      <c r="AN372" s="417"/>
      <c r="AO372" s="636"/>
      <c r="AP372">
        <v>556618</v>
      </c>
      <c r="AQ372" s="747" t="s">
        <v>3723</v>
      </c>
      <c r="AR372" s="417"/>
      <c r="AS372" s="417"/>
      <c r="AT372" s="417"/>
      <c r="AU372" s="417"/>
      <c r="AV372" s="417"/>
      <c r="AW372" s="417"/>
      <c r="AX372" s="417"/>
      <c r="AY372" s="183" t="s">
        <v>4245</v>
      </c>
      <c r="AZ372" s="417"/>
      <c r="BA372" s="417"/>
      <c r="BB372" t="s">
        <v>4238</v>
      </c>
      <c r="BC372" s="636"/>
      <c r="BD372" s="417"/>
      <c r="BE372" s="612">
        <v>5</v>
      </c>
      <c r="BF372" s="613">
        <v>40</v>
      </c>
      <c r="BG372" s="614" t="s">
        <v>78</v>
      </c>
      <c r="BH372" s="682"/>
      <c r="BI372" s="417"/>
      <c r="BJ372" s="417">
        <v>18</v>
      </c>
      <c r="BK372" s="682" t="str">
        <f>Техкарта[[#This Row],[Кв-л]]&amp;" кв ("&amp;Substring(Техкарта[[#This Row],[Виділ]],"_",1)&amp;" вид) "&amp;Substring(Техкарта[[#This Row],[Виділ]],"_",2)&amp;" діл."</f>
        <v>20 кв (3 вид) 0 діл.</v>
      </c>
      <c r="BL372" s="682" t="str">
        <f>Техкарта[[#This Row],[ПолнаяДіл]] &amp;" "&amp;Техкарта[[#This Row],[ЛК]]&amp;" "&amp;Техкарта[[#This Row],[Вид рубки]]</f>
        <v>20 кв (3 вид) 0 діл. 556618 РГК</v>
      </c>
      <c r="BM372" s="682"/>
      <c r="BN372" s="636" t="s">
        <v>3784</v>
      </c>
      <c r="BO372" s="636" t="s">
        <v>3784</v>
      </c>
      <c r="BP372" s="636" t="s">
        <v>3784</v>
      </c>
      <c r="BQ372" s="636" t="s">
        <v>104</v>
      </c>
      <c r="BR372" s="636"/>
      <c r="BS372" s="636"/>
      <c r="BT372" s="636"/>
      <c r="BU372" s="636"/>
      <c r="BV372" s="636"/>
      <c r="BW372" s="636" t="s">
        <v>4236</v>
      </c>
      <c r="BX372" s="636"/>
      <c r="BY372" s="972"/>
    </row>
    <row r="373" spans="1:77">
      <c r="A373" t="s">
        <v>104</v>
      </c>
      <c r="B373" s="675" t="s">
        <v>113</v>
      </c>
      <c r="C373" s="687" t="s">
        <v>104</v>
      </c>
      <c r="D373" s="675">
        <v>0</v>
      </c>
      <c r="E373" s="675" t="s">
        <v>2305</v>
      </c>
      <c r="F373" s="675">
        <v>5</v>
      </c>
      <c r="G373" s="675" t="s">
        <v>2238</v>
      </c>
      <c r="H373" s="675">
        <v>121</v>
      </c>
      <c r="I373" s="676" t="s">
        <v>3831</v>
      </c>
      <c r="J373" s="677">
        <v>0.8</v>
      </c>
      <c r="K373" s="683">
        <v>674</v>
      </c>
      <c r="L373" s="677">
        <v>0</v>
      </c>
      <c r="M373" s="677">
        <v>0</v>
      </c>
      <c r="N373" s="677">
        <v>1</v>
      </c>
      <c r="O373" s="677">
        <v>0</v>
      </c>
      <c r="P373" s="677">
        <v>0</v>
      </c>
      <c r="Q373" s="677">
        <v>0</v>
      </c>
      <c r="R373" s="677">
        <v>0</v>
      </c>
      <c r="S373" s="677">
        <v>0</v>
      </c>
      <c r="T373" s="677">
        <v>61</v>
      </c>
      <c r="U373" s="677">
        <v>0</v>
      </c>
      <c r="V373" s="677">
        <v>0</v>
      </c>
      <c r="W373" s="677">
        <v>98</v>
      </c>
      <c r="X373" s="678"/>
      <c r="Y373" s="682"/>
      <c r="Z373" s="680"/>
      <c r="AA373" s="681">
        <v>150.00200000000001</v>
      </c>
      <c r="AB373" s="681">
        <v>48.604999999999997</v>
      </c>
      <c r="AC373" s="417">
        <v>0</v>
      </c>
      <c r="AD373" s="417"/>
      <c r="AE373" s="682" t="s">
        <v>4293</v>
      </c>
      <c r="AF373">
        <v>1</v>
      </c>
      <c r="AG373" s="745">
        <v>43101</v>
      </c>
      <c r="AH373" s="417"/>
      <c r="AI373" s="417"/>
      <c r="AJ373" s="746">
        <v>43252</v>
      </c>
      <c r="AK373" s="417"/>
      <c r="AL373" s="637" t="s">
        <v>3459</v>
      </c>
      <c r="AM373" s="417"/>
      <c r="AN373" s="417"/>
      <c r="AO373" s="636"/>
      <c r="AP373">
        <v>556618</v>
      </c>
      <c r="AQ373" s="747" t="s">
        <v>3723</v>
      </c>
      <c r="AR373" s="417"/>
      <c r="AS373" s="417"/>
      <c r="AT373" s="417"/>
      <c r="AU373" s="417"/>
      <c r="AV373" s="417"/>
      <c r="AW373" s="417"/>
      <c r="AX373" s="417"/>
      <c r="AY373" s="183" t="s">
        <v>4245</v>
      </c>
      <c r="AZ373" s="417"/>
      <c r="BA373" s="417"/>
      <c r="BB373" t="s">
        <v>4238</v>
      </c>
      <c r="BC373" s="636"/>
      <c r="BD373" s="417"/>
      <c r="BE373" s="612">
        <v>5</v>
      </c>
      <c r="BF373" s="613">
        <v>40</v>
      </c>
      <c r="BG373" s="614" t="s">
        <v>78</v>
      </c>
      <c r="BH373" s="682"/>
      <c r="BI373" s="417"/>
      <c r="BJ373" s="417">
        <v>19</v>
      </c>
      <c r="BK373" s="682" t="str">
        <f>Техкарта[[#This Row],[Кв-л]]&amp;" кв ("&amp;Substring(Техкарта[[#This Row],[Виділ]],"_",1)&amp;" вид) "&amp;Substring(Техкарта[[#This Row],[Виділ]],"_",2)&amp;" діл."</f>
        <v>121 кв (4 вид) 0 діл.</v>
      </c>
      <c r="BL373" s="682" t="str">
        <f>Техкарта[[#This Row],[ПолнаяДіл]] &amp;" "&amp;Техкарта[[#This Row],[ЛК]]&amp;" "&amp;Техкарта[[#This Row],[Вид рубки]]</f>
        <v>121 кв (4 вид) 0 діл. 556618 РГК</v>
      </c>
      <c r="BM373" s="682"/>
      <c r="BN373" s="636" t="s">
        <v>3783</v>
      </c>
      <c r="BO373" s="636" t="s">
        <v>3783</v>
      </c>
      <c r="BP373" s="636" t="s">
        <v>3783</v>
      </c>
      <c r="BQ373" s="636" t="s">
        <v>104</v>
      </c>
      <c r="BR373" s="636"/>
      <c r="BS373" s="636"/>
      <c r="BT373" s="636"/>
      <c r="BU373" s="636"/>
      <c r="BV373" s="636"/>
      <c r="BW373" s="636" t="s">
        <v>4236</v>
      </c>
      <c r="BX373" s="636"/>
      <c r="BY373" s="972"/>
    </row>
    <row r="374" spans="1:77">
      <c r="A374" t="s">
        <v>104</v>
      </c>
      <c r="B374" s="675" t="s">
        <v>113</v>
      </c>
      <c r="C374" s="687" t="s">
        <v>104</v>
      </c>
      <c r="D374" s="675">
        <v>0</v>
      </c>
      <c r="E374" s="675" t="s">
        <v>2305</v>
      </c>
      <c r="F374" s="675">
        <v>2</v>
      </c>
      <c r="G374" s="675" t="s">
        <v>2238</v>
      </c>
      <c r="H374" s="675">
        <v>100</v>
      </c>
      <c r="I374" s="676" t="s">
        <v>3809</v>
      </c>
      <c r="J374" s="677">
        <v>3</v>
      </c>
      <c r="K374" s="683">
        <v>1397</v>
      </c>
      <c r="L374" s="677">
        <v>0</v>
      </c>
      <c r="M374" s="677">
        <v>7</v>
      </c>
      <c r="N374" s="677">
        <v>273</v>
      </c>
      <c r="O374" s="677">
        <v>0</v>
      </c>
      <c r="P374" s="677">
        <v>0</v>
      </c>
      <c r="Q374" s="677">
        <v>20</v>
      </c>
      <c r="R374" s="677">
        <v>70</v>
      </c>
      <c r="S374" s="677">
        <v>17</v>
      </c>
      <c r="T374" s="677">
        <v>213</v>
      </c>
      <c r="U374" s="677">
        <v>23</v>
      </c>
      <c r="V374" s="677">
        <v>13</v>
      </c>
      <c r="W374" s="677">
        <v>144</v>
      </c>
      <c r="X374" s="678"/>
      <c r="Y374" s="682"/>
      <c r="Z374" s="680"/>
      <c r="AA374" s="681">
        <v>83.397000000000006</v>
      </c>
      <c r="AB374" s="681">
        <v>40.396999999999998</v>
      </c>
      <c r="AC374" s="417">
        <v>56</v>
      </c>
      <c r="AD374" s="417"/>
      <c r="AE374" s="682" t="s">
        <v>4288</v>
      </c>
      <c r="AF374">
        <v>1</v>
      </c>
      <c r="AG374" s="745">
        <v>43101</v>
      </c>
      <c r="AH374" s="417"/>
      <c r="AI374" s="417"/>
      <c r="AJ374" s="746">
        <v>43252</v>
      </c>
      <c r="AK374" s="417"/>
      <c r="AL374" s="637" t="s">
        <v>3469</v>
      </c>
      <c r="AM374" s="417"/>
      <c r="AN374" s="417"/>
      <c r="AO374" s="636"/>
      <c r="AP374">
        <v>556620</v>
      </c>
      <c r="AQ374" s="747">
        <v>43077</v>
      </c>
      <c r="AR374" s="417"/>
      <c r="AS374" s="417"/>
      <c r="AT374" s="417"/>
      <c r="AU374" s="417"/>
      <c r="AV374" s="417"/>
      <c r="AW374" s="417"/>
      <c r="AX374" s="417"/>
      <c r="AY374" s="183" t="s">
        <v>4245</v>
      </c>
      <c r="AZ374" s="417"/>
      <c r="BA374" s="417"/>
      <c r="BB374" t="s">
        <v>4238</v>
      </c>
      <c r="BC374" s="636"/>
      <c r="BD374" s="417"/>
      <c r="BE374" s="612">
        <v>5</v>
      </c>
      <c r="BF374" s="613">
        <v>40</v>
      </c>
      <c r="BG374" s="614" t="s">
        <v>78</v>
      </c>
      <c r="BH374" s="682"/>
      <c r="BI374" s="417"/>
      <c r="BJ374" s="417">
        <v>20</v>
      </c>
      <c r="BK374" s="682" t="str">
        <f>Техкарта[[#This Row],[Кв-л]]&amp;" кв ("&amp;Substring(Техкарта[[#This Row],[Виділ]],"_",1)&amp;" вид) "&amp;Substring(Техкарта[[#This Row],[Виділ]],"_",2)&amp;" діл."</f>
        <v>100 кв (2 вид) 1 діл.</v>
      </c>
      <c r="BL374" s="682" t="str">
        <f>Техкарта[[#This Row],[ПолнаяДіл]] &amp;" "&amp;Техкарта[[#This Row],[ЛК]]&amp;" "&amp;Техкарта[[#This Row],[Вид рубки]]</f>
        <v>100 кв (2 вид) 1 діл. 556620 РГК</v>
      </c>
      <c r="BM374" s="682"/>
      <c r="BN374" s="636" t="s">
        <v>3784</v>
      </c>
      <c r="BO374" s="636" t="s">
        <v>3784</v>
      </c>
      <c r="BP374" s="636" t="s">
        <v>3784</v>
      </c>
      <c r="BQ374" s="636" t="s">
        <v>104</v>
      </c>
      <c r="BR374" s="636"/>
      <c r="BS374" s="636"/>
      <c r="BT374" s="636"/>
      <c r="BU374" s="636"/>
      <c r="BV374" s="636"/>
      <c r="BW374" s="636" t="s">
        <v>4236</v>
      </c>
      <c r="BX374" s="636"/>
      <c r="BY374" s="972"/>
    </row>
    <row r="375" spans="1:77">
      <c r="A375" t="s">
        <v>104</v>
      </c>
      <c r="B375" s="675" t="s">
        <v>113</v>
      </c>
      <c r="C375" s="687" t="s">
        <v>104</v>
      </c>
      <c r="D375" s="675">
        <v>0</v>
      </c>
      <c r="E375" s="675" t="s">
        <v>2305</v>
      </c>
      <c r="F375" s="675">
        <v>2</v>
      </c>
      <c r="G375" s="675" t="s">
        <v>2238</v>
      </c>
      <c r="H375" s="675">
        <v>113</v>
      </c>
      <c r="I375" s="676" t="s">
        <v>3794</v>
      </c>
      <c r="J375" s="677">
        <v>0.9</v>
      </c>
      <c r="K375" s="683">
        <v>523</v>
      </c>
      <c r="L375" s="677">
        <v>0</v>
      </c>
      <c r="M375" s="677">
        <v>3</v>
      </c>
      <c r="N375" s="677">
        <v>67</v>
      </c>
      <c r="O375" s="677">
        <v>0</v>
      </c>
      <c r="P375" s="677">
        <v>0</v>
      </c>
      <c r="Q375" s="677">
        <v>10</v>
      </c>
      <c r="R375" s="677">
        <v>3</v>
      </c>
      <c r="S375" s="677">
        <v>20</v>
      </c>
      <c r="T375" s="677">
        <v>77</v>
      </c>
      <c r="U375" s="677">
        <v>1</v>
      </c>
      <c r="V375" s="677">
        <v>17</v>
      </c>
      <c r="W375" s="677">
        <v>53</v>
      </c>
      <c r="X375" s="678"/>
      <c r="Y375" s="682"/>
      <c r="Z375" s="680"/>
      <c r="AA375" s="681">
        <v>86.477999999999994</v>
      </c>
      <c r="AB375" s="681">
        <v>38.881</v>
      </c>
      <c r="AC375" s="417">
        <v>19</v>
      </c>
      <c r="AD375" s="417"/>
      <c r="AE375" s="682" t="s">
        <v>4294</v>
      </c>
      <c r="AF375">
        <v>1</v>
      </c>
      <c r="AG375" s="745">
        <v>43101</v>
      </c>
      <c r="AH375" s="417"/>
      <c r="AI375" s="417"/>
      <c r="AJ375" s="746">
        <v>43252</v>
      </c>
      <c r="AK375" s="417"/>
      <c r="AL375" s="637" t="s">
        <v>3469</v>
      </c>
      <c r="AM375" s="417"/>
      <c r="AN375" s="417"/>
      <c r="AO375" s="636"/>
      <c r="AP375">
        <v>556620</v>
      </c>
      <c r="AQ375" s="747">
        <v>43077</v>
      </c>
      <c r="AR375" s="417"/>
      <c r="AS375" s="417"/>
      <c r="AT375" s="417"/>
      <c r="AU375" s="417"/>
      <c r="AV375" s="417"/>
      <c r="AW375" s="417"/>
      <c r="AX375" s="417"/>
      <c r="AY375" s="183" t="s">
        <v>4245</v>
      </c>
      <c r="AZ375" s="417"/>
      <c r="BA375" s="417"/>
      <c r="BB375" t="s">
        <v>4238</v>
      </c>
      <c r="BC375" s="636"/>
      <c r="BD375" s="417"/>
      <c r="BE375" s="612">
        <v>5</v>
      </c>
      <c r="BF375" s="613">
        <v>20</v>
      </c>
      <c r="BG375" s="614" t="s">
        <v>78</v>
      </c>
      <c r="BH375" s="682"/>
      <c r="BI375" s="417"/>
      <c r="BJ375" s="417">
        <v>24</v>
      </c>
      <c r="BK375" s="682" t="str">
        <f>Техкарта[[#This Row],[Кв-л]]&amp;" кв ("&amp;Substring(Техкарта[[#This Row],[Виділ]],"_",1)&amp;" вид) "&amp;Substring(Техкарта[[#This Row],[Виділ]],"_",2)&amp;" діл."</f>
        <v>113 кв (11 вид) 0 діл.</v>
      </c>
      <c r="BL375" s="682" t="str">
        <f>Техкарта[[#This Row],[ПолнаяДіл]] &amp;" "&amp;Техкарта[[#This Row],[ЛК]]&amp;" "&amp;Техкарта[[#This Row],[Вид рубки]]</f>
        <v>113 кв (11 вид) 0 діл. 556620 РГК</v>
      </c>
      <c r="BM375" s="682"/>
      <c r="BN375" s="636" t="s">
        <v>3784</v>
      </c>
      <c r="BO375" s="636" t="s">
        <v>3784</v>
      </c>
      <c r="BP375" s="636" t="s">
        <v>3784</v>
      </c>
      <c r="BQ375" s="636" t="s">
        <v>104</v>
      </c>
      <c r="BR375" s="636"/>
      <c r="BS375" s="636"/>
      <c r="BT375" s="636"/>
      <c r="BU375" s="636"/>
      <c r="BV375" s="636"/>
      <c r="BW375" s="636" t="s">
        <v>4236</v>
      </c>
      <c r="BX375" s="636"/>
      <c r="BY375" s="972"/>
    </row>
    <row r="376" spans="1:77">
      <c r="A376" t="s">
        <v>3896</v>
      </c>
      <c r="B376" s="675" t="s">
        <v>114</v>
      </c>
      <c r="C376" s="687" t="s">
        <v>3843</v>
      </c>
      <c r="D376" s="675">
        <v>0</v>
      </c>
      <c r="E376" s="675" t="s">
        <v>2305</v>
      </c>
      <c r="F376" s="675">
        <v>3</v>
      </c>
      <c r="G376" s="675" t="s">
        <v>79</v>
      </c>
      <c r="H376" s="675">
        <v>51</v>
      </c>
      <c r="I376" s="676" t="s">
        <v>3790</v>
      </c>
      <c r="J376" s="677">
        <v>2.5</v>
      </c>
      <c r="K376" s="683">
        <v>0</v>
      </c>
      <c r="L376" s="677"/>
      <c r="M376" s="677">
        <v>0</v>
      </c>
      <c r="N376" s="677">
        <v>180</v>
      </c>
      <c r="O376" s="677"/>
      <c r="P376" s="677"/>
      <c r="Q376" s="677">
        <v>0</v>
      </c>
      <c r="R376" s="677"/>
      <c r="S376" s="677">
        <v>0</v>
      </c>
      <c r="T376" s="677">
        <v>0</v>
      </c>
      <c r="U376" s="677"/>
      <c r="V376" s="677">
        <v>0</v>
      </c>
      <c r="W376" s="677">
        <v>0</v>
      </c>
      <c r="X376" s="678"/>
      <c r="Y376" s="682"/>
      <c r="Z376" s="680"/>
      <c r="AA376" s="681">
        <v>204.22</v>
      </c>
      <c r="AB376" s="681"/>
      <c r="AC376" s="417">
        <v>23</v>
      </c>
      <c r="AD376" s="417"/>
      <c r="AE376" s="682" t="s">
        <v>4296</v>
      </c>
      <c r="AF376">
        <v>1</v>
      </c>
      <c r="AG376" s="745">
        <v>43101</v>
      </c>
      <c r="AH376" s="417"/>
      <c r="AI376" s="417"/>
      <c r="AJ376" s="746">
        <v>43252</v>
      </c>
      <c r="AK376" s="417"/>
      <c r="AL376" s="637" t="s">
        <v>3442</v>
      </c>
      <c r="AM376" s="417"/>
      <c r="AN376" s="417"/>
      <c r="AO376" s="636"/>
      <c r="AP376">
        <v>556710</v>
      </c>
      <c r="AQ376" s="747">
        <v>43271</v>
      </c>
      <c r="AR376" s="417">
        <v>0.3</v>
      </c>
      <c r="AS376" s="417"/>
      <c r="AT376" s="417"/>
      <c r="AU376" s="417"/>
      <c r="AV376" s="417"/>
      <c r="AW376" s="417"/>
      <c r="AX376" s="417"/>
      <c r="AY376" s="183" t="s">
        <v>3424</v>
      </c>
      <c r="AZ376" s="417"/>
      <c r="BA376" s="417"/>
      <c r="BB376" t="s">
        <v>3583</v>
      </c>
      <c r="BC376" s="636"/>
      <c r="BD376" s="417"/>
      <c r="BE376" s="612"/>
      <c r="BF376" s="613"/>
      <c r="BG376" s="614"/>
      <c r="BH376" s="682"/>
      <c r="BI376" s="417"/>
      <c r="BJ376" s="417">
        <v>1</v>
      </c>
      <c r="BK376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376" s="682" t="str">
        <f>Техкарта[[#This Row],[ПолнаяДіл]] &amp;" "&amp;Техкарта[[#This Row],[ЛК]]&amp;" "&amp;Техкарта[[#This Row],[Вид рубки]]</f>
        <v>51 кв (2 вид) 0 діл. 556710 ОСВ</v>
      </c>
      <c r="BM376" s="682"/>
      <c r="BN376" s="636"/>
      <c r="BO376" s="636"/>
      <c r="BP376" s="636"/>
      <c r="BQ376" s="636" t="s">
        <v>3896</v>
      </c>
      <c r="BR376" s="636">
        <v>2</v>
      </c>
      <c r="BS376" s="636"/>
      <c r="BT376" s="636"/>
      <c r="BU376" s="636"/>
      <c r="BV376" s="636"/>
      <c r="BW376" s="636" t="s">
        <v>4236</v>
      </c>
      <c r="BX376" s="636"/>
      <c r="BY376" s="972"/>
    </row>
    <row r="377" spans="1:77">
      <c r="A377" t="s">
        <v>3896</v>
      </c>
      <c r="B377" s="675" t="s">
        <v>114</v>
      </c>
      <c r="C377" s="687" t="s">
        <v>3843</v>
      </c>
      <c r="D377" s="675">
        <v>0</v>
      </c>
      <c r="E377" s="675" t="s">
        <v>2305</v>
      </c>
      <c r="F377" s="675">
        <v>3</v>
      </c>
      <c r="G377" s="675" t="s">
        <v>79</v>
      </c>
      <c r="H377" s="675">
        <v>78</v>
      </c>
      <c r="I377" s="676" t="s">
        <v>3829</v>
      </c>
      <c r="J377" s="677">
        <v>0.6</v>
      </c>
      <c r="K377" s="683">
        <v>0</v>
      </c>
      <c r="L377" s="677"/>
      <c r="M377" s="677">
        <v>0</v>
      </c>
      <c r="N377" s="677">
        <v>90</v>
      </c>
      <c r="O377" s="677"/>
      <c r="P377" s="677"/>
      <c r="Q377" s="677">
        <v>0</v>
      </c>
      <c r="R377" s="677"/>
      <c r="S377" s="677">
        <v>0</v>
      </c>
      <c r="T377" s="677">
        <v>0</v>
      </c>
      <c r="U377" s="677"/>
      <c r="V377" s="677">
        <v>0</v>
      </c>
      <c r="W377" s="677">
        <v>0</v>
      </c>
      <c r="X377" s="678"/>
      <c r="Y377" s="682"/>
      <c r="Z377" s="680"/>
      <c r="AA377" s="681">
        <v>185.61</v>
      </c>
      <c r="AB377" s="681"/>
      <c r="AC377" s="417">
        <v>23</v>
      </c>
      <c r="AD377" s="417"/>
      <c r="AE377" s="682" t="s">
        <v>4297</v>
      </c>
      <c r="AF377">
        <v>1</v>
      </c>
      <c r="AG377" s="745">
        <v>43101</v>
      </c>
      <c r="AH377" s="417"/>
      <c r="AI377" s="417"/>
      <c r="AJ377" s="746">
        <v>43252</v>
      </c>
      <c r="AK377" s="417"/>
      <c r="AL377" s="637" t="s">
        <v>3448</v>
      </c>
      <c r="AM377" s="417"/>
      <c r="AN377" s="417"/>
      <c r="AO377" s="636"/>
      <c r="AP377">
        <v>556710</v>
      </c>
      <c r="AQ377" s="747">
        <v>43271</v>
      </c>
      <c r="AR377" s="417">
        <v>0.3</v>
      </c>
      <c r="AS377" s="417"/>
      <c r="AT377" s="417"/>
      <c r="AU377" s="417"/>
      <c r="AV377" s="417"/>
      <c r="AW377" s="417"/>
      <c r="AX377" s="417"/>
      <c r="AY377" s="183" t="s">
        <v>3424</v>
      </c>
      <c r="AZ377" s="417"/>
      <c r="BA377" s="417"/>
      <c r="BB377" t="s">
        <v>3583</v>
      </c>
      <c r="BC377" s="636"/>
      <c r="BD377" s="417"/>
      <c r="BE377" s="612"/>
      <c r="BF377" s="613"/>
      <c r="BG377" s="614"/>
      <c r="BH377" s="682"/>
      <c r="BI377" s="417"/>
      <c r="BJ377" s="417">
        <v>2</v>
      </c>
      <c r="BK377" s="682" t="str">
        <f>Техкарта[[#This Row],[Кв-л]]&amp;" кв ("&amp;Substring(Техкарта[[#This Row],[Виділ]],"_",1)&amp;" вид) "&amp;Substring(Техкарта[[#This Row],[Виділ]],"_",2)&amp;" діл."</f>
        <v>78 кв (3 вид) 0 діл.</v>
      </c>
      <c r="BL377" s="682" t="str">
        <f>Техкарта[[#This Row],[ПолнаяДіл]] &amp;" "&amp;Техкарта[[#This Row],[ЛК]]&amp;" "&amp;Техкарта[[#This Row],[Вид рубки]]</f>
        <v>78 кв (3 вид) 0 діл. 556710 ОСВ</v>
      </c>
      <c r="BM377" s="682"/>
      <c r="BN377" s="636"/>
      <c r="BO377" s="636"/>
      <c r="BP377" s="636"/>
      <c r="BQ377" s="636" t="s">
        <v>3896</v>
      </c>
      <c r="BR377" s="636">
        <v>2</v>
      </c>
      <c r="BS377" s="636"/>
      <c r="BT377" s="636"/>
      <c r="BU377" s="636"/>
      <c r="BV377" s="636"/>
      <c r="BW377" s="636" t="s">
        <v>4236</v>
      </c>
      <c r="BX377" s="636"/>
      <c r="BY377" s="972"/>
    </row>
    <row r="378" spans="1:77">
      <c r="A378" t="s">
        <v>104</v>
      </c>
      <c r="B378" s="675" t="s">
        <v>113</v>
      </c>
      <c r="C378" s="687" t="s">
        <v>104</v>
      </c>
      <c r="D378" s="675">
        <v>0</v>
      </c>
      <c r="E378" s="675" t="s">
        <v>2305</v>
      </c>
      <c r="F378" s="675">
        <v>3</v>
      </c>
      <c r="G378" s="675" t="s">
        <v>2238</v>
      </c>
      <c r="H378" s="675">
        <v>115</v>
      </c>
      <c r="I378" s="676" t="s">
        <v>3850</v>
      </c>
      <c r="J378" s="677">
        <v>0.3</v>
      </c>
      <c r="K378" s="683">
        <v>206</v>
      </c>
      <c r="L378" s="677">
        <v>0</v>
      </c>
      <c r="M378" s="677">
        <v>1</v>
      </c>
      <c r="N378" s="677">
        <v>18</v>
      </c>
      <c r="O378" s="677">
        <v>0</v>
      </c>
      <c r="P378" s="677">
        <v>0</v>
      </c>
      <c r="Q378" s="677">
        <v>0</v>
      </c>
      <c r="R378" s="677">
        <v>0</v>
      </c>
      <c r="S378" s="677">
        <v>13</v>
      </c>
      <c r="T378" s="677">
        <v>27</v>
      </c>
      <c r="U378" s="677">
        <v>0</v>
      </c>
      <c r="V378" s="677">
        <v>11</v>
      </c>
      <c r="W378" s="677">
        <v>18</v>
      </c>
      <c r="X378" s="678"/>
      <c r="Y378" s="682"/>
      <c r="Z378" s="680"/>
      <c r="AA378" s="681">
        <v>91.617000000000004</v>
      </c>
      <c r="AB378" s="681">
        <v>41.021999999999998</v>
      </c>
      <c r="AC378" s="417">
        <v>8</v>
      </c>
      <c r="AD378" s="417"/>
      <c r="AE378" s="682" t="s">
        <v>4295</v>
      </c>
      <c r="AF378">
        <v>1</v>
      </c>
      <c r="AG378" s="745">
        <v>43101</v>
      </c>
      <c r="AH378" s="417"/>
      <c r="AI378" s="417"/>
      <c r="AJ378" s="746">
        <v>43252</v>
      </c>
      <c r="AK378" s="417"/>
      <c r="AL378" s="637" t="s">
        <v>3469</v>
      </c>
      <c r="AM378" s="417"/>
      <c r="AN378" s="417"/>
      <c r="AO378" s="636"/>
      <c r="AP378">
        <v>556620</v>
      </c>
      <c r="AQ378" s="747">
        <v>43077</v>
      </c>
      <c r="AR378" s="417"/>
      <c r="AS378" s="417"/>
      <c r="AT378" s="417"/>
      <c r="AU378" s="417"/>
      <c r="AV378" s="417"/>
      <c r="AW378" s="417"/>
      <c r="AX378" s="417"/>
      <c r="AY378" s="183" t="s">
        <v>4245</v>
      </c>
      <c r="AZ378" s="417"/>
      <c r="BA378" s="417"/>
      <c r="BB378" t="s">
        <v>4238</v>
      </c>
      <c r="BC378" s="636"/>
      <c r="BD378" s="417"/>
      <c r="BE378" s="612">
        <v>5</v>
      </c>
      <c r="BF378" s="613">
        <v>20</v>
      </c>
      <c r="BG378" s="614" t="s">
        <v>78</v>
      </c>
      <c r="BH378" s="682"/>
      <c r="BI378" s="417"/>
      <c r="BJ378" s="417">
        <v>26</v>
      </c>
      <c r="BK378" s="682" t="str">
        <f>Техкарта[[#This Row],[Кв-л]]&amp;" кв ("&amp;Substring(Техкарта[[#This Row],[Виділ]],"_",1)&amp;" вид) "&amp;Substring(Техкарта[[#This Row],[Виділ]],"_",2)&amp;" діл."</f>
        <v>115 кв (6 вид) 0 діл.</v>
      </c>
      <c r="BL378" s="682" t="str">
        <f>Техкарта[[#This Row],[ПолнаяДіл]] &amp;" "&amp;Техкарта[[#This Row],[ЛК]]&amp;" "&amp;Техкарта[[#This Row],[Вид рубки]]</f>
        <v>115 кв (6 вид) 0 діл. 556620 РГК</v>
      </c>
      <c r="BM378" s="682"/>
      <c r="BN378" s="636" t="s">
        <v>3784</v>
      </c>
      <c r="BO378" s="636" t="s">
        <v>3784</v>
      </c>
      <c r="BP378" s="636" t="s">
        <v>3784</v>
      </c>
      <c r="BQ378" s="636" t="s">
        <v>104</v>
      </c>
      <c r="BR378" s="636"/>
      <c r="BS378" s="636"/>
      <c r="BT378" s="636"/>
      <c r="BU378" s="636"/>
      <c r="BV378" s="636"/>
      <c r="BW378" s="636" t="s">
        <v>4236</v>
      </c>
      <c r="BX378" s="636"/>
      <c r="BY378" s="972"/>
    </row>
    <row r="379" spans="1:77">
      <c r="A379" t="s">
        <v>104</v>
      </c>
      <c r="B379" s="675" t="s">
        <v>113</v>
      </c>
      <c r="C379" s="687" t="s">
        <v>104</v>
      </c>
      <c r="D379" s="675">
        <v>0</v>
      </c>
      <c r="E379" s="675" t="s">
        <v>2305</v>
      </c>
      <c r="F379" s="675">
        <v>2</v>
      </c>
      <c r="G379" s="675" t="s">
        <v>2238</v>
      </c>
      <c r="H379" s="675">
        <v>39</v>
      </c>
      <c r="I379" s="676" t="s">
        <v>3832</v>
      </c>
      <c r="J379" s="677">
        <v>2.4</v>
      </c>
      <c r="K379" s="683">
        <v>1200</v>
      </c>
      <c r="L379" s="677">
        <v>0</v>
      </c>
      <c r="M379" s="677">
        <v>10</v>
      </c>
      <c r="N379" s="677">
        <v>99</v>
      </c>
      <c r="O379" s="677">
        <v>0</v>
      </c>
      <c r="P379" s="677">
        <v>0</v>
      </c>
      <c r="Q379" s="677">
        <v>10</v>
      </c>
      <c r="R379" s="677">
        <v>42</v>
      </c>
      <c r="S379" s="677">
        <v>76</v>
      </c>
      <c r="T379" s="677">
        <v>203</v>
      </c>
      <c r="U379" s="677">
        <v>14</v>
      </c>
      <c r="V379" s="677">
        <v>62</v>
      </c>
      <c r="W379" s="677">
        <v>139</v>
      </c>
      <c r="X379" s="678"/>
      <c r="Y379" s="682"/>
      <c r="Z379" s="680"/>
      <c r="AA379" s="681">
        <v>89.417000000000002</v>
      </c>
      <c r="AB379" s="681">
        <v>39.662999999999997</v>
      </c>
      <c r="AC379" s="417">
        <v>51</v>
      </c>
      <c r="AD379" s="417"/>
      <c r="AE379" s="682" t="s">
        <v>4298</v>
      </c>
      <c r="AF379">
        <v>1</v>
      </c>
      <c r="AG379" s="745">
        <v>43101</v>
      </c>
      <c r="AH379" s="417"/>
      <c r="AI379" s="417"/>
      <c r="AJ379" s="746">
        <v>43252</v>
      </c>
      <c r="AK379" s="417"/>
      <c r="AL379" s="637" t="s">
        <v>3469</v>
      </c>
      <c r="AM379" s="417"/>
      <c r="AN379" s="417"/>
      <c r="AO379" s="636"/>
      <c r="AP379">
        <v>556620</v>
      </c>
      <c r="AQ379" s="747">
        <v>43077</v>
      </c>
      <c r="AR379" s="417"/>
      <c r="AS379" s="417"/>
      <c r="AT379" s="417"/>
      <c r="AU379" s="417"/>
      <c r="AV379" s="417"/>
      <c r="AW379" s="417"/>
      <c r="AX379" s="417"/>
      <c r="AY379" s="183" t="s">
        <v>4245</v>
      </c>
      <c r="AZ379" s="417"/>
      <c r="BA379" s="417"/>
      <c r="BB379" t="s">
        <v>4238</v>
      </c>
      <c r="BC379" s="636"/>
      <c r="BD379" s="417"/>
      <c r="BE379" s="612">
        <v>5</v>
      </c>
      <c r="BF379" s="613">
        <v>40</v>
      </c>
      <c r="BG379" s="614" t="s">
        <v>78</v>
      </c>
      <c r="BH379" s="682"/>
      <c r="BI379" s="417"/>
      <c r="BJ379" s="417">
        <v>27</v>
      </c>
      <c r="BK379" s="682" t="str">
        <f>Техкарта[[#This Row],[Кв-л]]&amp;" кв ("&amp;Substring(Техкарта[[#This Row],[Виділ]],"_",1)&amp;" вид) "&amp;Substring(Техкарта[[#This Row],[Виділ]],"_",2)&amp;" діл."</f>
        <v>39 кв (5 вид) 0 діл.</v>
      </c>
      <c r="BL379" s="682" t="str">
        <f>Техкарта[[#This Row],[ПолнаяДіл]] &amp;" "&amp;Техкарта[[#This Row],[ЛК]]&amp;" "&amp;Техкарта[[#This Row],[Вид рубки]]</f>
        <v>39 кв (5 вид) 0 діл. 556620 РГК</v>
      </c>
      <c r="BM379" s="682"/>
      <c r="BN379" s="636" t="s">
        <v>3784</v>
      </c>
      <c r="BO379" s="636" t="s">
        <v>3784</v>
      </c>
      <c r="BP379" s="636" t="s">
        <v>3784</v>
      </c>
      <c r="BQ379" s="636" t="s">
        <v>104</v>
      </c>
      <c r="BR379" s="636"/>
      <c r="BS379" s="636"/>
      <c r="BT379" s="636"/>
      <c r="BU379" s="636"/>
      <c r="BV379" s="636"/>
      <c r="BW379" s="636" t="s">
        <v>4236</v>
      </c>
      <c r="BX379" s="636"/>
      <c r="BY379" s="972"/>
    </row>
    <row r="380" spans="1:77">
      <c r="A380" t="s">
        <v>104</v>
      </c>
      <c r="B380" s="675" t="s">
        <v>113</v>
      </c>
      <c r="C380" s="687" t="s">
        <v>104</v>
      </c>
      <c r="D380" s="675">
        <v>0</v>
      </c>
      <c r="E380" s="675" t="s">
        <v>2305</v>
      </c>
      <c r="F380" s="675">
        <v>2</v>
      </c>
      <c r="G380" s="675" t="s">
        <v>2238</v>
      </c>
      <c r="H380" s="675">
        <v>43</v>
      </c>
      <c r="I380" s="676" t="s">
        <v>3850</v>
      </c>
      <c r="J380" s="677">
        <v>1.3</v>
      </c>
      <c r="K380" s="683">
        <v>741</v>
      </c>
      <c r="L380" s="677">
        <v>0</v>
      </c>
      <c r="M380" s="677">
        <v>4</v>
      </c>
      <c r="N380" s="677">
        <v>69</v>
      </c>
      <c r="O380" s="677">
        <v>0</v>
      </c>
      <c r="P380" s="677">
        <v>0</v>
      </c>
      <c r="Q380" s="677">
        <v>5</v>
      </c>
      <c r="R380" s="677">
        <v>32</v>
      </c>
      <c r="S380" s="677">
        <v>20</v>
      </c>
      <c r="T380" s="677">
        <v>100</v>
      </c>
      <c r="U380" s="677">
        <v>11</v>
      </c>
      <c r="V380" s="677">
        <v>17</v>
      </c>
      <c r="W380" s="677">
        <v>67</v>
      </c>
      <c r="X380" s="678"/>
      <c r="Y380" s="682"/>
      <c r="Z380" s="680"/>
      <c r="AA380" s="681">
        <v>84.84</v>
      </c>
      <c r="AB380" s="681">
        <v>40.945999999999998</v>
      </c>
      <c r="AC380" s="417">
        <v>28</v>
      </c>
      <c r="AD380" s="417"/>
      <c r="AE380" s="682" t="s">
        <v>4299</v>
      </c>
      <c r="AF380">
        <v>1</v>
      </c>
      <c r="AG380" s="745">
        <v>43101</v>
      </c>
      <c r="AH380" s="417"/>
      <c r="AI380" s="417"/>
      <c r="AJ380" s="746">
        <v>43252</v>
      </c>
      <c r="AK380" s="417"/>
      <c r="AL380" s="637" t="s">
        <v>3474</v>
      </c>
      <c r="AM380" s="417"/>
      <c r="AN380" s="417"/>
      <c r="AO380" s="636"/>
      <c r="AP380">
        <v>556620</v>
      </c>
      <c r="AQ380" s="747">
        <v>43077</v>
      </c>
      <c r="AR380" s="417"/>
      <c r="AS380" s="417"/>
      <c r="AT380" s="417"/>
      <c r="AU380" s="417"/>
      <c r="AV380" s="417"/>
      <c r="AW380" s="417"/>
      <c r="AX380" s="417"/>
      <c r="AY380" s="183" t="s">
        <v>4245</v>
      </c>
      <c r="AZ380" s="417"/>
      <c r="BA380" s="417"/>
      <c r="BB380" t="s">
        <v>4238</v>
      </c>
      <c r="BC380" s="636"/>
      <c r="BD380" s="417"/>
      <c r="BE380" s="612">
        <v>0</v>
      </c>
      <c r="BF380" s="613">
        <v>20</v>
      </c>
      <c r="BG380" s="614" t="s">
        <v>78</v>
      </c>
      <c r="BH380" s="682"/>
      <c r="BI380" s="417"/>
      <c r="BJ380" s="417">
        <v>28</v>
      </c>
      <c r="BK380" s="682" t="str">
        <f>Техкарта[[#This Row],[Кв-л]]&amp;" кв ("&amp;Substring(Техкарта[[#This Row],[Виділ]],"_",1)&amp;" вид) "&amp;Substring(Техкарта[[#This Row],[Виділ]],"_",2)&amp;" діл."</f>
        <v>43 кв (6 вид) 0 діл.</v>
      </c>
      <c r="BL380" s="682" t="str">
        <f>Техкарта[[#This Row],[ПолнаяДіл]] &amp;" "&amp;Техкарта[[#This Row],[ЛК]]&amp;" "&amp;Техкарта[[#This Row],[Вид рубки]]</f>
        <v>43 кв (6 вид) 0 діл. 556620 РГК</v>
      </c>
      <c r="BM380" s="682"/>
      <c r="BN380" s="636" t="s">
        <v>3784</v>
      </c>
      <c r="BO380" s="636" t="s">
        <v>3784</v>
      </c>
      <c r="BP380" s="636" t="s">
        <v>3784</v>
      </c>
      <c r="BQ380" s="636" t="s">
        <v>104</v>
      </c>
      <c r="BR380" s="636"/>
      <c r="BS380" s="636"/>
      <c r="BT380" s="636"/>
      <c r="BU380" s="636"/>
      <c r="BV380" s="636"/>
      <c r="BW380" s="636" t="s">
        <v>4236</v>
      </c>
      <c r="BX380" s="636"/>
      <c r="BY380" s="972"/>
    </row>
    <row r="381" spans="1:77">
      <c r="A381" t="s">
        <v>105</v>
      </c>
      <c r="B381" s="675" t="s">
        <v>113</v>
      </c>
      <c r="C381" s="687" t="s">
        <v>126</v>
      </c>
      <c r="D381" s="675">
        <v>0</v>
      </c>
      <c r="E381" s="675" t="s">
        <v>2316</v>
      </c>
      <c r="F381" s="675">
        <v>3</v>
      </c>
      <c r="G381" s="675" t="s">
        <v>79</v>
      </c>
      <c r="H381" s="675">
        <v>60</v>
      </c>
      <c r="I381" s="676" t="s">
        <v>3830</v>
      </c>
      <c r="J381" s="677">
        <v>2.2999999999999998</v>
      </c>
      <c r="K381" s="683">
        <v>285</v>
      </c>
      <c r="L381" s="677"/>
      <c r="M381" s="677">
        <v>0</v>
      </c>
      <c r="N381" s="677">
        <v>3</v>
      </c>
      <c r="O381" s="677"/>
      <c r="P381" s="677"/>
      <c r="Q381" s="677"/>
      <c r="R381" s="677">
        <v>0</v>
      </c>
      <c r="S381" s="677">
        <v>0</v>
      </c>
      <c r="T381" s="677">
        <v>0</v>
      </c>
      <c r="U381" s="677"/>
      <c r="V381" s="677">
        <v>0</v>
      </c>
      <c r="W381" s="677">
        <v>50</v>
      </c>
      <c r="X381" s="678"/>
      <c r="Y381" s="682"/>
      <c r="Z381" s="680"/>
      <c r="AA381" s="681">
        <v>106.111</v>
      </c>
      <c r="AB381" s="681"/>
      <c r="AC381" s="417">
        <v>12</v>
      </c>
      <c r="AD381" s="417"/>
      <c r="AE381" s="682" t="s">
        <v>4300</v>
      </c>
      <c r="AF381">
        <v>1</v>
      </c>
      <c r="AG381" s="745">
        <v>43101</v>
      </c>
      <c r="AH381" s="417"/>
      <c r="AI381" s="417"/>
      <c r="AJ381" s="746">
        <v>43252</v>
      </c>
      <c r="AK381" s="417"/>
      <c r="AL381" s="637" t="s">
        <v>3474</v>
      </c>
      <c r="AM381" s="417"/>
      <c r="AN381" s="417"/>
      <c r="AO381" s="636"/>
      <c r="AP381">
        <v>556644</v>
      </c>
      <c r="AQ381" s="747">
        <v>43122</v>
      </c>
      <c r="AR381" s="417"/>
      <c r="AS381" s="417"/>
      <c r="AT381" s="417"/>
      <c r="AU381" s="417"/>
      <c r="AV381" s="417"/>
      <c r="AW381" s="417"/>
      <c r="AX381" s="417"/>
      <c r="AY381" s="183" t="s">
        <v>4245</v>
      </c>
      <c r="AZ381" s="417"/>
      <c r="BA381" s="417"/>
      <c r="BB381" t="s">
        <v>4238</v>
      </c>
      <c r="BC381" s="636"/>
      <c r="BD381" s="417"/>
      <c r="BE381" s="612"/>
      <c r="BF381" s="613"/>
      <c r="BG381" s="614"/>
      <c r="BH381" s="682"/>
      <c r="BI381" s="417"/>
      <c r="BJ381" s="417">
        <v>6</v>
      </c>
      <c r="BK381" s="682" t="str">
        <f>Техкарта[[#This Row],[Кв-л]]&amp;" кв ("&amp;Substring(Техкарта[[#This Row],[Виділ]],"_",1)&amp;" вид) "&amp;Substring(Техкарта[[#This Row],[Виділ]],"_",2)&amp;" діл."</f>
        <v>60 кв (1 вид) 0 діл.</v>
      </c>
      <c r="BL381" s="682" t="str">
        <f>Техкарта[[#This Row],[ПолнаяДіл]] &amp;" "&amp;Техкарта[[#This Row],[ЛК]]&amp;" "&amp;Техкарта[[#This Row],[Вид рубки]]</f>
        <v>60 кв (1 вид) 0 діл. 556644 СРВ</v>
      </c>
      <c r="BM381" s="682"/>
      <c r="BN381" s="636"/>
      <c r="BO381" s="636"/>
      <c r="BP381" s="636"/>
      <c r="BQ381" s="636" t="s">
        <v>105</v>
      </c>
      <c r="BR381" s="636"/>
      <c r="BS381" s="636"/>
      <c r="BT381" s="636"/>
      <c r="BU381" s="636"/>
      <c r="BV381" s="636"/>
      <c r="BW381" s="636" t="s">
        <v>4236</v>
      </c>
      <c r="BX381" s="636"/>
      <c r="BY381" s="972"/>
    </row>
    <row r="382" spans="1:77">
      <c r="A382" t="s">
        <v>105</v>
      </c>
      <c r="B382" s="675" t="s">
        <v>113</v>
      </c>
      <c r="C382" s="687" t="s">
        <v>140</v>
      </c>
      <c r="D382" s="675">
        <v>0</v>
      </c>
      <c r="E382" s="675" t="s">
        <v>2316</v>
      </c>
      <c r="F382" s="675">
        <v>3</v>
      </c>
      <c r="G382" s="675" t="s">
        <v>79</v>
      </c>
      <c r="H382" s="675">
        <v>2</v>
      </c>
      <c r="I382" s="676" t="s">
        <v>3790</v>
      </c>
      <c r="J382" s="677">
        <v>1.6</v>
      </c>
      <c r="K382" s="683">
        <v>258</v>
      </c>
      <c r="L382" s="677"/>
      <c r="M382" s="677">
        <v>0</v>
      </c>
      <c r="N382" s="677">
        <v>20</v>
      </c>
      <c r="O382" s="677"/>
      <c r="P382" s="677"/>
      <c r="Q382" s="677"/>
      <c r="R382" s="677"/>
      <c r="S382" s="677">
        <v>88</v>
      </c>
      <c r="T382" s="677">
        <v>0</v>
      </c>
      <c r="U382" s="677"/>
      <c r="V382" s="677">
        <v>0</v>
      </c>
      <c r="W382" s="677">
        <v>0</v>
      </c>
      <c r="X382" s="678"/>
      <c r="Y382" s="682"/>
      <c r="Z382" s="680"/>
      <c r="AA382" s="681">
        <v>68.722999999999999</v>
      </c>
      <c r="AB382" s="681"/>
      <c r="AC382" s="417">
        <v>9</v>
      </c>
      <c r="AD382" s="417"/>
      <c r="AE382" s="682" t="s">
        <v>4301</v>
      </c>
      <c r="AF382">
        <v>1</v>
      </c>
      <c r="AG382" s="745">
        <v>43101</v>
      </c>
      <c r="AH382" s="417"/>
      <c r="AI382" s="417"/>
      <c r="AJ382" s="746">
        <v>43252</v>
      </c>
      <c r="AK382" s="417"/>
      <c r="AL382" s="637" t="s">
        <v>3435</v>
      </c>
      <c r="AM382" s="417"/>
      <c r="AN382" s="417"/>
      <c r="AO382" s="636"/>
      <c r="AP382">
        <v>556641</v>
      </c>
      <c r="AQ382" s="747">
        <v>43102</v>
      </c>
      <c r="AR382" s="417"/>
      <c r="AS382" s="417"/>
      <c r="AT382" s="417"/>
      <c r="AU382" s="417"/>
      <c r="AV382" s="417"/>
      <c r="AW382" s="417"/>
      <c r="AX382" s="417"/>
      <c r="AY382" s="183" t="s">
        <v>4245</v>
      </c>
      <c r="AZ382" s="417"/>
      <c r="BA382" s="417"/>
      <c r="BB382" t="s">
        <v>4238</v>
      </c>
      <c r="BC382" s="636"/>
      <c r="BD382" s="417"/>
      <c r="BE382" s="612"/>
      <c r="BF382" s="613"/>
      <c r="BG382" s="614"/>
      <c r="BH382" s="682"/>
      <c r="BI382" s="417"/>
      <c r="BJ382" s="417">
        <v>17</v>
      </c>
      <c r="BK382" s="682" t="str">
        <f>Техкарта[[#This Row],[Кв-л]]&amp;" кв ("&amp;Substring(Техкарта[[#This Row],[Виділ]],"_",1)&amp;" вид) "&amp;Substring(Техкарта[[#This Row],[Виділ]],"_",2)&amp;" діл."</f>
        <v>2 кв (2 вид) 0 діл.</v>
      </c>
      <c r="BL382" s="682" t="str">
        <f>Техкарта[[#This Row],[ПолнаяДіл]] &amp;" "&amp;Техкарта[[#This Row],[ЛК]]&amp;" "&amp;Техкарта[[#This Row],[Вид рубки]]</f>
        <v>2 кв (2 вид) 0 діл. 556641 ПРХ</v>
      </c>
      <c r="BM382" s="682"/>
      <c r="BN382" s="636"/>
      <c r="BO382" s="636"/>
      <c r="BP382" s="636"/>
      <c r="BQ382" s="636" t="s">
        <v>105</v>
      </c>
      <c r="BR382" s="636"/>
      <c r="BS382" s="636"/>
      <c r="BT382" s="636"/>
      <c r="BU382" s="636"/>
      <c r="BV382" s="636"/>
      <c r="BW382" s="636" t="s">
        <v>4236</v>
      </c>
      <c r="BX382" s="636"/>
      <c r="BY382" s="972"/>
    </row>
    <row r="383" spans="1:77">
      <c r="A383" t="s">
        <v>105</v>
      </c>
      <c r="B383" s="675" t="s">
        <v>113</v>
      </c>
      <c r="C383" s="687" t="s">
        <v>126</v>
      </c>
      <c r="D383" s="675">
        <v>0</v>
      </c>
      <c r="E383" s="675" t="s">
        <v>2316</v>
      </c>
      <c r="F383" s="675">
        <v>3</v>
      </c>
      <c r="G383" s="675" t="s">
        <v>2238</v>
      </c>
      <c r="H383" s="675">
        <v>14</v>
      </c>
      <c r="I383" s="676" t="s">
        <v>3790</v>
      </c>
      <c r="J383" s="677">
        <v>2.2000000000000002</v>
      </c>
      <c r="K383" s="683">
        <v>185</v>
      </c>
      <c r="L383" s="677">
        <v>0</v>
      </c>
      <c r="M383" s="677">
        <v>0</v>
      </c>
      <c r="N383" s="677">
        <v>11</v>
      </c>
      <c r="O383" s="677">
        <v>0</v>
      </c>
      <c r="P383" s="677">
        <v>0</v>
      </c>
      <c r="Q383" s="677">
        <v>0</v>
      </c>
      <c r="R383" s="677">
        <v>0</v>
      </c>
      <c r="S383" s="677">
        <v>0</v>
      </c>
      <c r="T383" s="677">
        <v>0</v>
      </c>
      <c r="U383" s="677">
        <v>0</v>
      </c>
      <c r="V383" s="677">
        <v>0</v>
      </c>
      <c r="W383" s="677">
        <v>60</v>
      </c>
      <c r="X383" s="678"/>
      <c r="Y383" s="682"/>
      <c r="Z383" s="680"/>
      <c r="AA383" s="681">
        <v>78.855000000000004</v>
      </c>
      <c r="AB383" s="681">
        <v>29.978000000000002</v>
      </c>
      <c r="AC383" s="417">
        <v>9</v>
      </c>
      <c r="AD383" s="417"/>
      <c r="AE383" s="682" t="s">
        <v>4302</v>
      </c>
      <c r="AF383">
        <v>1</v>
      </c>
      <c r="AG383" s="745">
        <v>43101</v>
      </c>
      <c r="AH383" s="417"/>
      <c r="AI383" s="417"/>
      <c r="AJ383" s="746">
        <v>43252</v>
      </c>
      <c r="AK383" s="417"/>
      <c r="AL383" s="637" t="s">
        <v>3435</v>
      </c>
      <c r="AM383" s="417"/>
      <c r="AN383" s="417"/>
      <c r="AO383" s="636"/>
      <c r="AP383">
        <v>556654</v>
      </c>
      <c r="AQ383" s="747">
        <v>43171</v>
      </c>
      <c r="AR383" s="417"/>
      <c r="AS383" s="417"/>
      <c r="AT383" s="417"/>
      <c r="AU383" s="417"/>
      <c r="AV383" s="417"/>
      <c r="AW383" s="417"/>
      <c r="AX383" s="417"/>
      <c r="AY383" s="183" t="s">
        <v>4245</v>
      </c>
      <c r="AZ383" s="417"/>
      <c r="BA383" s="417"/>
      <c r="BB383" t="s">
        <v>4238</v>
      </c>
      <c r="BC383" s="636"/>
      <c r="BD383" s="417"/>
      <c r="BE383" s="612">
        <v>0</v>
      </c>
      <c r="BF383" s="613">
        <v>0</v>
      </c>
      <c r="BG383" s="614" t="s">
        <v>78</v>
      </c>
      <c r="BH383" s="682"/>
      <c r="BI383" s="417"/>
      <c r="BJ383" s="417">
        <v>21</v>
      </c>
      <c r="BK383" s="682" t="str">
        <f>Техкарта[[#This Row],[Кв-л]]&amp;" кв ("&amp;Substring(Техкарта[[#This Row],[Виділ]],"_",1)&amp;" вид) "&amp;Substring(Техкарта[[#This Row],[Виділ]],"_",2)&amp;" діл."</f>
        <v>14 кв (2 вид) 0 діл.</v>
      </c>
      <c r="BL383" s="682" t="str">
        <f>Техкарта[[#This Row],[ПолнаяДіл]] &amp;" "&amp;Техкарта[[#This Row],[ЛК]]&amp;" "&amp;Техкарта[[#This Row],[Вид рубки]]</f>
        <v>14 кв (2 вид) 0 діл. 556654 СРВ</v>
      </c>
      <c r="BM383" s="682"/>
      <c r="BN383" s="636" t="s">
        <v>3784</v>
      </c>
      <c r="BO383" s="636" t="s">
        <v>3784</v>
      </c>
      <c r="BP383" s="636" t="s">
        <v>3784</v>
      </c>
      <c r="BQ383" s="636" t="s">
        <v>105</v>
      </c>
      <c r="BR383" s="636"/>
      <c r="BS383" s="636"/>
      <c r="BT383" s="636"/>
      <c r="BU383" s="636"/>
      <c r="BV383" s="636"/>
      <c r="BW383" s="636" t="s">
        <v>4236</v>
      </c>
      <c r="BX383" s="636"/>
      <c r="BY383" s="972"/>
    </row>
    <row r="384" spans="1:77">
      <c r="A384" t="s">
        <v>105</v>
      </c>
      <c r="B384" s="675" t="s">
        <v>113</v>
      </c>
      <c r="C384" s="687" t="s">
        <v>126</v>
      </c>
      <c r="D384" s="675">
        <v>0</v>
      </c>
      <c r="E384" s="675" t="s">
        <v>2316</v>
      </c>
      <c r="F384" s="675">
        <v>3</v>
      </c>
      <c r="G384" s="675" t="s">
        <v>2238</v>
      </c>
      <c r="H384" s="675">
        <v>108</v>
      </c>
      <c r="I384" s="676" t="s">
        <v>3806</v>
      </c>
      <c r="J384" s="677">
        <v>2.1</v>
      </c>
      <c r="K384" s="683">
        <v>271</v>
      </c>
      <c r="L384" s="677">
        <v>0</v>
      </c>
      <c r="M384" s="677">
        <v>0</v>
      </c>
      <c r="N384" s="677">
        <v>1</v>
      </c>
      <c r="O384" s="677">
        <v>0</v>
      </c>
      <c r="P384" s="677">
        <v>0</v>
      </c>
      <c r="Q384" s="677">
        <v>0</v>
      </c>
      <c r="R384" s="677">
        <v>0</v>
      </c>
      <c r="S384" s="677">
        <v>0</v>
      </c>
      <c r="T384" s="677">
        <v>63</v>
      </c>
      <c r="U384" s="677">
        <v>0</v>
      </c>
      <c r="V384" s="677">
        <v>0</v>
      </c>
      <c r="W384" s="677">
        <v>0</v>
      </c>
      <c r="X384" s="678"/>
      <c r="Y384" s="682"/>
      <c r="Z384" s="680"/>
      <c r="AA384" s="681">
        <v>98.486999999999995</v>
      </c>
      <c r="AB384" s="681">
        <v>29.978000000000002</v>
      </c>
      <c r="AC384" s="417">
        <v>10</v>
      </c>
      <c r="AD384" s="417"/>
      <c r="AE384" s="682" t="s">
        <v>4303</v>
      </c>
      <c r="AF384">
        <v>1</v>
      </c>
      <c r="AG384" s="745">
        <v>43101</v>
      </c>
      <c r="AH384" s="417"/>
      <c r="AI384" s="417"/>
      <c r="AJ384" s="746">
        <v>43252</v>
      </c>
      <c r="AK384" s="417"/>
      <c r="AL384" s="637" t="s">
        <v>3441</v>
      </c>
      <c r="AM384" s="417"/>
      <c r="AN384" s="417"/>
      <c r="AO384" s="636"/>
      <c r="AP384">
        <v>556654</v>
      </c>
      <c r="AQ384" s="747">
        <v>43171</v>
      </c>
      <c r="AR384" s="417"/>
      <c r="AS384" s="417"/>
      <c r="AT384" s="417"/>
      <c r="AU384" s="417"/>
      <c r="AV384" s="417"/>
      <c r="AW384" s="417"/>
      <c r="AX384" s="417"/>
      <c r="AY384" s="183" t="s">
        <v>4245</v>
      </c>
      <c r="AZ384" s="417"/>
      <c r="BA384" s="417"/>
      <c r="BB384" t="s">
        <v>4238</v>
      </c>
      <c r="BC384" s="636"/>
      <c r="BD384" s="417"/>
      <c r="BE384" s="612">
        <v>0</v>
      </c>
      <c r="BF384" s="613">
        <v>0</v>
      </c>
      <c r="BG384" s="614" t="s">
        <v>78</v>
      </c>
      <c r="BH384" s="682"/>
      <c r="BI384" s="417"/>
      <c r="BJ384" s="417">
        <v>23</v>
      </c>
      <c r="BK384" s="682" t="str">
        <f>Техкарта[[#This Row],[Кв-л]]&amp;" кв ("&amp;Substring(Техкарта[[#This Row],[Виділ]],"_",1)&amp;" вид) "&amp;Substring(Техкарта[[#This Row],[Виділ]],"_",2)&amp;" діл."</f>
        <v>108 кв (1 вид) 1 діл.</v>
      </c>
      <c r="BL384" s="682" t="str">
        <f>Техкарта[[#This Row],[ПолнаяДіл]] &amp;" "&amp;Техкарта[[#This Row],[ЛК]]&amp;" "&amp;Техкарта[[#This Row],[Вид рубки]]</f>
        <v>108 кв (1 вид) 1 діл. 556654 СРВ</v>
      </c>
      <c r="BM384" s="682"/>
      <c r="BN384" s="636" t="s">
        <v>3784</v>
      </c>
      <c r="BO384" s="636" t="s">
        <v>3784</v>
      </c>
      <c r="BP384" s="636" t="s">
        <v>3784</v>
      </c>
      <c r="BQ384" s="636" t="s">
        <v>105</v>
      </c>
      <c r="BR384" s="636"/>
      <c r="BS384" s="636"/>
      <c r="BT384" s="636"/>
      <c r="BU384" s="636"/>
      <c r="BV384" s="636"/>
      <c r="BW384" s="636" t="s">
        <v>4236</v>
      </c>
      <c r="BX384" s="636"/>
      <c r="BY384" s="972"/>
    </row>
    <row r="385" spans="1:77">
      <c r="A385" t="s">
        <v>105</v>
      </c>
      <c r="B385" s="675" t="s">
        <v>113</v>
      </c>
      <c r="C385" s="687" t="s">
        <v>124</v>
      </c>
      <c r="D385" s="675">
        <v>0</v>
      </c>
      <c r="E385" s="675" t="s">
        <v>2305</v>
      </c>
      <c r="F385" s="675">
        <v>3</v>
      </c>
      <c r="G385" s="675" t="s">
        <v>2238</v>
      </c>
      <c r="H385" s="675">
        <v>133</v>
      </c>
      <c r="I385" s="676" t="s">
        <v>3789</v>
      </c>
      <c r="J385" s="677">
        <v>7.2</v>
      </c>
      <c r="K385" s="683">
        <v>973</v>
      </c>
      <c r="L385" s="677">
        <v>0</v>
      </c>
      <c r="M385" s="677">
        <v>0</v>
      </c>
      <c r="N385" s="677">
        <v>0</v>
      </c>
      <c r="O385" s="677">
        <v>0</v>
      </c>
      <c r="P385" s="677">
        <v>0</v>
      </c>
      <c r="Q385" s="677">
        <v>0</v>
      </c>
      <c r="R385" s="677">
        <v>0</v>
      </c>
      <c r="S385" s="677">
        <v>0</v>
      </c>
      <c r="T385" s="677">
        <v>0</v>
      </c>
      <c r="U385" s="677">
        <v>0</v>
      </c>
      <c r="V385" s="677">
        <v>0</v>
      </c>
      <c r="W385" s="677">
        <v>82</v>
      </c>
      <c r="X385" s="678"/>
      <c r="Y385" s="682"/>
      <c r="Z385" s="680"/>
      <c r="AA385" s="681">
        <v>194.49600000000001</v>
      </c>
      <c r="AB385" s="681">
        <v>29.978000000000002</v>
      </c>
      <c r="AC385" s="417">
        <v>13</v>
      </c>
      <c r="AD385" s="417"/>
      <c r="AE385" s="682" t="s">
        <v>4304</v>
      </c>
      <c r="AF385">
        <v>1</v>
      </c>
      <c r="AG385" s="745">
        <v>43101</v>
      </c>
      <c r="AH385" s="417"/>
      <c r="AI385" s="417"/>
      <c r="AJ385" s="746">
        <v>43252</v>
      </c>
      <c r="AK385" s="417"/>
      <c r="AL385" s="637" t="s">
        <v>3447</v>
      </c>
      <c r="AM385" s="417"/>
      <c r="AN385" s="417"/>
      <c r="AO385" s="636"/>
      <c r="AP385">
        <v>556640</v>
      </c>
      <c r="AQ385" s="747">
        <v>43102</v>
      </c>
      <c r="AR385" s="417"/>
      <c r="AS385" s="417"/>
      <c r="AT385" s="417"/>
      <c r="AU385" s="417"/>
      <c r="AV385" s="417"/>
      <c r="AW385" s="417"/>
      <c r="AX385" s="417"/>
      <c r="AY385" s="183" t="s">
        <v>4245</v>
      </c>
      <c r="AZ385" s="417"/>
      <c r="BA385" s="417"/>
      <c r="BB385" t="s">
        <v>4238</v>
      </c>
      <c r="BC385" s="636"/>
      <c r="BD385" s="417"/>
      <c r="BE385" s="612">
        <v>0</v>
      </c>
      <c r="BF385" s="613">
        <v>0</v>
      </c>
      <c r="BG385" s="614" t="s">
        <v>78</v>
      </c>
      <c r="BH385" s="682"/>
      <c r="BI385" s="417"/>
      <c r="BJ385" s="417">
        <v>25</v>
      </c>
      <c r="BK385" s="682" t="str">
        <f>Техкарта[[#This Row],[Кв-л]]&amp;" кв ("&amp;Substring(Техкарта[[#This Row],[Виділ]],"_",1)&amp;" вид) "&amp;Substring(Техкарта[[#This Row],[Виділ]],"_",2)&amp;" діл."</f>
        <v>133 кв (10 вид) 0 діл.</v>
      </c>
      <c r="BL385" s="682" t="str">
        <f>Техкарта[[#This Row],[ПолнаяДіл]] &amp;" "&amp;Техкарта[[#This Row],[ЛК]]&amp;" "&amp;Техкарта[[#This Row],[Вид рубки]]</f>
        <v>133 кв (10 вид) 0 діл. 556640 ПРЖ</v>
      </c>
      <c r="BM385" s="682"/>
      <c r="BN385" s="636" t="s">
        <v>3784</v>
      </c>
      <c r="BO385" s="636" t="s">
        <v>3784</v>
      </c>
      <c r="BP385" s="636" t="s">
        <v>3784</v>
      </c>
      <c r="BQ385" s="636" t="s">
        <v>105</v>
      </c>
      <c r="BR385" s="636"/>
      <c r="BS385" s="636"/>
      <c r="BT385" s="636"/>
      <c r="BU385" s="636"/>
      <c r="BV385" s="636"/>
      <c r="BW385" s="636" t="s">
        <v>4236</v>
      </c>
      <c r="BX385" s="636"/>
      <c r="BY385" s="972"/>
    </row>
    <row r="386" spans="1:77">
      <c r="A386" t="s">
        <v>105</v>
      </c>
      <c r="B386" s="675" t="s">
        <v>111</v>
      </c>
      <c r="C386" s="687" t="s">
        <v>3842</v>
      </c>
      <c r="D386" s="675">
        <v>0</v>
      </c>
      <c r="E386" s="675" t="s">
        <v>2316</v>
      </c>
      <c r="F386" s="675">
        <v>3</v>
      </c>
      <c r="G386" s="675" t="s">
        <v>2238</v>
      </c>
      <c r="H386" s="675">
        <v>126</v>
      </c>
      <c r="I386" s="676" t="s">
        <v>3829</v>
      </c>
      <c r="J386" s="677">
        <v>4.5</v>
      </c>
      <c r="K386" s="683">
        <v>1031</v>
      </c>
      <c r="L386" s="677">
        <v>0</v>
      </c>
      <c r="M386" s="677">
        <v>169</v>
      </c>
      <c r="N386" s="677">
        <v>0</v>
      </c>
      <c r="O386" s="677">
        <v>0</v>
      </c>
      <c r="P386" s="677">
        <v>0</v>
      </c>
      <c r="Q386" s="677">
        <v>0</v>
      </c>
      <c r="R386" s="677">
        <v>0</v>
      </c>
      <c r="S386" s="677">
        <v>172</v>
      </c>
      <c r="T386" s="677">
        <v>0</v>
      </c>
      <c r="U386" s="677">
        <v>0</v>
      </c>
      <c r="V386" s="677">
        <v>172</v>
      </c>
      <c r="W386" s="677">
        <v>0</v>
      </c>
      <c r="X386" s="678"/>
      <c r="Y386" s="682"/>
      <c r="Z386" s="680"/>
      <c r="AA386" s="681">
        <v>61.523000000000003</v>
      </c>
      <c r="AB386" s="681">
        <v>29.978000000000002</v>
      </c>
      <c r="AC386" s="417">
        <v>69</v>
      </c>
      <c r="AD386" s="417"/>
      <c r="AE386" s="682" t="s">
        <v>4305</v>
      </c>
      <c r="AF386">
        <v>1</v>
      </c>
      <c r="AG386" s="745">
        <v>43101</v>
      </c>
      <c r="AH386" s="417"/>
      <c r="AI386" s="417"/>
      <c r="AJ386" s="746">
        <v>43252</v>
      </c>
      <c r="AK386" s="417"/>
      <c r="AL386" s="637" t="s">
        <v>3435</v>
      </c>
      <c r="AM386" s="417"/>
      <c r="AN386" s="417"/>
      <c r="AO386" s="636"/>
      <c r="AP386">
        <v>556672</v>
      </c>
      <c r="AQ386" s="747">
        <v>43214</v>
      </c>
      <c r="AR386" s="417"/>
      <c r="AS386" s="417"/>
      <c r="AT386" s="417"/>
      <c r="AU386" s="417"/>
      <c r="AV386" s="417"/>
      <c r="AW386" s="417"/>
      <c r="AX386" s="417"/>
      <c r="AY386" s="183" t="s">
        <v>3424</v>
      </c>
      <c r="AZ386" s="417"/>
      <c r="BA386" s="417"/>
      <c r="BB386" t="s">
        <v>3583</v>
      </c>
      <c r="BC386" s="636"/>
      <c r="BD386" s="417"/>
      <c r="BE386" s="612">
        <v>0</v>
      </c>
      <c r="BF386" s="613">
        <v>0</v>
      </c>
      <c r="BG386" s="614" t="s">
        <v>78</v>
      </c>
      <c r="BH386" s="682"/>
      <c r="BI386" s="417"/>
      <c r="BJ386" s="417">
        <v>1</v>
      </c>
      <c r="BK386" s="682" t="str">
        <f>Техкарта[[#This Row],[Кв-л]]&amp;" кв ("&amp;Substring(Техкарта[[#This Row],[Виділ]],"_",1)&amp;" вид) "&amp;Substring(Техкарта[[#This Row],[Виділ]],"_",2)&amp;" діл."</f>
        <v>126 кв (3 вид) 0 діл.</v>
      </c>
      <c r="BL386" s="682" t="str">
        <f>Техкарта[[#This Row],[ПолнаяДіл]] &amp;" "&amp;Техкарта[[#This Row],[ЛК]]&amp;" "&amp;Техкарта[[#This Row],[Вид рубки]]</f>
        <v>126 кв (3 вид) 0 діл. 556672 РЛД</v>
      </c>
      <c r="BM386" s="682"/>
      <c r="BN386" s="636" t="s">
        <v>3784</v>
      </c>
      <c r="BO386" s="636" t="s">
        <v>3784</v>
      </c>
      <c r="BP386" s="636" t="s">
        <v>3784</v>
      </c>
      <c r="BQ386" s="636" t="s">
        <v>105</v>
      </c>
      <c r="BR386" s="636"/>
      <c r="BS386" s="636"/>
      <c r="BT386" s="636"/>
      <c r="BU386" s="636"/>
      <c r="BV386" s="636"/>
      <c r="BW386" s="636" t="s">
        <v>4236</v>
      </c>
      <c r="BX386" s="636"/>
      <c r="BY386" s="972"/>
    </row>
    <row r="387" spans="1:77">
      <c r="A387" t="s">
        <v>105</v>
      </c>
      <c r="B387" s="675" t="s">
        <v>111</v>
      </c>
      <c r="C387" s="687" t="s">
        <v>3842</v>
      </c>
      <c r="D387" s="675">
        <v>0</v>
      </c>
      <c r="E387" s="675" t="s">
        <v>2316</v>
      </c>
      <c r="F387" s="675">
        <v>3</v>
      </c>
      <c r="G387" s="675" t="s">
        <v>2238</v>
      </c>
      <c r="H387" s="675">
        <v>126</v>
      </c>
      <c r="I387" s="676" t="s">
        <v>3831</v>
      </c>
      <c r="J387" s="677">
        <v>1.7</v>
      </c>
      <c r="K387" s="683">
        <v>553</v>
      </c>
      <c r="L387" s="677">
        <v>0</v>
      </c>
      <c r="M387" s="677">
        <v>51</v>
      </c>
      <c r="N387" s="677">
        <v>0</v>
      </c>
      <c r="O387" s="677">
        <v>0</v>
      </c>
      <c r="P387" s="677">
        <v>0</v>
      </c>
      <c r="Q387" s="677">
        <v>0</v>
      </c>
      <c r="R387" s="677">
        <v>0</v>
      </c>
      <c r="S387" s="677">
        <v>93</v>
      </c>
      <c r="T387" s="677">
        <v>0</v>
      </c>
      <c r="U387" s="677">
        <v>0</v>
      </c>
      <c r="V387" s="677">
        <v>93</v>
      </c>
      <c r="W387" s="677">
        <v>0</v>
      </c>
      <c r="X387" s="678"/>
      <c r="Y387" s="682"/>
      <c r="Z387" s="680"/>
      <c r="AA387" s="681">
        <v>65.912999999999997</v>
      </c>
      <c r="AB387" s="681">
        <v>29.978000000000002</v>
      </c>
      <c r="AC387" s="417">
        <v>32</v>
      </c>
      <c r="AD387" s="417"/>
      <c r="AE387" s="682" t="s">
        <v>4306</v>
      </c>
      <c r="AF387">
        <v>1</v>
      </c>
      <c r="AG387" s="745">
        <v>43101</v>
      </c>
      <c r="AH387" s="417"/>
      <c r="AI387" s="417"/>
      <c r="AJ387" s="746">
        <v>43252</v>
      </c>
      <c r="AK387" s="417"/>
      <c r="AL387" s="637" t="s">
        <v>3435</v>
      </c>
      <c r="AM387" s="417"/>
      <c r="AN387" s="417"/>
      <c r="AO387" s="636"/>
      <c r="AP387">
        <v>556672</v>
      </c>
      <c r="AQ387" s="747">
        <v>43214</v>
      </c>
      <c r="AR387" s="417"/>
      <c r="AS387" s="417"/>
      <c r="AT387" s="417"/>
      <c r="AU387" s="417"/>
      <c r="AV387" s="417"/>
      <c r="AW387" s="417"/>
      <c r="AX387" s="417"/>
      <c r="AY387" s="183" t="s">
        <v>3424</v>
      </c>
      <c r="AZ387" s="417"/>
      <c r="BA387" s="417"/>
      <c r="BB387" t="s">
        <v>3583</v>
      </c>
      <c r="BC387" s="636"/>
      <c r="BD387" s="417"/>
      <c r="BE387" s="612">
        <v>0</v>
      </c>
      <c r="BF387" s="613">
        <v>0</v>
      </c>
      <c r="BG387" s="614" t="s">
        <v>78</v>
      </c>
      <c r="BH387" s="682"/>
      <c r="BI387" s="417"/>
      <c r="BJ387" s="417">
        <v>2</v>
      </c>
      <c r="BK387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7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7" s="682"/>
      <c r="BN387" s="636" t="s">
        <v>3784</v>
      </c>
      <c r="BO387" s="636" t="s">
        <v>3784</v>
      </c>
      <c r="BP387" s="636" t="s">
        <v>3784</v>
      </c>
      <c r="BQ387" s="636" t="s">
        <v>105</v>
      </c>
      <c r="BR387" s="636"/>
      <c r="BS387" s="636"/>
      <c r="BT387" s="636"/>
      <c r="BU387" s="636"/>
      <c r="BV387" s="636"/>
      <c r="BW387" s="636" t="s">
        <v>4236</v>
      </c>
      <c r="BX387" s="636"/>
      <c r="BY387" s="972"/>
    </row>
    <row r="388" spans="1:77">
      <c r="A388" t="s">
        <v>105</v>
      </c>
      <c r="B388" s="675" t="s">
        <v>111</v>
      </c>
      <c r="C388" s="687" t="s">
        <v>3842</v>
      </c>
      <c r="D388" s="675">
        <v>0</v>
      </c>
      <c r="E388" s="675" t="s">
        <v>2316</v>
      </c>
      <c r="F388" s="675">
        <v>3</v>
      </c>
      <c r="G388" s="675" t="s">
        <v>2238</v>
      </c>
      <c r="H388" s="675">
        <v>126</v>
      </c>
      <c r="I388" s="676" t="s">
        <v>3831</v>
      </c>
      <c r="J388" s="677">
        <v>1.7</v>
      </c>
      <c r="K388" s="683">
        <v>553</v>
      </c>
      <c r="L388" s="677">
        <v>0</v>
      </c>
      <c r="M388" s="677">
        <v>51</v>
      </c>
      <c r="N388" s="677">
        <v>0</v>
      </c>
      <c r="O388" s="677">
        <v>0</v>
      </c>
      <c r="P388" s="677">
        <v>0</v>
      </c>
      <c r="Q388" s="677">
        <v>0</v>
      </c>
      <c r="R388" s="677">
        <v>0</v>
      </c>
      <c r="S388" s="677">
        <v>93</v>
      </c>
      <c r="T388" s="677">
        <v>0</v>
      </c>
      <c r="U388" s="677">
        <v>0</v>
      </c>
      <c r="V388" s="677">
        <v>93</v>
      </c>
      <c r="W388" s="677">
        <v>0</v>
      </c>
      <c r="X388" s="678"/>
      <c r="Y388" s="682"/>
      <c r="Z388" s="680"/>
      <c r="AA388" s="681">
        <v>65.912999999999997</v>
      </c>
      <c r="AB388" s="681">
        <v>29.978000000000002</v>
      </c>
      <c r="AC388" s="417">
        <v>32</v>
      </c>
      <c r="AD388" s="417"/>
      <c r="AE388" s="682" t="s">
        <v>4306</v>
      </c>
      <c r="AF388">
        <v>1</v>
      </c>
      <c r="AG388" s="745">
        <v>43101</v>
      </c>
      <c r="AH388" s="417"/>
      <c r="AI388" s="417"/>
      <c r="AJ388" s="746">
        <v>43252</v>
      </c>
      <c r="AK388" s="417"/>
      <c r="AL388" s="637" t="s">
        <v>3435</v>
      </c>
      <c r="AM388" s="417"/>
      <c r="AN388" s="417"/>
      <c r="AO388" s="636"/>
      <c r="AP388">
        <v>556672</v>
      </c>
      <c r="AQ388" s="747">
        <v>43214</v>
      </c>
      <c r="AR388" s="417"/>
      <c r="AS388" s="417"/>
      <c r="AT388" s="417"/>
      <c r="AU388" s="417"/>
      <c r="AV388" s="417"/>
      <c r="AW388" s="417"/>
      <c r="AX388" s="417"/>
      <c r="AY388" s="183" t="s">
        <v>3424</v>
      </c>
      <c r="AZ388" s="417"/>
      <c r="BA388" s="417"/>
      <c r="BB388" t="s">
        <v>3583</v>
      </c>
      <c r="BC388" s="636"/>
      <c r="BD388" s="417"/>
      <c r="BE388" s="612">
        <v>0</v>
      </c>
      <c r="BF388" s="613">
        <v>0</v>
      </c>
      <c r="BG388" s="614" t="s">
        <v>78</v>
      </c>
      <c r="BH388" s="682"/>
      <c r="BI388" s="417"/>
      <c r="BJ388" s="417">
        <v>2</v>
      </c>
      <c r="BK388" s="682" t="str">
        <f>Техкарта[[#This Row],[Кв-л]]&amp;" кв ("&amp;Substring(Техкарта[[#This Row],[Виділ]],"_",1)&amp;" вид) "&amp;Substring(Техкарта[[#This Row],[Виділ]],"_",2)&amp;" діл."</f>
        <v>126 кв (4 вид) 0 діл.</v>
      </c>
      <c r="BL388" s="682" t="str">
        <f>Техкарта[[#This Row],[ПолнаяДіл]] &amp;" "&amp;Техкарта[[#This Row],[ЛК]]&amp;" "&amp;Техкарта[[#This Row],[Вид рубки]]</f>
        <v>126 кв (4 вид) 0 діл. 556672 РЛД</v>
      </c>
      <c r="BM388" s="682"/>
      <c r="BN388" s="636" t="s">
        <v>3784</v>
      </c>
      <c r="BO388" s="636" t="s">
        <v>3784</v>
      </c>
      <c r="BP388" s="636" t="s">
        <v>3784</v>
      </c>
      <c r="BQ388" s="636" t="s">
        <v>105</v>
      </c>
      <c r="BR388" s="636"/>
      <c r="BS388" s="636"/>
      <c r="BT388" s="636"/>
      <c r="BU388" s="636"/>
      <c r="BV388" s="636"/>
      <c r="BW388" s="636" t="s">
        <v>4236</v>
      </c>
      <c r="BX388" s="636"/>
      <c r="BY388" s="972"/>
    </row>
    <row r="389" spans="1:77">
      <c r="A389" t="s">
        <v>104</v>
      </c>
      <c r="B389" s="675" t="s">
        <v>113</v>
      </c>
      <c r="C389" s="687" t="s">
        <v>104</v>
      </c>
      <c r="D389" s="675">
        <v>0</v>
      </c>
      <c r="E389" s="675" t="s">
        <v>2305</v>
      </c>
      <c r="F389" s="675">
        <v>5</v>
      </c>
      <c r="G389" s="675" t="s">
        <v>2238</v>
      </c>
      <c r="H389" s="675">
        <v>137</v>
      </c>
      <c r="I389" s="676" t="s">
        <v>4188</v>
      </c>
      <c r="J389" s="677">
        <v>2.8</v>
      </c>
      <c r="K389" s="683">
        <v>1608</v>
      </c>
      <c r="L389" s="677">
        <v>0</v>
      </c>
      <c r="M389" s="677">
        <v>0</v>
      </c>
      <c r="N389" s="677">
        <v>0</v>
      </c>
      <c r="O389" s="677">
        <v>0</v>
      </c>
      <c r="P389" s="677">
        <v>0</v>
      </c>
      <c r="Q389" s="677">
        <v>0</v>
      </c>
      <c r="R389" s="677">
        <v>1</v>
      </c>
      <c r="S389" s="677">
        <v>16</v>
      </c>
      <c r="T389" s="677">
        <v>93</v>
      </c>
      <c r="U389" s="677">
        <v>2</v>
      </c>
      <c r="V389" s="677">
        <v>13</v>
      </c>
      <c r="W389" s="677">
        <v>197</v>
      </c>
      <c r="X389" s="678"/>
      <c r="Y389" s="682"/>
      <c r="Z389" s="680"/>
      <c r="AA389" s="681">
        <v>158.554</v>
      </c>
      <c r="AB389" s="681">
        <v>52.459000000000003</v>
      </c>
      <c r="AC389" s="417">
        <v>48</v>
      </c>
      <c r="AD389" s="417"/>
      <c r="AE389" s="682" t="s">
        <v>4298</v>
      </c>
      <c r="AF389">
        <v>1</v>
      </c>
      <c r="AG389" s="745">
        <v>43101</v>
      </c>
      <c r="AH389" s="417"/>
      <c r="AI389" s="417"/>
      <c r="AJ389" s="746">
        <v>43252</v>
      </c>
      <c r="AK389" s="417"/>
      <c r="AL389" s="637" t="s">
        <v>3469</v>
      </c>
      <c r="AM389" s="417"/>
      <c r="AN389" s="417"/>
      <c r="AO389" s="636"/>
      <c r="AP389">
        <v>556620</v>
      </c>
      <c r="AQ389" s="747">
        <v>43077</v>
      </c>
      <c r="AR389" s="417"/>
      <c r="AS389" s="417"/>
      <c r="AT389" s="417"/>
      <c r="AU389" s="417"/>
      <c r="AV389" s="417"/>
      <c r="AW389" s="417"/>
      <c r="AX389" s="417"/>
      <c r="AY389" s="183" t="s">
        <v>4245</v>
      </c>
      <c r="AZ389" s="417"/>
      <c r="BA389" s="417"/>
      <c r="BB389" t="s">
        <v>4238</v>
      </c>
      <c r="BC389" s="636"/>
      <c r="BD389" s="417"/>
      <c r="BE389" s="612">
        <v>5</v>
      </c>
      <c r="BF389" s="613">
        <v>20</v>
      </c>
      <c r="BG389" s="614" t="s">
        <v>78</v>
      </c>
      <c r="BH389" s="682"/>
      <c r="BI389" s="417"/>
      <c r="BJ389" s="417">
        <v>3</v>
      </c>
      <c r="BK389" s="682" t="str">
        <f>Техкарта[[#This Row],[Кв-л]]&amp;" кв ("&amp;Substring(Техкарта[[#This Row],[Виділ]],"_",1)&amp;" вид) "&amp;Substring(Техкарта[[#This Row],[Виділ]],"_",2)&amp;" діл."</f>
        <v>137 кв (14 вид) 1 діл.</v>
      </c>
      <c r="BL389" s="682" t="str">
        <f>Техкарта[[#This Row],[ПолнаяДіл]] &amp;" "&amp;Техкарта[[#This Row],[ЛК]]&amp;" "&amp;Техкарта[[#This Row],[Вид рубки]]</f>
        <v>137 кв (14 вид) 1 діл. 556620 РГК</v>
      </c>
      <c r="BM389" s="682"/>
      <c r="BN389" s="636" t="s">
        <v>3783</v>
      </c>
      <c r="BO389" s="636" t="s">
        <v>3783</v>
      </c>
      <c r="BP389" s="636" t="s">
        <v>3783</v>
      </c>
      <c r="BQ389" s="636" t="s">
        <v>104</v>
      </c>
      <c r="BR389" s="636"/>
      <c r="BS389" s="636"/>
      <c r="BT389" s="636"/>
      <c r="BU389" s="636"/>
      <c r="BV389" s="636"/>
      <c r="BW389" s="636" t="s">
        <v>4307</v>
      </c>
      <c r="BX389" s="636"/>
      <c r="BY389" s="972"/>
    </row>
    <row r="390" spans="1:77">
      <c r="A390" t="s">
        <v>105</v>
      </c>
      <c r="B390" s="675" t="s">
        <v>111</v>
      </c>
      <c r="C390" s="687" t="s">
        <v>3842</v>
      </c>
      <c r="D390" s="675">
        <v>0</v>
      </c>
      <c r="E390" s="675" t="s">
        <v>2316</v>
      </c>
      <c r="F390" s="675">
        <v>3</v>
      </c>
      <c r="G390" s="675" t="s">
        <v>2238</v>
      </c>
      <c r="H390" s="675">
        <v>117</v>
      </c>
      <c r="I390" s="676" t="s">
        <v>3794</v>
      </c>
      <c r="J390" s="677">
        <v>14.4</v>
      </c>
      <c r="K390" s="683">
        <v>2608</v>
      </c>
      <c r="L390" s="677">
        <v>0</v>
      </c>
      <c r="M390" s="677">
        <v>270</v>
      </c>
      <c r="N390" s="677">
        <v>0</v>
      </c>
      <c r="O390" s="677">
        <v>0</v>
      </c>
      <c r="P390" s="677">
        <v>0</v>
      </c>
      <c r="Q390" s="677">
        <v>0</v>
      </c>
      <c r="R390" s="677">
        <v>0</v>
      </c>
      <c r="S390" s="677">
        <v>360</v>
      </c>
      <c r="T390" s="677">
        <v>0</v>
      </c>
      <c r="U390" s="677">
        <v>0</v>
      </c>
      <c r="V390" s="677">
        <v>348</v>
      </c>
      <c r="W390" s="677">
        <v>0</v>
      </c>
      <c r="X390" s="678"/>
      <c r="Y390" s="682"/>
      <c r="Z390" s="680"/>
      <c r="AA390" s="681">
        <v>65.994</v>
      </c>
      <c r="AB390" s="681">
        <v>29.978000000000002</v>
      </c>
      <c r="AC390" s="417">
        <v>138</v>
      </c>
      <c r="AD390" s="417"/>
      <c r="AE390" s="682" t="s">
        <v>4308</v>
      </c>
      <c r="AF390">
        <v>1</v>
      </c>
      <c r="AG390" s="745">
        <v>43101</v>
      </c>
      <c r="AH390" s="417"/>
      <c r="AI390" s="417"/>
      <c r="AJ390" s="746">
        <v>43277</v>
      </c>
      <c r="AK390" s="417"/>
      <c r="AL390" s="637" t="s">
        <v>3467</v>
      </c>
      <c r="AM390" s="417"/>
      <c r="AN390" s="417"/>
      <c r="AO390" s="636"/>
      <c r="AP390">
        <v>556712</v>
      </c>
      <c r="AQ390" s="747">
        <v>43277</v>
      </c>
      <c r="AR390" s="417"/>
      <c r="AS390" s="417"/>
      <c r="AT390" s="417"/>
      <c r="AU390" s="417"/>
      <c r="AV390" s="417"/>
      <c r="AW390" s="417"/>
      <c r="AX390" s="417"/>
      <c r="AY390" s="183" t="s">
        <v>3424</v>
      </c>
      <c r="AZ390" s="417"/>
      <c r="BA390" s="417"/>
      <c r="BB390" t="s">
        <v>3583</v>
      </c>
      <c r="BC390" s="636"/>
      <c r="BD390" s="417"/>
      <c r="BE390" s="612">
        <v>0</v>
      </c>
      <c r="BF390" s="613">
        <v>0</v>
      </c>
      <c r="BG390" s="614" t="s">
        <v>78</v>
      </c>
      <c r="BH390" s="682"/>
      <c r="BI390" s="417"/>
      <c r="BJ390" s="417">
        <v>3</v>
      </c>
      <c r="BK390" s="682" t="str">
        <f>Техкарта[[#This Row],[Кв-л]]&amp;" кв ("&amp;Substring(Техкарта[[#This Row],[Виділ]],"_",1)&amp;" вид) "&amp;Substring(Техкарта[[#This Row],[Виділ]],"_",2)&amp;" діл."</f>
        <v>117 кв (11 вид) 0 діл.</v>
      </c>
      <c r="BL390" s="682" t="str">
        <f>Техкарта[[#This Row],[ПолнаяДіл]] &amp;" "&amp;Техкарта[[#This Row],[ЛК]]&amp;" "&amp;Техкарта[[#This Row],[Вид рубки]]</f>
        <v>117 кв (11 вид) 0 діл. 556712 РЛД</v>
      </c>
      <c r="BM390" s="682"/>
      <c r="BN390" s="636" t="s">
        <v>3784</v>
      </c>
      <c r="BO390" s="636" t="s">
        <v>3784</v>
      </c>
      <c r="BP390" s="636" t="s">
        <v>3784</v>
      </c>
      <c r="BQ390" s="636" t="s">
        <v>105</v>
      </c>
      <c r="BR390" s="636"/>
      <c r="BS390" s="636"/>
      <c r="BT390" s="636"/>
      <c r="BU390" s="636"/>
      <c r="BV390" s="636"/>
      <c r="BW390" s="636" t="s">
        <v>4307</v>
      </c>
      <c r="BX390" s="636"/>
      <c r="BY390" s="972"/>
    </row>
    <row r="391" spans="1:77">
      <c r="A391" t="s">
        <v>105</v>
      </c>
      <c r="B391" s="675" t="s">
        <v>113</v>
      </c>
      <c r="C391" s="687" t="s">
        <v>140</v>
      </c>
      <c r="D391" s="675">
        <v>0</v>
      </c>
      <c r="E391" s="675" t="s">
        <v>2316</v>
      </c>
      <c r="F391" s="675">
        <v>3</v>
      </c>
      <c r="G391" s="675" t="s">
        <v>2238</v>
      </c>
      <c r="H391" s="675">
        <v>112</v>
      </c>
      <c r="I391" s="676" t="s">
        <v>3832</v>
      </c>
      <c r="J391" s="677">
        <v>8.3000000000000007</v>
      </c>
      <c r="K391" s="683">
        <v>880</v>
      </c>
      <c r="L391" s="677">
        <v>0</v>
      </c>
      <c r="M391" s="677">
        <v>0</v>
      </c>
      <c r="N391" s="677">
        <v>26</v>
      </c>
      <c r="O391" s="677">
        <v>0</v>
      </c>
      <c r="P391" s="677">
        <v>0</v>
      </c>
      <c r="Q391" s="677">
        <v>0</v>
      </c>
      <c r="R391" s="677">
        <v>0</v>
      </c>
      <c r="S391" s="677">
        <v>0</v>
      </c>
      <c r="T391" s="677">
        <v>0</v>
      </c>
      <c r="U391" s="677">
        <v>0</v>
      </c>
      <c r="V391" s="677">
        <v>0</v>
      </c>
      <c r="W391" s="677">
        <v>225</v>
      </c>
      <c r="X391" s="678"/>
      <c r="Y391" s="682"/>
      <c r="Z391" s="680"/>
      <c r="AA391" s="681">
        <v>89.081999999999994</v>
      </c>
      <c r="AB391" s="681">
        <v>29.978000000000002</v>
      </c>
      <c r="AC391" s="417">
        <v>24</v>
      </c>
      <c r="AD391" s="417"/>
      <c r="AE391" s="682" t="s">
        <v>4309</v>
      </c>
      <c r="AF391">
        <v>1</v>
      </c>
      <c r="AG391" s="745">
        <v>43101</v>
      </c>
      <c r="AH391" s="417"/>
      <c r="AI391" s="417"/>
      <c r="AJ391" s="746">
        <v>43252</v>
      </c>
      <c r="AK391" s="417"/>
      <c r="AL391" s="637" t="s">
        <v>3459</v>
      </c>
      <c r="AM391" s="417"/>
      <c r="AN391" s="417"/>
      <c r="AO391" s="636"/>
      <c r="AP391">
        <v>556641</v>
      </c>
      <c r="AQ391" s="747">
        <v>43102</v>
      </c>
      <c r="AR391" s="417"/>
      <c r="AS391" s="417"/>
      <c r="AT391" s="417"/>
      <c r="AU391" s="417"/>
      <c r="AV391" s="417"/>
      <c r="AW391" s="417"/>
      <c r="AX391" s="417"/>
      <c r="AY391" s="183" t="s">
        <v>4245</v>
      </c>
      <c r="AZ391" s="417"/>
      <c r="BA391" s="417"/>
      <c r="BB391" t="s">
        <v>4238</v>
      </c>
      <c r="BC391" s="636"/>
      <c r="BD391" s="417"/>
      <c r="BE391" s="612">
        <v>0</v>
      </c>
      <c r="BF391" s="613">
        <v>0</v>
      </c>
      <c r="BG391" s="614" t="s">
        <v>78</v>
      </c>
      <c r="BH391" s="682"/>
      <c r="BI391" s="417"/>
      <c r="BJ391" s="417">
        <v>4</v>
      </c>
      <c r="BK391" s="682" t="str">
        <f>Техкарта[[#This Row],[Кв-л]]&amp;" кв ("&amp;Substring(Техкарта[[#This Row],[Виділ]],"_",1)&amp;" вид) "&amp;Substring(Техкарта[[#This Row],[Виділ]],"_",2)&amp;" діл."</f>
        <v>112 кв (5 вид) 0 діл.</v>
      </c>
      <c r="BL391" s="682" t="str">
        <f>Техкарта[[#This Row],[ПолнаяДіл]] &amp;" "&amp;Техкарта[[#This Row],[ЛК]]&amp;" "&amp;Техкарта[[#This Row],[Вид рубки]]</f>
        <v>112 кв (5 вид) 0 діл. 556641 ПРХ</v>
      </c>
      <c r="BM391" s="682"/>
      <c r="BN391" s="636" t="s">
        <v>3784</v>
      </c>
      <c r="BO391" s="636" t="s">
        <v>3784</v>
      </c>
      <c r="BP391" s="636" t="s">
        <v>3784</v>
      </c>
      <c r="BQ391" s="636" t="s">
        <v>105</v>
      </c>
      <c r="BR391" s="636"/>
      <c r="BS391" s="636"/>
      <c r="BT391" s="636"/>
      <c r="BU391" s="636"/>
      <c r="BV391" s="636"/>
      <c r="BW391" s="636" t="s">
        <v>4307</v>
      </c>
      <c r="BX391" s="636"/>
      <c r="BY391" s="972"/>
    </row>
    <row r="392" spans="1:77">
      <c r="A392" t="s">
        <v>105</v>
      </c>
      <c r="B392" s="675" t="s">
        <v>113</v>
      </c>
      <c r="C392" s="687" t="s">
        <v>140</v>
      </c>
      <c r="D392" s="675">
        <v>0</v>
      </c>
      <c r="E392" s="675" t="s">
        <v>2316</v>
      </c>
      <c r="F392" s="675">
        <v>3</v>
      </c>
      <c r="G392" s="675" t="s">
        <v>2238</v>
      </c>
      <c r="H392" s="675">
        <v>98</v>
      </c>
      <c r="I392" s="676" t="s">
        <v>3850</v>
      </c>
      <c r="J392" s="677">
        <v>5</v>
      </c>
      <c r="K392" s="683">
        <v>423</v>
      </c>
      <c r="L392" s="677">
        <v>0</v>
      </c>
      <c r="M392" s="677">
        <v>0</v>
      </c>
      <c r="N392" s="677">
        <v>1</v>
      </c>
      <c r="O392" s="677">
        <v>0</v>
      </c>
      <c r="P392" s="677">
        <v>0</v>
      </c>
      <c r="Q392" s="677">
        <v>0</v>
      </c>
      <c r="R392" s="677">
        <v>0</v>
      </c>
      <c r="S392" s="677">
        <v>0</v>
      </c>
      <c r="T392" s="677">
        <v>0</v>
      </c>
      <c r="U392" s="677">
        <v>0</v>
      </c>
      <c r="V392" s="677">
        <v>0</v>
      </c>
      <c r="W392" s="677">
        <v>80</v>
      </c>
      <c r="X392" s="678"/>
      <c r="Y392" s="682"/>
      <c r="Z392" s="680"/>
      <c r="AA392" s="681">
        <v>114.902</v>
      </c>
      <c r="AB392" s="681">
        <v>29.978000000000002</v>
      </c>
      <c r="AC392" s="417">
        <v>8</v>
      </c>
      <c r="AD392" s="417"/>
      <c r="AE392" s="682" t="s">
        <v>4310</v>
      </c>
      <c r="AF392">
        <v>1</v>
      </c>
      <c r="AG392" s="745">
        <v>43101</v>
      </c>
      <c r="AH392" s="417"/>
      <c r="AI392" s="417"/>
      <c r="AJ392" s="746">
        <v>43252</v>
      </c>
      <c r="AK392" s="417"/>
      <c r="AL392" s="637" t="s">
        <v>3441</v>
      </c>
      <c r="AM392" s="417"/>
      <c r="AN392" s="417"/>
      <c r="AO392" s="636"/>
      <c r="AP392">
        <v>556641</v>
      </c>
      <c r="AQ392" s="747">
        <v>43102</v>
      </c>
      <c r="AR392" s="417"/>
      <c r="AS392" s="417"/>
      <c r="AT392" s="417"/>
      <c r="AU392" s="417"/>
      <c r="AV392" s="417"/>
      <c r="AW392" s="417"/>
      <c r="AX392" s="417"/>
      <c r="AY392" s="183" t="s">
        <v>4245</v>
      </c>
      <c r="AZ392" s="417"/>
      <c r="BA392" s="417"/>
      <c r="BB392" t="s">
        <v>4238</v>
      </c>
      <c r="BC392" s="636"/>
      <c r="BD392" s="417"/>
      <c r="BE392" s="612">
        <v>0</v>
      </c>
      <c r="BF392" s="613">
        <v>0</v>
      </c>
      <c r="BG392" s="614" t="s">
        <v>78</v>
      </c>
      <c r="BH392" s="682"/>
      <c r="BI392" s="417"/>
      <c r="BJ392" s="417">
        <v>1</v>
      </c>
      <c r="BK392" s="682" t="str">
        <f>Техкарта[[#This Row],[Кв-л]]&amp;" кв ("&amp;Substring(Техкарта[[#This Row],[Виділ]],"_",1)&amp;" вид) "&amp;Substring(Техкарта[[#This Row],[Виділ]],"_",2)&amp;" діл."</f>
        <v>98 кв (6 вид) 0 діл.</v>
      </c>
      <c r="BL392" s="682" t="str">
        <f>Техкарта[[#This Row],[ПолнаяДіл]] &amp;" "&amp;Техкарта[[#This Row],[ЛК]]&amp;" "&amp;Техкарта[[#This Row],[Вид рубки]]</f>
        <v>98 кв (6 вид) 0 діл. 556641 ПРХ</v>
      </c>
      <c r="BM392" s="682"/>
      <c r="BN392" s="636" t="s">
        <v>3784</v>
      </c>
      <c r="BO392" s="636" t="s">
        <v>3784</v>
      </c>
      <c r="BP392" s="636" t="s">
        <v>3784</v>
      </c>
      <c r="BQ392" s="636" t="s">
        <v>105</v>
      </c>
      <c r="BR392" s="636"/>
      <c r="BS392" s="636"/>
      <c r="BT392" s="636"/>
      <c r="BU392" s="636"/>
      <c r="BV392" s="636"/>
      <c r="BW392" s="636" t="s">
        <v>4307</v>
      </c>
      <c r="BX392" s="636"/>
      <c r="BY392" s="972"/>
    </row>
    <row r="393" spans="1:77">
      <c r="A393" t="s">
        <v>105</v>
      </c>
      <c r="B393" s="675" t="s">
        <v>113</v>
      </c>
      <c r="C393" s="687" t="s">
        <v>124</v>
      </c>
      <c r="D393" s="675">
        <v>0</v>
      </c>
      <c r="E393" s="675" t="s">
        <v>2316</v>
      </c>
      <c r="F393" s="675">
        <v>3</v>
      </c>
      <c r="G393" s="675" t="s">
        <v>2238</v>
      </c>
      <c r="H393" s="675">
        <v>98</v>
      </c>
      <c r="I393" s="676" t="s">
        <v>4196</v>
      </c>
      <c r="J393" s="677">
        <v>3.6</v>
      </c>
      <c r="K393" s="683">
        <v>287</v>
      </c>
      <c r="L393" s="677">
        <v>0</v>
      </c>
      <c r="M393" s="677">
        <v>0</v>
      </c>
      <c r="N393" s="677">
        <v>0</v>
      </c>
      <c r="O393" s="677">
        <v>0</v>
      </c>
      <c r="P393" s="677">
        <v>0</v>
      </c>
      <c r="Q393" s="677">
        <v>0</v>
      </c>
      <c r="R393" s="677">
        <v>0</v>
      </c>
      <c r="S393" s="677">
        <v>0</v>
      </c>
      <c r="T393" s="677">
        <v>0</v>
      </c>
      <c r="U393" s="677">
        <v>0</v>
      </c>
      <c r="V393" s="677">
        <v>0</v>
      </c>
      <c r="W393" s="677">
        <v>23</v>
      </c>
      <c r="X393" s="678"/>
      <c r="Y393" s="682"/>
      <c r="Z393" s="680"/>
      <c r="AA393" s="681">
        <v>210.17</v>
      </c>
      <c r="AB393" s="681">
        <v>29.978000000000002</v>
      </c>
      <c r="AC393" s="417">
        <v>0</v>
      </c>
      <c r="AD393" s="417"/>
      <c r="AE393" s="682" t="s">
        <v>4311</v>
      </c>
      <c r="AF393">
        <v>1</v>
      </c>
      <c r="AG393" s="745">
        <v>43101</v>
      </c>
      <c r="AH393" s="417"/>
      <c r="AI393" s="417"/>
      <c r="AJ393" s="746">
        <v>43252</v>
      </c>
      <c r="AK393" s="417"/>
      <c r="AL393" s="637" t="s">
        <v>3441</v>
      </c>
      <c r="AM393" s="417"/>
      <c r="AN393" s="417"/>
      <c r="AO393" s="636"/>
      <c r="AP393">
        <v>556640</v>
      </c>
      <c r="AQ393" s="747">
        <v>43102</v>
      </c>
      <c r="AR393" s="417"/>
      <c r="AS393" s="417"/>
      <c r="AT393" s="417"/>
      <c r="AU393" s="417"/>
      <c r="AV393" s="417"/>
      <c r="AW393" s="417"/>
      <c r="AX393" s="417"/>
      <c r="AY393" s="183" t="s">
        <v>4245</v>
      </c>
      <c r="AZ393" s="417"/>
      <c r="BA393" s="417"/>
      <c r="BB393" t="s">
        <v>4238</v>
      </c>
      <c r="BC393" s="636"/>
      <c r="BD393" s="417"/>
      <c r="BE393" s="612">
        <v>0</v>
      </c>
      <c r="BF393" s="613">
        <v>0</v>
      </c>
      <c r="BG393" s="614" t="s">
        <v>78</v>
      </c>
      <c r="BH393" s="682"/>
      <c r="BI393" s="417"/>
      <c r="BJ393" s="417">
        <v>2</v>
      </c>
      <c r="BK393" s="682" t="str">
        <f>Техкарта[[#This Row],[Кв-л]]&amp;" кв ("&amp;Substring(Техкарта[[#This Row],[Виділ]],"_",1)&amp;" вид) "&amp;Substring(Техкарта[[#This Row],[Виділ]],"_",2)&amp;" діл."</f>
        <v>98 кв (8 вид) 1 діл.</v>
      </c>
      <c r="BL393" s="682" t="str">
        <f>Техкарта[[#This Row],[ПолнаяДіл]] &amp;" "&amp;Техкарта[[#This Row],[ЛК]]&amp;" "&amp;Техкарта[[#This Row],[Вид рубки]]</f>
        <v>98 кв (8 вид) 1 діл. 556640 ПРЖ</v>
      </c>
      <c r="BM393" s="682"/>
      <c r="BN393" s="636" t="s">
        <v>3784</v>
      </c>
      <c r="BO393" s="636" t="s">
        <v>3784</v>
      </c>
      <c r="BP393" s="636" t="s">
        <v>3784</v>
      </c>
      <c r="BQ393" s="636" t="s">
        <v>105</v>
      </c>
      <c r="BR393" s="636"/>
      <c r="BS393" s="636"/>
      <c r="BT393" s="636"/>
      <c r="BU393" s="636"/>
      <c r="BV393" s="636"/>
      <c r="BW393" s="636" t="s">
        <v>4307</v>
      </c>
      <c r="BX393" s="636"/>
      <c r="BY393" s="972"/>
    </row>
    <row r="394" spans="1:77">
      <c r="A394" t="s">
        <v>3896</v>
      </c>
      <c r="B394" s="675" t="s">
        <v>113</v>
      </c>
      <c r="C394" s="687" t="s">
        <v>134</v>
      </c>
      <c r="D394" s="675">
        <v>0</v>
      </c>
      <c r="E394" s="675" t="s">
        <v>2305</v>
      </c>
      <c r="F394" s="675">
        <v>3</v>
      </c>
      <c r="G394" s="675" t="s">
        <v>79</v>
      </c>
      <c r="H394" s="675">
        <v>81</v>
      </c>
      <c r="I394" s="676" t="s">
        <v>3832</v>
      </c>
      <c r="J394" s="677">
        <v>4.2</v>
      </c>
      <c r="K394" s="683">
        <v>0</v>
      </c>
      <c r="L394" s="677"/>
      <c r="M394" s="677">
        <v>0</v>
      </c>
      <c r="N394" s="677">
        <v>400</v>
      </c>
      <c r="O394" s="677"/>
      <c r="P394" s="677"/>
      <c r="Q394" s="677">
        <v>0</v>
      </c>
      <c r="R394" s="677"/>
      <c r="S394" s="677">
        <v>0</v>
      </c>
      <c r="T394" s="677">
        <v>0</v>
      </c>
      <c r="U394" s="677"/>
      <c r="V394" s="677">
        <v>0</v>
      </c>
      <c r="W394" s="677">
        <v>0</v>
      </c>
      <c r="X394" s="678"/>
      <c r="Y394" s="682"/>
      <c r="Z394" s="680"/>
      <c r="AA394" s="681">
        <v>185.62</v>
      </c>
      <c r="AB394" s="681"/>
      <c r="AC394" s="417">
        <v>23</v>
      </c>
      <c r="AD394" s="417"/>
      <c r="AE394" s="682" t="s">
        <v>4312</v>
      </c>
      <c r="AF394">
        <v>1</v>
      </c>
      <c r="AG394" s="745">
        <v>43101</v>
      </c>
      <c r="AH394" s="417"/>
      <c r="AI394" s="417"/>
      <c r="AJ394" s="746">
        <v>43252</v>
      </c>
      <c r="AK394" s="417"/>
      <c r="AL394" s="637" t="s">
        <v>3459</v>
      </c>
      <c r="AM394" s="417"/>
      <c r="AN394" s="417"/>
      <c r="AO394" s="636"/>
      <c r="AP394">
        <v>556639</v>
      </c>
      <c r="AQ394" s="747">
        <v>43102</v>
      </c>
      <c r="AR394" s="417">
        <v>0.3</v>
      </c>
      <c r="AS394" s="417"/>
      <c r="AT394" s="417"/>
      <c r="AU394" s="417"/>
      <c r="AV394" s="417"/>
      <c r="AW394" s="417"/>
      <c r="AX394" s="417"/>
      <c r="AY394" s="183" t="s">
        <v>4245</v>
      </c>
      <c r="AZ394" s="417"/>
      <c r="BA394" s="417"/>
      <c r="BB394" t="s">
        <v>4238</v>
      </c>
      <c r="BC394" s="636"/>
      <c r="BD394" s="417"/>
      <c r="BE394" s="612"/>
      <c r="BF394" s="613"/>
      <c r="BG394" s="614"/>
      <c r="BH394" s="682"/>
      <c r="BI394" s="417"/>
      <c r="BJ394" s="417">
        <v>32</v>
      </c>
      <c r="BK394" s="682" t="str">
        <f>Техкарта[[#This Row],[Кв-л]]&amp;" кв ("&amp;Substring(Техкарта[[#This Row],[Виділ]],"_",1)&amp;" вид) "&amp;Substring(Техкарта[[#This Row],[Виділ]],"_",2)&amp;" діл."</f>
        <v>81 кв (5 вид) 0 діл.</v>
      </c>
      <c r="BL394" s="682" t="str">
        <f>Техкарта[[#This Row],[ПолнаяДіл]] &amp;" "&amp;Техкарта[[#This Row],[ЛК]]&amp;" "&amp;Техкарта[[#This Row],[Вид рубки]]</f>
        <v>81 кв (5 вид) 0 діл. 556639 ПРЧ</v>
      </c>
      <c r="BM394" s="682"/>
      <c r="BN394" s="636"/>
      <c r="BO394" s="636"/>
      <c r="BP394" s="636"/>
      <c r="BQ394" s="636" t="s">
        <v>3896</v>
      </c>
      <c r="BR394" s="636">
        <v>2</v>
      </c>
      <c r="BS394" s="636"/>
      <c r="BT394" s="636"/>
      <c r="BU394" s="636"/>
      <c r="BV394" s="636"/>
      <c r="BW394" s="636" t="s">
        <v>4307</v>
      </c>
      <c r="BX394" s="636"/>
      <c r="BY394" s="972"/>
    </row>
    <row r="395" spans="1:77">
      <c r="A395" t="s">
        <v>3896</v>
      </c>
      <c r="B395" s="675" t="s">
        <v>113</v>
      </c>
      <c r="C395" s="687" t="s">
        <v>3842</v>
      </c>
      <c r="D395" s="675">
        <v>0</v>
      </c>
      <c r="E395" s="675" t="s">
        <v>2305</v>
      </c>
      <c r="F395" s="675">
        <v>3</v>
      </c>
      <c r="G395" s="675" t="s">
        <v>79</v>
      </c>
      <c r="H395" s="675">
        <v>125</v>
      </c>
      <c r="I395" s="676" t="s">
        <v>4110</v>
      </c>
      <c r="J395" s="677">
        <v>1.4</v>
      </c>
      <c r="K395" s="683">
        <v>0</v>
      </c>
      <c r="L395" s="677"/>
      <c r="M395" s="677">
        <v>0</v>
      </c>
      <c r="N395" s="677">
        <v>40</v>
      </c>
      <c r="O395" s="677"/>
      <c r="P395" s="677"/>
      <c r="Q395" s="677">
        <v>0</v>
      </c>
      <c r="R395" s="677"/>
      <c r="S395" s="677">
        <v>0</v>
      </c>
      <c r="T395" s="677">
        <v>0</v>
      </c>
      <c r="U395" s="677"/>
      <c r="V395" s="677">
        <v>0</v>
      </c>
      <c r="W395" s="677">
        <v>0</v>
      </c>
      <c r="X395" s="678"/>
      <c r="Y395" s="682"/>
      <c r="Z395" s="680"/>
      <c r="AA395" s="681">
        <v>261.75</v>
      </c>
      <c r="AB395" s="681"/>
      <c r="AC395" s="417">
        <v>23</v>
      </c>
      <c r="AD395" s="417"/>
      <c r="AE395" s="682" t="s">
        <v>4313</v>
      </c>
      <c r="AF395">
        <v>1</v>
      </c>
      <c r="AG395" s="745">
        <v>43101</v>
      </c>
      <c r="AH395" s="417"/>
      <c r="AI395" s="417"/>
      <c r="AJ395" s="746">
        <v>43252</v>
      </c>
      <c r="AK395" s="417"/>
      <c r="AL395" s="637" t="s">
        <v>3453</v>
      </c>
      <c r="AM395" s="417"/>
      <c r="AN395" s="417"/>
      <c r="AO395" s="636"/>
      <c r="AP395">
        <v>556670</v>
      </c>
      <c r="AQ395" s="747">
        <v>43201</v>
      </c>
      <c r="AR395" s="417">
        <v>0.3</v>
      </c>
      <c r="AS395" s="417"/>
      <c r="AT395" s="417"/>
      <c r="AU395" s="417"/>
      <c r="AV395" s="417"/>
      <c r="AW395" s="417"/>
      <c r="AX395" s="417"/>
      <c r="AY395" s="183" t="s">
        <v>4245</v>
      </c>
      <c r="AZ395" s="417"/>
      <c r="BA395" s="417"/>
      <c r="BB395" t="s">
        <v>4238</v>
      </c>
      <c r="BC395" s="636"/>
      <c r="BD395" s="417"/>
      <c r="BE395" s="612"/>
      <c r="BF395" s="613"/>
      <c r="BG395" s="614"/>
      <c r="BH395" s="682"/>
      <c r="BI395" s="417"/>
      <c r="BJ395" s="417">
        <v>33</v>
      </c>
      <c r="BK395" s="682" t="str">
        <f>Техкарта[[#This Row],[Кв-л]]&amp;" кв ("&amp;Substring(Техкарта[[#This Row],[Виділ]],"_",1)&amp;" вид) "&amp;Substring(Техкарта[[#This Row],[Виділ]],"_",2)&amp;" діл."</f>
        <v>125 кв (16 вид) 0 діл.</v>
      </c>
      <c r="BL395" s="682" t="str">
        <f>Техкарта[[#This Row],[ПолнаяДіл]] &amp;" "&amp;Техкарта[[#This Row],[ЛК]]&amp;" "&amp;Техкарта[[#This Row],[Вид рубки]]</f>
        <v>125 кв (16 вид) 0 діл. 556670 РЛД</v>
      </c>
      <c r="BM395" s="682"/>
      <c r="BN395" s="636"/>
      <c r="BO395" s="636"/>
      <c r="BP395" s="636"/>
      <c r="BQ395" s="636" t="s">
        <v>3896</v>
      </c>
      <c r="BR395" s="636">
        <v>2</v>
      </c>
      <c r="BS395" s="636"/>
      <c r="BT395" s="636"/>
      <c r="BU395" s="636"/>
      <c r="BV395" s="636"/>
      <c r="BW395" s="636" t="s">
        <v>4307</v>
      </c>
      <c r="BX395" s="636"/>
      <c r="BY395" s="972"/>
    </row>
    <row r="396" spans="1:77">
      <c r="A396" t="s">
        <v>3896</v>
      </c>
      <c r="B396" s="675" t="s">
        <v>113</v>
      </c>
      <c r="C396" s="687" t="s">
        <v>3843</v>
      </c>
      <c r="D396" s="675">
        <v>0</v>
      </c>
      <c r="E396" s="675" t="s">
        <v>2305</v>
      </c>
      <c r="F396" s="675">
        <v>3</v>
      </c>
      <c r="G396" s="675" t="s">
        <v>79</v>
      </c>
      <c r="H396" s="675">
        <v>105</v>
      </c>
      <c r="I396" s="676" t="s">
        <v>3832</v>
      </c>
      <c r="J396" s="677">
        <v>3.6</v>
      </c>
      <c r="K396" s="683">
        <v>0</v>
      </c>
      <c r="L396" s="677"/>
      <c r="M396" s="677">
        <v>0</v>
      </c>
      <c r="N396" s="677">
        <v>320</v>
      </c>
      <c r="O396" s="677"/>
      <c r="P396" s="677"/>
      <c r="Q396" s="677">
        <v>0</v>
      </c>
      <c r="R396" s="677"/>
      <c r="S396" s="677">
        <v>0</v>
      </c>
      <c r="T396" s="677">
        <v>0</v>
      </c>
      <c r="U396" s="677"/>
      <c r="V396" s="677">
        <v>0</v>
      </c>
      <c r="W396" s="677">
        <v>0</v>
      </c>
      <c r="X396" s="678"/>
      <c r="Y396" s="682"/>
      <c r="Z396" s="680"/>
      <c r="AA396" s="681">
        <v>204.23</v>
      </c>
      <c r="AB396" s="681"/>
      <c r="AC396" s="417">
        <v>23</v>
      </c>
      <c r="AD396" s="417"/>
      <c r="AE396" s="682" t="s">
        <v>4314</v>
      </c>
      <c r="AF396">
        <v>1</v>
      </c>
      <c r="AG396" s="745">
        <v>43101</v>
      </c>
      <c r="AH396" s="417"/>
      <c r="AI396" s="417"/>
      <c r="AJ396" s="746">
        <v>43252</v>
      </c>
      <c r="AK396" s="417"/>
      <c r="AL396" s="637" t="s">
        <v>3441</v>
      </c>
      <c r="AM396" s="417"/>
      <c r="AN396" s="417"/>
      <c r="AO396" s="636"/>
      <c r="AP396">
        <v>556671</v>
      </c>
      <c r="AQ396" s="747">
        <v>43201</v>
      </c>
      <c r="AR396" s="417">
        <v>0.3</v>
      </c>
      <c r="AS396" s="417"/>
      <c r="AT396" s="417"/>
      <c r="AU396" s="417"/>
      <c r="AV396" s="417"/>
      <c r="AW396" s="417"/>
      <c r="AX396" s="417"/>
      <c r="AY396" s="183" t="s">
        <v>4245</v>
      </c>
      <c r="AZ396" s="417"/>
      <c r="BA396" s="417"/>
      <c r="BB396" t="s">
        <v>4238</v>
      </c>
      <c r="BC396" s="636"/>
      <c r="BD396" s="417"/>
      <c r="BE396" s="612"/>
      <c r="BF396" s="613"/>
      <c r="BG396" s="614"/>
      <c r="BH396" s="682"/>
      <c r="BI396" s="417"/>
      <c r="BJ396" s="417">
        <v>34</v>
      </c>
      <c r="BK396" s="682" t="str">
        <f>Техкарта[[#This Row],[Кв-л]]&amp;" кв ("&amp;Substring(Техкарта[[#This Row],[Виділ]],"_",1)&amp;" вид) "&amp;Substring(Техкарта[[#This Row],[Виділ]],"_",2)&amp;" діл."</f>
        <v>105 кв (5 вид) 0 діл.</v>
      </c>
      <c r="BL396" s="682" t="str">
        <f>Техкарта[[#This Row],[ПолнаяДіл]] &amp;" "&amp;Техкарта[[#This Row],[ЛК]]&amp;" "&amp;Техкарта[[#This Row],[Вид рубки]]</f>
        <v>105 кв (5 вид) 0 діл. 556671 ОСВ</v>
      </c>
      <c r="BM396" s="682"/>
      <c r="BN396" s="636"/>
      <c r="BO396" s="636"/>
      <c r="BP396" s="636"/>
      <c r="BQ396" s="636" t="s">
        <v>3896</v>
      </c>
      <c r="BR396" s="636">
        <v>2</v>
      </c>
      <c r="BS396" s="636"/>
      <c r="BT396" s="636"/>
      <c r="BU396" s="636"/>
      <c r="BV396" s="636"/>
      <c r="BW396" s="636" t="s">
        <v>4307</v>
      </c>
      <c r="BX396" s="636"/>
      <c r="BY396" s="972"/>
    </row>
    <row r="397" spans="1:77">
      <c r="A397" t="s">
        <v>3896</v>
      </c>
      <c r="B397" s="675" t="s">
        <v>112</v>
      </c>
      <c r="C397" s="687" t="s">
        <v>134</v>
      </c>
      <c r="D397" s="675">
        <v>0</v>
      </c>
      <c r="E397" s="675" t="s">
        <v>2305</v>
      </c>
      <c r="F397" s="675">
        <v>3</v>
      </c>
      <c r="G397" s="675" t="s">
        <v>79</v>
      </c>
      <c r="H397" s="675">
        <v>39</v>
      </c>
      <c r="I397" s="676" t="s">
        <v>3795</v>
      </c>
      <c r="J397" s="677">
        <v>5.6</v>
      </c>
      <c r="K397" s="683">
        <v>0</v>
      </c>
      <c r="L397" s="677"/>
      <c r="M397" s="677">
        <v>0</v>
      </c>
      <c r="N397" s="677">
        <v>0</v>
      </c>
      <c r="O397" s="677"/>
      <c r="P397" s="677"/>
      <c r="Q397" s="677">
        <v>441.67</v>
      </c>
      <c r="R397" s="677"/>
      <c r="S397" s="677">
        <v>0</v>
      </c>
      <c r="T397" s="677">
        <v>280</v>
      </c>
      <c r="U397" s="677"/>
      <c r="V397" s="677">
        <v>0</v>
      </c>
      <c r="W397" s="677">
        <v>0</v>
      </c>
      <c r="X397" s="678"/>
      <c r="Y397" s="682"/>
      <c r="Z397" s="680"/>
      <c r="AA397" s="681">
        <v>134.18</v>
      </c>
      <c r="AB397" s="681"/>
      <c r="AC397" s="417">
        <v>23</v>
      </c>
      <c r="AD397" s="417"/>
      <c r="AE397" s="682" t="s">
        <v>4316</v>
      </c>
      <c r="AF397">
        <v>1</v>
      </c>
      <c r="AG397" s="745">
        <v>43101</v>
      </c>
      <c r="AH397" s="417"/>
      <c r="AI397" s="417"/>
      <c r="AJ397" s="746">
        <v>43252</v>
      </c>
      <c r="AK397" s="417"/>
      <c r="AL397" s="637" t="s">
        <v>3440</v>
      </c>
      <c r="AM397" s="417"/>
      <c r="AN397" s="417"/>
      <c r="AO397" s="636"/>
      <c r="AP397">
        <v>556633</v>
      </c>
      <c r="AQ397" s="747">
        <v>43102</v>
      </c>
      <c r="AR397" s="417">
        <v>0.5</v>
      </c>
      <c r="AS397" s="417"/>
      <c r="AT397" s="417"/>
      <c r="AU397" s="417"/>
      <c r="AV397" s="417"/>
      <c r="AW397" s="417"/>
      <c r="AX397" s="417"/>
      <c r="AY397" s="183" t="s">
        <v>4245</v>
      </c>
      <c r="AZ397" s="417"/>
      <c r="BA397" s="417"/>
      <c r="BB397" t="s">
        <v>4238</v>
      </c>
      <c r="BC397" s="636"/>
      <c r="BD397" s="417"/>
      <c r="BE397" s="612"/>
      <c r="BF397" s="613"/>
      <c r="BG397" s="614"/>
      <c r="BH397" s="682"/>
      <c r="BI397" s="417"/>
      <c r="BJ397" s="417">
        <v>32</v>
      </c>
      <c r="BK397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397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397" s="682"/>
      <c r="BN397" s="636"/>
      <c r="BO397" s="636"/>
      <c r="BP397" s="636"/>
      <c r="BQ397" s="636" t="s">
        <v>3896</v>
      </c>
      <c r="BR397" s="636">
        <v>5</v>
      </c>
      <c r="BS397" s="636"/>
      <c r="BT397" s="636"/>
      <c r="BU397" s="636"/>
      <c r="BV397" s="636"/>
      <c r="BW397" s="636" t="s">
        <v>4307</v>
      </c>
      <c r="BX397" s="636"/>
      <c r="BY397" s="972"/>
    </row>
    <row r="398" spans="1:77">
      <c r="A398" t="s">
        <v>3896</v>
      </c>
      <c r="B398" s="675" t="s">
        <v>112</v>
      </c>
      <c r="C398" s="687" t="s">
        <v>134</v>
      </c>
      <c r="D398" s="675">
        <v>0</v>
      </c>
      <c r="E398" s="675" t="s">
        <v>2305</v>
      </c>
      <c r="F398" s="675">
        <v>3</v>
      </c>
      <c r="G398" s="675" t="s">
        <v>79</v>
      </c>
      <c r="H398" s="675">
        <v>38</v>
      </c>
      <c r="I398" s="676" t="s">
        <v>3790</v>
      </c>
      <c r="J398" s="677">
        <v>4.0999999999999996</v>
      </c>
      <c r="K398" s="683">
        <v>0</v>
      </c>
      <c r="L398" s="677"/>
      <c r="M398" s="677">
        <v>0</v>
      </c>
      <c r="N398" s="677">
        <v>0</v>
      </c>
      <c r="O398" s="677"/>
      <c r="P398" s="677"/>
      <c r="Q398" s="677">
        <v>391.67</v>
      </c>
      <c r="R398" s="677"/>
      <c r="S398" s="677">
        <v>0</v>
      </c>
      <c r="T398" s="677">
        <v>0</v>
      </c>
      <c r="U398" s="677"/>
      <c r="V398" s="677">
        <v>0</v>
      </c>
      <c r="W398" s="677">
        <v>0</v>
      </c>
      <c r="X398" s="678"/>
      <c r="Y398" s="682"/>
      <c r="Z398" s="680"/>
      <c r="AA398" s="681">
        <v>198.52</v>
      </c>
      <c r="AB398" s="681"/>
      <c r="AC398" s="417">
        <v>23</v>
      </c>
      <c r="AD398" s="417"/>
      <c r="AE398" s="682" t="s">
        <v>4315</v>
      </c>
      <c r="AF398">
        <v>1</v>
      </c>
      <c r="AG398" s="745">
        <v>43101</v>
      </c>
      <c r="AH398" s="417"/>
      <c r="AI398" s="417"/>
      <c r="AJ398" s="746">
        <v>43252</v>
      </c>
      <c r="AK398" s="417"/>
      <c r="AL398" s="637" t="s">
        <v>3440</v>
      </c>
      <c r="AM398" s="417"/>
      <c r="AN398" s="417"/>
      <c r="AO398" s="636"/>
      <c r="AP398">
        <v>556665</v>
      </c>
      <c r="AQ398" s="747">
        <v>43192</v>
      </c>
      <c r="AR398" s="417">
        <v>0.5</v>
      </c>
      <c r="AS398" s="417"/>
      <c r="AT398" s="417"/>
      <c r="AU398" s="417"/>
      <c r="AV398" s="417"/>
      <c r="AW398" s="417"/>
      <c r="AX398" s="417"/>
      <c r="AY398" s="183" t="s">
        <v>4245</v>
      </c>
      <c r="AZ398" s="417"/>
      <c r="BA398" s="417"/>
      <c r="BB398" t="s">
        <v>4238</v>
      </c>
      <c r="BC398" s="636"/>
      <c r="BD398" s="417"/>
      <c r="BE398" s="612"/>
      <c r="BF398" s="613"/>
      <c r="BG398" s="614"/>
      <c r="BH398" s="682"/>
      <c r="BI398" s="417"/>
      <c r="BJ398" s="417">
        <v>33</v>
      </c>
      <c r="BK398" s="682" t="str">
        <f>Техкарта[[#This Row],[Кв-л]]&amp;" кв ("&amp;Substring(Техкарта[[#This Row],[Виділ]],"_",1)&amp;" вид) "&amp;Substring(Техкарта[[#This Row],[Виділ]],"_",2)&amp;" діл."</f>
        <v>38 кв (2 вид) 0 діл.</v>
      </c>
      <c r="BL398" s="682" t="str">
        <f>Техкарта[[#This Row],[ПолнаяДіл]] &amp;" "&amp;Техкарта[[#This Row],[ЛК]]&amp;" "&amp;Техкарта[[#This Row],[Вид рубки]]</f>
        <v>38 кв (2 вид) 0 діл. 556665 ПРЧ</v>
      </c>
      <c r="BM398" s="682"/>
      <c r="BN398" s="636"/>
      <c r="BO398" s="636"/>
      <c r="BP398" s="636"/>
      <c r="BQ398" s="636" t="s">
        <v>3896</v>
      </c>
      <c r="BR398" s="636">
        <v>5</v>
      </c>
      <c r="BS398" s="636"/>
      <c r="BT398" s="636"/>
      <c r="BU398" s="636"/>
      <c r="BV398" s="636"/>
      <c r="BW398" s="636" t="s">
        <v>4307</v>
      </c>
      <c r="BX398" s="636"/>
      <c r="BY398" s="972"/>
    </row>
    <row r="399" spans="1:77">
      <c r="A399" t="s">
        <v>105</v>
      </c>
      <c r="B399" s="675" t="s">
        <v>112</v>
      </c>
      <c r="C399" s="687" t="s">
        <v>3842</v>
      </c>
      <c r="D399" s="675">
        <v>0</v>
      </c>
      <c r="E399" s="675" t="s">
        <v>2316</v>
      </c>
      <c r="F399" s="675">
        <v>3</v>
      </c>
      <c r="G399" s="675" t="s">
        <v>79</v>
      </c>
      <c r="H399" s="675">
        <v>86</v>
      </c>
      <c r="I399" s="676" t="s">
        <v>3806</v>
      </c>
      <c r="J399" s="677">
        <v>10</v>
      </c>
      <c r="K399" s="683">
        <v>902</v>
      </c>
      <c r="L399" s="677"/>
      <c r="M399" s="677"/>
      <c r="N399" s="677"/>
      <c r="O399" s="677"/>
      <c r="P399" s="677"/>
      <c r="Q399" s="677"/>
      <c r="R399" s="677"/>
      <c r="S399" s="677"/>
      <c r="T399" s="677">
        <v>159</v>
      </c>
      <c r="U399" s="677"/>
      <c r="V399" s="677"/>
      <c r="W399" s="677">
        <v>0</v>
      </c>
      <c r="X399" s="678"/>
      <c r="Y399" s="682"/>
      <c r="Z399" s="680"/>
      <c r="AA399" s="681">
        <v>118.331</v>
      </c>
      <c r="AB399" s="681"/>
      <c r="AC399" s="417">
        <v>27</v>
      </c>
      <c r="AD399" s="417"/>
      <c r="AE399" s="682" t="s">
        <v>4317</v>
      </c>
      <c r="AF399">
        <v>1</v>
      </c>
      <c r="AG399" s="745">
        <v>43101</v>
      </c>
      <c r="AH399" s="417"/>
      <c r="AI399" s="417"/>
      <c r="AJ399" s="746">
        <v>43252</v>
      </c>
      <c r="AK399" s="417"/>
      <c r="AL399" s="637" t="s">
        <v>3440</v>
      </c>
      <c r="AM399" s="417"/>
      <c r="AN399" s="417"/>
      <c r="AO399" s="636"/>
      <c r="AP399">
        <v>556706</v>
      </c>
      <c r="AQ399" s="747">
        <v>43243</v>
      </c>
      <c r="AR399" s="417"/>
      <c r="AS399" s="417"/>
      <c r="AT399" s="417"/>
      <c r="AU399" s="417"/>
      <c r="AV399" s="417"/>
      <c r="AW399" s="417"/>
      <c r="AX399" s="417"/>
      <c r="AY399" s="183" t="s">
        <v>4245</v>
      </c>
      <c r="AZ399" s="417"/>
      <c r="BA399" s="417"/>
      <c r="BB399" t="s">
        <v>4238</v>
      </c>
      <c r="BC399" s="636"/>
      <c r="BD399" s="417"/>
      <c r="BE399" s="612"/>
      <c r="BF399" s="613"/>
      <c r="BG399" s="614"/>
      <c r="BH399" s="682"/>
      <c r="BI399" s="417"/>
      <c r="BJ399" s="417">
        <v>29</v>
      </c>
      <c r="BK399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399" s="682" t="str">
        <f>Техкарта[[#This Row],[ПолнаяДіл]] &amp;" "&amp;Техкарта[[#This Row],[ЛК]]&amp;" "&amp;Техкарта[[#This Row],[Вид рубки]]</f>
        <v>86 кв (1 вид) 1 діл. 556706 РЛД</v>
      </c>
      <c r="BM399" s="682"/>
      <c r="BN399" s="636"/>
      <c r="BO399" s="636"/>
      <c r="BP399" s="636"/>
      <c r="BQ399" s="636" t="s">
        <v>105</v>
      </c>
      <c r="BR399" s="636"/>
      <c r="BS399" s="636"/>
      <c r="BT399" s="636"/>
      <c r="BU399" s="636"/>
      <c r="BV399" s="636"/>
      <c r="BW399" s="636" t="s">
        <v>4307</v>
      </c>
      <c r="BX399" s="636"/>
      <c r="BY399" s="972"/>
    </row>
    <row r="400" spans="1:77">
      <c r="A400" t="s">
        <v>105</v>
      </c>
      <c r="B400" s="675" t="s">
        <v>112</v>
      </c>
      <c r="C400" s="687" t="s">
        <v>3842</v>
      </c>
      <c r="D400" s="675">
        <v>0</v>
      </c>
      <c r="E400" s="675" t="s">
        <v>2316</v>
      </c>
      <c r="F400" s="675">
        <v>3</v>
      </c>
      <c r="G400" s="675" t="s">
        <v>79</v>
      </c>
      <c r="H400" s="675">
        <v>91</v>
      </c>
      <c r="I400" s="676" t="s">
        <v>3789</v>
      </c>
      <c r="J400" s="677">
        <v>13.5</v>
      </c>
      <c r="K400" s="683">
        <v>902</v>
      </c>
      <c r="L400" s="677"/>
      <c r="M400" s="677"/>
      <c r="N400" s="677"/>
      <c r="O400" s="677"/>
      <c r="P400" s="677"/>
      <c r="Q400" s="677"/>
      <c r="R400" s="677"/>
      <c r="S400" s="677"/>
      <c r="T400" s="677">
        <v>62</v>
      </c>
      <c r="U400" s="677"/>
      <c r="V400" s="677"/>
      <c r="W400" s="677">
        <v>0</v>
      </c>
      <c r="X400" s="678"/>
      <c r="Y400" s="682"/>
      <c r="Z400" s="680"/>
      <c r="AA400" s="681">
        <v>238.31899999999999</v>
      </c>
      <c r="AB400" s="681"/>
      <c r="AC400" s="417">
        <v>9</v>
      </c>
      <c r="AD400" s="417"/>
      <c r="AE400" s="682" t="s">
        <v>4318</v>
      </c>
      <c r="AF400">
        <v>1</v>
      </c>
      <c r="AG400" s="745">
        <v>43101</v>
      </c>
      <c r="AH400" s="417"/>
      <c r="AI400" s="417"/>
      <c r="AJ400" s="746">
        <v>43252</v>
      </c>
      <c r="AK400" s="417"/>
      <c r="AL400" s="637" t="s">
        <v>3458</v>
      </c>
      <c r="AM400" s="417"/>
      <c r="AN400" s="417"/>
      <c r="AO400" s="636"/>
      <c r="AP400">
        <v>556706</v>
      </c>
      <c r="AQ400" s="747">
        <v>43243</v>
      </c>
      <c r="AR400" s="417"/>
      <c r="AS400" s="417"/>
      <c r="AT400" s="417"/>
      <c r="AU400" s="417"/>
      <c r="AV400" s="417"/>
      <c r="AW400" s="417"/>
      <c r="AX400" s="417"/>
      <c r="AY400" s="183" t="s">
        <v>4245</v>
      </c>
      <c r="AZ400" s="417"/>
      <c r="BA400" s="417"/>
      <c r="BB400" t="s">
        <v>4238</v>
      </c>
      <c r="BC400" s="636"/>
      <c r="BD400" s="417"/>
      <c r="BE400" s="612"/>
      <c r="BF400" s="613"/>
      <c r="BG400" s="614"/>
      <c r="BH400" s="682"/>
      <c r="BI400" s="417"/>
      <c r="BJ400" s="417">
        <v>31</v>
      </c>
      <c r="BK400" s="682" t="str">
        <f>Техкарта[[#This Row],[Кв-л]]&amp;" кв ("&amp;Substring(Техкарта[[#This Row],[Виділ]],"_",1)&amp;" вид) "&amp;Substring(Техкарта[[#This Row],[Виділ]],"_",2)&amp;" діл."</f>
        <v>91 кв (10 вид) 0 діл.</v>
      </c>
      <c r="BL400" s="682" t="str">
        <f>Техкарта[[#This Row],[ПолнаяДіл]] &amp;" "&amp;Техкарта[[#This Row],[ЛК]]&amp;" "&amp;Техкарта[[#This Row],[Вид рубки]]</f>
        <v>91 кв (10 вид) 0 діл. 556706 РЛД</v>
      </c>
      <c r="BM400" s="682"/>
      <c r="BN400" s="636"/>
      <c r="BO400" s="636"/>
      <c r="BP400" s="636"/>
      <c r="BQ400" s="636" t="s">
        <v>105</v>
      </c>
      <c r="BR400" s="636"/>
      <c r="BS400" s="636"/>
      <c r="BT400" s="636"/>
      <c r="BU400" s="636"/>
      <c r="BV400" s="636"/>
      <c r="BW400" s="636" t="s">
        <v>4307</v>
      </c>
      <c r="BX400" s="636"/>
      <c r="BY400" s="972"/>
    </row>
    <row r="401" spans="1:77">
      <c r="A401" t="s">
        <v>3896</v>
      </c>
      <c r="B401" s="675" t="s">
        <v>115</v>
      </c>
      <c r="C401" s="687" t="s">
        <v>124</v>
      </c>
      <c r="D401" s="675">
        <v>0</v>
      </c>
      <c r="E401" s="675" t="s">
        <v>2305</v>
      </c>
      <c r="F401" s="675">
        <v>3</v>
      </c>
      <c r="G401" s="675" t="s">
        <v>79</v>
      </c>
      <c r="H401" s="675">
        <v>113</v>
      </c>
      <c r="I401" s="676" t="s">
        <v>3852</v>
      </c>
      <c r="J401" s="677">
        <v>2.2999999999999998</v>
      </c>
      <c r="K401" s="683">
        <v>0</v>
      </c>
      <c r="L401" s="677"/>
      <c r="M401" s="677">
        <v>0</v>
      </c>
      <c r="N401" s="677">
        <v>0</v>
      </c>
      <c r="O401" s="677"/>
      <c r="P401" s="677"/>
      <c r="Q401" s="677">
        <v>0</v>
      </c>
      <c r="R401" s="677"/>
      <c r="S401" s="677">
        <v>0</v>
      </c>
      <c r="T401" s="677">
        <v>85</v>
      </c>
      <c r="U401" s="677"/>
      <c r="V401" s="677">
        <v>0</v>
      </c>
      <c r="W401" s="677">
        <v>0</v>
      </c>
      <c r="X401" s="678"/>
      <c r="Y401" s="682"/>
      <c r="Z401" s="680"/>
      <c r="AA401" s="681">
        <v>152.76</v>
      </c>
      <c r="AB401" s="681"/>
      <c r="AC401" s="417">
        <v>23</v>
      </c>
      <c r="AD401" s="417"/>
      <c r="AE401" s="682" t="s">
        <v>4319</v>
      </c>
      <c r="AF401">
        <v>1</v>
      </c>
      <c r="AG401" s="745">
        <v>43101</v>
      </c>
      <c r="AH401" s="417"/>
      <c r="AI401" s="417"/>
      <c r="AJ401" s="746">
        <v>43252</v>
      </c>
      <c r="AK401" s="417"/>
      <c r="AL401" s="637" t="s">
        <v>3834</v>
      </c>
      <c r="AM401" s="417"/>
      <c r="AN401" s="417"/>
      <c r="AO401" s="636"/>
      <c r="AP401">
        <v>556633</v>
      </c>
      <c r="AQ401" s="747">
        <v>43102</v>
      </c>
      <c r="AR401" s="417">
        <v>0.5</v>
      </c>
      <c r="AS401" s="417"/>
      <c r="AT401" s="417"/>
      <c r="AU401" s="417"/>
      <c r="AV401" s="417"/>
      <c r="AW401" s="417"/>
      <c r="AX401" s="417"/>
      <c r="AY401" s="183" t="s">
        <v>3362</v>
      </c>
      <c r="AZ401" s="417"/>
      <c r="BA401" s="417"/>
      <c r="BB401" t="s">
        <v>3585</v>
      </c>
      <c r="BC401" s="636"/>
      <c r="BD401" s="417"/>
      <c r="BE401" s="612"/>
      <c r="BF401" s="613"/>
      <c r="BG401" s="614"/>
      <c r="BH401" s="682"/>
      <c r="BI401" s="417"/>
      <c r="BJ401" s="417">
        <v>3</v>
      </c>
      <c r="BK401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1" s="682" t="str">
        <f>Техкарта[[#This Row],[ПолнаяДіл]] &amp;" "&amp;Техкарта[[#This Row],[ЛК]]&amp;" "&amp;Техкарта[[#This Row],[Вид рубки]]</f>
        <v>113 кв (14 вид) 0 діл. 556633 ПРЖ</v>
      </c>
      <c r="BM401" s="682"/>
      <c r="BN401" s="636"/>
      <c r="BO401" s="636"/>
      <c r="BP401" s="636"/>
      <c r="BQ401" s="636" t="s">
        <v>3896</v>
      </c>
      <c r="BR401" s="636">
        <v>5</v>
      </c>
      <c r="BS401" s="636"/>
      <c r="BT401" s="636"/>
      <c r="BU401" s="636"/>
      <c r="BV401" s="636"/>
      <c r="BW401" s="636" t="s">
        <v>4307</v>
      </c>
      <c r="BX401" s="636"/>
      <c r="BY401" s="972"/>
    </row>
    <row r="402" spans="1:77">
      <c r="A402" t="s">
        <v>105</v>
      </c>
      <c r="B402" s="675" t="s">
        <v>115</v>
      </c>
      <c r="C402" s="687" t="s">
        <v>124</v>
      </c>
      <c r="D402" s="675">
        <v>0</v>
      </c>
      <c r="E402" s="675" t="s">
        <v>2305</v>
      </c>
      <c r="F402" s="675">
        <v>3</v>
      </c>
      <c r="G402" s="675" t="s">
        <v>79</v>
      </c>
      <c r="H402" s="675">
        <v>113</v>
      </c>
      <c r="I402" s="676" t="s">
        <v>3852</v>
      </c>
      <c r="J402" s="677">
        <v>2.2999999999999998</v>
      </c>
      <c r="K402" s="683">
        <v>262</v>
      </c>
      <c r="L402" s="677"/>
      <c r="M402" s="677">
        <v>0</v>
      </c>
      <c r="N402" s="677">
        <v>0</v>
      </c>
      <c r="O402" s="677"/>
      <c r="P402" s="677"/>
      <c r="Q402" s="677">
        <v>0</v>
      </c>
      <c r="R402" s="677"/>
      <c r="S402" s="677">
        <v>0</v>
      </c>
      <c r="T402" s="677">
        <v>0</v>
      </c>
      <c r="U402" s="677"/>
      <c r="V402" s="677">
        <v>0</v>
      </c>
      <c r="W402" s="677">
        <v>20</v>
      </c>
      <c r="X402" s="678"/>
      <c r="Y402" s="682"/>
      <c r="Z402" s="680"/>
      <c r="AA402" s="681">
        <v>180.053</v>
      </c>
      <c r="AB402" s="681"/>
      <c r="AC402" s="417">
        <v>18</v>
      </c>
      <c r="AD402" s="417"/>
      <c r="AE402" s="682" t="s">
        <v>4320</v>
      </c>
      <c r="AF402">
        <v>1</v>
      </c>
      <c r="AG402" s="745">
        <v>43101</v>
      </c>
      <c r="AH402" s="417"/>
      <c r="AI402" s="417"/>
      <c r="AJ402" s="746">
        <v>43252</v>
      </c>
      <c r="AK402" s="417"/>
      <c r="AL402" s="637" t="s">
        <v>3834</v>
      </c>
      <c r="AM402" s="417"/>
      <c r="AN402" s="417"/>
      <c r="AO402" s="636"/>
      <c r="AP402">
        <v>556628</v>
      </c>
      <c r="AQ402" s="747">
        <v>43102</v>
      </c>
      <c r="AR402" s="417">
        <v>0.5</v>
      </c>
      <c r="AS402" s="417"/>
      <c r="AT402" s="417"/>
      <c r="AU402" s="417"/>
      <c r="AV402" s="417"/>
      <c r="AW402" s="417"/>
      <c r="AX402" s="417"/>
      <c r="AY402" s="183" t="s">
        <v>3362</v>
      </c>
      <c r="AZ402" s="417"/>
      <c r="BA402" s="417"/>
      <c r="BB402" t="s">
        <v>3585</v>
      </c>
      <c r="BC402" s="636"/>
      <c r="BD402" s="417"/>
      <c r="BE402" s="612"/>
      <c r="BF402" s="613"/>
      <c r="BG402" s="614"/>
      <c r="BH402" s="682"/>
      <c r="BI402" s="417"/>
      <c r="BJ402" s="417">
        <v>1</v>
      </c>
      <c r="BK402" s="682" t="str">
        <f>Техкарта[[#This Row],[Кв-л]]&amp;" кв ("&amp;Substring(Техкарта[[#This Row],[Виділ]],"_",1)&amp;" вид) "&amp;Substring(Техкарта[[#This Row],[Виділ]],"_",2)&amp;" діл."</f>
        <v>113 кв (14 вид) 0 діл.</v>
      </c>
      <c r="BL402" s="682" t="str">
        <f>Техкарта[[#This Row],[ПолнаяДіл]] &amp;" "&amp;Техкарта[[#This Row],[ЛК]]&amp;" "&amp;Техкарта[[#This Row],[Вид рубки]]</f>
        <v>113 кв (14 вид) 0 діл. 556628 ПРЖ</v>
      </c>
      <c r="BM402" s="682"/>
      <c r="BN402" s="636"/>
      <c r="BO402" s="636"/>
      <c r="BP402" s="636"/>
      <c r="BQ402" s="636" t="s">
        <v>105</v>
      </c>
      <c r="BR402" s="636">
        <v>5</v>
      </c>
      <c r="BS402" s="636"/>
      <c r="BT402" s="636"/>
      <c r="BU402" s="636"/>
      <c r="BV402" s="636"/>
      <c r="BW402" s="636" t="s">
        <v>4307</v>
      </c>
      <c r="BX402" s="636"/>
      <c r="BY402" s="972"/>
    </row>
    <row r="403" spans="1:77">
      <c r="A403" t="s">
        <v>105</v>
      </c>
      <c r="B403" s="675" t="s">
        <v>115</v>
      </c>
      <c r="C403" s="687" t="s">
        <v>140</v>
      </c>
      <c r="D403" s="675">
        <v>0</v>
      </c>
      <c r="E403" s="675" t="s">
        <v>2305</v>
      </c>
      <c r="F403" s="675">
        <v>3</v>
      </c>
      <c r="G403" s="675" t="s">
        <v>79</v>
      </c>
      <c r="H403" s="675">
        <v>68</v>
      </c>
      <c r="I403" s="676" t="s">
        <v>3795</v>
      </c>
      <c r="J403" s="677">
        <v>1.7</v>
      </c>
      <c r="K403" s="683">
        <v>145</v>
      </c>
      <c r="L403" s="677"/>
      <c r="M403" s="677">
        <v>0</v>
      </c>
      <c r="N403" s="677">
        <v>3</v>
      </c>
      <c r="O403" s="677"/>
      <c r="P403" s="677"/>
      <c r="Q403" s="677">
        <v>0</v>
      </c>
      <c r="R403" s="677"/>
      <c r="S403" s="677">
        <v>0</v>
      </c>
      <c r="T403" s="677">
        <v>0</v>
      </c>
      <c r="U403" s="677"/>
      <c r="V403" s="677">
        <v>0</v>
      </c>
      <c r="W403" s="677">
        <v>79</v>
      </c>
      <c r="X403" s="678"/>
      <c r="Y403" s="682"/>
      <c r="Z403" s="680"/>
      <c r="AA403" s="681">
        <v>75.64</v>
      </c>
      <c r="AB403" s="681"/>
      <c r="AC403" s="417">
        <v>6</v>
      </c>
      <c r="AD403" s="417"/>
      <c r="AE403" s="682" t="s">
        <v>4321</v>
      </c>
      <c r="AF403">
        <v>1</v>
      </c>
      <c r="AG403" s="745">
        <v>43101</v>
      </c>
      <c r="AH403" s="417"/>
      <c r="AI403" s="417"/>
      <c r="AJ403" s="746">
        <v>43252</v>
      </c>
      <c r="AK403" s="417"/>
      <c r="AL403" s="637" t="s">
        <v>3461</v>
      </c>
      <c r="AM403" s="417"/>
      <c r="AN403" s="417"/>
      <c r="AO403" s="636"/>
      <c r="AP403">
        <v>556629</v>
      </c>
      <c r="AQ403" s="747">
        <v>43102</v>
      </c>
      <c r="AR403" s="417">
        <v>0.5</v>
      </c>
      <c r="AS403" s="417"/>
      <c r="AT403" s="417"/>
      <c r="AU403" s="417"/>
      <c r="AV403" s="417"/>
      <c r="AW403" s="417"/>
      <c r="AX403" s="417"/>
      <c r="AY403" s="183" t="s">
        <v>3362</v>
      </c>
      <c r="AZ403" s="417"/>
      <c r="BA403" s="417"/>
      <c r="BB403" t="s">
        <v>3585</v>
      </c>
      <c r="BC403" s="636"/>
      <c r="BD403" s="417"/>
      <c r="BE403" s="612"/>
      <c r="BF403" s="613"/>
      <c r="BG403" s="614"/>
      <c r="BH403" s="682"/>
      <c r="BI403" s="417"/>
      <c r="BJ403" s="417">
        <v>2</v>
      </c>
      <c r="BK403" s="682" t="str">
        <f>Техкарта[[#This Row],[Кв-л]]&amp;" кв ("&amp;Substring(Техкарта[[#This Row],[Виділ]],"_",1)&amp;" вид) "&amp;Substring(Техкарта[[#This Row],[Виділ]],"_",2)&amp;" діл."</f>
        <v>68 кв (9 вид) 0 діл.</v>
      </c>
      <c r="BL403" s="682" t="str">
        <f>Техкарта[[#This Row],[ПолнаяДіл]] &amp;" "&amp;Техкарта[[#This Row],[ЛК]]&amp;" "&amp;Техкарта[[#This Row],[Вид рубки]]</f>
        <v>68 кв (9 вид) 0 діл. 556629 ПРХ</v>
      </c>
      <c r="BM403" s="682"/>
      <c r="BN403" s="636"/>
      <c r="BO403" s="636"/>
      <c r="BP403" s="636"/>
      <c r="BQ403" s="636" t="s">
        <v>105</v>
      </c>
      <c r="BR403" s="636">
        <v>5</v>
      </c>
      <c r="BS403" s="636"/>
      <c r="BT403" s="636"/>
      <c r="BU403" s="636"/>
      <c r="BV403" s="636"/>
      <c r="BW403" s="636" t="s">
        <v>4307</v>
      </c>
      <c r="BX403" s="636"/>
      <c r="BY403" s="972"/>
    </row>
    <row r="404" spans="1:77">
      <c r="A404" t="s">
        <v>105</v>
      </c>
      <c r="B404" s="675" t="s">
        <v>115</v>
      </c>
      <c r="C404" s="687" t="s">
        <v>126</v>
      </c>
      <c r="D404" s="675">
        <v>0</v>
      </c>
      <c r="E404" s="675" t="s">
        <v>2305</v>
      </c>
      <c r="F404" s="675">
        <v>3</v>
      </c>
      <c r="G404" s="675" t="s">
        <v>79</v>
      </c>
      <c r="H404" s="675">
        <v>15</v>
      </c>
      <c r="I404" s="676" t="s">
        <v>3790</v>
      </c>
      <c r="J404" s="677">
        <v>5.0999999999999996</v>
      </c>
      <c r="K404" s="683">
        <v>168</v>
      </c>
      <c r="L404" s="677"/>
      <c r="M404" s="677">
        <v>0</v>
      </c>
      <c r="N404" s="677">
        <v>9</v>
      </c>
      <c r="O404" s="677"/>
      <c r="P404" s="677"/>
      <c r="Q404" s="677">
        <v>0</v>
      </c>
      <c r="R404" s="677"/>
      <c r="S404" s="677">
        <v>0</v>
      </c>
      <c r="T404" s="677">
        <v>0</v>
      </c>
      <c r="U404" s="677">
        <v>3</v>
      </c>
      <c r="V404" s="677">
        <v>3</v>
      </c>
      <c r="W404" s="677">
        <v>106</v>
      </c>
      <c r="X404" s="678"/>
      <c r="Y404" s="682"/>
      <c r="Z404" s="680"/>
      <c r="AA404" s="681">
        <v>71.116</v>
      </c>
      <c r="AB404" s="681"/>
      <c r="AC404" s="417">
        <v>8</v>
      </c>
      <c r="AD404" s="417"/>
      <c r="AE404" s="682" t="s">
        <v>4322</v>
      </c>
      <c r="AF404">
        <v>1</v>
      </c>
      <c r="AG404" s="745">
        <v>43101</v>
      </c>
      <c r="AH404" s="417"/>
      <c r="AI404" s="417"/>
      <c r="AJ404" s="746">
        <v>43277</v>
      </c>
      <c r="AK404" s="417"/>
      <c r="AL404" s="637" t="s">
        <v>3471</v>
      </c>
      <c r="AM404" s="417"/>
      <c r="AN404" s="417"/>
      <c r="AO404" s="636"/>
      <c r="AP404">
        <v>556711</v>
      </c>
      <c r="AQ404" s="747">
        <v>43272</v>
      </c>
      <c r="AR404" s="417">
        <v>0.5</v>
      </c>
      <c r="AS404" s="417"/>
      <c r="AT404" s="417"/>
      <c r="AU404" s="417"/>
      <c r="AV404" s="417"/>
      <c r="AW404" s="417"/>
      <c r="AX404" s="417"/>
      <c r="AY404" s="183" t="s">
        <v>3362</v>
      </c>
      <c r="AZ404" s="417"/>
      <c r="BA404" s="417"/>
      <c r="BB404" t="s">
        <v>3585</v>
      </c>
      <c r="BC404" s="636"/>
      <c r="BD404" s="417"/>
      <c r="BE404" s="612"/>
      <c r="BF404" s="613"/>
      <c r="BG404" s="614"/>
      <c r="BH404" s="682"/>
      <c r="BI404" s="417"/>
      <c r="BJ404" s="417">
        <v>4</v>
      </c>
      <c r="BK404" s="682" t="str">
        <f>Техкарта[[#This Row],[Кв-л]]&amp;" кв ("&amp;Substring(Техкарта[[#This Row],[Виділ]],"_",1)&amp;" вид) "&amp;Substring(Техкарта[[#This Row],[Виділ]],"_",2)&amp;" діл."</f>
        <v>15 кв (2 вид) 0 діл.</v>
      </c>
      <c r="BL404" s="682" t="str">
        <f>Техкарта[[#This Row],[ПолнаяДіл]] &amp;" "&amp;Техкарта[[#This Row],[ЛК]]&amp;" "&amp;Техкарта[[#This Row],[Вид рубки]]</f>
        <v>15 кв (2 вид) 0 діл. 556711 СРВ</v>
      </c>
      <c r="BM404" s="682"/>
      <c r="BN404" s="636"/>
      <c r="BO404" s="636"/>
      <c r="BP404" s="636"/>
      <c r="BQ404" s="636" t="s">
        <v>105</v>
      </c>
      <c r="BR404" s="636">
        <v>5</v>
      </c>
      <c r="BS404" s="636"/>
      <c r="BT404" s="636"/>
      <c r="BU404" s="636"/>
      <c r="BV404" s="636"/>
      <c r="BW404" s="636" t="s">
        <v>4307</v>
      </c>
      <c r="BX404" s="636"/>
      <c r="BY404" s="972"/>
    </row>
    <row r="405" spans="1:77">
      <c r="A405" t="s">
        <v>105</v>
      </c>
      <c r="B405" s="675" t="s">
        <v>115</v>
      </c>
      <c r="C405" s="687" t="s">
        <v>126</v>
      </c>
      <c r="D405" s="675">
        <v>0</v>
      </c>
      <c r="E405" s="675" t="s">
        <v>2305</v>
      </c>
      <c r="F405" s="675">
        <v>5</v>
      </c>
      <c r="G405" s="675" t="s">
        <v>79</v>
      </c>
      <c r="H405" s="675">
        <v>53</v>
      </c>
      <c r="I405" s="676" t="s">
        <v>4032</v>
      </c>
      <c r="J405" s="677">
        <v>9.5</v>
      </c>
      <c r="K405" s="683">
        <v>325</v>
      </c>
      <c r="L405" s="677"/>
      <c r="M405" s="677">
        <v>0</v>
      </c>
      <c r="N405" s="677">
        <v>25</v>
      </c>
      <c r="O405" s="677"/>
      <c r="P405" s="677"/>
      <c r="Q405" s="677">
        <v>0</v>
      </c>
      <c r="R405" s="677">
        <v>32</v>
      </c>
      <c r="S405" s="677">
        <v>3</v>
      </c>
      <c r="T405" s="677">
        <v>213</v>
      </c>
      <c r="U405" s="677">
        <v>0</v>
      </c>
      <c r="V405" s="677">
        <v>0</v>
      </c>
      <c r="W405" s="677">
        <v>0</v>
      </c>
      <c r="X405" s="678"/>
      <c r="Y405" s="682"/>
      <c r="Z405" s="680"/>
      <c r="AA405" s="681">
        <v>85.132000000000005</v>
      </c>
      <c r="AB405" s="681"/>
      <c r="AC405" s="417">
        <v>23</v>
      </c>
      <c r="AD405" s="417"/>
      <c r="AE405" s="682" t="s">
        <v>4323</v>
      </c>
      <c r="AF405">
        <v>1</v>
      </c>
      <c r="AG405" s="745">
        <v>43101</v>
      </c>
      <c r="AH405" s="417"/>
      <c r="AI405" s="417"/>
      <c r="AJ405" s="746">
        <v>43277</v>
      </c>
      <c r="AK405" s="417"/>
      <c r="AL405" s="637" t="s">
        <v>3461</v>
      </c>
      <c r="AM405" s="417"/>
      <c r="AN405" s="417"/>
      <c r="AO405" s="636"/>
      <c r="AP405">
        <v>556711</v>
      </c>
      <c r="AQ405" s="747">
        <v>43272</v>
      </c>
      <c r="AR405" s="417">
        <v>0.5</v>
      </c>
      <c r="AS405" s="417"/>
      <c r="AT405" s="417"/>
      <c r="AU405" s="417"/>
      <c r="AV405" s="417"/>
      <c r="AW405" s="417"/>
      <c r="AX405" s="417"/>
      <c r="AY405" s="183" t="s">
        <v>3362</v>
      </c>
      <c r="AZ405" s="417"/>
      <c r="BA405" s="417"/>
      <c r="BB405" t="s">
        <v>3585</v>
      </c>
      <c r="BC405" s="636"/>
      <c r="BD405" s="417"/>
      <c r="BE405" s="612"/>
      <c r="BF405" s="613"/>
      <c r="BG405" s="614"/>
      <c r="BH405" s="682"/>
      <c r="BI405" s="417"/>
      <c r="BJ405" s="417">
        <v>5</v>
      </c>
      <c r="BK405" s="682" t="str">
        <f>Техкарта[[#This Row],[Кв-л]]&amp;" кв ("&amp;Substring(Техкарта[[#This Row],[Виділ]],"_",1)&amp;" вид) "&amp;Substring(Техкарта[[#This Row],[Виділ]],"_",2)&amp;" діл."</f>
        <v>53 кв (3 вид) 1 діл.</v>
      </c>
      <c r="BL405" s="682" t="str">
        <f>Техкарта[[#This Row],[ПолнаяДіл]] &amp;" "&amp;Техкарта[[#This Row],[ЛК]]&amp;" "&amp;Техкарта[[#This Row],[Вид рубки]]</f>
        <v>53 кв (3 вид) 1 діл. 556711 СРВ</v>
      </c>
      <c r="BM405" s="682"/>
      <c r="BN405" s="636"/>
      <c r="BO405" s="636"/>
      <c r="BP405" s="636"/>
      <c r="BQ405" s="636" t="s">
        <v>105</v>
      </c>
      <c r="BR405" s="636">
        <v>5</v>
      </c>
      <c r="BS405" s="636"/>
      <c r="BT405" s="636"/>
      <c r="BU405" s="636"/>
      <c r="BV405" s="636"/>
      <c r="BW405" s="636" t="s">
        <v>4307</v>
      </c>
      <c r="BX405" s="636"/>
      <c r="BY405" s="972"/>
    </row>
    <row r="406" spans="1:77">
      <c r="A406" t="s">
        <v>105</v>
      </c>
      <c r="B406" s="675" t="s">
        <v>115</v>
      </c>
      <c r="C406" s="687" t="s">
        <v>126</v>
      </c>
      <c r="D406" s="675">
        <v>0</v>
      </c>
      <c r="E406" s="675" t="s">
        <v>2305</v>
      </c>
      <c r="F406" s="675">
        <v>5</v>
      </c>
      <c r="G406" s="675" t="s">
        <v>79</v>
      </c>
      <c r="H406" s="675">
        <v>54</v>
      </c>
      <c r="I406" s="676" t="s">
        <v>3790</v>
      </c>
      <c r="J406" s="677">
        <v>11.7</v>
      </c>
      <c r="K406" s="683">
        <v>340</v>
      </c>
      <c r="L406" s="677"/>
      <c r="M406" s="677">
        <v>0</v>
      </c>
      <c r="N406" s="677">
        <v>28</v>
      </c>
      <c r="O406" s="677"/>
      <c r="P406" s="677"/>
      <c r="Q406" s="677">
        <v>0</v>
      </c>
      <c r="R406" s="677">
        <v>0</v>
      </c>
      <c r="S406" s="677">
        <v>0</v>
      </c>
      <c r="T406" s="677">
        <v>0</v>
      </c>
      <c r="U406" s="677">
        <v>48</v>
      </c>
      <c r="V406" s="677">
        <v>3</v>
      </c>
      <c r="W406" s="677">
        <v>263</v>
      </c>
      <c r="X406" s="678"/>
      <c r="Y406" s="682"/>
      <c r="Z406" s="680"/>
      <c r="AA406" s="681">
        <v>81.876999999999995</v>
      </c>
      <c r="AB406" s="681"/>
      <c r="AC406" s="417">
        <v>22</v>
      </c>
      <c r="AD406" s="417"/>
      <c r="AE406" s="682" t="s">
        <v>4324</v>
      </c>
      <c r="AF406">
        <v>1</v>
      </c>
      <c r="AG406" s="745">
        <v>43101</v>
      </c>
      <c r="AH406" s="417"/>
      <c r="AI406" s="417"/>
      <c r="AJ406" s="746">
        <v>43277</v>
      </c>
      <c r="AK406" s="417"/>
      <c r="AL406" s="637" t="s">
        <v>3461</v>
      </c>
      <c r="AM406" s="417"/>
      <c r="AN406" s="417"/>
      <c r="AO406" s="636"/>
      <c r="AP406">
        <v>556711</v>
      </c>
      <c r="AQ406" s="747">
        <v>43272</v>
      </c>
      <c r="AR406" s="417">
        <v>0.5</v>
      </c>
      <c r="AS406" s="417"/>
      <c r="AT406" s="417"/>
      <c r="AU406" s="417"/>
      <c r="AV406" s="417"/>
      <c r="AW406" s="417"/>
      <c r="AX406" s="417"/>
      <c r="AY406" s="183" t="s">
        <v>3362</v>
      </c>
      <c r="AZ406" s="417"/>
      <c r="BA406" s="417"/>
      <c r="BB406" t="s">
        <v>3585</v>
      </c>
      <c r="BC406" s="636"/>
      <c r="BD406" s="417"/>
      <c r="BE406" s="612"/>
      <c r="BF406" s="613"/>
      <c r="BG406" s="614"/>
      <c r="BH406" s="682"/>
      <c r="BI406" s="417"/>
      <c r="BJ406" s="417">
        <v>6</v>
      </c>
      <c r="BK406" s="682" t="str">
        <f>Техкарта[[#This Row],[Кв-л]]&amp;" кв ("&amp;Substring(Техкарта[[#This Row],[Виділ]],"_",1)&amp;" вид) "&amp;Substring(Техкарта[[#This Row],[Виділ]],"_",2)&amp;" діл."</f>
        <v>54 кв (2 вид) 0 діл.</v>
      </c>
      <c r="BL406" s="682" t="str">
        <f>Техкарта[[#This Row],[ПолнаяДіл]] &amp;" "&amp;Техкарта[[#This Row],[ЛК]]&amp;" "&amp;Техкарта[[#This Row],[Вид рубки]]</f>
        <v>54 кв (2 вид) 0 діл. 556711 СРВ</v>
      </c>
      <c r="BM406" s="682"/>
      <c r="BN406" s="636"/>
      <c r="BO406" s="636"/>
      <c r="BP406" s="636"/>
      <c r="BQ406" s="636" t="s">
        <v>105</v>
      </c>
      <c r="BR406" s="636">
        <v>5</v>
      </c>
      <c r="BS406" s="636"/>
      <c r="BT406" s="636"/>
      <c r="BU406" s="636"/>
      <c r="BV406" s="636"/>
      <c r="BW406" s="636" t="s">
        <v>4307</v>
      </c>
      <c r="BX406" s="636"/>
      <c r="BY406" s="972"/>
    </row>
    <row r="407" spans="1:77">
      <c r="A407" t="s">
        <v>105</v>
      </c>
      <c r="B407" s="675" t="s">
        <v>115</v>
      </c>
      <c r="C407" s="687" t="s">
        <v>126</v>
      </c>
      <c r="D407" s="675">
        <v>0</v>
      </c>
      <c r="E407" s="675" t="s">
        <v>2305</v>
      </c>
      <c r="F407" s="675">
        <v>3</v>
      </c>
      <c r="G407" s="675" t="s">
        <v>79</v>
      </c>
      <c r="H407" s="675">
        <v>124</v>
      </c>
      <c r="I407" s="676" t="s">
        <v>3806</v>
      </c>
      <c r="J407" s="677">
        <v>12</v>
      </c>
      <c r="K407" s="683">
        <v>901</v>
      </c>
      <c r="L407" s="677"/>
      <c r="M407" s="677">
        <v>0</v>
      </c>
      <c r="N407" s="677">
        <v>26</v>
      </c>
      <c r="O407" s="677"/>
      <c r="P407" s="677"/>
      <c r="Q407" s="677">
        <v>0</v>
      </c>
      <c r="R407" s="677">
        <v>0</v>
      </c>
      <c r="S407" s="677">
        <v>0</v>
      </c>
      <c r="T407" s="677">
        <v>0</v>
      </c>
      <c r="U407" s="677">
        <v>45</v>
      </c>
      <c r="V407" s="677">
        <v>5</v>
      </c>
      <c r="W407" s="677">
        <v>318</v>
      </c>
      <c r="X407" s="678"/>
      <c r="Y407" s="682"/>
      <c r="Z407" s="680"/>
      <c r="AA407" s="681">
        <v>78.691000000000003</v>
      </c>
      <c r="AB407" s="681"/>
      <c r="AC407" s="417">
        <v>33</v>
      </c>
      <c r="AD407" s="417"/>
      <c r="AE407" s="682" t="s">
        <v>4325</v>
      </c>
      <c r="AF407">
        <v>1</v>
      </c>
      <c r="AG407" s="745">
        <v>43101</v>
      </c>
      <c r="AH407" s="417"/>
      <c r="AI407" s="417"/>
      <c r="AJ407" s="746">
        <v>43272</v>
      </c>
      <c r="AK407" s="417"/>
      <c r="AL407" s="637" t="s">
        <v>3834</v>
      </c>
      <c r="AM407" s="417"/>
      <c r="AN407" s="417"/>
      <c r="AO407" s="636"/>
      <c r="AP407">
        <v>556711</v>
      </c>
      <c r="AQ407" s="747">
        <v>43272</v>
      </c>
      <c r="AR407" s="417">
        <v>0.5</v>
      </c>
      <c r="AS407" s="417"/>
      <c r="AT407" s="417"/>
      <c r="AU407" s="417"/>
      <c r="AV407" s="417"/>
      <c r="AW407" s="417"/>
      <c r="AX407" s="417"/>
      <c r="AY407" s="183" t="s">
        <v>3362</v>
      </c>
      <c r="AZ407" s="417"/>
      <c r="BA407" s="417"/>
      <c r="BB407" t="s">
        <v>3585</v>
      </c>
      <c r="BC407" s="636"/>
      <c r="BD407" s="417"/>
      <c r="BE407" s="612"/>
      <c r="BF407" s="613"/>
      <c r="BG407" s="614"/>
      <c r="BH407" s="682"/>
      <c r="BI407" s="417"/>
      <c r="BJ407" s="417">
        <v>7</v>
      </c>
      <c r="BK407" s="682" t="str">
        <f>Техкарта[[#This Row],[Кв-л]]&amp;" кв ("&amp;Substring(Техкарта[[#This Row],[Виділ]],"_",1)&amp;" вид) "&amp;Substring(Техкарта[[#This Row],[Виділ]],"_",2)&amp;" діл."</f>
        <v>124 кв (1 вид) 1 діл.</v>
      </c>
      <c r="BL407" s="682" t="str">
        <f>Техкарта[[#This Row],[ПолнаяДіл]] &amp;" "&amp;Техкарта[[#This Row],[ЛК]]&amp;" "&amp;Техкарта[[#This Row],[Вид рубки]]</f>
        <v>124 кв (1 вид) 1 діл. 556711 СРВ</v>
      </c>
      <c r="BM407" s="682"/>
      <c r="BN407" s="636"/>
      <c r="BO407" s="636"/>
      <c r="BP407" s="636"/>
      <c r="BQ407" s="636" t="s">
        <v>105</v>
      </c>
      <c r="BR407" s="636">
        <v>5</v>
      </c>
      <c r="BS407" s="636"/>
      <c r="BT407" s="636"/>
      <c r="BU407" s="636"/>
      <c r="BV407" s="636"/>
      <c r="BW407" s="636" t="s">
        <v>4307</v>
      </c>
      <c r="BX407" s="636"/>
      <c r="BY407" s="972"/>
    </row>
    <row r="408" spans="1:77">
      <c r="A408" t="s">
        <v>105</v>
      </c>
      <c r="B408" s="675" t="s">
        <v>115</v>
      </c>
      <c r="C408" s="687" t="s">
        <v>126</v>
      </c>
      <c r="D408" s="675">
        <v>0</v>
      </c>
      <c r="E408" s="675" t="s">
        <v>2305</v>
      </c>
      <c r="F408" s="675">
        <v>3</v>
      </c>
      <c r="G408" s="675" t="s">
        <v>79</v>
      </c>
      <c r="H408" s="675">
        <v>40</v>
      </c>
      <c r="I408" s="676" t="s">
        <v>3830</v>
      </c>
      <c r="J408" s="677">
        <v>23.4</v>
      </c>
      <c r="K408" s="683">
        <v>829</v>
      </c>
      <c r="L408" s="677"/>
      <c r="M408" s="677">
        <v>0</v>
      </c>
      <c r="N408" s="677">
        <v>32</v>
      </c>
      <c r="O408" s="677"/>
      <c r="P408" s="677"/>
      <c r="Q408" s="677">
        <v>0</v>
      </c>
      <c r="R408" s="677">
        <v>0</v>
      </c>
      <c r="S408" s="677">
        <v>0</v>
      </c>
      <c r="T408" s="677">
        <v>0</v>
      </c>
      <c r="U408" s="677">
        <v>62</v>
      </c>
      <c r="V408" s="677">
        <v>61</v>
      </c>
      <c r="W408" s="677">
        <v>332</v>
      </c>
      <c r="X408" s="678"/>
      <c r="Y408" s="682"/>
      <c r="Z408" s="680"/>
      <c r="AA408" s="681">
        <v>78.891000000000005</v>
      </c>
      <c r="AB408" s="681"/>
      <c r="AC408" s="417">
        <v>37</v>
      </c>
      <c r="AD408" s="417"/>
      <c r="AE408" s="682" t="s">
        <v>4326</v>
      </c>
      <c r="AF408">
        <v>1</v>
      </c>
      <c r="AG408" s="745">
        <v>43101</v>
      </c>
      <c r="AH408" s="417"/>
      <c r="AI408" s="417"/>
      <c r="AJ408" s="746">
        <v>43272</v>
      </c>
      <c r="AK408" s="417"/>
      <c r="AL408" s="637" t="s">
        <v>3466</v>
      </c>
      <c r="AM408" s="417"/>
      <c r="AN408" s="417"/>
      <c r="AO408" s="636"/>
      <c r="AP408">
        <v>556711</v>
      </c>
      <c r="AQ408" s="747">
        <v>43272</v>
      </c>
      <c r="AR408" s="417">
        <v>0.5</v>
      </c>
      <c r="AS408" s="417"/>
      <c r="AT408" s="417"/>
      <c r="AU408" s="417"/>
      <c r="AV408" s="417"/>
      <c r="AW408" s="417"/>
      <c r="AX408" s="417"/>
      <c r="AY408" s="183" t="s">
        <v>3362</v>
      </c>
      <c r="AZ408" s="417"/>
      <c r="BA408" s="417"/>
      <c r="BB408" t="s">
        <v>3585</v>
      </c>
      <c r="BC408" s="636"/>
      <c r="BD408" s="417"/>
      <c r="BE408" s="612"/>
      <c r="BF408" s="613"/>
      <c r="BG408" s="614"/>
      <c r="BH408" s="682"/>
      <c r="BI408" s="417"/>
      <c r="BJ408" s="417">
        <v>8</v>
      </c>
      <c r="BK408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408" s="682" t="str">
        <f>Техкарта[[#This Row],[ПолнаяДіл]] &amp;" "&amp;Техкарта[[#This Row],[ЛК]]&amp;" "&amp;Техкарта[[#This Row],[Вид рубки]]</f>
        <v>40 кв (1 вид) 0 діл. 556711 СРВ</v>
      </c>
      <c r="BM408" s="682"/>
      <c r="BN408" s="636"/>
      <c r="BO408" s="636"/>
      <c r="BP408" s="636"/>
      <c r="BQ408" s="636" t="s">
        <v>105</v>
      </c>
      <c r="BR408" s="636">
        <v>5</v>
      </c>
      <c r="BS408" s="636"/>
      <c r="BT408" s="636"/>
      <c r="BU408" s="636"/>
      <c r="BV408" s="636"/>
      <c r="BW408" s="636" t="s">
        <v>4307</v>
      </c>
      <c r="BX408" s="636"/>
      <c r="BY408" s="972"/>
    </row>
    <row r="409" spans="1:77">
      <c r="A409" t="s">
        <v>105</v>
      </c>
      <c r="B409" s="675" t="s">
        <v>115</v>
      </c>
      <c r="C409" s="687" t="s">
        <v>126</v>
      </c>
      <c r="D409" s="675">
        <v>0</v>
      </c>
      <c r="E409" s="675" t="s">
        <v>2305</v>
      </c>
      <c r="F409" s="675">
        <v>3</v>
      </c>
      <c r="G409" s="675" t="s">
        <v>79</v>
      </c>
      <c r="H409" s="675">
        <v>159</v>
      </c>
      <c r="I409" s="676" t="s">
        <v>4327</v>
      </c>
      <c r="J409" s="677">
        <v>1.8</v>
      </c>
      <c r="K409" s="683">
        <v>78</v>
      </c>
      <c r="L409" s="677"/>
      <c r="M409" s="677">
        <v>0</v>
      </c>
      <c r="N409" s="677">
        <v>0</v>
      </c>
      <c r="O409" s="677"/>
      <c r="P409" s="677"/>
      <c r="Q409" s="677">
        <v>0</v>
      </c>
      <c r="R409" s="677">
        <v>0</v>
      </c>
      <c r="S409" s="677">
        <v>0</v>
      </c>
      <c r="T409" s="677">
        <v>0</v>
      </c>
      <c r="U409" s="677">
        <v>0</v>
      </c>
      <c r="V409" s="677">
        <v>0</v>
      </c>
      <c r="W409" s="677">
        <v>28</v>
      </c>
      <c r="X409" s="678"/>
      <c r="Y409" s="682"/>
      <c r="Z409" s="680"/>
      <c r="AA409" s="681">
        <v>89.072999999999993</v>
      </c>
      <c r="AB409" s="681"/>
      <c r="AC409" s="417">
        <v>4</v>
      </c>
      <c r="AD409" s="417"/>
      <c r="AE409" s="682" t="s">
        <v>4328</v>
      </c>
      <c r="AF409">
        <v>1</v>
      </c>
      <c r="AG409" s="745">
        <v>43101</v>
      </c>
      <c r="AH409" s="417"/>
      <c r="AI409" s="417"/>
      <c r="AJ409" s="746">
        <v>43272</v>
      </c>
      <c r="AK409" s="417"/>
      <c r="AL409" s="637" t="s">
        <v>3481</v>
      </c>
      <c r="AM409" s="417"/>
      <c r="AN409" s="417"/>
      <c r="AO409" s="636"/>
      <c r="AP409">
        <v>556711</v>
      </c>
      <c r="AQ409" s="747">
        <v>43272</v>
      </c>
      <c r="AR409" s="417">
        <v>0.5</v>
      </c>
      <c r="AS409" s="417"/>
      <c r="AT409" s="417"/>
      <c r="AU409" s="417"/>
      <c r="AV409" s="417"/>
      <c r="AW409" s="417"/>
      <c r="AX409" s="417"/>
      <c r="AY409" s="183" t="s">
        <v>3362</v>
      </c>
      <c r="AZ409" s="417"/>
      <c r="BA409" s="417"/>
      <c r="BB409" t="s">
        <v>3585</v>
      </c>
      <c r="BC409" s="636"/>
      <c r="BD409" s="417"/>
      <c r="BE409" s="612"/>
      <c r="BF409" s="613"/>
      <c r="BG409" s="614"/>
      <c r="BH409" s="682"/>
      <c r="BI409" s="417"/>
      <c r="BJ409" s="417">
        <v>9</v>
      </c>
      <c r="BK409" s="682" t="str">
        <f>Техкарта[[#This Row],[Кв-л]]&amp;" кв ("&amp;Substring(Техкарта[[#This Row],[Виділ]],"_",1)&amp;" вид) "&amp;Substring(Техкарта[[#This Row],[Виділ]],"_",2)&amp;" діл."</f>
        <v>159 кв (23 вид) 0 діл.</v>
      </c>
      <c r="BL409" s="682" t="str">
        <f>Техкарта[[#This Row],[ПолнаяДіл]] &amp;" "&amp;Техкарта[[#This Row],[ЛК]]&amp;" "&amp;Техкарта[[#This Row],[Вид рубки]]</f>
        <v>159 кв (23 вид) 0 діл. 556711 СРВ</v>
      </c>
      <c r="BM409" s="682"/>
      <c r="BN409" s="636"/>
      <c r="BO409" s="636"/>
      <c r="BP409" s="636"/>
      <c r="BQ409" s="636" t="s">
        <v>105</v>
      </c>
      <c r="BR409" s="636">
        <v>5</v>
      </c>
      <c r="BS409" s="636"/>
      <c r="BT409" s="636"/>
      <c r="BU409" s="636"/>
      <c r="BV409" s="636"/>
      <c r="BW409" s="636" t="s">
        <v>4307</v>
      </c>
      <c r="BX409" s="636"/>
      <c r="BY409" s="972"/>
    </row>
    <row r="410" spans="1:77">
      <c r="A410" t="s">
        <v>105</v>
      </c>
      <c r="B410" s="675" t="s">
        <v>115</v>
      </c>
      <c r="C410" s="687" t="s">
        <v>126</v>
      </c>
      <c r="D410" s="675">
        <v>0</v>
      </c>
      <c r="E410" s="675" t="s">
        <v>2305</v>
      </c>
      <c r="F410" s="675">
        <v>3</v>
      </c>
      <c r="G410" s="675" t="s">
        <v>79</v>
      </c>
      <c r="H410" s="675">
        <v>43</v>
      </c>
      <c r="I410" s="676" t="s">
        <v>3806</v>
      </c>
      <c r="J410" s="677">
        <v>1</v>
      </c>
      <c r="K410" s="683">
        <v>165</v>
      </c>
      <c r="L410" s="677"/>
      <c r="M410" s="677">
        <v>0</v>
      </c>
      <c r="N410" s="677">
        <v>0</v>
      </c>
      <c r="O410" s="677"/>
      <c r="P410" s="677"/>
      <c r="Q410" s="677">
        <v>0</v>
      </c>
      <c r="R410" s="677">
        <v>0</v>
      </c>
      <c r="S410" s="677">
        <v>0</v>
      </c>
      <c r="T410" s="677">
        <v>0</v>
      </c>
      <c r="U410" s="677">
        <v>25</v>
      </c>
      <c r="V410" s="677">
        <v>2</v>
      </c>
      <c r="W410" s="677">
        <v>27</v>
      </c>
      <c r="X410" s="678"/>
      <c r="Y410" s="682"/>
      <c r="Z410" s="680"/>
      <c r="AA410" s="681">
        <v>90.995000000000005</v>
      </c>
      <c r="AB410" s="681"/>
      <c r="AC410" s="417">
        <v>6</v>
      </c>
      <c r="AD410" s="417"/>
      <c r="AE410" s="682" t="s">
        <v>4329</v>
      </c>
      <c r="AF410">
        <v>1</v>
      </c>
      <c r="AG410" s="745">
        <v>43101</v>
      </c>
      <c r="AH410" s="417"/>
      <c r="AI410" s="417"/>
      <c r="AJ410" s="746">
        <v>43272</v>
      </c>
      <c r="AK410" s="417"/>
      <c r="AL410" s="637" t="s">
        <v>3466</v>
      </c>
      <c r="AM410" s="417"/>
      <c r="AN410" s="417"/>
      <c r="AO410" s="636"/>
      <c r="AP410">
        <v>556711</v>
      </c>
      <c r="AQ410" s="747">
        <v>43272</v>
      </c>
      <c r="AR410" s="417">
        <v>0.5</v>
      </c>
      <c r="AS410" s="417"/>
      <c r="AT410" s="417"/>
      <c r="AU410" s="417"/>
      <c r="AV410" s="417"/>
      <c r="AW410" s="417"/>
      <c r="AX410" s="417"/>
      <c r="AY410" s="183" t="s">
        <v>3362</v>
      </c>
      <c r="AZ410" s="417"/>
      <c r="BA410" s="417"/>
      <c r="BB410" t="s">
        <v>3585</v>
      </c>
      <c r="BC410" s="636"/>
      <c r="BD410" s="417"/>
      <c r="BE410" s="612"/>
      <c r="BF410" s="613"/>
      <c r="BG410" s="614"/>
      <c r="BH410" s="682"/>
      <c r="BI410" s="417"/>
      <c r="BJ410" s="417">
        <v>10</v>
      </c>
      <c r="BK410" s="682" t="str">
        <f>Техкарта[[#This Row],[Кв-л]]&amp;" кв ("&amp;Substring(Техкарта[[#This Row],[Виділ]],"_",1)&amp;" вид) "&amp;Substring(Техкарта[[#This Row],[Виділ]],"_",2)&amp;" діл."</f>
        <v>43 кв (1 вид) 1 діл.</v>
      </c>
      <c r="BL410" s="682" t="str">
        <f>Техкарта[[#This Row],[ПолнаяДіл]] &amp;" "&amp;Техкарта[[#This Row],[ЛК]]&amp;" "&amp;Техкарта[[#This Row],[Вид рубки]]</f>
        <v>43 кв (1 вид) 1 діл. 556711 СРВ</v>
      </c>
      <c r="BM410" s="682"/>
      <c r="BN410" s="636"/>
      <c r="BO410" s="636"/>
      <c r="BP410" s="636"/>
      <c r="BQ410" s="636" t="s">
        <v>105</v>
      </c>
      <c r="BR410" s="636">
        <v>5</v>
      </c>
      <c r="BS410" s="636"/>
      <c r="BT410" s="636"/>
      <c r="BU410" s="636"/>
      <c r="BV410" s="636"/>
      <c r="BW410" s="636" t="s">
        <v>4307</v>
      </c>
      <c r="BX410" s="636"/>
      <c r="BY410" s="972"/>
    </row>
    <row r="411" spans="1:77">
      <c r="A411" t="s">
        <v>105</v>
      </c>
      <c r="B411" s="675" t="s">
        <v>113</v>
      </c>
      <c r="C411" s="687" t="s">
        <v>3842</v>
      </c>
      <c r="D411" s="675">
        <v>0</v>
      </c>
      <c r="E411" s="675" t="s">
        <v>2305</v>
      </c>
      <c r="F411" s="675">
        <v>3</v>
      </c>
      <c r="G411" s="675" t="s">
        <v>79</v>
      </c>
      <c r="H411" s="675">
        <v>46</v>
      </c>
      <c r="I411" s="676" t="s">
        <v>4032</v>
      </c>
      <c r="J411" s="677">
        <v>0.3</v>
      </c>
      <c r="K411" s="683">
        <v>54</v>
      </c>
      <c r="L411" s="677"/>
      <c r="M411" s="677">
        <v>0</v>
      </c>
      <c r="N411" s="677">
        <v>3</v>
      </c>
      <c r="O411" s="677"/>
      <c r="P411" s="677"/>
      <c r="Q411" s="677">
        <v>0</v>
      </c>
      <c r="R411" s="677">
        <v>0</v>
      </c>
      <c r="S411" s="677">
        <v>0</v>
      </c>
      <c r="T411" s="677">
        <v>0</v>
      </c>
      <c r="U411" s="677">
        <v>0</v>
      </c>
      <c r="V411" s="677">
        <v>0</v>
      </c>
      <c r="W411" s="677">
        <v>16</v>
      </c>
      <c r="X411" s="678"/>
      <c r="Y411" s="682"/>
      <c r="Z411" s="680"/>
      <c r="AA411" s="681">
        <v>82.6</v>
      </c>
      <c r="AB411" s="681"/>
      <c r="AC411" s="417">
        <v>2</v>
      </c>
      <c r="AD411" s="417"/>
      <c r="AE411" s="682" t="s">
        <v>4331</v>
      </c>
      <c r="AF411">
        <v>1</v>
      </c>
      <c r="AG411" s="745">
        <v>43101</v>
      </c>
      <c r="AH411" s="417"/>
      <c r="AI411" s="417"/>
      <c r="AJ411" s="746">
        <v>43252</v>
      </c>
      <c r="AK411" s="417"/>
      <c r="AL411" s="637" t="s">
        <v>3474</v>
      </c>
      <c r="AM411" s="417"/>
      <c r="AN411" s="417"/>
      <c r="AO411" s="636"/>
      <c r="AP411">
        <v>556707</v>
      </c>
      <c r="AQ411" s="747">
        <v>43250</v>
      </c>
      <c r="AR411" s="417">
        <v>0.5</v>
      </c>
      <c r="AS411" s="417"/>
      <c r="AT411" s="417"/>
      <c r="AU411" s="417"/>
      <c r="AV411" s="417"/>
      <c r="AW411" s="417"/>
      <c r="AX411" s="417"/>
      <c r="AY411" s="183" t="s">
        <v>4245</v>
      </c>
      <c r="AZ411" s="417"/>
      <c r="BA411" s="417"/>
      <c r="BB411" t="s">
        <v>4238</v>
      </c>
      <c r="BC411" s="636"/>
      <c r="BD411" s="417"/>
      <c r="BE411" s="612"/>
      <c r="BF411" s="613"/>
      <c r="BG411" s="614"/>
      <c r="BH411" s="682"/>
      <c r="BI411" s="417"/>
      <c r="BJ411" s="417">
        <v>7</v>
      </c>
      <c r="BK411" s="682" t="str">
        <f>Техкарта[[#This Row],[Кв-л]]&amp;" кв ("&amp;Substring(Техкарта[[#This Row],[Виділ]],"_",1)&amp;" вид) "&amp;Substring(Техкарта[[#This Row],[Виділ]],"_",2)&amp;" діл."</f>
        <v>46 кв (3 вид) 1 діл.</v>
      </c>
      <c r="BL411" s="682" t="str">
        <f>Техкарта[[#This Row],[ПолнаяДіл]] &amp;" "&amp;Техкарта[[#This Row],[ЛК]]&amp;" "&amp;Техкарта[[#This Row],[Вид рубки]]</f>
        <v>46 кв (3 вид) 1 діл. 556707 РЛД</v>
      </c>
      <c r="BM411" s="682"/>
      <c r="BN411" s="636"/>
      <c r="BO411" s="636"/>
      <c r="BP411" s="636"/>
      <c r="BQ411" s="636" t="s">
        <v>105</v>
      </c>
      <c r="BR411" s="636">
        <v>5</v>
      </c>
      <c r="BS411" s="636"/>
      <c r="BT411" s="636"/>
      <c r="BU411" s="636"/>
      <c r="BV411" s="636"/>
      <c r="BW411" s="636" t="s">
        <v>4307</v>
      </c>
      <c r="BX411" s="636"/>
      <c r="BY411" s="972"/>
    </row>
    <row r="412" spans="1:77">
      <c r="A412" t="s">
        <v>105</v>
      </c>
      <c r="B412" s="675" t="s">
        <v>113</v>
      </c>
      <c r="C412" s="687" t="s">
        <v>3842</v>
      </c>
      <c r="D412" s="675">
        <v>0</v>
      </c>
      <c r="E412" s="675" t="s">
        <v>2305</v>
      </c>
      <c r="F412" s="675">
        <v>3</v>
      </c>
      <c r="G412" s="675" t="s">
        <v>79</v>
      </c>
      <c r="H412" s="675">
        <v>46</v>
      </c>
      <c r="I412" s="676" t="s">
        <v>4196</v>
      </c>
      <c r="J412" s="677">
        <v>0.2</v>
      </c>
      <c r="K412" s="683">
        <v>56</v>
      </c>
      <c r="L412" s="677"/>
      <c r="M412" s="677">
        <v>0</v>
      </c>
      <c r="N412" s="677">
        <v>5</v>
      </c>
      <c r="O412" s="677"/>
      <c r="P412" s="677"/>
      <c r="Q412" s="677">
        <v>0</v>
      </c>
      <c r="R412" s="677">
        <v>0</v>
      </c>
      <c r="S412" s="677">
        <v>0</v>
      </c>
      <c r="T412" s="677">
        <v>0</v>
      </c>
      <c r="U412" s="677">
        <v>0</v>
      </c>
      <c r="V412" s="677">
        <v>0</v>
      </c>
      <c r="W412" s="677">
        <v>19</v>
      </c>
      <c r="X412" s="678"/>
      <c r="Y412" s="682"/>
      <c r="Z412" s="680"/>
      <c r="AA412" s="681">
        <v>73.180000000000007</v>
      </c>
      <c r="AB412" s="681"/>
      <c r="AC412" s="417">
        <v>1</v>
      </c>
      <c r="AD412" s="417"/>
      <c r="AE412" s="682" t="s">
        <v>4330</v>
      </c>
      <c r="AF412">
        <v>1</v>
      </c>
      <c r="AG412" s="745">
        <v>43101</v>
      </c>
      <c r="AH412" s="417"/>
      <c r="AI412" s="417"/>
      <c r="AJ412" s="746">
        <v>43252</v>
      </c>
      <c r="AK412" s="417"/>
      <c r="AL412" s="637" t="s">
        <v>3474</v>
      </c>
      <c r="AM412" s="417"/>
      <c r="AN412" s="417"/>
      <c r="AO412" s="636"/>
      <c r="AP412">
        <v>556707</v>
      </c>
      <c r="AQ412" s="747">
        <v>43250</v>
      </c>
      <c r="AR412" s="417">
        <v>0.5</v>
      </c>
      <c r="AS412" s="417"/>
      <c r="AT412" s="417"/>
      <c r="AU412" s="417"/>
      <c r="AV412" s="417"/>
      <c r="AW412" s="417"/>
      <c r="AX412" s="417"/>
      <c r="AY412" s="183" t="s">
        <v>4245</v>
      </c>
      <c r="AZ412" s="417"/>
      <c r="BA412" s="417"/>
      <c r="BB412" t="s">
        <v>4238</v>
      </c>
      <c r="BC412" s="636"/>
      <c r="BD412" s="417"/>
      <c r="BE412" s="612"/>
      <c r="BF412" s="613"/>
      <c r="BG412" s="614"/>
      <c r="BH412" s="682"/>
      <c r="BI412" s="417"/>
      <c r="BJ412" s="417">
        <v>5</v>
      </c>
      <c r="BK412" s="682" t="str">
        <f>Техкарта[[#This Row],[Кв-л]]&amp;" кв ("&amp;Substring(Техкарта[[#This Row],[Виділ]],"_",1)&amp;" вид) "&amp;Substring(Техкарта[[#This Row],[Виділ]],"_",2)&amp;" діл."</f>
        <v>46 кв (8 вид) 1 діл.</v>
      </c>
      <c r="BL412" s="682" t="str">
        <f>Техкарта[[#This Row],[ПолнаяДіл]] &amp;" "&amp;Техкарта[[#This Row],[ЛК]]&amp;" "&amp;Техкарта[[#This Row],[Вид рубки]]</f>
        <v>46 кв (8 вид) 1 діл. 556707 РЛД</v>
      </c>
      <c r="BM412" s="682"/>
      <c r="BN412" s="636"/>
      <c r="BO412" s="636"/>
      <c r="BP412" s="636"/>
      <c r="BQ412" s="636" t="s">
        <v>105</v>
      </c>
      <c r="BR412" s="636">
        <v>5</v>
      </c>
      <c r="BS412" s="636"/>
      <c r="BT412" s="636"/>
      <c r="BU412" s="636"/>
      <c r="BV412" s="636"/>
      <c r="BW412" s="636" t="s">
        <v>4307</v>
      </c>
      <c r="BX412" s="636"/>
      <c r="BY412" s="972"/>
    </row>
    <row r="413" spans="1:77">
      <c r="A413" t="s">
        <v>105</v>
      </c>
      <c r="B413" s="675" t="s">
        <v>113</v>
      </c>
      <c r="C413" s="687" t="s">
        <v>3842</v>
      </c>
      <c r="D413" s="675">
        <v>0</v>
      </c>
      <c r="E413" s="675" t="s">
        <v>2305</v>
      </c>
      <c r="F413" s="675">
        <v>3</v>
      </c>
      <c r="G413" s="675" t="s">
        <v>79</v>
      </c>
      <c r="H413" s="675">
        <v>58</v>
      </c>
      <c r="I413" s="676" t="s">
        <v>3809</v>
      </c>
      <c r="J413" s="677">
        <v>0.4</v>
      </c>
      <c r="K413" s="683">
        <v>30</v>
      </c>
      <c r="L413" s="677"/>
      <c r="M413" s="677">
        <v>0</v>
      </c>
      <c r="N413" s="677">
        <v>1</v>
      </c>
      <c r="O413" s="677"/>
      <c r="P413" s="677"/>
      <c r="Q413" s="677">
        <v>0</v>
      </c>
      <c r="R413" s="677">
        <v>0</v>
      </c>
      <c r="S413" s="677">
        <v>0</v>
      </c>
      <c r="T413" s="677">
        <v>0</v>
      </c>
      <c r="U413" s="677">
        <v>0</v>
      </c>
      <c r="V413" s="677">
        <v>0</v>
      </c>
      <c r="W413" s="677">
        <v>8</v>
      </c>
      <c r="X413" s="678"/>
      <c r="Y413" s="682"/>
      <c r="Z413" s="680"/>
      <c r="AA413" s="681">
        <v>84.174999999999997</v>
      </c>
      <c r="AB413" s="681"/>
      <c r="AC413" s="417">
        <v>1</v>
      </c>
      <c r="AD413" s="417"/>
      <c r="AE413" s="682" t="s">
        <v>4332</v>
      </c>
      <c r="AF413">
        <v>1</v>
      </c>
      <c r="AG413" s="745">
        <v>43101</v>
      </c>
      <c r="AH413" s="417"/>
      <c r="AI413" s="417"/>
      <c r="AJ413" s="746">
        <v>43252</v>
      </c>
      <c r="AK413" s="417"/>
      <c r="AL413" s="637" t="s">
        <v>3474</v>
      </c>
      <c r="AM413" s="417"/>
      <c r="AN413" s="417"/>
      <c r="AO413" s="636"/>
      <c r="AP413">
        <v>556707</v>
      </c>
      <c r="AQ413" s="747">
        <v>43250</v>
      </c>
      <c r="AR413" s="417">
        <v>0.5</v>
      </c>
      <c r="AS413" s="417"/>
      <c r="AT413" s="417"/>
      <c r="AU413" s="417"/>
      <c r="AV413" s="417"/>
      <c r="AW413" s="417"/>
      <c r="AX413" s="417"/>
      <c r="AY413" s="183" t="s">
        <v>4245</v>
      </c>
      <c r="AZ413" s="417"/>
      <c r="BA413" s="417"/>
      <c r="BB413" t="s">
        <v>4238</v>
      </c>
      <c r="BC413" s="636"/>
      <c r="BD413" s="417"/>
      <c r="BE413" s="612"/>
      <c r="BF413" s="613"/>
      <c r="BG413" s="614"/>
      <c r="BH413" s="682"/>
      <c r="BI413" s="417"/>
      <c r="BJ413" s="417">
        <v>8</v>
      </c>
      <c r="BK413" s="682" t="str">
        <f>Техкарта[[#This Row],[Кв-л]]&amp;" кв ("&amp;Substring(Техкарта[[#This Row],[Виділ]],"_",1)&amp;" вид) "&amp;Substring(Техкарта[[#This Row],[Виділ]],"_",2)&amp;" діл."</f>
        <v>58 кв (2 вид) 1 діл.</v>
      </c>
      <c r="BL413" s="682" t="str">
        <f>Техкарта[[#This Row],[ПолнаяДіл]] &amp;" "&amp;Техкарта[[#This Row],[ЛК]]&amp;" "&amp;Техкарта[[#This Row],[Вид рубки]]</f>
        <v>58 кв (2 вид) 1 діл. 556707 РЛД</v>
      </c>
      <c r="BM413" s="682"/>
      <c r="BN413" s="636"/>
      <c r="BO413" s="636"/>
      <c r="BP413" s="636"/>
      <c r="BQ413" s="636" t="s">
        <v>105</v>
      </c>
      <c r="BR413" s="636">
        <v>5</v>
      </c>
      <c r="BS413" s="636"/>
      <c r="BT413" s="636"/>
      <c r="BU413" s="636"/>
      <c r="BV413" s="636"/>
      <c r="BW413" s="636" t="s">
        <v>4307</v>
      </c>
      <c r="BX413" s="636"/>
      <c r="BY413" s="972"/>
    </row>
    <row r="414" spans="1:77">
      <c r="A414" t="s">
        <v>105</v>
      </c>
      <c r="B414" s="675" t="s">
        <v>113</v>
      </c>
      <c r="C414" s="687" t="s">
        <v>3842</v>
      </c>
      <c r="D414" s="675">
        <v>0</v>
      </c>
      <c r="E414" s="675" t="s">
        <v>2305</v>
      </c>
      <c r="F414" s="675">
        <v>3</v>
      </c>
      <c r="G414" s="675" t="s">
        <v>79</v>
      </c>
      <c r="H414" s="675">
        <v>59</v>
      </c>
      <c r="I414" s="676" t="s">
        <v>3793</v>
      </c>
      <c r="J414" s="677">
        <v>0.2</v>
      </c>
      <c r="K414" s="683">
        <v>70</v>
      </c>
      <c r="L414" s="677"/>
      <c r="M414" s="677">
        <v>0</v>
      </c>
      <c r="N414" s="677">
        <v>3</v>
      </c>
      <c r="O414" s="677"/>
      <c r="P414" s="677"/>
      <c r="Q414" s="677">
        <v>0</v>
      </c>
      <c r="R414" s="677">
        <v>0</v>
      </c>
      <c r="S414" s="677">
        <v>0</v>
      </c>
      <c r="T414" s="677">
        <v>0</v>
      </c>
      <c r="U414" s="677">
        <v>0</v>
      </c>
      <c r="V414" s="677">
        <v>0</v>
      </c>
      <c r="W414" s="677">
        <v>17</v>
      </c>
      <c r="X414" s="678"/>
      <c r="Y414" s="682"/>
      <c r="Z414" s="680"/>
      <c r="AA414" s="681">
        <v>87.543000000000006</v>
      </c>
      <c r="AB414" s="681"/>
      <c r="AC414" s="417">
        <v>2</v>
      </c>
      <c r="AD414" s="417"/>
      <c r="AE414" s="682" t="s">
        <v>4333</v>
      </c>
      <c r="AF414">
        <v>1</v>
      </c>
      <c r="AG414" s="745">
        <v>43101</v>
      </c>
      <c r="AH414" s="417"/>
      <c r="AI414" s="417"/>
      <c r="AJ414" s="746">
        <v>43252</v>
      </c>
      <c r="AK414" s="417"/>
      <c r="AL414" s="637" t="s">
        <v>3474</v>
      </c>
      <c r="AM414" s="417"/>
      <c r="AN414" s="417"/>
      <c r="AO414" s="636"/>
      <c r="AP414">
        <v>556707</v>
      </c>
      <c r="AQ414" s="747">
        <v>43250</v>
      </c>
      <c r="AR414" s="417">
        <v>0.5</v>
      </c>
      <c r="AS414" s="417"/>
      <c r="AT414" s="417"/>
      <c r="AU414" s="417"/>
      <c r="AV414" s="417"/>
      <c r="AW414" s="417"/>
      <c r="AX414" s="417"/>
      <c r="AY414" s="183" t="s">
        <v>4245</v>
      </c>
      <c r="AZ414" s="417"/>
      <c r="BA414" s="417"/>
      <c r="BB414" t="s">
        <v>4238</v>
      </c>
      <c r="BC414" s="636"/>
      <c r="BD414" s="417"/>
      <c r="BE414" s="612"/>
      <c r="BF414" s="613"/>
      <c r="BG414" s="614"/>
      <c r="BH414" s="682"/>
      <c r="BI414" s="417"/>
      <c r="BJ414" s="417">
        <v>9</v>
      </c>
      <c r="BK414" s="682" t="str">
        <f>Техкарта[[#This Row],[Кв-л]]&amp;" кв ("&amp;Substring(Техкарта[[#This Row],[Виділ]],"_",1)&amp;" вид) "&amp;Substring(Техкарта[[#This Row],[Виділ]],"_",2)&amp;" діл."</f>
        <v>59 кв (6 вид) 1 діл.</v>
      </c>
      <c r="BL414" s="682" t="str">
        <f>Техкарта[[#This Row],[ПолнаяДіл]] &amp;" "&amp;Техкарта[[#This Row],[ЛК]]&amp;" "&amp;Техкарта[[#This Row],[Вид рубки]]</f>
        <v>59 кв (6 вид) 1 діл. 556707 РЛД</v>
      </c>
      <c r="BM414" s="682"/>
      <c r="BN414" s="636"/>
      <c r="BO414" s="636"/>
      <c r="BP414" s="636"/>
      <c r="BQ414" s="636" t="s">
        <v>105</v>
      </c>
      <c r="BR414" s="636">
        <v>5</v>
      </c>
      <c r="BS414" s="636"/>
      <c r="BT414" s="636"/>
      <c r="BU414" s="636"/>
      <c r="BV414" s="636"/>
      <c r="BW414" s="636" t="s">
        <v>4307</v>
      </c>
      <c r="BX414" s="636"/>
      <c r="BY414" s="972"/>
    </row>
    <row r="415" spans="1:77">
      <c r="A415" t="s">
        <v>105</v>
      </c>
      <c r="B415" s="675" t="s">
        <v>116</v>
      </c>
      <c r="C415" s="687" t="s">
        <v>134</v>
      </c>
      <c r="D415" s="675">
        <v>0</v>
      </c>
      <c r="E415" s="675" t="s">
        <v>2311</v>
      </c>
      <c r="F415" s="675">
        <v>3</v>
      </c>
      <c r="G415" s="675" t="s">
        <v>79</v>
      </c>
      <c r="H415" s="675">
        <v>34</v>
      </c>
      <c r="I415" s="676" t="s">
        <v>3850</v>
      </c>
      <c r="J415" s="677">
        <v>1.4</v>
      </c>
      <c r="K415" s="683">
        <v>450</v>
      </c>
      <c r="L415" s="677"/>
      <c r="M415" s="677">
        <v>0</v>
      </c>
      <c r="N415" s="677">
        <v>0</v>
      </c>
      <c r="O415" s="677"/>
      <c r="P415" s="677"/>
      <c r="Q415" s="677">
        <v>200</v>
      </c>
      <c r="R415" s="677"/>
      <c r="S415" s="677">
        <v>0</v>
      </c>
      <c r="T415" s="677">
        <v>0</v>
      </c>
      <c r="U415" s="677"/>
      <c r="V415" s="677">
        <v>0</v>
      </c>
      <c r="W415" s="677">
        <v>0</v>
      </c>
      <c r="X415" s="678"/>
      <c r="Y415" s="682"/>
      <c r="Z415" s="680"/>
      <c r="AA415" s="681">
        <v>46.082999999999998</v>
      </c>
      <c r="AB415" s="681"/>
      <c r="AC415" s="417">
        <v>23</v>
      </c>
      <c r="AD415" s="417"/>
      <c r="AE415" s="682" t="s">
        <v>4334</v>
      </c>
      <c r="AF415">
        <v>1</v>
      </c>
      <c r="AG415" s="745">
        <v>43101</v>
      </c>
      <c r="AH415" s="417"/>
      <c r="AI415" s="417"/>
      <c r="AJ415" s="746">
        <v>43132</v>
      </c>
      <c r="AK415" s="417"/>
      <c r="AL415" s="637" t="s">
        <v>3437</v>
      </c>
      <c r="AM415" s="417"/>
      <c r="AN415" s="417"/>
      <c r="AO415" s="636"/>
      <c r="AP415">
        <v>556624</v>
      </c>
      <c r="AQ415" s="747">
        <v>43102</v>
      </c>
      <c r="AR415" s="417">
        <v>0.5</v>
      </c>
      <c r="AS415" s="417"/>
      <c r="AT415" s="417"/>
      <c r="AU415" s="417"/>
      <c r="AV415" s="417"/>
      <c r="AW415" s="417"/>
      <c r="AX415" s="417"/>
      <c r="AY415" s="183" t="s">
        <v>4245</v>
      </c>
      <c r="AZ415" s="417"/>
      <c r="BA415" s="417"/>
      <c r="BB415" t="s">
        <v>4238</v>
      </c>
      <c r="BC415" s="636"/>
      <c r="BD415" s="417"/>
      <c r="BE415" s="612"/>
      <c r="BF415" s="613"/>
      <c r="BG415" s="614"/>
      <c r="BH415" s="682"/>
      <c r="BI415" s="417"/>
      <c r="BJ415" s="417">
        <v>14</v>
      </c>
      <c r="BK415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15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15" s="682"/>
      <c r="BN415" s="636"/>
      <c r="BO415" s="636"/>
      <c r="BP415" s="636"/>
      <c r="BQ415" s="636" t="s">
        <v>105</v>
      </c>
      <c r="BR415" s="636">
        <v>2</v>
      </c>
      <c r="BS415" s="636"/>
      <c r="BT415" s="636"/>
      <c r="BU415" s="636"/>
      <c r="BV415" s="636"/>
      <c r="BW415" s="636" t="s">
        <v>4307</v>
      </c>
      <c r="BX415" s="636"/>
      <c r="BY415" s="972"/>
    </row>
    <row r="416" spans="1:77">
      <c r="A416" t="s">
        <v>3896</v>
      </c>
      <c r="B416" s="675" t="s">
        <v>116</v>
      </c>
      <c r="C416" s="687" t="s">
        <v>3843</v>
      </c>
      <c r="D416" s="675">
        <v>0</v>
      </c>
      <c r="E416" s="675" t="s">
        <v>2311</v>
      </c>
      <c r="F416" s="675">
        <v>3</v>
      </c>
      <c r="G416" s="675" t="s">
        <v>79</v>
      </c>
      <c r="H416" s="675">
        <v>85</v>
      </c>
      <c r="I416" s="676" t="s">
        <v>4336</v>
      </c>
      <c r="J416" s="677">
        <v>0.5</v>
      </c>
      <c r="K416" s="683">
        <v>450</v>
      </c>
      <c r="L416" s="677"/>
      <c r="M416" s="677">
        <v>0</v>
      </c>
      <c r="N416" s="677">
        <v>80</v>
      </c>
      <c r="O416" s="677"/>
      <c r="P416" s="677"/>
      <c r="Q416" s="677">
        <v>0</v>
      </c>
      <c r="R416" s="677"/>
      <c r="S416" s="677">
        <v>0</v>
      </c>
      <c r="T416" s="677">
        <v>0</v>
      </c>
      <c r="U416" s="677"/>
      <c r="V416" s="677">
        <v>0</v>
      </c>
      <c r="W416" s="677">
        <v>0</v>
      </c>
      <c r="X416" s="678"/>
      <c r="Y416" s="682"/>
      <c r="Z416" s="680"/>
      <c r="AA416" s="681">
        <v>185.59</v>
      </c>
      <c r="AB416" s="681"/>
      <c r="AC416" s="417">
        <v>23</v>
      </c>
      <c r="AD416" s="417"/>
      <c r="AE416" s="682" t="s">
        <v>4337</v>
      </c>
      <c r="AF416">
        <v>1</v>
      </c>
      <c r="AG416" s="745">
        <v>43101</v>
      </c>
      <c r="AH416" s="417"/>
      <c r="AI416" s="417"/>
      <c r="AJ416" s="746">
        <v>43252</v>
      </c>
      <c r="AK416" s="417"/>
      <c r="AL416" s="637" t="s">
        <v>3443</v>
      </c>
      <c r="AM416" s="417"/>
      <c r="AN416" s="417"/>
      <c r="AO416" s="636"/>
      <c r="AP416">
        <v>556665</v>
      </c>
      <c r="AQ416" s="747">
        <v>43192</v>
      </c>
      <c r="AR416" s="417">
        <v>0.3</v>
      </c>
      <c r="AS416" s="417"/>
      <c r="AT416" s="417"/>
      <c r="AU416" s="417"/>
      <c r="AV416" s="417"/>
      <c r="AW416" s="417"/>
      <c r="AX416" s="417"/>
      <c r="AY416" s="183" t="s">
        <v>4245</v>
      </c>
      <c r="AZ416" s="417"/>
      <c r="BA416" s="417"/>
      <c r="BB416" t="s">
        <v>4238</v>
      </c>
      <c r="BC416" s="636"/>
      <c r="BD416" s="417"/>
      <c r="BE416" s="612"/>
      <c r="BF416" s="613"/>
      <c r="BG416" s="614"/>
      <c r="BH416" s="682"/>
      <c r="BI416" s="417"/>
      <c r="BJ416" s="417">
        <v>73</v>
      </c>
      <c r="BK416" s="682" t="str">
        <f>Техкарта[[#This Row],[Кв-л]]&amp;" кв ("&amp;Substring(Техкарта[[#This Row],[Виділ]],"_",1)&amp;" вид) "&amp;Substring(Техкарта[[#This Row],[Виділ]],"_",2)&amp;" діл."</f>
        <v>85 кв (32 вид) 0 діл.</v>
      </c>
      <c r="BL416" s="682" t="str">
        <f>Техкарта[[#This Row],[ПолнаяДіл]] &amp;" "&amp;Техкарта[[#This Row],[ЛК]]&amp;" "&amp;Техкарта[[#This Row],[Вид рубки]]</f>
        <v>85 кв (32 вид) 0 діл. 556665 ОСВ</v>
      </c>
      <c r="BM416" s="682"/>
      <c r="BN416" s="636"/>
      <c r="BO416" s="636"/>
      <c r="BP416" s="636"/>
      <c r="BQ416" s="636" t="s">
        <v>3896</v>
      </c>
      <c r="BR416" s="636">
        <v>2</v>
      </c>
      <c r="BS416" s="636"/>
      <c r="BT416" s="636"/>
      <c r="BU416" s="636"/>
      <c r="BV416" s="636"/>
      <c r="BW416" s="636" t="s">
        <v>4307</v>
      </c>
      <c r="BX416" s="636"/>
      <c r="BY416" s="972"/>
    </row>
    <row r="417" spans="1:77">
      <c r="A417" t="s">
        <v>3896</v>
      </c>
      <c r="B417" s="675" t="s">
        <v>116</v>
      </c>
      <c r="C417" s="687" t="s">
        <v>3843</v>
      </c>
      <c r="D417" s="675">
        <v>0</v>
      </c>
      <c r="E417" s="675" t="s">
        <v>2311</v>
      </c>
      <c r="F417" s="675">
        <v>3</v>
      </c>
      <c r="G417" s="675" t="s">
        <v>79</v>
      </c>
      <c r="H417" s="675">
        <v>55</v>
      </c>
      <c r="I417" s="676" t="s">
        <v>3831</v>
      </c>
      <c r="J417" s="677">
        <v>1.1000000000000001</v>
      </c>
      <c r="K417" s="683">
        <v>450</v>
      </c>
      <c r="L417" s="677"/>
      <c r="M417" s="677">
        <v>0</v>
      </c>
      <c r="N417" s="677">
        <v>60</v>
      </c>
      <c r="O417" s="677"/>
      <c r="P417" s="677"/>
      <c r="Q417" s="677">
        <v>0</v>
      </c>
      <c r="R417" s="677"/>
      <c r="S417" s="677">
        <v>0</v>
      </c>
      <c r="T417" s="677">
        <v>0</v>
      </c>
      <c r="U417" s="677"/>
      <c r="V417" s="677">
        <v>0</v>
      </c>
      <c r="W417" s="677">
        <v>0</v>
      </c>
      <c r="X417" s="678"/>
      <c r="Y417" s="682"/>
      <c r="Z417" s="680"/>
      <c r="AA417" s="681">
        <v>229.39</v>
      </c>
      <c r="AB417" s="681"/>
      <c r="AC417" s="417">
        <v>23</v>
      </c>
      <c r="AD417" s="417"/>
      <c r="AE417" s="682" t="s">
        <v>4338</v>
      </c>
      <c r="AF417">
        <v>1</v>
      </c>
      <c r="AG417" s="745">
        <v>43101</v>
      </c>
      <c r="AH417" s="417"/>
      <c r="AI417" s="417"/>
      <c r="AJ417" s="746">
        <v>43252</v>
      </c>
      <c r="AK417" s="417"/>
      <c r="AL417" s="637" t="s">
        <v>3470</v>
      </c>
      <c r="AM417" s="417"/>
      <c r="AN417" s="417"/>
      <c r="AO417" s="636"/>
      <c r="AP417">
        <v>556665</v>
      </c>
      <c r="AQ417" s="747">
        <v>43192</v>
      </c>
      <c r="AR417" s="417">
        <v>0.3</v>
      </c>
      <c r="AS417" s="417"/>
      <c r="AT417" s="417"/>
      <c r="AU417" s="417"/>
      <c r="AV417" s="417"/>
      <c r="AW417" s="417"/>
      <c r="AX417" s="417"/>
      <c r="AY417" s="183" t="s">
        <v>4245</v>
      </c>
      <c r="AZ417" s="417"/>
      <c r="BA417" s="417"/>
      <c r="BB417" t="s">
        <v>4238</v>
      </c>
      <c r="BC417" s="636"/>
      <c r="BD417" s="417"/>
      <c r="BE417" s="612"/>
      <c r="BF417" s="613"/>
      <c r="BG417" s="614"/>
      <c r="BH417" s="682"/>
      <c r="BI417" s="417"/>
      <c r="BJ417" s="417">
        <v>74</v>
      </c>
      <c r="BK417" s="682" t="str">
        <f>Техкарта[[#This Row],[Кв-л]]&amp;" кв ("&amp;Substring(Техкарта[[#This Row],[Виділ]],"_",1)&amp;" вид) "&amp;Substring(Техкарта[[#This Row],[Виділ]],"_",2)&amp;" діл."</f>
        <v>55 кв (4 вид) 0 діл.</v>
      </c>
      <c r="BL417" s="682" t="str">
        <f>Техкарта[[#This Row],[ПолнаяДіл]] &amp;" "&amp;Техкарта[[#This Row],[ЛК]]&amp;" "&amp;Техкарта[[#This Row],[Вид рубки]]</f>
        <v>55 кв (4 вид) 0 діл. 556665 ОСВ</v>
      </c>
      <c r="BM417" s="682"/>
      <c r="BN417" s="636"/>
      <c r="BO417" s="636"/>
      <c r="BP417" s="636"/>
      <c r="BQ417" s="636" t="s">
        <v>3896</v>
      </c>
      <c r="BR417" s="636">
        <v>2</v>
      </c>
      <c r="BS417" s="636"/>
      <c r="BT417" s="636"/>
      <c r="BU417" s="636"/>
      <c r="BV417" s="636"/>
      <c r="BW417" s="636" t="s">
        <v>4307</v>
      </c>
      <c r="BX417" s="636"/>
      <c r="BY417" s="972"/>
    </row>
    <row r="418" spans="1:77">
      <c r="A418" t="s">
        <v>105</v>
      </c>
      <c r="B418" s="675" t="s">
        <v>116</v>
      </c>
      <c r="C418" s="687" t="s">
        <v>124</v>
      </c>
      <c r="D418" s="675">
        <v>0</v>
      </c>
      <c r="E418" s="675" t="s">
        <v>2305</v>
      </c>
      <c r="F418" s="675">
        <v>3</v>
      </c>
      <c r="G418" s="675" t="s">
        <v>2238</v>
      </c>
      <c r="H418" s="675">
        <v>120</v>
      </c>
      <c r="I418" s="676" t="s">
        <v>3792</v>
      </c>
      <c r="J418" s="677">
        <v>0.8</v>
      </c>
      <c r="K418" s="683">
        <v>257</v>
      </c>
      <c r="L418" s="677">
        <v>0</v>
      </c>
      <c r="M418" s="677">
        <v>0</v>
      </c>
      <c r="N418" s="677">
        <v>0</v>
      </c>
      <c r="O418" s="677">
        <v>0</v>
      </c>
      <c r="P418" s="677">
        <v>0</v>
      </c>
      <c r="Q418" s="677">
        <v>0</v>
      </c>
      <c r="R418" s="677">
        <v>0</v>
      </c>
      <c r="S418" s="677">
        <v>0</v>
      </c>
      <c r="T418" s="677">
        <v>0</v>
      </c>
      <c r="U418" s="677">
        <v>2</v>
      </c>
      <c r="V418" s="677">
        <v>1</v>
      </c>
      <c r="W418" s="677">
        <v>8</v>
      </c>
      <c r="X418" s="678"/>
      <c r="Y418" s="682"/>
      <c r="Z418" s="680"/>
      <c r="AA418" s="681">
        <v>339.31900000000002</v>
      </c>
      <c r="AB418" s="681">
        <v>29.978000000000002</v>
      </c>
      <c r="AC418" s="417">
        <v>0</v>
      </c>
      <c r="AD418" s="417"/>
      <c r="AE418" s="682" t="s">
        <v>4339</v>
      </c>
      <c r="AF418">
        <v>1</v>
      </c>
      <c r="AG418" s="745">
        <v>43101</v>
      </c>
      <c r="AH418" s="417"/>
      <c r="AI418" s="417"/>
      <c r="AJ418" s="746">
        <v>43252</v>
      </c>
      <c r="AK418" s="417"/>
      <c r="AL418" s="637" t="s">
        <v>3455</v>
      </c>
      <c r="AM418" s="417"/>
      <c r="AN418" s="417"/>
      <c r="AO418" s="636"/>
      <c r="AP418">
        <v>556625</v>
      </c>
      <c r="AQ418" s="747">
        <v>43102</v>
      </c>
      <c r="AR418" s="417"/>
      <c r="AS418" s="417"/>
      <c r="AT418" s="417"/>
      <c r="AU418" s="417"/>
      <c r="AV418" s="417"/>
      <c r="AW418" s="417"/>
      <c r="AX418" s="417"/>
      <c r="AY418" s="183" t="s">
        <v>4245</v>
      </c>
      <c r="AZ418" s="417"/>
      <c r="BA418" s="417"/>
      <c r="BB418" t="s">
        <v>4238</v>
      </c>
      <c r="BC418" s="636"/>
      <c r="BD418" s="417"/>
      <c r="BE418" s="612">
        <v>0</v>
      </c>
      <c r="BF418" s="613">
        <v>0</v>
      </c>
      <c r="BG418" s="614" t="s">
        <v>78</v>
      </c>
      <c r="BH418" s="682"/>
      <c r="BI418" s="417"/>
      <c r="BJ418" s="417">
        <v>75</v>
      </c>
      <c r="BK418" s="682" t="str">
        <f>Техкарта[[#This Row],[Кв-л]]&amp;" кв ("&amp;Substring(Техкарта[[#This Row],[Виділ]],"_",1)&amp;" вид) "&amp;Substring(Техкарта[[#This Row],[Виділ]],"_",2)&amp;" діл."</f>
        <v>120 кв (13 вид) 0 діл.</v>
      </c>
      <c r="BL418" s="682" t="str">
        <f>Техкарта[[#This Row],[ПолнаяДіл]] &amp;" "&amp;Техкарта[[#This Row],[ЛК]]&amp;" "&amp;Техкарта[[#This Row],[Вид рубки]]</f>
        <v>120 кв (13 вид) 0 діл. 556625 ПРЖ</v>
      </c>
      <c r="BM418" s="682"/>
      <c r="BN418" s="636" t="s">
        <v>3784</v>
      </c>
      <c r="BO418" s="636" t="s">
        <v>3784</v>
      </c>
      <c r="BP418" s="636" t="s">
        <v>3784</v>
      </c>
      <c r="BQ418" s="636" t="s">
        <v>105</v>
      </c>
      <c r="BR418" s="636"/>
      <c r="BS418" s="636"/>
      <c r="BT418" s="636"/>
      <c r="BU418" s="636"/>
      <c r="BV418" s="636"/>
      <c r="BW418" s="636" t="s">
        <v>4307</v>
      </c>
      <c r="BX418" s="636"/>
      <c r="BY418" s="972"/>
    </row>
    <row r="419" spans="1:77">
      <c r="A419" t="s">
        <v>105</v>
      </c>
      <c r="B419" s="675" t="s">
        <v>116</v>
      </c>
      <c r="C419" s="687" t="s">
        <v>3588</v>
      </c>
      <c r="D419" s="675">
        <v>0</v>
      </c>
      <c r="E419" s="675" t="s">
        <v>2305</v>
      </c>
      <c r="F419" s="675">
        <v>3</v>
      </c>
      <c r="G419" s="675" t="s">
        <v>2238</v>
      </c>
      <c r="H419" s="675">
        <v>53</v>
      </c>
      <c r="I419" s="676" t="s">
        <v>4196</v>
      </c>
      <c r="J419" s="677">
        <v>1</v>
      </c>
      <c r="K419" s="683">
        <v>68</v>
      </c>
      <c r="L419" s="677">
        <v>0</v>
      </c>
      <c r="M419" s="677">
        <v>0</v>
      </c>
      <c r="N419" s="677">
        <v>1</v>
      </c>
      <c r="O419" s="677">
        <v>0</v>
      </c>
      <c r="P419" s="677">
        <v>0</v>
      </c>
      <c r="Q419" s="677">
        <v>0</v>
      </c>
      <c r="R419" s="677">
        <v>0</v>
      </c>
      <c r="S419" s="677">
        <v>0</v>
      </c>
      <c r="T419" s="677">
        <v>14</v>
      </c>
      <c r="U419" s="677">
        <v>0</v>
      </c>
      <c r="V419" s="677">
        <v>0</v>
      </c>
      <c r="W419" s="677">
        <v>0</v>
      </c>
      <c r="X419" s="678"/>
      <c r="Y419" s="682"/>
      <c r="Z419" s="680"/>
      <c r="AA419" s="681">
        <v>109.339</v>
      </c>
      <c r="AB419" s="681">
        <v>29.978000000000002</v>
      </c>
      <c r="AC419" s="417">
        <v>1</v>
      </c>
      <c r="AD419" s="417"/>
      <c r="AE419" s="682" t="s">
        <v>4340</v>
      </c>
      <c r="AF419">
        <v>1</v>
      </c>
      <c r="AG419" s="745">
        <v>43101</v>
      </c>
      <c r="AH419" s="417"/>
      <c r="AI419" s="417"/>
      <c r="AJ419" s="746">
        <v>43252</v>
      </c>
      <c r="AK419" s="417"/>
      <c r="AL419" s="637" t="s">
        <v>3470</v>
      </c>
      <c r="AM419" s="417"/>
      <c r="AN419" s="417"/>
      <c r="AO419" s="636"/>
      <c r="AP419">
        <v>556702</v>
      </c>
      <c r="AQ419" s="747">
        <v>43234</v>
      </c>
      <c r="AR419" s="417"/>
      <c r="AS419" s="417"/>
      <c r="AT419" s="417"/>
      <c r="AU419" s="417"/>
      <c r="AV419" s="417"/>
      <c r="AW419" s="417"/>
      <c r="AX419" s="417"/>
      <c r="AY419" s="183" t="s">
        <v>4245</v>
      </c>
      <c r="AZ419" s="417"/>
      <c r="BA419" s="417"/>
      <c r="BB419" t="s">
        <v>4238</v>
      </c>
      <c r="BC419" s="636"/>
      <c r="BD419" s="417"/>
      <c r="BE419" s="612">
        <v>0</v>
      </c>
      <c r="BF419" s="613">
        <v>0</v>
      </c>
      <c r="BG419" s="614" t="s">
        <v>78</v>
      </c>
      <c r="BH419" s="682"/>
      <c r="BI419" s="417"/>
      <c r="BJ419" s="417">
        <v>76</v>
      </c>
      <c r="BK419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419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419" s="682"/>
      <c r="BN419" s="636" t="s">
        <v>3784</v>
      </c>
      <c r="BO419" s="636" t="s">
        <v>3784</v>
      </c>
      <c r="BP419" s="636" t="s">
        <v>3784</v>
      </c>
      <c r="BQ419" s="636" t="s">
        <v>105</v>
      </c>
      <c r="BR419" s="636"/>
      <c r="BS419" s="636"/>
      <c r="BT419" s="636"/>
      <c r="BU419" s="636"/>
      <c r="BV419" s="636"/>
      <c r="BW419" s="636" t="s">
        <v>4307</v>
      </c>
      <c r="BX419" s="636"/>
      <c r="BY419" s="972"/>
    </row>
    <row r="420" spans="1:77">
      <c r="A420" t="s">
        <v>105</v>
      </c>
      <c r="B420" s="675" t="s">
        <v>116</v>
      </c>
      <c r="C420" s="687" t="s">
        <v>3588</v>
      </c>
      <c r="D420" s="675">
        <v>0</v>
      </c>
      <c r="E420" s="675" t="s">
        <v>2311</v>
      </c>
      <c r="F420" s="675">
        <v>3</v>
      </c>
      <c r="G420" s="675" t="s">
        <v>79</v>
      </c>
      <c r="H420" s="675">
        <v>65</v>
      </c>
      <c r="I420" s="676" t="s">
        <v>3831</v>
      </c>
      <c r="J420" s="677">
        <v>0.4</v>
      </c>
      <c r="K420" s="683">
        <v>37</v>
      </c>
      <c r="L420" s="677"/>
      <c r="M420" s="677">
        <v>19</v>
      </c>
      <c r="N420" s="677">
        <v>0</v>
      </c>
      <c r="O420" s="677"/>
      <c r="P420" s="677"/>
      <c r="Q420" s="677"/>
      <c r="R420" s="677"/>
      <c r="S420" s="677">
        <v>0</v>
      </c>
      <c r="T420" s="677">
        <v>0</v>
      </c>
      <c r="U420" s="677"/>
      <c r="V420" s="677">
        <v>14</v>
      </c>
      <c r="W420" s="677">
        <v>0</v>
      </c>
      <c r="X420" s="678"/>
      <c r="Y420" s="682"/>
      <c r="Z420" s="680"/>
      <c r="AA420" s="681">
        <v>44.552</v>
      </c>
      <c r="AB420" s="681"/>
      <c r="AC420" s="417">
        <v>4</v>
      </c>
      <c r="AD420" s="417"/>
      <c r="AE420" s="682" t="s">
        <v>4341</v>
      </c>
      <c r="AF420">
        <v>1</v>
      </c>
      <c r="AG420" s="745">
        <v>43101</v>
      </c>
      <c r="AH420" s="417"/>
      <c r="AI420" s="417"/>
      <c r="AJ420" s="746">
        <v>43252</v>
      </c>
      <c r="AK420" s="417"/>
      <c r="AL420" s="637" t="s">
        <v>3470</v>
      </c>
      <c r="AM420" s="417"/>
      <c r="AN420" s="417"/>
      <c r="AO420" s="636"/>
      <c r="AP420">
        <v>556648</v>
      </c>
      <c r="AQ420" s="747">
        <v>43124</v>
      </c>
      <c r="AR420" s="417"/>
      <c r="AS420" s="417"/>
      <c r="AT420" s="417"/>
      <c r="AU420" s="417"/>
      <c r="AV420" s="417"/>
      <c r="AW420" s="417"/>
      <c r="AX420" s="417"/>
      <c r="AY420" s="183" t="s">
        <v>4245</v>
      </c>
      <c r="AZ420" s="417"/>
      <c r="BA420" s="417"/>
      <c r="BB420" t="s">
        <v>4238</v>
      </c>
      <c r="BC420" s="636"/>
      <c r="BD420" s="417"/>
      <c r="BE420" s="612"/>
      <c r="BF420" s="613"/>
      <c r="BG420" s="614"/>
      <c r="BH420" s="682"/>
      <c r="BI420" s="417"/>
      <c r="BJ420" s="417">
        <v>77</v>
      </c>
      <c r="BK420" s="682" t="str">
        <f>Техкарта[[#This Row],[Кв-л]]&amp;" кв ("&amp;Substring(Техкарта[[#This Row],[Виділ]],"_",1)&amp;" вид) "&amp;Substring(Техкарта[[#This Row],[Виділ]],"_",2)&amp;" діл."</f>
        <v>65 кв (4 вид) 0 діл.</v>
      </c>
      <c r="BL420" s="682" t="str">
        <f>Техкарта[[#This Row],[ПолнаяДіл]] &amp;" "&amp;Техкарта[[#This Row],[ЛК]]&amp;" "&amp;Техкарта[[#This Row],[Вид рубки]]</f>
        <v>65 кв (4 вид) 0 діл. 556648 рубка в охоронній зоні ЛЕП</v>
      </c>
      <c r="BM420" s="682"/>
      <c r="BN420" s="636"/>
      <c r="BO420" s="636"/>
      <c r="BP420" s="636"/>
      <c r="BQ420" s="636" t="s">
        <v>105</v>
      </c>
      <c r="BR420" s="636"/>
      <c r="BS420" s="636"/>
      <c r="BT420" s="636"/>
      <c r="BU420" s="636"/>
      <c r="BV420" s="636"/>
      <c r="BW420" s="636" t="s">
        <v>4307</v>
      </c>
      <c r="BX420" s="636"/>
      <c r="BY420" s="972"/>
    </row>
    <row r="421" spans="1:77">
      <c r="A421" t="s">
        <v>105</v>
      </c>
      <c r="B421" s="675" t="s">
        <v>116</v>
      </c>
      <c r="C421" s="687" t="s">
        <v>3588</v>
      </c>
      <c r="D421" s="675">
        <v>0</v>
      </c>
      <c r="E421" s="675" t="s">
        <v>2305</v>
      </c>
      <c r="F421" s="675">
        <v>3</v>
      </c>
      <c r="G421" s="675" t="s">
        <v>2238</v>
      </c>
      <c r="H421" s="675">
        <v>54</v>
      </c>
      <c r="I421" s="676" t="s">
        <v>4013</v>
      </c>
      <c r="J421" s="677">
        <v>0.8</v>
      </c>
      <c r="K421" s="683">
        <v>128</v>
      </c>
      <c r="L421" s="677">
        <v>0</v>
      </c>
      <c r="M421" s="677">
        <v>10</v>
      </c>
      <c r="N421" s="677">
        <v>0</v>
      </c>
      <c r="O421" s="677">
        <v>0</v>
      </c>
      <c r="P421" s="677">
        <v>0</v>
      </c>
      <c r="Q421" s="677">
        <v>0</v>
      </c>
      <c r="R421" s="677">
        <v>0</v>
      </c>
      <c r="S421" s="677">
        <v>27</v>
      </c>
      <c r="T421" s="677">
        <v>0</v>
      </c>
      <c r="U421" s="677">
        <v>0</v>
      </c>
      <c r="V421" s="677">
        <v>0</v>
      </c>
      <c r="W421" s="677">
        <v>0</v>
      </c>
      <c r="X421" s="678"/>
      <c r="Y421" s="682"/>
      <c r="Z421" s="680"/>
      <c r="AA421" s="681">
        <v>73.584999999999994</v>
      </c>
      <c r="AB421" s="681">
        <v>29.978000000000002</v>
      </c>
      <c r="AC421" s="417">
        <v>5</v>
      </c>
      <c r="AD421" s="417"/>
      <c r="AE421" s="682" t="s">
        <v>4342</v>
      </c>
      <c r="AF421">
        <v>1</v>
      </c>
      <c r="AG421" s="745">
        <v>43101</v>
      </c>
      <c r="AH421" s="417"/>
      <c r="AI421" s="417"/>
      <c r="AJ421" s="746">
        <v>43252</v>
      </c>
      <c r="AK421" s="417"/>
      <c r="AL421" s="637" t="s">
        <v>3470</v>
      </c>
      <c r="AM421" s="417"/>
      <c r="AN421" s="417"/>
      <c r="AO421" s="636"/>
      <c r="AP421">
        <v>556702</v>
      </c>
      <c r="AQ421" s="747">
        <v>43234</v>
      </c>
      <c r="AR421" s="417"/>
      <c r="AS421" s="417"/>
      <c r="AT421" s="417"/>
      <c r="AU421" s="417"/>
      <c r="AV421" s="417"/>
      <c r="AW421" s="417"/>
      <c r="AX421" s="417"/>
      <c r="AY421" s="183" t="s">
        <v>4245</v>
      </c>
      <c r="AZ421" s="417"/>
      <c r="BA421" s="417"/>
      <c r="BB421" t="s">
        <v>4238</v>
      </c>
      <c r="BC421" s="636"/>
      <c r="BD421" s="417"/>
      <c r="BE421" s="612">
        <v>0</v>
      </c>
      <c r="BF421" s="613">
        <v>0</v>
      </c>
      <c r="BG421" s="614" t="s">
        <v>78</v>
      </c>
      <c r="BH421" s="682"/>
      <c r="BI421" s="417"/>
      <c r="BJ421" s="417">
        <v>78</v>
      </c>
      <c r="BK421" s="682" t="str">
        <f>Техкарта[[#This Row],[Кв-л]]&amp;" кв ("&amp;Substring(Техкарта[[#This Row],[Виділ]],"_",1)&amp;" вид) "&amp;Substring(Техкарта[[#This Row],[Виділ]],"_",2)&amp;" діл."</f>
        <v>54 кв (9 вид) 1 діл.</v>
      </c>
      <c r="BL421" s="682" t="str">
        <f>Техкарта[[#This Row],[ПолнаяДіл]] &amp;" "&amp;Техкарта[[#This Row],[ЛК]]&amp;" "&amp;Техкарта[[#This Row],[Вид рубки]]</f>
        <v>54 кв (9 вид) 1 діл. 556702 рубка в охоронній зоні ЛЕП</v>
      </c>
      <c r="BM421" s="682"/>
      <c r="BN421" s="636" t="s">
        <v>3784</v>
      </c>
      <c r="BO421" s="636" t="s">
        <v>3784</v>
      </c>
      <c r="BP421" s="636" t="s">
        <v>3784</v>
      </c>
      <c r="BQ421" s="636" t="s">
        <v>105</v>
      </c>
      <c r="BR421" s="636"/>
      <c r="BS421" s="636"/>
      <c r="BT421" s="636"/>
      <c r="BU421" s="636"/>
      <c r="BV421" s="636"/>
      <c r="BW421" s="636" t="s">
        <v>4307</v>
      </c>
      <c r="BX421" s="636"/>
      <c r="BY421" s="972"/>
    </row>
    <row r="422" spans="1:77">
      <c r="A422" t="s">
        <v>105</v>
      </c>
      <c r="B422" s="675" t="s">
        <v>116</v>
      </c>
      <c r="C422" s="687" t="s">
        <v>3588</v>
      </c>
      <c r="D422" s="675">
        <v>0</v>
      </c>
      <c r="E422" s="675" t="s">
        <v>2305</v>
      </c>
      <c r="F422" s="675">
        <v>3</v>
      </c>
      <c r="G422" s="675" t="s">
        <v>2238</v>
      </c>
      <c r="H422" s="675">
        <v>55</v>
      </c>
      <c r="I422" s="676" t="s">
        <v>4042</v>
      </c>
      <c r="J422" s="677">
        <v>1</v>
      </c>
      <c r="K422" s="683">
        <v>77</v>
      </c>
      <c r="L422" s="677">
        <v>0</v>
      </c>
      <c r="M422" s="677">
        <v>0</v>
      </c>
      <c r="N422" s="677">
        <v>3</v>
      </c>
      <c r="O422" s="677">
        <v>0</v>
      </c>
      <c r="P422" s="677">
        <v>0</v>
      </c>
      <c r="Q422" s="677">
        <v>0</v>
      </c>
      <c r="R422" s="677">
        <v>0</v>
      </c>
      <c r="S422" s="677">
        <v>0</v>
      </c>
      <c r="T422" s="677">
        <v>17</v>
      </c>
      <c r="U422" s="677">
        <v>0</v>
      </c>
      <c r="V422" s="677">
        <v>0</v>
      </c>
      <c r="W422" s="677">
        <v>0</v>
      </c>
      <c r="X422" s="678"/>
      <c r="Y422" s="682"/>
      <c r="Z422" s="680"/>
      <c r="AA422" s="681">
        <v>94.741</v>
      </c>
      <c r="AB422" s="681">
        <v>29.978000000000002</v>
      </c>
      <c r="AC422" s="417">
        <v>1</v>
      </c>
      <c r="AD422" s="417"/>
      <c r="AE422" s="682" t="s">
        <v>4343</v>
      </c>
      <c r="AF422">
        <v>1</v>
      </c>
      <c r="AG422" s="745">
        <v>43101</v>
      </c>
      <c r="AH422" s="417"/>
      <c r="AI422" s="417"/>
      <c r="AJ422" s="746">
        <v>43252</v>
      </c>
      <c r="AK422" s="417"/>
      <c r="AL422" s="637" t="s">
        <v>3470</v>
      </c>
      <c r="AM422" s="417"/>
      <c r="AN422" s="417"/>
      <c r="AO422" s="636"/>
      <c r="AP422">
        <v>556702</v>
      </c>
      <c r="AQ422" s="747">
        <v>43234</v>
      </c>
      <c r="AR422" s="417"/>
      <c r="AS422" s="417"/>
      <c r="AT422" s="417"/>
      <c r="AU422" s="417"/>
      <c r="AV422" s="417"/>
      <c r="AW422" s="417"/>
      <c r="AX422" s="417"/>
      <c r="AY422" s="183" t="s">
        <v>4245</v>
      </c>
      <c r="AZ422" s="417"/>
      <c r="BA422" s="417"/>
      <c r="BB422" t="s">
        <v>4238</v>
      </c>
      <c r="BC422" s="636"/>
      <c r="BD422" s="417"/>
      <c r="BE422" s="612">
        <v>0</v>
      </c>
      <c r="BF422" s="613">
        <v>0</v>
      </c>
      <c r="BG422" s="614" t="s">
        <v>78</v>
      </c>
      <c r="BH422" s="682"/>
      <c r="BI422" s="417"/>
      <c r="BJ422" s="417">
        <v>79</v>
      </c>
      <c r="BK422" s="682" t="str">
        <f>Техкарта[[#This Row],[Кв-л]]&amp;" кв ("&amp;Substring(Техкарта[[#This Row],[Виділ]],"_",1)&amp;" вид) "&amp;Substring(Техкарта[[#This Row],[Виділ]],"_",2)&amp;" діл."</f>
        <v>55 кв (7 вид) 1 діл.</v>
      </c>
      <c r="BL422" s="682" t="str">
        <f>Техкарта[[#This Row],[ПолнаяДіл]] &amp;" "&amp;Техкарта[[#This Row],[ЛК]]&amp;" "&amp;Техкарта[[#This Row],[Вид рубки]]</f>
        <v>55 кв (7 вид) 1 діл. 556702 рубка в охоронній зоні ЛЕП</v>
      </c>
      <c r="BM422" s="682"/>
      <c r="BN422" s="636" t="s">
        <v>3784</v>
      </c>
      <c r="BO422" s="636" t="s">
        <v>3784</v>
      </c>
      <c r="BP422" s="636" t="s">
        <v>3784</v>
      </c>
      <c r="BQ422" s="636" t="s">
        <v>105</v>
      </c>
      <c r="BR422" s="636"/>
      <c r="BS422" s="636"/>
      <c r="BT422" s="636"/>
      <c r="BU422" s="636"/>
      <c r="BV422" s="636"/>
      <c r="BW422" s="636" t="s">
        <v>4307</v>
      </c>
      <c r="BX422" s="636"/>
      <c r="BY422" s="972"/>
    </row>
    <row r="423" spans="1:77">
      <c r="A423" t="s">
        <v>105</v>
      </c>
      <c r="B423" s="675" t="s">
        <v>116</v>
      </c>
      <c r="C423" s="687" t="s">
        <v>3588</v>
      </c>
      <c r="D423" s="675">
        <v>0</v>
      </c>
      <c r="E423" s="675" t="s">
        <v>2305</v>
      </c>
      <c r="F423" s="675">
        <v>3</v>
      </c>
      <c r="G423" s="675" t="s">
        <v>2238</v>
      </c>
      <c r="H423" s="675">
        <v>58</v>
      </c>
      <c r="I423" s="676" t="s">
        <v>4035</v>
      </c>
      <c r="J423" s="677">
        <v>0.6</v>
      </c>
      <c r="K423" s="683">
        <v>38</v>
      </c>
      <c r="L423" s="677">
        <v>0</v>
      </c>
      <c r="M423" s="677">
        <v>6</v>
      </c>
      <c r="N423" s="677">
        <v>0</v>
      </c>
      <c r="O423" s="677">
        <v>0</v>
      </c>
      <c r="P423" s="677">
        <v>0</v>
      </c>
      <c r="Q423" s="677">
        <v>0</v>
      </c>
      <c r="R423" s="677">
        <v>1</v>
      </c>
      <c r="S423" s="677">
        <v>12</v>
      </c>
      <c r="T423" s="677">
        <v>1</v>
      </c>
      <c r="U423" s="677">
        <v>0</v>
      </c>
      <c r="V423" s="677">
        <v>0</v>
      </c>
      <c r="W423" s="677">
        <v>0</v>
      </c>
      <c r="X423" s="678"/>
      <c r="Y423" s="682"/>
      <c r="Z423" s="680"/>
      <c r="AA423" s="681">
        <v>60.518999999999998</v>
      </c>
      <c r="AB423" s="681">
        <v>29.978000000000002</v>
      </c>
      <c r="AC423" s="417">
        <v>1</v>
      </c>
      <c r="AD423" s="417"/>
      <c r="AE423" s="682" t="s">
        <v>4344</v>
      </c>
      <c r="AF423">
        <v>1</v>
      </c>
      <c r="AG423" s="745">
        <v>43101</v>
      </c>
      <c r="AH423" s="417"/>
      <c r="AI423" s="417"/>
      <c r="AJ423" s="746">
        <v>43252</v>
      </c>
      <c r="AK423" s="417"/>
      <c r="AL423" s="637" t="s">
        <v>3475</v>
      </c>
      <c r="AM423" s="417"/>
      <c r="AN423" s="417"/>
      <c r="AO423" s="636"/>
      <c r="AP423">
        <v>556702</v>
      </c>
      <c r="AQ423" s="747">
        <v>43234</v>
      </c>
      <c r="AR423" s="417"/>
      <c r="AS423" s="417"/>
      <c r="AT423" s="417"/>
      <c r="AU423" s="417"/>
      <c r="AV423" s="417"/>
      <c r="AW423" s="417"/>
      <c r="AX423" s="417"/>
      <c r="AY423" s="183" t="s">
        <v>4245</v>
      </c>
      <c r="AZ423" s="417"/>
      <c r="BA423" s="417"/>
      <c r="BB423" t="s">
        <v>4238</v>
      </c>
      <c r="BC423" s="636"/>
      <c r="BD423" s="417"/>
      <c r="BE423" s="612">
        <v>0</v>
      </c>
      <c r="BF423" s="613">
        <v>0</v>
      </c>
      <c r="BG423" s="614" t="s">
        <v>78</v>
      </c>
      <c r="BH423" s="682"/>
      <c r="BI423" s="417"/>
      <c r="BJ423" s="417">
        <v>80</v>
      </c>
      <c r="BK423" s="682" t="str">
        <f>Техкарта[[#This Row],[Кв-л]]&amp;" кв ("&amp;Substring(Техкарта[[#This Row],[Виділ]],"_",1)&amp;" вид) "&amp;Substring(Техкарта[[#This Row],[Виділ]],"_",2)&amp;" діл."</f>
        <v>58 кв (11 вид) 1 діл.</v>
      </c>
      <c r="BL423" s="682" t="str">
        <f>Техкарта[[#This Row],[ПолнаяДіл]] &amp;" "&amp;Техкарта[[#This Row],[ЛК]]&amp;" "&amp;Техкарта[[#This Row],[Вид рубки]]</f>
        <v>58 кв (11 вид) 1 діл. 556702 рубка в охоронній зоні ЛЕП</v>
      </c>
      <c r="BM423" s="682"/>
      <c r="BN423" s="636" t="s">
        <v>3784</v>
      </c>
      <c r="BO423" s="636" t="s">
        <v>3784</v>
      </c>
      <c r="BP423" s="636" t="s">
        <v>3784</v>
      </c>
      <c r="BQ423" s="636" t="s">
        <v>105</v>
      </c>
      <c r="BR423" s="636"/>
      <c r="BS423" s="636"/>
      <c r="BT423" s="636"/>
      <c r="BU423" s="636"/>
      <c r="BV423" s="636"/>
      <c r="BW423" s="636" t="s">
        <v>4307</v>
      </c>
      <c r="BX423" s="636"/>
      <c r="BY423" s="972"/>
    </row>
    <row r="424" spans="1:77">
      <c r="A424" t="s">
        <v>104</v>
      </c>
      <c r="B424" s="675" t="s">
        <v>116</v>
      </c>
      <c r="C424" s="687" t="s">
        <v>104</v>
      </c>
      <c r="D424" s="675">
        <v>0</v>
      </c>
      <c r="E424" s="675" t="s">
        <v>2305</v>
      </c>
      <c r="F424" s="675">
        <v>2</v>
      </c>
      <c r="G424" s="675" t="s">
        <v>2238</v>
      </c>
      <c r="H424" s="675">
        <v>86</v>
      </c>
      <c r="I424" s="676" t="s">
        <v>3847</v>
      </c>
      <c r="J424" s="677">
        <v>1</v>
      </c>
      <c r="K424" s="683">
        <v>484</v>
      </c>
      <c r="L424" s="677">
        <v>0</v>
      </c>
      <c r="M424" s="677">
        <v>115</v>
      </c>
      <c r="N424" s="677">
        <v>39</v>
      </c>
      <c r="O424" s="677">
        <v>0</v>
      </c>
      <c r="P424" s="677">
        <v>0</v>
      </c>
      <c r="Q424" s="677">
        <v>0</v>
      </c>
      <c r="R424" s="677">
        <v>12</v>
      </c>
      <c r="S424" s="677">
        <v>21</v>
      </c>
      <c r="T424" s="677">
        <v>32</v>
      </c>
      <c r="U424" s="677">
        <v>4</v>
      </c>
      <c r="V424" s="677">
        <v>14</v>
      </c>
      <c r="W424" s="677">
        <v>24</v>
      </c>
      <c r="X424" s="678"/>
      <c r="Y424" s="682"/>
      <c r="Z424" s="680"/>
      <c r="AA424" s="681">
        <v>71.944999999999993</v>
      </c>
      <c r="AB424" s="681">
        <v>38.070999999999998</v>
      </c>
      <c r="AC424" s="417">
        <v>25</v>
      </c>
      <c r="AD424" s="417"/>
      <c r="AE424" s="682" t="s">
        <v>4345</v>
      </c>
      <c r="AF424">
        <v>1</v>
      </c>
      <c r="AG424" s="745">
        <v>43101</v>
      </c>
      <c r="AH424" s="417"/>
      <c r="AI424" s="417"/>
      <c r="AJ424" s="746">
        <v>43252</v>
      </c>
      <c r="AK424" s="417"/>
      <c r="AL424" s="637" t="s">
        <v>3477</v>
      </c>
      <c r="AM424" s="417"/>
      <c r="AN424" s="417"/>
      <c r="AO424" s="636"/>
      <c r="AP424">
        <v>556618</v>
      </c>
      <c r="AQ424" s="747" t="s">
        <v>3723</v>
      </c>
      <c r="AR424" s="417"/>
      <c r="AS424" s="417"/>
      <c r="AT424" s="417"/>
      <c r="AU424" s="417"/>
      <c r="AV424" s="417"/>
      <c r="AW424" s="417"/>
      <c r="AX424" s="417"/>
      <c r="AY424" s="183" t="s">
        <v>4245</v>
      </c>
      <c r="AZ424" s="417"/>
      <c r="BA424" s="417"/>
      <c r="BB424" t="s">
        <v>4238</v>
      </c>
      <c r="BC424" s="636"/>
      <c r="BD424" s="417"/>
      <c r="BE424" s="612">
        <v>5</v>
      </c>
      <c r="BF424" s="613">
        <v>40</v>
      </c>
      <c r="BG424" s="614" t="s">
        <v>78</v>
      </c>
      <c r="BH424" s="682"/>
      <c r="BI424" s="417"/>
      <c r="BJ424" s="417">
        <v>23</v>
      </c>
      <c r="BK424" s="682" t="str">
        <f>Техкарта[[#This Row],[Кв-л]]&amp;" кв ("&amp;Substring(Техкарта[[#This Row],[Виділ]],"_",1)&amp;" вид) "&amp;Substring(Техкарта[[#This Row],[Виділ]],"_",2)&amp;" діл."</f>
        <v>86 кв (4 вид) 1 діл.</v>
      </c>
      <c r="BL424" s="682" t="str">
        <f>Техкарта[[#This Row],[ПолнаяДіл]] &amp;" "&amp;Техкарта[[#This Row],[ЛК]]&amp;" "&amp;Техкарта[[#This Row],[Вид рубки]]</f>
        <v>86 кв (4 вид) 1 діл. 556618 РГК</v>
      </c>
      <c r="BM424" s="682"/>
      <c r="BN424" s="636" t="s">
        <v>3784</v>
      </c>
      <c r="BO424" s="636" t="s">
        <v>3784</v>
      </c>
      <c r="BP424" s="636" t="s">
        <v>3784</v>
      </c>
      <c r="BQ424" s="636" t="s">
        <v>104</v>
      </c>
      <c r="BR424" s="636"/>
      <c r="BS424" s="636"/>
      <c r="BT424" s="636"/>
      <c r="BU424" s="636"/>
      <c r="BV424" s="636"/>
      <c r="BW424" s="636" t="s">
        <v>4307</v>
      </c>
      <c r="BX424" s="636"/>
      <c r="BY424" s="972"/>
    </row>
    <row r="425" spans="1:77">
      <c r="A425" t="s">
        <v>104</v>
      </c>
      <c r="B425" s="675" t="s">
        <v>116</v>
      </c>
      <c r="C425" s="687" t="s">
        <v>104</v>
      </c>
      <c r="D425" s="675">
        <v>0</v>
      </c>
      <c r="E425" s="675" t="s">
        <v>2305</v>
      </c>
      <c r="F425" s="675">
        <v>2</v>
      </c>
      <c r="G425" s="675" t="s">
        <v>2238</v>
      </c>
      <c r="H425" s="675">
        <v>20</v>
      </c>
      <c r="I425" s="676" t="s">
        <v>3847</v>
      </c>
      <c r="J425" s="677">
        <v>1.6</v>
      </c>
      <c r="K425" s="683">
        <v>627</v>
      </c>
      <c r="L425" s="677">
        <v>0</v>
      </c>
      <c r="M425" s="677">
        <v>18</v>
      </c>
      <c r="N425" s="677">
        <v>174</v>
      </c>
      <c r="O425" s="677">
        <v>0</v>
      </c>
      <c r="P425" s="677">
        <v>0</v>
      </c>
      <c r="Q425" s="677">
        <v>14</v>
      </c>
      <c r="R425" s="677">
        <v>20</v>
      </c>
      <c r="S425" s="677">
        <v>25</v>
      </c>
      <c r="T425" s="677">
        <v>99</v>
      </c>
      <c r="U425" s="677">
        <v>6</v>
      </c>
      <c r="V425" s="677">
        <v>21</v>
      </c>
      <c r="W425" s="677">
        <v>68</v>
      </c>
      <c r="X425" s="678"/>
      <c r="Y425" s="682"/>
      <c r="Z425" s="680"/>
      <c r="AA425" s="681">
        <v>75.989999999999995</v>
      </c>
      <c r="AB425" s="681">
        <v>35.905000000000001</v>
      </c>
      <c r="AC425" s="417">
        <v>0</v>
      </c>
      <c r="AD425" s="417"/>
      <c r="AE425" s="682" t="s">
        <v>4346</v>
      </c>
      <c r="AF425">
        <v>1</v>
      </c>
      <c r="AG425" s="745">
        <v>43101</v>
      </c>
      <c r="AH425" s="417"/>
      <c r="AI425" s="417"/>
      <c r="AJ425" s="746">
        <v>43252</v>
      </c>
      <c r="AK425" s="417"/>
      <c r="AL425" s="637" t="s">
        <v>3477</v>
      </c>
      <c r="AM425" s="417"/>
      <c r="AN425" s="417"/>
      <c r="AO425" s="636"/>
      <c r="AP425">
        <v>556618</v>
      </c>
      <c r="AQ425" s="747" t="s">
        <v>3723</v>
      </c>
      <c r="AR425" s="417"/>
      <c r="AS425" s="417"/>
      <c r="AT425" s="417"/>
      <c r="AU425" s="417"/>
      <c r="AV425" s="417"/>
      <c r="AW425" s="417"/>
      <c r="AX425" s="417"/>
      <c r="AY425" s="183" t="s">
        <v>4245</v>
      </c>
      <c r="AZ425" s="417"/>
      <c r="BA425" s="417"/>
      <c r="BB425" t="s">
        <v>4238</v>
      </c>
      <c r="BC425" s="636"/>
      <c r="BD425" s="417"/>
      <c r="BE425" s="612">
        <v>5</v>
      </c>
      <c r="BF425" s="613">
        <v>40</v>
      </c>
      <c r="BG425" s="614" t="s">
        <v>78</v>
      </c>
      <c r="BH425" s="682"/>
      <c r="BI425" s="417"/>
      <c r="BJ425" s="417">
        <v>32</v>
      </c>
      <c r="BK425" s="682" t="str">
        <f>Техкарта[[#This Row],[Кв-л]]&amp;" кв ("&amp;Substring(Техкарта[[#This Row],[Виділ]],"_",1)&amp;" вид) "&amp;Substring(Техкарта[[#This Row],[Виділ]],"_",2)&amp;" діл."</f>
        <v>20 кв (4 вид) 1 діл.</v>
      </c>
      <c r="BL425" s="682" t="str">
        <f>Техкарта[[#This Row],[ПолнаяДіл]] &amp;" "&amp;Техкарта[[#This Row],[ЛК]]&amp;" "&amp;Техкарта[[#This Row],[Вид рубки]]</f>
        <v>20 кв (4 вид) 1 діл. 556618 РГК</v>
      </c>
      <c r="BM425" s="682"/>
      <c r="BN425" s="636" t="s">
        <v>3784</v>
      </c>
      <c r="BO425" s="636" t="s">
        <v>3784</v>
      </c>
      <c r="BP425" s="636" t="s">
        <v>3784</v>
      </c>
      <c r="BQ425" s="636" t="s">
        <v>104</v>
      </c>
      <c r="BR425" s="636"/>
      <c r="BS425" s="636"/>
      <c r="BT425" s="636"/>
      <c r="BU425" s="636"/>
      <c r="BV425" s="636"/>
      <c r="BW425" s="636" t="s">
        <v>4307</v>
      </c>
      <c r="BX425" s="636"/>
      <c r="BY425" s="972"/>
    </row>
    <row r="426" spans="1:77">
      <c r="A426" t="s">
        <v>104</v>
      </c>
      <c r="B426" s="675" t="s">
        <v>116</v>
      </c>
      <c r="C426" s="687" t="s">
        <v>104</v>
      </c>
      <c r="D426" s="675">
        <v>0</v>
      </c>
      <c r="E426" s="675" t="s">
        <v>2305</v>
      </c>
      <c r="F426" s="675">
        <v>2</v>
      </c>
      <c r="G426" s="675" t="s">
        <v>2238</v>
      </c>
      <c r="H426" s="675">
        <v>11</v>
      </c>
      <c r="I426" s="676" t="s">
        <v>3830</v>
      </c>
      <c r="J426" s="677">
        <v>2.8</v>
      </c>
      <c r="K426" s="683">
        <v>852</v>
      </c>
      <c r="L426" s="677">
        <v>0</v>
      </c>
      <c r="M426" s="677">
        <v>23</v>
      </c>
      <c r="N426" s="677">
        <v>233</v>
      </c>
      <c r="O426" s="677">
        <v>0</v>
      </c>
      <c r="P426" s="677">
        <v>0</v>
      </c>
      <c r="Q426" s="677">
        <v>14</v>
      </c>
      <c r="R426" s="677">
        <v>50</v>
      </c>
      <c r="S426" s="677">
        <v>22</v>
      </c>
      <c r="T426" s="677">
        <v>128</v>
      </c>
      <c r="U426" s="677">
        <v>17</v>
      </c>
      <c r="V426" s="677">
        <v>18</v>
      </c>
      <c r="W426" s="677">
        <v>89</v>
      </c>
      <c r="X426" s="678"/>
      <c r="Y426" s="682"/>
      <c r="Z426" s="680"/>
      <c r="AA426" s="681">
        <v>83.266999999999996</v>
      </c>
      <c r="AB426" s="681">
        <v>37.097000000000001</v>
      </c>
      <c r="AC426" s="417">
        <v>46</v>
      </c>
      <c r="AD426" s="417"/>
      <c r="AE426" s="682" t="s">
        <v>4347</v>
      </c>
      <c r="AF426">
        <v>1</v>
      </c>
      <c r="AG426" s="745">
        <v>43101</v>
      </c>
      <c r="AH426" s="417"/>
      <c r="AI426" s="417"/>
      <c r="AJ426" s="746">
        <v>43252</v>
      </c>
      <c r="AK426" s="417"/>
      <c r="AL426" s="637" t="s">
        <v>3477</v>
      </c>
      <c r="AM426" s="417"/>
      <c r="AN426" s="417"/>
      <c r="AO426" s="636"/>
      <c r="AP426">
        <v>556618</v>
      </c>
      <c r="AQ426" s="747">
        <v>43077</v>
      </c>
      <c r="AR426" s="417"/>
      <c r="AS426" s="417"/>
      <c r="AT426" s="417"/>
      <c r="AU426" s="417"/>
      <c r="AV426" s="417"/>
      <c r="AW426" s="417"/>
      <c r="AX426" s="417"/>
      <c r="AY426" s="183" t="s">
        <v>4245</v>
      </c>
      <c r="AZ426" s="417"/>
      <c r="BA426" s="417"/>
      <c r="BB426" t="s">
        <v>4238</v>
      </c>
      <c r="BC426" s="636"/>
      <c r="BD426" s="417"/>
      <c r="BE426" s="612">
        <v>10</v>
      </c>
      <c r="BF426" s="613">
        <v>40</v>
      </c>
      <c r="BG426" s="614" t="s">
        <v>78</v>
      </c>
      <c r="BH426" s="682"/>
      <c r="BI426" s="417"/>
      <c r="BJ426" s="417">
        <v>55</v>
      </c>
      <c r="BK426" s="682" t="str">
        <f>Техкарта[[#This Row],[Кв-л]]&amp;" кв ("&amp;Substring(Техкарта[[#This Row],[Виділ]],"_",1)&amp;" вид) "&amp;Substring(Техкарта[[#This Row],[Виділ]],"_",2)&amp;" діл."</f>
        <v>11 кв (1 вид) 0 діл.</v>
      </c>
      <c r="BL426" s="682" t="str">
        <f>Техкарта[[#This Row],[ПолнаяДіл]] &amp;" "&amp;Техкарта[[#This Row],[ЛК]]&amp;" "&amp;Техкарта[[#This Row],[Вид рубки]]</f>
        <v>11 кв (1 вид) 0 діл. 556618 РГК</v>
      </c>
      <c r="BM426" s="682"/>
      <c r="BN426" s="636" t="s">
        <v>3784</v>
      </c>
      <c r="BO426" s="636" t="s">
        <v>3784</v>
      </c>
      <c r="BP426" s="636" t="s">
        <v>3784</v>
      </c>
      <c r="BQ426" s="636" t="s">
        <v>104</v>
      </c>
      <c r="BR426" s="636"/>
      <c r="BS426" s="636"/>
      <c r="BT426" s="636"/>
      <c r="BU426" s="636"/>
      <c r="BV426" s="636"/>
      <c r="BW426" s="636" t="s">
        <v>4307</v>
      </c>
      <c r="BX426" s="636"/>
      <c r="BY426" s="972"/>
    </row>
    <row r="427" spans="1:77">
      <c r="A427" t="s">
        <v>104</v>
      </c>
      <c r="B427" s="675" t="s">
        <v>116</v>
      </c>
      <c r="C427" s="687" t="s">
        <v>104</v>
      </c>
      <c r="D427" s="675">
        <v>0</v>
      </c>
      <c r="E427" s="675" t="s">
        <v>2305</v>
      </c>
      <c r="F427" s="675">
        <v>5</v>
      </c>
      <c r="G427" s="675" t="s">
        <v>2238</v>
      </c>
      <c r="H427" s="675">
        <v>136</v>
      </c>
      <c r="I427" s="676" t="s">
        <v>4234</v>
      </c>
      <c r="J427" s="677">
        <v>2.5</v>
      </c>
      <c r="K427" s="683">
        <v>1544</v>
      </c>
      <c r="L427" s="677">
        <v>0</v>
      </c>
      <c r="M427" s="677">
        <v>0</v>
      </c>
      <c r="N427" s="677">
        <v>2</v>
      </c>
      <c r="O427" s="677">
        <v>0</v>
      </c>
      <c r="P427" s="677">
        <v>0</v>
      </c>
      <c r="Q427" s="677">
        <v>0</v>
      </c>
      <c r="R427" s="677">
        <v>0</v>
      </c>
      <c r="S427" s="677">
        <v>2</v>
      </c>
      <c r="T427" s="677">
        <v>153</v>
      </c>
      <c r="U427" s="677">
        <v>0</v>
      </c>
      <c r="V427" s="677">
        <v>4</v>
      </c>
      <c r="W427" s="677">
        <v>276</v>
      </c>
      <c r="X427" s="678"/>
      <c r="Y427" s="682"/>
      <c r="Z427" s="680"/>
      <c r="AA427" s="681">
        <v>145.74100000000001</v>
      </c>
      <c r="AB427" s="681">
        <v>42.738999999999997</v>
      </c>
      <c r="AC427" s="417">
        <v>57</v>
      </c>
      <c r="AD427" s="417"/>
      <c r="AE427" s="682" t="s">
        <v>4348</v>
      </c>
      <c r="AF427">
        <v>1</v>
      </c>
      <c r="AG427" s="745">
        <v>43101</v>
      </c>
      <c r="AH427" s="417"/>
      <c r="AI427" s="417"/>
      <c r="AJ427" s="746">
        <v>43252</v>
      </c>
      <c r="AK427" s="417"/>
      <c r="AL427" s="637" t="s">
        <v>3475</v>
      </c>
      <c r="AM427" s="417"/>
      <c r="AN427" s="417"/>
      <c r="AO427" s="636"/>
      <c r="AP427">
        <v>556618</v>
      </c>
      <c r="AQ427" s="747">
        <v>43077</v>
      </c>
      <c r="AR427" s="417"/>
      <c r="AS427" s="417"/>
      <c r="AT427" s="417"/>
      <c r="AU427" s="417"/>
      <c r="AV427" s="417"/>
      <c r="AW427" s="417"/>
      <c r="AX427" s="417"/>
      <c r="AY427" s="183" t="s">
        <v>4245</v>
      </c>
      <c r="AZ427" s="417"/>
      <c r="BA427" s="417"/>
      <c r="BB427" t="s">
        <v>4238</v>
      </c>
      <c r="BC427" s="636"/>
      <c r="BD427" s="417"/>
      <c r="BE427" s="612">
        <v>5</v>
      </c>
      <c r="BF427" s="613">
        <v>20</v>
      </c>
      <c r="BG427" s="614" t="s">
        <v>78</v>
      </c>
      <c r="BH427" s="682"/>
      <c r="BI427" s="417"/>
      <c r="BJ427" s="417">
        <v>57</v>
      </c>
      <c r="BK427" s="682" t="str">
        <f>Техкарта[[#This Row],[Кв-л]]&amp;" кв ("&amp;Substring(Техкарта[[#This Row],[Виділ]],"_",1)&amp;" вид) "&amp;Substring(Техкарта[[#This Row],[Виділ]],"_",2)&amp;" діл."</f>
        <v>136 кв (61 вид) 0 діл.</v>
      </c>
      <c r="BL427" s="682" t="str">
        <f>Техкарта[[#This Row],[ПолнаяДіл]] &amp;" "&amp;Техкарта[[#This Row],[ЛК]]&amp;" "&amp;Техкарта[[#This Row],[Вид рубки]]</f>
        <v>136 кв (61 вид) 0 діл. 556618 РГК</v>
      </c>
      <c r="BM427" s="682"/>
      <c r="BN427" s="636" t="s">
        <v>3783</v>
      </c>
      <c r="BO427" s="636" t="s">
        <v>3783</v>
      </c>
      <c r="BP427" s="636" t="s">
        <v>3783</v>
      </c>
      <c r="BQ427" s="636" t="s">
        <v>104</v>
      </c>
      <c r="BR427" s="636"/>
      <c r="BS427" s="636"/>
      <c r="BT427" s="636"/>
      <c r="BU427" s="636"/>
      <c r="BV427" s="636"/>
      <c r="BW427" s="636" t="s">
        <v>4307</v>
      </c>
      <c r="BX427" s="636"/>
      <c r="BY427" s="972"/>
    </row>
    <row r="428" spans="1:77">
      <c r="A428" t="s">
        <v>104</v>
      </c>
      <c r="B428" s="675" t="s">
        <v>116</v>
      </c>
      <c r="C428" s="687" t="s">
        <v>104</v>
      </c>
      <c r="D428" s="675">
        <v>0</v>
      </c>
      <c r="E428" s="675" t="s">
        <v>2305</v>
      </c>
      <c r="F428" s="675">
        <v>3</v>
      </c>
      <c r="G428" s="675" t="s">
        <v>2238</v>
      </c>
      <c r="H428" s="675">
        <v>85</v>
      </c>
      <c r="I428" s="676" t="s">
        <v>3798</v>
      </c>
      <c r="J428" s="677">
        <v>3</v>
      </c>
      <c r="K428" s="683">
        <v>1386</v>
      </c>
      <c r="L428" s="677">
        <v>0</v>
      </c>
      <c r="M428" s="677">
        <v>298</v>
      </c>
      <c r="N428" s="677">
        <v>12</v>
      </c>
      <c r="O428" s="677">
        <v>0</v>
      </c>
      <c r="P428" s="677">
        <v>0</v>
      </c>
      <c r="Q428" s="677">
        <v>0</v>
      </c>
      <c r="R428" s="677">
        <v>0</v>
      </c>
      <c r="S428" s="677">
        <v>94</v>
      </c>
      <c r="T428" s="677">
        <v>130</v>
      </c>
      <c r="U428" s="677">
        <v>0</v>
      </c>
      <c r="V428" s="677">
        <v>65</v>
      </c>
      <c r="W428" s="677">
        <v>94</v>
      </c>
      <c r="X428" s="678"/>
      <c r="Y428" s="682"/>
      <c r="Z428" s="680"/>
      <c r="AA428" s="681">
        <v>85.484999999999999</v>
      </c>
      <c r="AB428" s="681">
        <v>42.780999999999999</v>
      </c>
      <c r="AC428" s="417">
        <v>67</v>
      </c>
      <c r="AD428" s="417"/>
      <c r="AE428" s="682" t="s">
        <v>4268</v>
      </c>
      <c r="AF428">
        <v>1</v>
      </c>
      <c r="AG428" s="745">
        <v>43101</v>
      </c>
      <c r="AH428" s="417"/>
      <c r="AI428" s="417"/>
      <c r="AJ428" s="746">
        <v>43252</v>
      </c>
      <c r="AK428" s="417"/>
      <c r="AL428" s="637" t="s">
        <v>3477</v>
      </c>
      <c r="AM428" s="417"/>
      <c r="AN428" s="417"/>
      <c r="AO428" s="636"/>
      <c r="AP428">
        <v>556618</v>
      </c>
      <c r="AQ428" s="747" t="s">
        <v>3723</v>
      </c>
      <c r="AR428" s="417"/>
      <c r="AS428" s="417"/>
      <c r="AT428" s="417"/>
      <c r="AU428" s="417"/>
      <c r="AV428" s="417"/>
      <c r="AW428" s="417"/>
      <c r="AX428" s="417"/>
      <c r="AY428" s="183" t="s">
        <v>4245</v>
      </c>
      <c r="AZ428" s="417"/>
      <c r="BA428" s="417"/>
      <c r="BB428" t="s">
        <v>4238</v>
      </c>
      <c r="BC428" s="636"/>
      <c r="BD428" s="417"/>
      <c r="BE428" s="612">
        <v>5</v>
      </c>
      <c r="BF428" s="613">
        <v>40</v>
      </c>
      <c r="BG428" s="614" t="s">
        <v>78</v>
      </c>
      <c r="BH428" s="682"/>
      <c r="BI428" s="417"/>
      <c r="BJ428" s="417">
        <v>12</v>
      </c>
      <c r="BK428" s="682" t="str">
        <f>Техкарта[[#This Row],[Кв-л]]&amp;" кв ("&amp;Substring(Техкарта[[#This Row],[Виділ]],"_",1)&amp;" вид) "&amp;Substring(Техкарта[[#This Row],[Виділ]],"_",2)&amp;" діл."</f>
        <v>85 кв (24 вид) 0 діл.</v>
      </c>
      <c r="BL428" s="682" t="str">
        <f>Техкарта[[#This Row],[ПолнаяДіл]] &amp;" "&amp;Техкарта[[#This Row],[ЛК]]&amp;" "&amp;Техкарта[[#This Row],[Вид рубки]]</f>
        <v>85 кв (24 вид) 0 діл. 556618 РГК</v>
      </c>
      <c r="BM428" s="682"/>
      <c r="BN428" s="636" t="s">
        <v>3784</v>
      </c>
      <c r="BO428" s="636" t="s">
        <v>3784</v>
      </c>
      <c r="BP428" s="636" t="s">
        <v>3784</v>
      </c>
      <c r="BQ428" s="636" t="s">
        <v>104</v>
      </c>
      <c r="BR428" s="636"/>
      <c r="BS428" s="636"/>
      <c r="BT428" s="636"/>
      <c r="BU428" s="636"/>
      <c r="BV428" s="636"/>
      <c r="BW428" s="636" t="s">
        <v>4307</v>
      </c>
      <c r="BX428" s="636"/>
      <c r="BY428" s="972"/>
    </row>
    <row r="429" spans="1:77">
      <c r="A429" t="s">
        <v>104</v>
      </c>
      <c r="B429" s="675" t="s">
        <v>112</v>
      </c>
      <c r="C429" s="687" t="s">
        <v>104</v>
      </c>
      <c r="D429" s="675">
        <v>0</v>
      </c>
      <c r="E429" s="675" t="s">
        <v>2305</v>
      </c>
      <c r="F429" s="675">
        <v>2</v>
      </c>
      <c r="G429" s="675" t="s">
        <v>2238</v>
      </c>
      <c r="H429" s="675">
        <v>51</v>
      </c>
      <c r="I429" s="676" t="s">
        <v>3790</v>
      </c>
      <c r="J429" s="677">
        <v>3.6</v>
      </c>
      <c r="K429" s="683">
        <v>1577</v>
      </c>
      <c r="L429" s="677">
        <v>0</v>
      </c>
      <c r="M429" s="677">
        <v>5</v>
      </c>
      <c r="N429" s="677">
        <v>465</v>
      </c>
      <c r="O429" s="677">
        <v>0</v>
      </c>
      <c r="P429" s="677">
        <v>0</v>
      </c>
      <c r="Q429" s="677">
        <v>22</v>
      </c>
      <c r="R429" s="677">
        <v>7</v>
      </c>
      <c r="S429" s="677">
        <v>108</v>
      </c>
      <c r="T429" s="677">
        <v>214</v>
      </c>
      <c r="U429" s="677">
        <v>2</v>
      </c>
      <c r="V429" s="677">
        <v>89</v>
      </c>
      <c r="W429" s="677">
        <v>145</v>
      </c>
      <c r="X429" s="678"/>
      <c r="Y429" s="682"/>
      <c r="Z429" s="680"/>
      <c r="AA429" s="681">
        <v>72.206999999999994</v>
      </c>
      <c r="AB429" s="681">
        <v>34.387999999999998</v>
      </c>
      <c r="AC429" s="417">
        <v>73</v>
      </c>
      <c r="AD429" s="417"/>
      <c r="AE429" s="682" t="s">
        <v>4349</v>
      </c>
      <c r="AF429">
        <v>1</v>
      </c>
      <c r="AG429" s="745">
        <v>43101</v>
      </c>
      <c r="AH429" s="417"/>
      <c r="AI429" s="417"/>
      <c r="AJ429" s="746">
        <v>43263</v>
      </c>
      <c r="AK429" s="417"/>
      <c r="AL429" s="637" t="s">
        <v>3473</v>
      </c>
      <c r="AM429" s="417"/>
      <c r="AN429" s="417"/>
      <c r="AO429" s="636"/>
      <c r="AP429">
        <v>556617</v>
      </c>
      <c r="AQ429" s="747" t="s">
        <v>3723</v>
      </c>
      <c r="AR429" s="417"/>
      <c r="AS429" s="417"/>
      <c r="AT429" s="417"/>
      <c r="AU429" s="417"/>
      <c r="AV429" s="417"/>
      <c r="AW429" s="417"/>
      <c r="AX429" s="417"/>
      <c r="AY429" s="183" t="s">
        <v>4245</v>
      </c>
      <c r="AZ429" s="417"/>
      <c r="BA429" s="417"/>
      <c r="BB429" t="s">
        <v>4238</v>
      </c>
      <c r="BC429" s="636"/>
      <c r="BD429" s="417"/>
      <c r="BE429" s="612">
        <v>5</v>
      </c>
      <c r="BF429" s="613">
        <v>40</v>
      </c>
      <c r="BG429" s="614" t="s">
        <v>78</v>
      </c>
      <c r="BH429" s="682"/>
      <c r="BI429" s="417"/>
      <c r="BJ429" s="417">
        <v>30</v>
      </c>
      <c r="BK429" s="682" t="str">
        <f>Техкарта[[#This Row],[Кв-л]]&amp;" кв ("&amp;Substring(Техкарта[[#This Row],[Виділ]],"_",1)&amp;" вид) "&amp;Substring(Техкарта[[#This Row],[Виділ]],"_",2)&amp;" діл."</f>
        <v>51 кв (2 вид) 0 діл.</v>
      </c>
      <c r="BL429" s="682" t="str">
        <f>Техкарта[[#This Row],[ПолнаяДіл]] &amp;" "&amp;Техкарта[[#This Row],[ЛК]]&amp;" "&amp;Техкарта[[#This Row],[Вид рубки]]</f>
        <v>51 кв (2 вид) 0 діл. 556617 РГК</v>
      </c>
      <c r="BM429" s="682"/>
      <c r="BN429" s="636" t="s">
        <v>3784</v>
      </c>
      <c r="BO429" s="636" t="s">
        <v>3784</v>
      </c>
      <c r="BP429" s="636" t="s">
        <v>3784</v>
      </c>
      <c r="BQ429" s="636" t="s">
        <v>104</v>
      </c>
      <c r="BR429" s="636"/>
      <c r="BS429" s="636"/>
      <c r="BT429" s="636"/>
      <c r="BU429" s="636"/>
      <c r="BV429" s="636"/>
      <c r="BW429" s="636" t="s">
        <v>4350</v>
      </c>
      <c r="BX429" s="636"/>
      <c r="BY429" s="972"/>
    </row>
    <row r="430" spans="1:77">
      <c r="A430" t="s">
        <v>104</v>
      </c>
      <c r="B430" s="675" t="s">
        <v>116</v>
      </c>
      <c r="C430" s="687" t="s">
        <v>104</v>
      </c>
      <c r="D430" s="675">
        <v>0</v>
      </c>
      <c r="E430" s="675" t="s">
        <v>2305</v>
      </c>
      <c r="F430" s="675">
        <v>2</v>
      </c>
      <c r="G430" s="675" t="s">
        <v>2238</v>
      </c>
      <c r="H430" s="675">
        <v>110</v>
      </c>
      <c r="I430" s="676" t="s">
        <v>3850</v>
      </c>
      <c r="J430" s="677">
        <v>0.9</v>
      </c>
      <c r="K430" s="683">
        <v>337</v>
      </c>
      <c r="L430" s="677">
        <v>0</v>
      </c>
      <c r="M430" s="677">
        <v>6</v>
      </c>
      <c r="N430" s="677">
        <v>107</v>
      </c>
      <c r="O430" s="677">
        <v>0</v>
      </c>
      <c r="P430" s="677">
        <v>0</v>
      </c>
      <c r="Q430" s="677">
        <v>4</v>
      </c>
      <c r="R430" s="677">
        <v>8</v>
      </c>
      <c r="S430" s="677">
        <v>7</v>
      </c>
      <c r="T430" s="677">
        <v>58</v>
      </c>
      <c r="U430" s="677">
        <v>2</v>
      </c>
      <c r="V430" s="677">
        <v>6</v>
      </c>
      <c r="W430" s="677">
        <v>40</v>
      </c>
      <c r="X430" s="678"/>
      <c r="Y430" s="682"/>
      <c r="Z430" s="680"/>
      <c r="AA430" s="681">
        <v>76.096000000000004</v>
      </c>
      <c r="AB430" s="681">
        <v>36.359000000000002</v>
      </c>
      <c r="AC430" s="417">
        <v>16</v>
      </c>
      <c r="AD430" s="417"/>
      <c r="AE430" s="682" t="s">
        <v>4352</v>
      </c>
      <c r="AF430">
        <v>1</v>
      </c>
      <c r="AG430" s="745">
        <v>43101</v>
      </c>
      <c r="AH430" s="417"/>
      <c r="AI430" s="417"/>
      <c r="AJ430" s="746">
        <v>43263</v>
      </c>
      <c r="AK430" s="417"/>
      <c r="AL430" s="637" t="s">
        <v>3477</v>
      </c>
      <c r="AM430" s="417"/>
      <c r="AN430" s="417"/>
      <c r="AO430" s="636"/>
      <c r="AP430">
        <v>556618</v>
      </c>
      <c r="AQ430" s="747" t="s">
        <v>3723</v>
      </c>
      <c r="AR430" s="417"/>
      <c r="AS430" s="417"/>
      <c r="AT430" s="417"/>
      <c r="AU430" s="417"/>
      <c r="AV430" s="417"/>
      <c r="AW430" s="417"/>
      <c r="AX430" s="417"/>
      <c r="AY430" s="183" t="s">
        <v>4245</v>
      </c>
      <c r="AZ430" s="417"/>
      <c r="BA430" s="417"/>
      <c r="BB430" t="s">
        <v>4238</v>
      </c>
      <c r="BC430" s="636"/>
      <c r="BD430" s="417"/>
      <c r="BE430" s="612">
        <v>5</v>
      </c>
      <c r="BF430" s="613">
        <v>40</v>
      </c>
      <c r="BG430" s="614" t="s">
        <v>78</v>
      </c>
      <c r="BH430" s="682"/>
      <c r="BI430" s="417"/>
      <c r="BJ430" s="417">
        <v>58</v>
      </c>
      <c r="BK430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430" s="682" t="str">
        <f>Техкарта[[#This Row],[ПолнаяДіл]] &amp;" "&amp;Техкарта[[#This Row],[ЛК]]&amp;" "&amp;Техкарта[[#This Row],[Вид рубки]]</f>
        <v>110 кв (6 вид) 0 діл. 556618 РГК</v>
      </c>
      <c r="BM430" s="682"/>
      <c r="BN430" s="636" t="s">
        <v>3784</v>
      </c>
      <c r="BO430" s="636" t="s">
        <v>3784</v>
      </c>
      <c r="BP430" s="636" t="s">
        <v>3784</v>
      </c>
      <c r="BQ430" s="636" t="s">
        <v>104</v>
      </c>
      <c r="BR430" s="636"/>
      <c r="BS430" s="636"/>
      <c r="BT430" s="636"/>
      <c r="BU430" s="636"/>
      <c r="BV430" s="636"/>
      <c r="BW430" s="636" t="s">
        <v>4351</v>
      </c>
      <c r="BX430" s="636"/>
      <c r="BY430" s="972"/>
    </row>
    <row r="431" spans="1:77">
      <c r="A431" t="s">
        <v>105</v>
      </c>
      <c r="B431" s="675" t="s">
        <v>113</v>
      </c>
      <c r="C431" s="687" t="s">
        <v>126</v>
      </c>
      <c r="D431" s="675">
        <v>0</v>
      </c>
      <c r="E431" s="675" t="s">
        <v>2316</v>
      </c>
      <c r="F431" s="675">
        <v>3</v>
      </c>
      <c r="G431" s="675" t="s">
        <v>79</v>
      </c>
      <c r="H431" s="675">
        <v>19</v>
      </c>
      <c r="I431" s="676" t="s">
        <v>3832</v>
      </c>
      <c r="J431" s="677">
        <v>4.0999999999999996</v>
      </c>
      <c r="K431" s="683">
        <v>464</v>
      </c>
      <c r="L431" s="677"/>
      <c r="M431" s="677">
        <v>0</v>
      </c>
      <c r="N431" s="677">
        <v>0</v>
      </c>
      <c r="O431" s="677"/>
      <c r="P431" s="677"/>
      <c r="Q431" s="677"/>
      <c r="R431" s="677">
        <v>0</v>
      </c>
      <c r="S431" s="677">
        <v>0</v>
      </c>
      <c r="T431" s="677">
        <v>0</v>
      </c>
      <c r="U431" s="677"/>
      <c r="V431" s="677">
        <v>0</v>
      </c>
      <c r="W431" s="677">
        <v>65</v>
      </c>
      <c r="X431" s="678"/>
      <c r="Y431" s="682"/>
      <c r="Z431" s="680"/>
      <c r="AA431" s="681">
        <v>130.20400000000001</v>
      </c>
      <c r="AB431" s="681"/>
      <c r="AC431" s="417">
        <v>16</v>
      </c>
      <c r="AD431" s="417"/>
      <c r="AE431" s="682" t="s">
        <v>4355</v>
      </c>
      <c r="AF431">
        <v>1</v>
      </c>
      <c r="AG431" s="745">
        <v>43101</v>
      </c>
      <c r="AH431" s="417"/>
      <c r="AI431" s="417"/>
      <c r="AJ431" s="746">
        <v>43252</v>
      </c>
      <c r="AK431" s="417"/>
      <c r="AL431" s="637" t="s">
        <v>3435</v>
      </c>
      <c r="AM431" s="417"/>
      <c r="AN431" s="417"/>
      <c r="AO431" s="636"/>
      <c r="AP431">
        <v>556644</v>
      </c>
      <c r="AQ431" s="747">
        <v>43122</v>
      </c>
      <c r="AR431" s="417"/>
      <c r="AS431" s="417"/>
      <c r="AT431" s="417"/>
      <c r="AU431" s="417"/>
      <c r="AV431" s="417"/>
      <c r="AW431" s="417"/>
      <c r="AX431" s="417"/>
      <c r="AY431" s="183" t="s">
        <v>4245</v>
      </c>
      <c r="AZ431" s="417"/>
      <c r="BA431" s="417"/>
      <c r="BB431" t="s">
        <v>4238</v>
      </c>
      <c r="BC431" s="636"/>
      <c r="BD431" s="417"/>
      <c r="BE431" s="612"/>
      <c r="BF431" s="613"/>
      <c r="BG431" s="614"/>
      <c r="BH431" s="682"/>
      <c r="BI431" s="417"/>
      <c r="BJ431" s="417">
        <v>39</v>
      </c>
      <c r="BK431" s="682" t="str">
        <f>Техкарта[[#This Row],[Кв-л]]&amp;" кв ("&amp;Substring(Техкарта[[#This Row],[Виділ]],"_",1)&amp;" вид) "&amp;Substring(Техкарта[[#This Row],[Виділ]],"_",2)&amp;" діл."</f>
        <v>19 кв (5 вид) 0 діл.</v>
      </c>
      <c r="BL431" s="682" t="str">
        <f>Техкарта[[#This Row],[ПолнаяДіл]] &amp;" "&amp;Техкарта[[#This Row],[ЛК]]&amp;" "&amp;Техкарта[[#This Row],[Вид рубки]]</f>
        <v>19 кв (5 вид) 0 діл. 556644 СРВ</v>
      </c>
      <c r="BM431" s="682"/>
      <c r="BN431" s="636"/>
      <c r="BO431" s="636"/>
      <c r="BP431" s="636"/>
      <c r="BQ431" s="636" t="s">
        <v>105</v>
      </c>
      <c r="BR431" s="636"/>
      <c r="BS431" s="636"/>
      <c r="BT431" s="636"/>
      <c r="BU431" s="636"/>
      <c r="BV431" s="636"/>
      <c r="BW431" s="636" t="s">
        <v>4351</v>
      </c>
      <c r="BX431" s="636"/>
      <c r="BY431" s="972"/>
    </row>
    <row r="432" spans="1:77">
      <c r="A432" t="s">
        <v>105</v>
      </c>
      <c r="B432" s="675" t="s">
        <v>113</v>
      </c>
      <c r="C432" s="687" t="s">
        <v>126</v>
      </c>
      <c r="D432" s="675">
        <v>0</v>
      </c>
      <c r="E432" s="675" t="s">
        <v>2316</v>
      </c>
      <c r="F432" s="675">
        <v>3</v>
      </c>
      <c r="G432" s="675" t="s">
        <v>79</v>
      </c>
      <c r="H432" s="675">
        <v>125</v>
      </c>
      <c r="I432" s="676" t="s">
        <v>3790</v>
      </c>
      <c r="J432" s="677">
        <v>2.7</v>
      </c>
      <c r="K432" s="683">
        <v>289</v>
      </c>
      <c r="L432" s="677"/>
      <c r="M432" s="677">
        <v>0</v>
      </c>
      <c r="N432" s="677">
        <v>0</v>
      </c>
      <c r="O432" s="677"/>
      <c r="P432" s="677"/>
      <c r="Q432" s="677"/>
      <c r="R432" s="677">
        <v>0</v>
      </c>
      <c r="S432" s="677">
        <v>0</v>
      </c>
      <c r="T432" s="677">
        <v>0</v>
      </c>
      <c r="U432" s="677"/>
      <c r="V432" s="677">
        <v>0</v>
      </c>
      <c r="W432" s="677">
        <v>67</v>
      </c>
      <c r="X432" s="678"/>
      <c r="Y432" s="682"/>
      <c r="Z432" s="680"/>
      <c r="AA432" s="681">
        <v>99.197000000000003</v>
      </c>
      <c r="AB432" s="681"/>
      <c r="AC432" s="417">
        <v>11</v>
      </c>
      <c r="AD432" s="417"/>
      <c r="AE432" s="682" t="s">
        <v>4353</v>
      </c>
      <c r="AF432">
        <v>1</v>
      </c>
      <c r="AG432" s="745">
        <v>43101</v>
      </c>
      <c r="AH432" s="417"/>
      <c r="AI432" s="417"/>
      <c r="AJ432" s="746">
        <v>43270</v>
      </c>
      <c r="AK432" s="417"/>
      <c r="AL432" s="637" t="s">
        <v>3453</v>
      </c>
      <c r="AM432" s="417"/>
      <c r="AN432" s="417"/>
      <c r="AO432" s="636"/>
      <c r="AP432">
        <v>556709</v>
      </c>
      <c r="AQ432" s="747">
        <v>43270</v>
      </c>
      <c r="AR432" s="417"/>
      <c r="AS432" s="417"/>
      <c r="AT432" s="417"/>
      <c r="AU432" s="417"/>
      <c r="AV432" s="417"/>
      <c r="AW432" s="417"/>
      <c r="AX432" s="417"/>
      <c r="AY432" s="183" t="s">
        <v>4245</v>
      </c>
      <c r="AZ432" s="417"/>
      <c r="BA432" s="417"/>
      <c r="BB432" t="s">
        <v>4238</v>
      </c>
      <c r="BC432" s="636"/>
      <c r="BD432" s="417"/>
      <c r="BE432" s="612"/>
      <c r="BF432" s="613"/>
      <c r="BG432" s="614"/>
      <c r="BH432" s="682"/>
      <c r="BI432" s="417"/>
      <c r="BJ432" s="417">
        <v>33</v>
      </c>
      <c r="BK432" s="682" t="str">
        <f>Техкарта[[#This Row],[Кв-л]]&amp;" кв ("&amp;Substring(Техкарта[[#This Row],[Виділ]],"_",1)&amp;" вид) "&amp;Substring(Техкарта[[#This Row],[Виділ]],"_",2)&amp;" діл."</f>
        <v>125 кв (2 вид) 0 діл.</v>
      </c>
      <c r="BL432" s="682" t="str">
        <f>Техкарта[[#This Row],[ПолнаяДіл]] &amp;" "&amp;Техкарта[[#This Row],[ЛК]]&amp;" "&amp;Техкарта[[#This Row],[Вид рубки]]</f>
        <v>125 кв (2 вид) 0 діл. 556709 СРВ</v>
      </c>
      <c r="BM432" s="682"/>
      <c r="BN432" s="636"/>
      <c r="BO432" s="636"/>
      <c r="BP432" s="636"/>
      <c r="BQ432" s="636" t="s">
        <v>105</v>
      </c>
      <c r="BR432" s="636"/>
      <c r="BS432" s="636"/>
      <c r="BT432" s="636"/>
      <c r="BU432" s="636"/>
      <c r="BV432" s="636"/>
      <c r="BW432" s="636" t="s">
        <v>4351</v>
      </c>
      <c r="BX432" s="636"/>
      <c r="BY432" s="972"/>
    </row>
    <row r="433" spans="1:77">
      <c r="A433" t="s">
        <v>105</v>
      </c>
      <c r="B433" s="675" t="s">
        <v>113</v>
      </c>
      <c r="C433" s="687" t="s">
        <v>126</v>
      </c>
      <c r="D433" s="675">
        <v>0</v>
      </c>
      <c r="E433" s="675" t="s">
        <v>2316</v>
      </c>
      <c r="F433" s="675">
        <v>3</v>
      </c>
      <c r="G433" s="675" t="s">
        <v>79</v>
      </c>
      <c r="H433" s="675">
        <v>19</v>
      </c>
      <c r="I433" s="676" t="s">
        <v>3829</v>
      </c>
      <c r="J433" s="677">
        <v>0.9</v>
      </c>
      <c r="K433" s="683">
        <v>150</v>
      </c>
      <c r="L433" s="677"/>
      <c r="M433" s="677">
        <v>0</v>
      </c>
      <c r="N433" s="677">
        <v>3</v>
      </c>
      <c r="O433" s="677"/>
      <c r="P433" s="677"/>
      <c r="Q433" s="677"/>
      <c r="R433" s="677">
        <v>0</v>
      </c>
      <c r="S433" s="677">
        <v>0</v>
      </c>
      <c r="T433" s="677">
        <v>0</v>
      </c>
      <c r="U433" s="677"/>
      <c r="V433" s="677">
        <v>0</v>
      </c>
      <c r="W433" s="677">
        <v>29</v>
      </c>
      <c r="X433" s="678"/>
      <c r="Y433" s="682"/>
      <c r="Z433" s="680"/>
      <c r="AA433" s="681">
        <v>99.307000000000002</v>
      </c>
      <c r="AB433" s="681"/>
      <c r="AC433" s="417">
        <v>3</v>
      </c>
      <c r="AD433" s="417"/>
      <c r="AE433" s="682" t="s">
        <v>4354</v>
      </c>
      <c r="AF433">
        <v>1</v>
      </c>
      <c r="AG433" s="745">
        <v>43101</v>
      </c>
      <c r="AH433" s="417"/>
      <c r="AI433" s="417"/>
      <c r="AJ433" s="746">
        <v>43270</v>
      </c>
      <c r="AK433" s="417"/>
      <c r="AL433" s="637" t="s">
        <v>3453</v>
      </c>
      <c r="AM433" s="417"/>
      <c r="AN433" s="417"/>
      <c r="AO433" s="636"/>
      <c r="AP433">
        <v>556709</v>
      </c>
      <c r="AQ433" s="747">
        <v>43270</v>
      </c>
      <c r="AR433" s="417"/>
      <c r="AS433" s="417"/>
      <c r="AT433" s="417"/>
      <c r="AU433" s="417"/>
      <c r="AV433" s="417"/>
      <c r="AW433" s="417"/>
      <c r="AX433" s="417"/>
      <c r="AY433" s="183" t="s">
        <v>4245</v>
      </c>
      <c r="AZ433" s="417"/>
      <c r="BA433" s="417"/>
      <c r="BB433" t="s">
        <v>4238</v>
      </c>
      <c r="BC433" s="636"/>
      <c r="BD433" s="417"/>
      <c r="BE433" s="612"/>
      <c r="BF433" s="613"/>
      <c r="BG433" s="614"/>
      <c r="BH433" s="682"/>
      <c r="BI433" s="417"/>
      <c r="BJ433" s="417">
        <v>30</v>
      </c>
      <c r="BK433" s="682" t="str">
        <f>Техкарта[[#This Row],[Кв-л]]&amp;" кв ("&amp;Substring(Техкарта[[#This Row],[Виділ]],"_",1)&amp;" вид) "&amp;Substring(Техкарта[[#This Row],[Виділ]],"_",2)&amp;" діл."</f>
        <v>19 кв (3 вид) 0 діл.</v>
      </c>
      <c r="BL433" s="682" t="str">
        <f>Техкарта[[#This Row],[ПолнаяДіл]] &amp;" "&amp;Техкарта[[#This Row],[ЛК]]&amp;" "&amp;Техкарта[[#This Row],[Вид рубки]]</f>
        <v>19 кв (3 вид) 0 діл. 556709 СРВ</v>
      </c>
      <c r="BM433" s="682"/>
      <c r="BN433" s="636"/>
      <c r="BO433" s="636"/>
      <c r="BP433" s="636"/>
      <c r="BQ433" s="636" t="s">
        <v>105</v>
      </c>
      <c r="BR433" s="636"/>
      <c r="BS433" s="636"/>
      <c r="BT433" s="636"/>
      <c r="BU433" s="636"/>
      <c r="BV433" s="636"/>
      <c r="BW433" s="636" t="s">
        <v>4351</v>
      </c>
      <c r="BX433" s="636"/>
      <c r="BY433" s="972"/>
    </row>
    <row r="434" spans="1:77">
      <c r="A434" t="s">
        <v>104</v>
      </c>
      <c r="B434" s="675" t="s">
        <v>116</v>
      </c>
      <c r="C434" s="687" t="s">
        <v>104</v>
      </c>
      <c r="D434" s="675">
        <v>0</v>
      </c>
      <c r="E434" s="675" t="s">
        <v>2305</v>
      </c>
      <c r="F434" s="675">
        <v>2</v>
      </c>
      <c r="G434" s="675" t="s">
        <v>2238</v>
      </c>
      <c r="H434" s="675">
        <v>94</v>
      </c>
      <c r="I434" s="676" t="s">
        <v>3829</v>
      </c>
      <c r="J434" s="677">
        <v>2.2000000000000002</v>
      </c>
      <c r="K434" s="683">
        <v>743</v>
      </c>
      <c r="L434" s="677">
        <v>0</v>
      </c>
      <c r="M434" s="677">
        <v>10</v>
      </c>
      <c r="N434" s="677">
        <v>301</v>
      </c>
      <c r="O434" s="677">
        <v>0</v>
      </c>
      <c r="P434" s="677">
        <v>0</v>
      </c>
      <c r="Q434" s="677">
        <v>20</v>
      </c>
      <c r="R434" s="677">
        <v>58</v>
      </c>
      <c r="S434" s="677">
        <v>8</v>
      </c>
      <c r="T434" s="677">
        <v>177</v>
      </c>
      <c r="U434" s="677">
        <v>19</v>
      </c>
      <c r="V434" s="677">
        <v>6</v>
      </c>
      <c r="W434" s="677">
        <v>120</v>
      </c>
      <c r="X434" s="678"/>
      <c r="Y434" s="682"/>
      <c r="Z434" s="680"/>
      <c r="AA434" s="681">
        <v>66.494</v>
      </c>
      <c r="AB434" s="681">
        <v>28.722000000000001</v>
      </c>
      <c r="AC434" s="417">
        <v>0</v>
      </c>
      <c r="AD434" s="417"/>
      <c r="AE434" s="682" t="s">
        <v>4356</v>
      </c>
      <c r="AF434">
        <v>1</v>
      </c>
      <c r="AG434" s="745">
        <v>43101</v>
      </c>
      <c r="AH434" s="417"/>
      <c r="AI434" s="417"/>
      <c r="AJ434" s="746">
        <v>43252</v>
      </c>
      <c r="AK434" s="417"/>
      <c r="AL434" s="637" t="s">
        <v>3477</v>
      </c>
      <c r="AM434" s="417"/>
      <c r="AN434" s="417"/>
      <c r="AO434" s="636"/>
      <c r="AP434">
        <v>556618</v>
      </c>
      <c r="AQ434" s="747">
        <v>43077</v>
      </c>
      <c r="AR434" s="417"/>
      <c r="AS434" s="417"/>
      <c r="AT434" s="417"/>
      <c r="AU434" s="417"/>
      <c r="AV434" s="417"/>
      <c r="AW434" s="417"/>
      <c r="AX434" s="417"/>
      <c r="AY434" s="183" t="s">
        <v>4245</v>
      </c>
      <c r="AZ434" s="417"/>
      <c r="BA434" s="417"/>
      <c r="BB434" t="s">
        <v>4238</v>
      </c>
      <c r="BC434" s="636"/>
      <c r="BD434" s="417"/>
      <c r="BE434" s="612">
        <v>5</v>
      </c>
      <c r="BF434" s="613">
        <v>40</v>
      </c>
      <c r="BG434" s="614" t="s">
        <v>78</v>
      </c>
      <c r="BH434" s="682"/>
      <c r="BI434" s="417"/>
      <c r="BJ434" s="417">
        <v>46</v>
      </c>
      <c r="BK434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34" s="682" t="str">
        <f>Техкарта[[#This Row],[ПолнаяДіл]] &amp;" "&amp;Техкарта[[#This Row],[ЛК]]&amp;" "&amp;Техкарта[[#This Row],[Вид рубки]]</f>
        <v>94 кв (3 вид) 0 діл. 556618 РГК</v>
      </c>
      <c r="BM434" s="682"/>
      <c r="BN434" s="636" t="s">
        <v>3784</v>
      </c>
      <c r="BO434" s="636" t="s">
        <v>3784</v>
      </c>
      <c r="BP434" s="636" t="s">
        <v>3784</v>
      </c>
      <c r="BQ434" s="636" t="s">
        <v>104</v>
      </c>
      <c r="BR434" s="636"/>
      <c r="BS434" s="636"/>
      <c r="BT434" s="636"/>
      <c r="BU434" s="636"/>
      <c r="BV434" s="636"/>
      <c r="BW434" s="636" t="s">
        <v>4351</v>
      </c>
      <c r="BX434" s="636"/>
      <c r="BY434" s="972"/>
    </row>
    <row r="435" spans="1:77">
      <c r="A435" t="s">
        <v>105</v>
      </c>
      <c r="B435" s="675" t="s">
        <v>114</v>
      </c>
      <c r="C435" s="687" t="s">
        <v>126</v>
      </c>
      <c r="D435" s="675">
        <v>0</v>
      </c>
      <c r="E435" s="675" t="s">
        <v>2305</v>
      </c>
      <c r="F435" s="675">
        <v>3</v>
      </c>
      <c r="G435" s="675" t="s">
        <v>2238</v>
      </c>
      <c r="H435" s="675">
        <v>81</v>
      </c>
      <c r="I435" s="676" t="s">
        <v>3854</v>
      </c>
      <c r="J435" s="677">
        <v>6.6</v>
      </c>
      <c r="K435" s="683">
        <v>271</v>
      </c>
      <c r="L435" s="677">
        <v>0</v>
      </c>
      <c r="M435" s="677">
        <v>2</v>
      </c>
      <c r="N435" s="677">
        <v>25</v>
      </c>
      <c r="O435" s="677">
        <v>0</v>
      </c>
      <c r="P435" s="677">
        <v>0</v>
      </c>
      <c r="Q435" s="677">
        <v>0</v>
      </c>
      <c r="R435" s="677">
        <v>14</v>
      </c>
      <c r="S435" s="677">
        <v>8</v>
      </c>
      <c r="T435" s="677">
        <v>66</v>
      </c>
      <c r="U435" s="677">
        <v>2</v>
      </c>
      <c r="V435" s="677">
        <v>1</v>
      </c>
      <c r="W435" s="677">
        <v>5</v>
      </c>
      <c r="X435" s="678"/>
      <c r="Y435" s="682"/>
      <c r="Z435" s="680"/>
      <c r="AA435" s="681">
        <v>77.834000000000003</v>
      </c>
      <c r="AB435" s="681">
        <v>28.722000000000001</v>
      </c>
      <c r="AC435" s="417">
        <v>10</v>
      </c>
      <c r="AD435" s="417"/>
      <c r="AE435" s="682" t="s">
        <v>4357</v>
      </c>
      <c r="AF435">
        <v>1</v>
      </c>
      <c r="AG435" s="745">
        <v>43101</v>
      </c>
      <c r="AH435" s="417"/>
      <c r="AI435" s="417"/>
      <c r="AJ435" s="746">
        <v>43283</v>
      </c>
      <c r="AK435" s="417"/>
      <c r="AL435" s="637" t="s">
        <v>3448</v>
      </c>
      <c r="AM435" s="417"/>
      <c r="AN435" s="417"/>
      <c r="AO435" s="636"/>
      <c r="AP435">
        <v>556713</v>
      </c>
      <c r="AQ435" s="747">
        <v>43277</v>
      </c>
      <c r="AR435" s="417"/>
      <c r="AS435" s="417"/>
      <c r="AT435" s="417"/>
      <c r="AU435" s="417"/>
      <c r="AV435" s="417"/>
      <c r="AW435" s="417"/>
      <c r="AX435" s="417"/>
      <c r="AY435" s="183" t="s">
        <v>3424</v>
      </c>
      <c r="AZ435" s="417"/>
      <c r="BA435" s="417"/>
      <c r="BB435" t="s">
        <v>3583</v>
      </c>
      <c r="BC435" s="636"/>
      <c r="BD435" s="417"/>
      <c r="BE435" s="612">
        <v>0</v>
      </c>
      <c r="BF435" s="613">
        <v>0</v>
      </c>
      <c r="BG435" s="614" t="s">
        <v>78</v>
      </c>
      <c r="BH435" s="682"/>
      <c r="BI435" s="417"/>
      <c r="BJ435" s="417">
        <v>1</v>
      </c>
      <c r="BK435" s="682" t="str">
        <f>Техкарта[[#This Row],[Кв-л]]&amp;" кв ("&amp;Substring(Техкарта[[#This Row],[Виділ]],"_",1)&amp;" вид) "&amp;Substring(Техкарта[[#This Row],[Виділ]],"_",2)&amp;" діл."</f>
        <v>81 кв (21 вид) 0 діл.</v>
      </c>
      <c r="BL435" s="682" t="str">
        <f>Техкарта[[#This Row],[ПолнаяДіл]] &amp;" "&amp;Техкарта[[#This Row],[ЛК]]&amp;" "&amp;Техкарта[[#This Row],[Вид рубки]]</f>
        <v>81 кв (21 вид) 0 діл. 556713 СРВ</v>
      </c>
      <c r="BM435" s="682"/>
      <c r="BN435" s="636" t="s">
        <v>3784</v>
      </c>
      <c r="BO435" s="636" t="s">
        <v>3784</v>
      </c>
      <c r="BP435" s="636" t="s">
        <v>3784</v>
      </c>
      <c r="BQ435" s="636" t="s">
        <v>105</v>
      </c>
      <c r="BR435" s="636"/>
      <c r="BS435" s="636"/>
      <c r="BT435" s="636"/>
      <c r="BU435" s="636"/>
      <c r="BV435" s="636"/>
      <c r="BW435" s="636" t="s">
        <v>4351</v>
      </c>
      <c r="BX435" s="636"/>
      <c r="BY435" s="972"/>
    </row>
    <row r="436" spans="1:77">
      <c r="A436" t="s">
        <v>105</v>
      </c>
      <c r="B436" s="675" t="s">
        <v>114</v>
      </c>
      <c r="C436" s="687" t="s">
        <v>126</v>
      </c>
      <c r="D436" s="675">
        <v>0</v>
      </c>
      <c r="E436" s="675" t="s">
        <v>2305</v>
      </c>
      <c r="F436" s="675">
        <v>3</v>
      </c>
      <c r="G436" s="675" t="s">
        <v>2238</v>
      </c>
      <c r="H436" s="675">
        <v>81</v>
      </c>
      <c r="I436" s="676" t="s">
        <v>3851</v>
      </c>
      <c r="J436" s="677">
        <v>3.2</v>
      </c>
      <c r="K436" s="683">
        <v>182</v>
      </c>
      <c r="L436" s="677">
        <v>0</v>
      </c>
      <c r="M436" s="677">
        <v>0</v>
      </c>
      <c r="N436" s="677">
        <v>1</v>
      </c>
      <c r="O436" s="677">
        <v>0</v>
      </c>
      <c r="P436" s="677">
        <v>0</v>
      </c>
      <c r="Q436" s="677">
        <v>0</v>
      </c>
      <c r="R436" s="677">
        <v>11</v>
      </c>
      <c r="S436" s="677">
        <v>3</v>
      </c>
      <c r="T436" s="677">
        <v>17</v>
      </c>
      <c r="U436" s="677">
        <v>0</v>
      </c>
      <c r="V436" s="677">
        <v>0</v>
      </c>
      <c r="W436" s="677">
        <v>1</v>
      </c>
      <c r="X436" s="678"/>
      <c r="Y436" s="682"/>
      <c r="Z436" s="680"/>
      <c r="AA436" s="681">
        <v>128.21899999999999</v>
      </c>
      <c r="AB436" s="681">
        <v>28.722000000000001</v>
      </c>
      <c r="AC436" s="417">
        <v>4</v>
      </c>
      <c r="AD436" s="417"/>
      <c r="AE436" s="682" t="s">
        <v>4358</v>
      </c>
      <c r="AF436">
        <v>1</v>
      </c>
      <c r="AG436" s="745">
        <v>43101</v>
      </c>
      <c r="AH436" s="417"/>
      <c r="AI436" s="417"/>
      <c r="AJ436" s="746">
        <v>43283</v>
      </c>
      <c r="AK436" s="417"/>
      <c r="AL436" s="637" t="s">
        <v>3448</v>
      </c>
      <c r="AM436" s="417"/>
      <c r="AN436" s="417"/>
      <c r="AO436" s="636"/>
      <c r="AP436">
        <v>556713</v>
      </c>
      <c r="AQ436" s="747">
        <v>43277</v>
      </c>
      <c r="AR436" s="417"/>
      <c r="AS436" s="417"/>
      <c r="AT436" s="417"/>
      <c r="AU436" s="417"/>
      <c r="AV436" s="417"/>
      <c r="AW436" s="417"/>
      <c r="AX436" s="417"/>
      <c r="AY436" s="183" t="s">
        <v>3424</v>
      </c>
      <c r="AZ436" s="417"/>
      <c r="BA436" s="417"/>
      <c r="BB436" t="s">
        <v>3583</v>
      </c>
      <c r="BC436" s="636"/>
      <c r="BD436" s="417"/>
      <c r="BE436" s="612">
        <v>0</v>
      </c>
      <c r="BF436" s="613">
        <v>0</v>
      </c>
      <c r="BG436" s="614" t="s">
        <v>78</v>
      </c>
      <c r="BH436" s="682"/>
      <c r="BI436" s="417"/>
      <c r="BJ436" s="417">
        <v>2</v>
      </c>
      <c r="BK436" s="682" t="str">
        <f>Техкарта[[#This Row],[Кв-л]]&amp;" кв ("&amp;Substring(Техкарта[[#This Row],[Виділ]],"_",1)&amp;" вид) "&amp;Substring(Техкарта[[#This Row],[Виділ]],"_",2)&amp;" діл."</f>
        <v>81 кв (12 вид) 0 діл.</v>
      </c>
      <c r="BL436" s="682" t="str">
        <f>Техкарта[[#This Row],[ПолнаяДіл]] &amp;" "&amp;Техкарта[[#This Row],[ЛК]]&amp;" "&amp;Техкарта[[#This Row],[Вид рубки]]</f>
        <v>81 кв (12 вид) 0 діл. 556713 СРВ</v>
      </c>
      <c r="BM436" s="682"/>
      <c r="BN436" s="636" t="s">
        <v>3784</v>
      </c>
      <c r="BO436" s="636" t="s">
        <v>3784</v>
      </c>
      <c r="BP436" s="636" t="s">
        <v>3784</v>
      </c>
      <c r="BQ436" s="636" t="s">
        <v>105</v>
      </c>
      <c r="BR436" s="636"/>
      <c r="BS436" s="636"/>
      <c r="BT436" s="636"/>
      <c r="BU436" s="636"/>
      <c r="BV436" s="636"/>
      <c r="BW436" s="636" t="s">
        <v>4351</v>
      </c>
      <c r="BX436" s="636"/>
      <c r="BY436" s="972"/>
    </row>
    <row r="437" spans="1:77">
      <c r="A437" t="s">
        <v>105</v>
      </c>
      <c r="B437" s="675" t="s">
        <v>114</v>
      </c>
      <c r="C437" s="687" t="s">
        <v>126</v>
      </c>
      <c r="D437" s="675">
        <v>0</v>
      </c>
      <c r="E437" s="675" t="s">
        <v>2305</v>
      </c>
      <c r="F437" s="675">
        <v>3</v>
      </c>
      <c r="G437" s="675" t="s">
        <v>2238</v>
      </c>
      <c r="H437" s="675">
        <v>65</v>
      </c>
      <c r="I437" s="676" t="s">
        <v>3850</v>
      </c>
      <c r="J437" s="677">
        <v>3.9</v>
      </c>
      <c r="K437" s="683">
        <v>137</v>
      </c>
      <c r="L437" s="677">
        <v>0</v>
      </c>
      <c r="M437" s="677">
        <v>0</v>
      </c>
      <c r="N437" s="677">
        <v>5</v>
      </c>
      <c r="O437" s="677">
        <v>0</v>
      </c>
      <c r="P437" s="677">
        <v>0</v>
      </c>
      <c r="Q437" s="677">
        <v>0</v>
      </c>
      <c r="R437" s="677">
        <v>11</v>
      </c>
      <c r="S437" s="677">
        <v>0</v>
      </c>
      <c r="T437" s="677">
        <v>11</v>
      </c>
      <c r="U437" s="677">
        <v>1</v>
      </c>
      <c r="V437" s="677">
        <v>0</v>
      </c>
      <c r="W437" s="677">
        <v>0</v>
      </c>
      <c r="X437" s="678"/>
      <c r="Y437" s="682"/>
      <c r="Z437" s="680"/>
      <c r="AA437" s="681">
        <v>126.974</v>
      </c>
      <c r="AB437" s="681">
        <v>28.722000000000001</v>
      </c>
      <c r="AC437" s="417">
        <v>3</v>
      </c>
      <c r="AD437" s="417"/>
      <c r="AE437" s="682" t="s">
        <v>4359</v>
      </c>
      <c r="AF437">
        <v>1</v>
      </c>
      <c r="AG437" s="745">
        <v>43101</v>
      </c>
      <c r="AH437" s="417"/>
      <c r="AI437" s="417"/>
      <c r="AJ437" s="746">
        <v>43283</v>
      </c>
      <c r="AK437" s="417"/>
      <c r="AL437" s="637" t="s">
        <v>3448</v>
      </c>
      <c r="AM437" s="417"/>
      <c r="AN437" s="417"/>
      <c r="AO437" s="636"/>
      <c r="AP437">
        <v>556713</v>
      </c>
      <c r="AQ437" s="747">
        <v>43277</v>
      </c>
      <c r="AR437" s="417"/>
      <c r="AS437" s="417"/>
      <c r="AT437" s="417"/>
      <c r="AU437" s="417"/>
      <c r="AV437" s="417"/>
      <c r="AW437" s="417"/>
      <c r="AX437" s="417"/>
      <c r="AY437" s="183" t="s">
        <v>3424</v>
      </c>
      <c r="AZ437" s="417"/>
      <c r="BA437" s="417"/>
      <c r="BB437" t="s">
        <v>3583</v>
      </c>
      <c r="BC437" s="636"/>
      <c r="BD437" s="417"/>
      <c r="BE437" s="612">
        <v>0</v>
      </c>
      <c r="BF437" s="613">
        <v>0</v>
      </c>
      <c r="BG437" s="614" t="s">
        <v>78</v>
      </c>
      <c r="BH437" s="682"/>
      <c r="BI437" s="417"/>
      <c r="BJ437" s="417">
        <v>3</v>
      </c>
      <c r="BK437" s="682" t="str">
        <f>Техкарта[[#This Row],[Кв-л]]&amp;" кв ("&amp;Substring(Техкарта[[#This Row],[Виділ]],"_",1)&amp;" вид) "&amp;Substring(Техкарта[[#This Row],[Виділ]],"_",2)&amp;" діл."</f>
        <v>65 кв (6 вид) 0 діл.</v>
      </c>
      <c r="BL437" s="682" t="str">
        <f>Техкарта[[#This Row],[ПолнаяДіл]] &amp;" "&amp;Техкарта[[#This Row],[ЛК]]&amp;" "&amp;Техкарта[[#This Row],[Вид рубки]]</f>
        <v>65 кв (6 вид) 0 діл. 556713 СРВ</v>
      </c>
      <c r="BM437" s="682"/>
      <c r="BN437" s="636" t="s">
        <v>3784</v>
      </c>
      <c r="BO437" s="636" t="s">
        <v>3784</v>
      </c>
      <c r="BP437" s="636" t="s">
        <v>3784</v>
      </c>
      <c r="BQ437" s="636" t="s">
        <v>105</v>
      </c>
      <c r="BR437" s="636"/>
      <c r="BS437" s="636"/>
      <c r="BT437" s="636"/>
      <c r="BU437" s="636"/>
      <c r="BV437" s="636"/>
      <c r="BW437" s="636" t="s">
        <v>4351</v>
      </c>
      <c r="BX437" s="636"/>
      <c r="BY437" s="972"/>
    </row>
    <row r="438" spans="1:77">
      <c r="A438" t="s">
        <v>105</v>
      </c>
      <c r="B438" s="675" t="s">
        <v>114</v>
      </c>
      <c r="C438" s="687" t="s">
        <v>126</v>
      </c>
      <c r="D438" s="675">
        <v>0</v>
      </c>
      <c r="E438" s="675" t="s">
        <v>2305</v>
      </c>
      <c r="F438" s="675">
        <v>3</v>
      </c>
      <c r="G438" s="675" t="s">
        <v>2238</v>
      </c>
      <c r="H438" s="675">
        <v>78</v>
      </c>
      <c r="I438" s="676" t="s">
        <v>3850</v>
      </c>
      <c r="J438" s="677">
        <v>0.9</v>
      </c>
      <c r="K438" s="683">
        <v>100</v>
      </c>
      <c r="L438" s="677">
        <v>0</v>
      </c>
      <c r="M438" s="677">
        <v>0</v>
      </c>
      <c r="N438" s="677">
        <v>4</v>
      </c>
      <c r="O438" s="677">
        <v>0</v>
      </c>
      <c r="P438" s="677">
        <v>0</v>
      </c>
      <c r="Q438" s="677">
        <v>0</v>
      </c>
      <c r="R438" s="677">
        <v>5</v>
      </c>
      <c r="S438" s="677">
        <v>4</v>
      </c>
      <c r="T438" s="677">
        <v>26</v>
      </c>
      <c r="U438" s="677">
        <v>0</v>
      </c>
      <c r="V438" s="677">
        <v>0</v>
      </c>
      <c r="W438" s="677">
        <v>2</v>
      </c>
      <c r="X438" s="678"/>
      <c r="Y438" s="682"/>
      <c r="Z438" s="680"/>
      <c r="AA438" s="681">
        <v>81.414000000000001</v>
      </c>
      <c r="AB438" s="681">
        <v>28.722000000000001</v>
      </c>
      <c r="AC438" s="417">
        <v>4</v>
      </c>
      <c r="AD438" s="417"/>
      <c r="AE438" s="682" t="s">
        <v>4360</v>
      </c>
      <c r="AF438">
        <v>1</v>
      </c>
      <c r="AG438" s="745">
        <v>43101</v>
      </c>
      <c r="AH438" s="417"/>
      <c r="AI438" s="417"/>
      <c r="AJ438" s="746">
        <v>43283</v>
      </c>
      <c r="AK438" s="417"/>
      <c r="AL438" s="637" t="s">
        <v>3448</v>
      </c>
      <c r="AM438" s="417"/>
      <c r="AN438" s="417"/>
      <c r="AO438" s="636"/>
      <c r="AP438">
        <v>556713</v>
      </c>
      <c r="AQ438" s="747">
        <v>43277</v>
      </c>
      <c r="AR438" s="417"/>
      <c r="AS438" s="417"/>
      <c r="AT438" s="417"/>
      <c r="AU438" s="417"/>
      <c r="AV438" s="417"/>
      <c r="AW438" s="417"/>
      <c r="AX438" s="417"/>
      <c r="AY438" s="183" t="s">
        <v>3424</v>
      </c>
      <c r="AZ438" s="417"/>
      <c r="BA438" s="417"/>
      <c r="BB438" t="s">
        <v>3583</v>
      </c>
      <c r="BC438" s="636"/>
      <c r="BD438" s="417"/>
      <c r="BE438" s="612">
        <v>0</v>
      </c>
      <c r="BF438" s="613">
        <v>0</v>
      </c>
      <c r="BG438" s="614" t="s">
        <v>78</v>
      </c>
      <c r="BH438" s="682"/>
      <c r="BI438" s="417"/>
      <c r="BJ438" s="417">
        <v>4</v>
      </c>
      <c r="BK438" s="682" t="str">
        <f>Техкарта[[#This Row],[Кв-л]]&amp;" кв ("&amp;Substring(Техкарта[[#This Row],[Виділ]],"_",1)&amp;" вид) "&amp;Substring(Техкарта[[#This Row],[Виділ]],"_",2)&amp;" діл."</f>
        <v>78 кв (6 вид) 0 діл.</v>
      </c>
      <c r="BL438" s="682" t="str">
        <f>Техкарта[[#This Row],[ПолнаяДіл]] &amp;" "&amp;Техкарта[[#This Row],[ЛК]]&amp;" "&amp;Техкарта[[#This Row],[Вид рубки]]</f>
        <v>78 кв (6 вид) 0 діл. 556713 СРВ</v>
      </c>
      <c r="BM438" s="682"/>
      <c r="BN438" s="636" t="s">
        <v>3784</v>
      </c>
      <c r="BO438" s="636" t="s">
        <v>3784</v>
      </c>
      <c r="BP438" s="636" t="s">
        <v>3784</v>
      </c>
      <c r="BQ438" s="636" t="s">
        <v>105</v>
      </c>
      <c r="BR438" s="636"/>
      <c r="BS438" s="636"/>
      <c r="BT438" s="636"/>
      <c r="BU438" s="636"/>
      <c r="BV438" s="636"/>
      <c r="BW438" s="636" t="s">
        <v>4351</v>
      </c>
      <c r="BX438" s="636"/>
      <c r="BY438" s="972"/>
    </row>
    <row r="439" spans="1:77">
      <c r="A439" t="s">
        <v>105</v>
      </c>
      <c r="B439" s="675" t="s">
        <v>114</v>
      </c>
      <c r="C439" s="687" t="s">
        <v>126</v>
      </c>
      <c r="D439" s="675">
        <v>0</v>
      </c>
      <c r="E439" s="675" t="s">
        <v>2305</v>
      </c>
      <c r="F439" s="675">
        <v>3</v>
      </c>
      <c r="G439" s="675" t="s">
        <v>2238</v>
      </c>
      <c r="H439" s="675">
        <v>32</v>
      </c>
      <c r="I439" s="676" t="s">
        <v>3850</v>
      </c>
      <c r="J439" s="677">
        <v>1.9</v>
      </c>
      <c r="K439" s="683">
        <v>70</v>
      </c>
      <c r="L439" s="677">
        <v>0</v>
      </c>
      <c r="M439" s="677">
        <v>0</v>
      </c>
      <c r="N439" s="677">
        <v>11</v>
      </c>
      <c r="O439" s="677">
        <v>0</v>
      </c>
      <c r="P439" s="677">
        <v>0</v>
      </c>
      <c r="Q439" s="677">
        <v>0</v>
      </c>
      <c r="R439" s="677">
        <v>0</v>
      </c>
      <c r="S439" s="677">
        <v>6</v>
      </c>
      <c r="T439" s="677">
        <v>31</v>
      </c>
      <c r="U439" s="677">
        <v>0</v>
      </c>
      <c r="V439" s="677">
        <v>0</v>
      </c>
      <c r="W439" s="677">
        <v>4</v>
      </c>
      <c r="X439" s="678"/>
      <c r="Y439" s="682"/>
      <c r="Z439" s="680"/>
      <c r="AA439" s="681">
        <v>65.847999999999999</v>
      </c>
      <c r="AB439" s="681">
        <v>28.722000000000001</v>
      </c>
      <c r="AC439" s="417">
        <v>3</v>
      </c>
      <c r="AD439" s="417"/>
      <c r="AE439" s="682" t="s">
        <v>4361</v>
      </c>
      <c r="AF439">
        <v>1</v>
      </c>
      <c r="AG439" s="745">
        <v>43101</v>
      </c>
      <c r="AH439" s="417"/>
      <c r="AI439" s="417"/>
      <c r="AJ439" s="746">
        <v>43283</v>
      </c>
      <c r="AK439" s="417"/>
      <c r="AL439" s="637" t="s">
        <v>3448</v>
      </c>
      <c r="AM439" s="417"/>
      <c r="AN439" s="417"/>
      <c r="AO439" s="636"/>
      <c r="AP439">
        <v>556713</v>
      </c>
      <c r="AQ439" s="747">
        <v>43277</v>
      </c>
      <c r="AR439" s="417"/>
      <c r="AS439" s="417"/>
      <c r="AT439" s="417"/>
      <c r="AU439" s="417"/>
      <c r="AV439" s="417"/>
      <c r="AW439" s="417"/>
      <c r="AX439" s="417"/>
      <c r="AY439" s="183" t="s">
        <v>3424</v>
      </c>
      <c r="AZ439" s="417"/>
      <c r="BA439" s="417"/>
      <c r="BB439" t="s">
        <v>3583</v>
      </c>
      <c r="BC439" s="636"/>
      <c r="BD439" s="417"/>
      <c r="BE439" s="612">
        <v>0</v>
      </c>
      <c r="BF439" s="613">
        <v>0</v>
      </c>
      <c r="BG439" s="614" t="s">
        <v>78</v>
      </c>
      <c r="BH439" s="682"/>
      <c r="BI439" s="417"/>
      <c r="BJ439" s="417">
        <v>5</v>
      </c>
      <c r="BK439" s="682" t="str">
        <f>Техкарта[[#This Row],[Кв-л]]&amp;" кв ("&amp;Substring(Техкарта[[#This Row],[Виділ]],"_",1)&amp;" вид) "&amp;Substring(Техкарта[[#This Row],[Виділ]],"_",2)&amp;" діл."</f>
        <v>32 кв (6 вид) 0 діл.</v>
      </c>
      <c r="BL439" s="682" t="str">
        <f>Техкарта[[#This Row],[ПолнаяДіл]] &amp;" "&amp;Техкарта[[#This Row],[ЛК]]&amp;" "&amp;Техкарта[[#This Row],[Вид рубки]]</f>
        <v>32 кв (6 вид) 0 діл. 556713 СРВ</v>
      </c>
      <c r="BM439" s="682"/>
      <c r="BN439" s="636" t="s">
        <v>3784</v>
      </c>
      <c r="BO439" s="636" t="s">
        <v>3784</v>
      </c>
      <c r="BP439" s="636" t="s">
        <v>3784</v>
      </c>
      <c r="BQ439" s="636" t="s">
        <v>105</v>
      </c>
      <c r="BR439" s="636"/>
      <c r="BS439" s="636"/>
      <c r="BT439" s="636"/>
      <c r="BU439" s="636"/>
      <c r="BV439" s="636"/>
      <c r="BW439" s="636" t="s">
        <v>4351</v>
      </c>
      <c r="BX439" s="636"/>
      <c r="BY439" s="972"/>
    </row>
    <row r="440" spans="1:77">
      <c r="A440" t="s">
        <v>105</v>
      </c>
      <c r="B440" s="675" t="s">
        <v>114</v>
      </c>
      <c r="C440" s="687" t="s">
        <v>126</v>
      </c>
      <c r="D440" s="675">
        <v>0</v>
      </c>
      <c r="E440" s="675" t="s">
        <v>2305</v>
      </c>
      <c r="F440" s="675">
        <v>3</v>
      </c>
      <c r="G440" s="675" t="s">
        <v>2238</v>
      </c>
      <c r="H440" s="675">
        <v>70</v>
      </c>
      <c r="I440" s="676" t="s">
        <v>3829</v>
      </c>
      <c r="J440" s="677">
        <v>18.399999999999999</v>
      </c>
      <c r="K440" s="683">
        <v>319</v>
      </c>
      <c r="L440" s="677">
        <v>0</v>
      </c>
      <c r="M440" s="677">
        <v>0</v>
      </c>
      <c r="N440" s="677">
        <v>14</v>
      </c>
      <c r="O440" s="677">
        <v>0</v>
      </c>
      <c r="P440" s="677">
        <v>0</v>
      </c>
      <c r="Q440" s="677">
        <v>0</v>
      </c>
      <c r="R440" s="677">
        <v>11</v>
      </c>
      <c r="S440" s="677">
        <v>7</v>
      </c>
      <c r="T440" s="677">
        <v>77</v>
      </c>
      <c r="U440" s="677">
        <v>2</v>
      </c>
      <c r="V440" s="677">
        <v>1</v>
      </c>
      <c r="W440" s="677">
        <v>3</v>
      </c>
      <c r="X440" s="678"/>
      <c r="Y440" s="682"/>
      <c r="Z440" s="680"/>
      <c r="AA440" s="681">
        <v>97.308000000000007</v>
      </c>
      <c r="AB440" s="681">
        <v>28.722000000000001</v>
      </c>
      <c r="AC440" s="417">
        <v>10</v>
      </c>
      <c r="AD440" s="417"/>
      <c r="AE440" s="682" t="s">
        <v>4362</v>
      </c>
      <c r="AF440">
        <v>1</v>
      </c>
      <c r="AG440" s="745">
        <v>43101</v>
      </c>
      <c r="AH440" s="417"/>
      <c r="AI440" s="417"/>
      <c r="AJ440" s="746">
        <v>43283</v>
      </c>
      <c r="AK440" s="417"/>
      <c r="AL440" s="637" t="s">
        <v>3448</v>
      </c>
      <c r="AM440" s="417"/>
      <c r="AN440" s="417"/>
      <c r="AO440" s="636"/>
      <c r="AP440">
        <v>556713</v>
      </c>
      <c r="AQ440" s="747">
        <v>43277</v>
      </c>
      <c r="AR440" s="417"/>
      <c r="AS440" s="417"/>
      <c r="AT440" s="417"/>
      <c r="AU440" s="417"/>
      <c r="AV440" s="417"/>
      <c r="AW440" s="417"/>
      <c r="AX440" s="417"/>
      <c r="AY440" s="183" t="s">
        <v>3424</v>
      </c>
      <c r="AZ440" s="417"/>
      <c r="BA440" s="417"/>
      <c r="BB440" t="s">
        <v>3583</v>
      </c>
      <c r="BC440" s="636"/>
      <c r="BD440" s="417"/>
      <c r="BE440" s="612">
        <v>0</v>
      </c>
      <c r="BF440" s="613">
        <v>0</v>
      </c>
      <c r="BG440" s="614" t="s">
        <v>78</v>
      </c>
      <c r="BH440" s="682"/>
      <c r="BI440" s="417"/>
      <c r="BJ440" s="417">
        <v>6</v>
      </c>
      <c r="BK440" s="682" t="str">
        <f>Техкарта[[#This Row],[Кв-л]]&amp;" кв ("&amp;Substring(Техкарта[[#This Row],[Виділ]],"_",1)&amp;" вид) "&amp;Substring(Техкарта[[#This Row],[Виділ]],"_",2)&amp;" діл."</f>
        <v>70 кв (3 вид) 0 діл.</v>
      </c>
      <c r="BL440" s="682" t="str">
        <f>Техкарта[[#This Row],[ПолнаяДіл]] &amp;" "&amp;Техкарта[[#This Row],[ЛК]]&amp;" "&amp;Техкарта[[#This Row],[Вид рубки]]</f>
        <v>70 кв (3 вид) 0 діл. 556713 СРВ</v>
      </c>
      <c r="BM440" s="682"/>
      <c r="BN440" s="636" t="s">
        <v>3784</v>
      </c>
      <c r="BO440" s="636" t="s">
        <v>3784</v>
      </c>
      <c r="BP440" s="636" t="s">
        <v>3784</v>
      </c>
      <c r="BQ440" s="636" t="s">
        <v>105</v>
      </c>
      <c r="BR440" s="636"/>
      <c r="BS440" s="636"/>
      <c r="BT440" s="636"/>
      <c r="BU440" s="636"/>
      <c r="BV440" s="636"/>
      <c r="BW440" s="636" t="s">
        <v>4351</v>
      </c>
      <c r="BX440" s="636"/>
      <c r="BY440" s="972"/>
    </row>
    <row r="441" spans="1:77">
      <c r="A441" t="s">
        <v>105</v>
      </c>
      <c r="B441" s="675" t="s">
        <v>113</v>
      </c>
      <c r="C441" s="687" t="s">
        <v>126</v>
      </c>
      <c r="D441" s="675">
        <v>0</v>
      </c>
      <c r="E441" s="675" t="s">
        <v>2305</v>
      </c>
      <c r="F441" s="675">
        <v>3</v>
      </c>
      <c r="G441" s="675" t="s">
        <v>2238</v>
      </c>
      <c r="H441" s="675">
        <v>11</v>
      </c>
      <c r="I441" s="676" t="s">
        <v>3790</v>
      </c>
      <c r="J441" s="677">
        <v>0.8</v>
      </c>
      <c r="K441" s="683">
        <v>108</v>
      </c>
      <c r="L441" s="677">
        <v>0</v>
      </c>
      <c r="M441" s="677">
        <v>0</v>
      </c>
      <c r="N441" s="677">
        <v>5</v>
      </c>
      <c r="O441" s="677">
        <v>0</v>
      </c>
      <c r="P441" s="677">
        <v>0</v>
      </c>
      <c r="Q441" s="677">
        <v>0</v>
      </c>
      <c r="R441" s="677">
        <v>0</v>
      </c>
      <c r="S441" s="677">
        <v>0</v>
      </c>
      <c r="T441" s="677">
        <v>37</v>
      </c>
      <c r="U441" s="677">
        <v>0</v>
      </c>
      <c r="V441" s="677">
        <v>0</v>
      </c>
      <c r="W441" s="677">
        <v>0</v>
      </c>
      <c r="X441" s="678"/>
      <c r="Y441" s="682"/>
      <c r="Z441" s="680"/>
      <c r="AA441" s="681">
        <v>80.7</v>
      </c>
      <c r="AB441" s="681">
        <v>28.722000000000001</v>
      </c>
      <c r="AC441" s="417">
        <v>3</v>
      </c>
      <c r="AD441" s="417"/>
      <c r="AE441" s="682" t="s">
        <v>4363</v>
      </c>
      <c r="AF441">
        <v>1</v>
      </c>
      <c r="AG441" s="745">
        <v>43101</v>
      </c>
      <c r="AH441" s="417"/>
      <c r="AI441" s="417"/>
      <c r="AJ441" s="746">
        <v>43283</v>
      </c>
      <c r="AK441" s="417"/>
      <c r="AL441" s="637" t="s">
        <v>3435</v>
      </c>
      <c r="AM441" s="417"/>
      <c r="AN441" s="417"/>
      <c r="AO441" s="636"/>
      <c r="AP441">
        <v>556709</v>
      </c>
      <c r="AQ441" s="747">
        <v>43270</v>
      </c>
      <c r="AR441" s="417"/>
      <c r="AS441" s="417"/>
      <c r="AT441" s="417"/>
      <c r="AU441" s="417"/>
      <c r="AV441" s="417"/>
      <c r="AW441" s="417"/>
      <c r="AX441" s="417"/>
      <c r="AY441" s="183" t="s">
        <v>4245</v>
      </c>
      <c r="AZ441" s="417"/>
      <c r="BA441" s="417"/>
      <c r="BB441" t="s">
        <v>4238</v>
      </c>
      <c r="BC441" s="636"/>
      <c r="BD441" s="417"/>
      <c r="BE441" s="612">
        <v>0</v>
      </c>
      <c r="BF441" s="613">
        <v>0</v>
      </c>
      <c r="BG441" s="614" t="s">
        <v>78</v>
      </c>
      <c r="BH441" s="682"/>
      <c r="BI441" s="417"/>
      <c r="BJ441" s="417">
        <v>7</v>
      </c>
      <c r="BK441" s="682" t="str">
        <f>Техкарта[[#This Row],[Кв-л]]&amp;" кв ("&amp;Substring(Техкарта[[#This Row],[Виділ]],"_",1)&amp;" вид) "&amp;Substring(Техкарта[[#This Row],[Виділ]],"_",2)&amp;" діл."</f>
        <v>11 кв (2 вид) 0 діл.</v>
      </c>
      <c r="BL441" s="682" t="str">
        <f>Техкарта[[#This Row],[ПолнаяДіл]] &amp;" "&amp;Техкарта[[#This Row],[ЛК]]&amp;" "&amp;Техкарта[[#This Row],[Вид рубки]]</f>
        <v>11 кв (2 вид) 0 діл. 556709 СРВ</v>
      </c>
      <c r="BM441" s="682"/>
      <c r="BN441" s="636" t="s">
        <v>3784</v>
      </c>
      <c r="BO441" s="636" t="s">
        <v>3784</v>
      </c>
      <c r="BP441" s="636" t="s">
        <v>3784</v>
      </c>
      <c r="BQ441" s="636" t="s">
        <v>105</v>
      </c>
      <c r="BR441" s="636"/>
      <c r="BS441" s="636"/>
      <c r="BT441" s="636"/>
      <c r="BU441" s="636"/>
      <c r="BV441" s="636"/>
      <c r="BW441" s="636" t="s">
        <v>4351</v>
      </c>
      <c r="BX441" s="636"/>
      <c r="BY441" s="972"/>
    </row>
    <row r="442" spans="1:77">
      <c r="A442" t="s">
        <v>105</v>
      </c>
      <c r="B442" s="675" t="s">
        <v>113</v>
      </c>
      <c r="C442" s="687" t="s">
        <v>126</v>
      </c>
      <c r="D442" s="675">
        <v>0</v>
      </c>
      <c r="E442" s="675" t="s">
        <v>2305</v>
      </c>
      <c r="F442" s="675">
        <v>3</v>
      </c>
      <c r="G442" s="675" t="s">
        <v>2238</v>
      </c>
      <c r="H442" s="675">
        <v>9</v>
      </c>
      <c r="I442" s="676" t="s">
        <v>3791</v>
      </c>
      <c r="J442" s="677">
        <v>0.6</v>
      </c>
      <c r="K442" s="683">
        <v>112</v>
      </c>
      <c r="L442" s="677">
        <v>0</v>
      </c>
      <c r="M442" s="677">
        <v>0</v>
      </c>
      <c r="N442" s="677">
        <v>2</v>
      </c>
      <c r="O442" s="677">
        <v>0</v>
      </c>
      <c r="P442" s="677">
        <v>0</v>
      </c>
      <c r="Q442" s="677">
        <v>0</v>
      </c>
      <c r="R442" s="677">
        <v>0</v>
      </c>
      <c r="S442" s="677">
        <v>0</v>
      </c>
      <c r="T442" s="677">
        <v>19</v>
      </c>
      <c r="U442" s="677">
        <v>0</v>
      </c>
      <c r="V442" s="677">
        <v>0</v>
      </c>
      <c r="W442" s="677">
        <v>0</v>
      </c>
      <c r="X442" s="678"/>
      <c r="Y442" s="682"/>
      <c r="Z442" s="680"/>
      <c r="AA442" s="681">
        <v>107.35299999999999</v>
      </c>
      <c r="AB442" s="681">
        <v>28.722000000000001</v>
      </c>
      <c r="AC442" s="417">
        <v>2</v>
      </c>
      <c r="AD442" s="417"/>
      <c r="AE442" s="682" t="s">
        <v>4364</v>
      </c>
      <c r="AF442">
        <v>1</v>
      </c>
      <c r="AG442" s="745">
        <v>43101</v>
      </c>
      <c r="AH442" s="417"/>
      <c r="AI442" s="417"/>
      <c r="AJ442" s="746">
        <v>43283</v>
      </c>
      <c r="AK442" s="417"/>
      <c r="AL442" s="637" t="s">
        <v>3435</v>
      </c>
      <c r="AM442" s="417"/>
      <c r="AN442" s="417"/>
      <c r="AO442" s="636"/>
      <c r="AP442">
        <v>556709</v>
      </c>
      <c r="AQ442" s="747">
        <v>43270</v>
      </c>
      <c r="AR442" s="417"/>
      <c r="AS442" s="417"/>
      <c r="AT442" s="417"/>
      <c r="AU442" s="417"/>
      <c r="AV442" s="417"/>
      <c r="AW442" s="417"/>
      <c r="AX442" s="417"/>
      <c r="AY442" s="183" t="s">
        <v>4245</v>
      </c>
      <c r="AZ442" s="417"/>
      <c r="BA442" s="417"/>
      <c r="BB442" t="s">
        <v>4238</v>
      </c>
      <c r="BC442" s="636"/>
      <c r="BD442" s="417"/>
      <c r="BE442" s="612">
        <v>0</v>
      </c>
      <c r="BF442" s="613">
        <v>0</v>
      </c>
      <c r="BG442" s="614" t="s">
        <v>78</v>
      </c>
      <c r="BH442" s="682"/>
      <c r="BI442" s="417"/>
      <c r="BJ442" s="417">
        <v>9</v>
      </c>
      <c r="BK442" s="682" t="str">
        <f>Техкарта[[#This Row],[Кв-л]]&amp;" кв ("&amp;Substring(Техкарта[[#This Row],[Виділ]],"_",1)&amp;" вид) "&amp;Substring(Техкарта[[#This Row],[Виділ]],"_",2)&amp;" діл."</f>
        <v>9 кв (7 вид) 0 діл.</v>
      </c>
      <c r="BL442" s="682" t="str">
        <f>Техкарта[[#This Row],[ПолнаяДіл]] &amp;" "&amp;Техкарта[[#This Row],[ЛК]]&amp;" "&amp;Техкарта[[#This Row],[Вид рубки]]</f>
        <v>9 кв (7 вид) 0 діл. 556709 СРВ</v>
      </c>
      <c r="BM442" s="682"/>
      <c r="BN442" s="636" t="s">
        <v>3784</v>
      </c>
      <c r="BO442" s="636" t="s">
        <v>3784</v>
      </c>
      <c r="BP442" s="636" t="s">
        <v>3784</v>
      </c>
      <c r="BQ442" s="636" t="s">
        <v>105</v>
      </c>
      <c r="BR442" s="636"/>
      <c r="BS442" s="636"/>
      <c r="BT442" s="636"/>
      <c r="BU442" s="636"/>
      <c r="BV442" s="636"/>
      <c r="BW442" s="636" t="s">
        <v>4351</v>
      </c>
      <c r="BX442" s="636"/>
      <c r="BY442" s="972"/>
    </row>
    <row r="443" spans="1:77">
      <c r="A443" t="s">
        <v>105</v>
      </c>
      <c r="B443" s="675" t="s">
        <v>113</v>
      </c>
      <c r="C443" s="687" t="s">
        <v>126</v>
      </c>
      <c r="D443" s="675">
        <v>0</v>
      </c>
      <c r="E443" s="675" t="s">
        <v>2305</v>
      </c>
      <c r="F443" s="675">
        <v>3</v>
      </c>
      <c r="G443" s="675" t="s">
        <v>2238</v>
      </c>
      <c r="H443" s="675">
        <v>125</v>
      </c>
      <c r="I443" s="676" t="s">
        <v>3850</v>
      </c>
      <c r="J443" s="677">
        <v>2.2000000000000002</v>
      </c>
      <c r="K443" s="683">
        <v>265</v>
      </c>
      <c r="L443" s="677">
        <v>0</v>
      </c>
      <c r="M443" s="677">
        <v>0</v>
      </c>
      <c r="N443" s="677">
        <v>0</v>
      </c>
      <c r="O443" s="677">
        <v>0</v>
      </c>
      <c r="P443" s="677">
        <v>0</v>
      </c>
      <c r="Q443" s="677">
        <v>0</v>
      </c>
      <c r="R443" s="677">
        <v>0</v>
      </c>
      <c r="S443" s="677">
        <v>0</v>
      </c>
      <c r="T443" s="677">
        <v>102</v>
      </c>
      <c r="U443" s="677">
        <v>0</v>
      </c>
      <c r="V443" s="677">
        <v>0</v>
      </c>
      <c r="W443" s="677">
        <v>0</v>
      </c>
      <c r="X443" s="678"/>
      <c r="Y443" s="682"/>
      <c r="Z443" s="680"/>
      <c r="AA443" s="681">
        <v>84.825999999999993</v>
      </c>
      <c r="AB443" s="681">
        <v>28.722000000000001</v>
      </c>
      <c r="AC443" s="417">
        <v>15</v>
      </c>
      <c r="AD443" s="417"/>
      <c r="AE443" s="682" t="s">
        <v>4365</v>
      </c>
      <c r="AF443">
        <v>1</v>
      </c>
      <c r="AG443" s="745">
        <v>43101</v>
      </c>
      <c r="AH443" s="417"/>
      <c r="AI443" s="417"/>
      <c r="AJ443" s="746">
        <v>43283</v>
      </c>
      <c r="AK443" s="417"/>
      <c r="AL443" s="637" t="s">
        <v>3453</v>
      </c>
      <c r="AM443" s="417"/>
      <c r="AN443" s="417"/>
      <c r="AO443" s="636"/>
      <c r="AP443">
        <v>556709</v>
      </c>
      <c r="AQ443" s="747">
        <v>43270</v>
      </c>
      <c r="AR443" s="417"/>
      <c r="AS443" s="417"/>
      <c r="AT443" s="417"/>
      <c r="AU443" s="417"/>
      <c r="AV443" s="417"/>
      <c r="AW443" s="417"/>
      <c r="AX443" s="417"/>
      <c r="AY443" s="183" t="s">
        <v>4245</v>
      </c>
      <c r="AZ443" s="417"/>
      <c r="BA443" s="417"/>
      <c r="BB443" t="s">
        <v>4238</v>
      </c>
      <c r="BC443" s="636"/>
      <c r="BD443" s="417"/>
      <c r="BE443" s="612">
        <v>0</v>
      </c>
      <c r="BF443" s="613">
        <v>0</v>
      </c>
      <c r="BG443" s="614" t="s">
        <v>78</v>
      </c>
      <c r="BH443" s="682"/>
      <c r="BI443" s="417"/>
      <c r="BJ443" s="417">
        <v>10</v>
      </c>
      <c r="BK443" s="682" t="str">
        <f>Техкарта[[#This Row],[Кв-л]]&amp;" кв ("&amp;Substring(Техкарта[[#This Row],[Виділ]],"_",1)&amp;" вид) "&amp;Substring(Техкарта[[#This Row],[Виділ]],"_",2)&amp;" діл."</f>
        <v>125 кв (6 вид) 0 діл.</v>
      </c>
      <c r="BL443" s="682" t="str">
        <f>Техкарта[[#This Row],[ПолнаяДіл]] &amp;" "&amp;Техкарта[[#This Row],[ЛК]]&amp;" "&amp;Техкарта[[#This Row],[Вид рубки]]</f>
        <v>125 кв (6 вид) 0 діл. 556709 СРВ</v>
      </c>
      <c r="BM443" s="682"/>
      <c r="BN443" s="636" t="s">
        <v>3784</v>
      </c>
      <c r="BO443" s="636" t="s">
        <v>3784</v>
      </c>
      <c r="BP443" s="636" t="s">
        <v>3784</v>
      </c>
      <c r="BQ443" s="636" t="s">
        <v>105</v>
      </c>
      <c r="BR443" s="636"/>
      <c r="BS443" s="636"/>
      <c r="BT443" s="636"/>
      <c r="BU443" s="636"/>
      <c r="BV443" s="636"/>
      <c r="BW443" s="636" t="s">
        <v>4351</v>
      </c>
      <c r="BX443" s="636"/>
      <c r="BY443" s="972"/>
    </row>
    <row r="444" spans="1:77">
      <c r="A444" t="s">
        <v>105</v>
      </c>
      <c r="B444" s="675" t="s">
        <v>113</v>
      </c>
      <c r="C444" s="687" t="s">
        <v>3842</v>
      </c>
      <c r="D444" s="675">
        <v>0</v>
      </c>
      <c r="E444" s="675" t="s">
        <v>2305</v>
      </c>
      <c r="F444" s="675">
        <v>3</v>
      </c>
      <c r="G444" s="675" t="s">
        <v>2238</v>
      </c>
      <c r="H444" s="675">
        <v>43</v>
      </c>
      <c r="I444" s="676" t="s">
        <v>4042</v>
      </c>
      <c r="J444" s="677">
        <v>0.3</v>
      </c>
      <c r="K444" s="683">
        <v>19</v>
      </c>
      <c r="L444" s="677">
        <v>0</v>
      </c>
      <c r="M444" s="677">
        <v>0</v>
      </c>
      <c r="N444" s="677">
        <v>2</v>
      </c>
      <c r="O444" s="677">
        <v>0</v>
      </c>
      <c r="P444" s="677">
        <v>0</v>
      </c>
      <c r="Q444" s="677">
        <v>0</v>
      </c>
      <c r="R444" s="677">
        <v>0</v>
      </c>
      <c r="S444" s="677">
        <v>0</v>
      </c>
      <c r="T444" s="677">
        <v>5</v>
      </c>
      <c r="U444" s="677">
        <v>0</v>
      </c>
      <c r="V444" s="677">
        <v>0</v>
      </c>
      <c r="W444" s="677">
        <v>0</v>
      </c>
      <c r="X444" s="678"/>
      <c r="Y444" s="682"/>
      <c r="Z444" s="680"/>
      <c r="AA444" s="681">
        <v>79.944000000000003</v>
      </c>
      <c r="AB444" s="681">
        <v>28.722000000000001</v>
      </c>
      <c r="AC444" s="417">
        <v>0</v>
      </c>
      <c r="AD444" s="417"/>
      <c r="AE444" s="682" t="s">
        <v>4366</v>
      </c>
      <c r="AF444">
        <v>1</v>
      </c>
      <c r="AG444" s="745">
        <v>43101</v>
      </c>
      <c r="AH444" s="417"/>
      <c r="AI444" s="417"/>
      <c r="AJ444" s="746">
        <v>43283</v>
      </c>
      <c r="AK444" s="417"/>
      <c r="AL444" s="637" t="s">
        <v>3474</v>
      </c>
      <c r="AM444" s="417"/>
      <c r="AN444" s="417"/>
      <c r="AO444" s="636"/>
      <c r="AP444">
        <v>556707</v>
      </c>
      <c r="AQ444" s="747">
        <v>43250</v>
      </c>
      <c r="AR444" s="417"/>
      <c r="AS444" s="417"/>
      <c r="AT444" s="417"/>
      <c r="AU444" s="417"/>
      <c r="AV444" s="417"/>
      <c r="AW444" s="417"/>
      <c r="AX444" s="417"/>
      <c r="AY444" s="183" t="s">
        <v>4245</v>
      </c>
      <c r="AZ444" s="417"/>
      <c r="BA444" s="417"/>
      <c r="BB444" t="s">
        <v>4238</v>
      </c>
      <c r="BC444" s="636"/>
      <c r="BD444" s="417"/>
      <c r="BE444" s="612">
        <v>0</v>
      </c>
      <c r="BF444" s="613">
        <v>0</v>
      </c>
      <c r="BG444" s="614" t="s">
        <v>78</v>
      </c>
      <c r="BH444" s="682"/>
      <c r="BI444" s="417"/>
      <c r="BJ444" s="417">
        <v>1</v>
      </c>
      <c r="BK444" s="682" t="str">
        <f>Техкарта[[#This Row],[Кв-л]]&amp;" кв ("&amp;Substring(Техкарта[[#This Row],[Виділ]],"_",1)&amp;" вид) "&amp;Substring(Техкарта[[#This Row],[Виділ]],"_",2)&amp;" діл."</f>
        <v>43 кв (7 вид) 1 діл.</v>
      </c>
      <c r="BL444" s="682" t="str">
        <f>Техкарта[[#This Row],[ПолнаяДіл]] &amp;" "&amp;Техкарта[[#This Row],[ЛК]]&amp;" "&amp;Техкарта[[#This Row],[Вид рубки]]</f>
        <v>43 кв (7 вид) 1 діл. 556707 РЛД</v>
      </c>
      <c r="BM444" s="682"/>
      <c r="BN444" s="636" t="s">
        <v>3784</v>
      </c>
      <c r="BO444" s="636" t="s">
        <v>3784</v>
      </c>
      <c r="BP444" s="636" t="s">
        <v>3784</v>
      </c>
      <c r="BQ444" s="636" t="s">
        <v>105</v>
      </c>
      <c r="BR444" s="636"/>
      <c r="BS444" s="636"/>
      <c r="BT444" s="636"/>
      <c r="BU444" s="636"/>
      <c r="BV444" s="636"/>
      <c r="BW444" s="636" t="s">
        <v>4351</v>
      </c>
      <c r="BX444" s="636"/>
      <c r="BY444" s="972"/>
    </row>
    <row r="445" spans="1:77">
      <c r="A445" t="s">
        <v>105</v>
      </c>
      <c r="B445" s="675" t="s">
        <v>113</v>
      </c>
      <c r="C445" s="687" t="s">
        <v>3842</v>
      </c>
      <c r="D445" s="675">
        <v>0</v>
      </c>
      <c r="E445" s="675" t="s">
        <v>2305</v>
      </c>
      <c r="F445" s="675">
        <v>3</v>
      </c>
      <c r="G445" s="675" t="s">
        <v>2238</v>
      </c>
      <c r="H445" s="675">
        <v>46</v>
      </c>
      <c r="I445" s="676" t="s">
        <v>4042</v>
      </c>
      <c r="J445" s="677">
        <v>0.2</v>
      </c>
      <c r="K445" s="683">
        <v>37</v>
      </c>
      <c r="L445" s="677">
        <v>0</v>
      </c>
      <c r="M445" s="677">
        <v>0</v>
      </c>
      <c r="N445" s="677">
        <v>0</v>
      </c>
      <c r="O445" s="677">
        <v>0</v>
      </c>
      <c r="P445" s="677">
        <v>0</v>
      </c>
      <c r="Q445" s="677">
        <v>0</v>
      </c>
      <c r="R445" s="677">
        <v>0</v>
      </c>
      <c r="S445" s="677">
        <v>0</v>
      </c>
      <c r="T445" s="677">
        <v>4</v>
      </c>
      <c r="U445" s="677">
        <v>0</v>
      </c>
      <c r="V445" s="677">
        <v>0</v>
      </c>
      <c r="W445" s="677">
        <v>0</v>
      </c>
      <c r="X445" s="678"/>
      <c r="Y445" s="682"/>
      <c r="Z445" s="680"/>
      <c r="AA445" s="681">
        <v>145.864</v>
      </c>
      <c r="AB445" s="681">
        <v>28.722000000000001</v>
      </c>
      <c r="AC445" s="417">
        <v>0</v>
      </c>
      <c r="AD445" s="417"/>
      <c r="AE445" s="682" t="s">
        <v>4367</v>
      </c>
      <c r="AF445">
        <v>1</v>
      </c>
      <c r="AG445" s="745">
        <v>43101</v>
      </c>
      <c r="AH445" s="417"/>
      <c r="AI445" s="417"/>
      <c r="AJ445" s="746">
        <v>43283</v>
      </c>
      <c r="AK445" s="417"/>
      <c r="AL445" s="637" t="s">
        <v>3474</v>
      </c>
      <c r="AM445" s="417"/>
      <c r="AN445" s="417"/>
      <c r="AO445" s="636"/>
      <c r="AP445">
        <v>556707</v>
      </c>
      <c r="AQ445" s="747">
        <v>43250</v>
      </c>
      <c r="AR445" s="417"/>
      <c r="AS445" s="417"/>
      <c r="AT445" s="417"/>
      <c r="AU445" s="417"/>
      <c r="AV445" s="417"/>
      <c r="AW445" s="417"/>
      <c r="AX445" s="417"/>
      <c r="AY445" s="183" t="s">
        <v>4245</v>
      </c>
      <c r="AZ445" s="417"/>
      <c r="BA445" s="417"/>
      <c r="BB445" t="s">
        <v>4238</v>
      </c>
      <c r="BC445" s="636"/>
      <c r="BD445" s="417"/>
      <c r="BE445" s="612">
        <v>0</v>
      </c>
      <c r="BF445" s="613">
        <v>0</v>
      </c>
      <c r="BG445" s="614" t="s">
        <v>78</v>
      </c>
      <c r="BH445" s="682"/>
      <c r="BI445" s="417"/>
      <c r="BJ445" s="417">
        <v>2</v>
      </c>
      <c r="BK445" s="682" t="str">
        <f>Техкарта[[#This Row],[Кв-л]]&amp;" кв ("&amp;Substring(Техкарта[[#This Row],[Виділ]],"_",1)&amp;" вид) "&amp;Substring(Техкарта[[#This Row],[Виділ]],"_",2)&amp;" діл."</f>
        <v>46 кв (7 вид) 1 діл.</v>
      </c>
      <c r="BL445" s="682" t="str">
        <f>Техкарта[[#This Row],[ПолнаяДіл]] &amp;" "&amp;Техкарта[[#This Row],[ЛК]]&amp;" "&amp;Техкарта[[#This Row],[Вид рубки]]</f>
        <v>46 кв (7 вид) 1 діл. 556707 РЛД</v>
      </c>
      <c r="BM445" s="682"/>
      <c r="BN445" s="636" t="s">
        <v>3784</v>
      </c>
      <c r="BO445" s="636" t="s">
        <v>3784</v>
      </c>
      <c r="BP445" s="636" t="s">
        <v>3784</v>
      </c>
      <c r="BQ445" s="636" t="s">
        <v>105</v>
      </c>
      <c r="BR445" s="636"/>
      <c r="BS445" s="636"/>
      <c r="BT445" s="636"/>
      <c r="BU445" s="636"/>
      <c r="BV445" s="636"/>
      <c r="BW445" s="636" t="s">
        <v>4351</v>
      </c>
      <c r="BX445" s="636"/>
      <c r="BY445" s="972"/>
    </row>
    <row r="446" spans="1:77">
      <c r="A446" t="s">
        <v>105</v>
      </c>
      <c r="B446" s="675" t="s">
        <v>113</v>
      </c>
      <c r="C446" s="687" t="s">
        <v>3842</v>
      </c>
      <c r="D446" s="675">
        <v>0</v>
      </c>
      <c r="E446" s="675" t="s">
        <v>2305</v>
      </c>
      <c r="F446" s="675">
        <v>3</v>
      </c>
      <c r="G446" s="675" t="s">
        <v>2238</v>
      </c>
      <c r="H446" s="675">
        <v>47</v>
      </c>
      <c r="I446" s="676" t="s">
        <v>4042</v>
      </c>
      <c r="J446" s="677">
        <v>0.05</v>
      </c>
      <c r="K446" s="683">
        <v>19</v>
      </c>
      <c r="L446" s="677">
        <v>0</v>
      </c>
      <c r="M446" s="677">
        <v>0</v>
      </c>
      <c r="N446" s="677">
        <v>1</v>
      </c>
      <c r="O446" s="677">
        <v>0</v>
      </c>
      <c r="P446" s="677">
        <v>0</v>
      </c>
      <c r="Q446" s="677">
        <v>0</v>
      </c>
      <c r="R446" s="677">
        <v>0</v>
      </c>
      <c r="S446" s="677">
        <v>0</v>
      </c>
      <c r="T446" s="677">
        <v>4</v>
      </c>
      <c r="U446" s="677">
        <v>0</v>
      </c>
      <c r="V446" s="677">
        <v>0</v>
      </c>
      <c r="W446" s="677">
        <v>0</v>
      </c>
      <c r="X446" s="678"/>
      <c r="Y446" s="682"/>
      <c r="Z446" s="680"/>
      <c r="AA446" s="681">
        <v>87.097999999999999</v>
      </c>
      <c r="AB446" s="681">
        <v>28.722000000000001</v>
      </c>
      <c r="AC446" s="417">
        <v>1</v>
      </c>
      <c r="AD446" s="417"/>
      <c r="AE446" s="682" t="s">
        <v>4368</v>
      </c>
      <c r="AF446">
        <v>1</v>
      </c>
      <c r="AG446" s="745">
        <v>43101</v>
      </c>
      <c r="AH446" s="417"/>
      <c r="AI446" s="417"/>
      <c r="AJ446" s="746">
        <v>43283</v>
      </c>
      <c r="AK446" s="417"/>
      <c r="AL446" s="637" t="s">
        <v>3474</v>
      </c>
      <c r="AM446" s="417"/>
      <c r="AN446" s="417"/>
      <c r="AO446" s="636"/>
      <c r="AP446">
        <v>556707</v>
      </c>
      <c r="AQ446" s="747">
        <v>43250</v>
      </c>
      <c r="AR446" s="417"/>
      <c r="AS446" s="417"/>
      <c r="AT446" s="417"/>
      <c r="AU446" s="417"/>
      <c r="AV446" s="417"/>
      <c r="AW446" s="417"/>
      <c r="AX446" s="417"/>
      <c r="AY446" s="183" t="s">
        <v>4245</v>
      </c>
      <c r="AZ446" s="417"/>
      <c r="BA446" s="417"/>
      <c r="BB446" t="s">
        <v>4238</v>
      </c>
      <c r="BC446" s="636"/>
      <c r="BD446" s="417"/>
      <c r="BE446" s="612">
        <v>0</v>
      </c>
      <c r="BF446" s="613">
        <v>0</v>
      </c>
      <c r="BG446" s="614" t="s">
        <v>78</v>
      </c>
      <c r="BH446" s="682"/>
      <c r="BI446" s="417"/>
      <c r="BJ446" s="417">
        <v>3</v>
      </c>
      <c r="BK446" s="682" t="str">
        <f>Техкарта[[#This Row],[Кв-л]]&amp;" кв ("&amp;Substring(Техкарта[[#This Row],[Виділ]],"_",1)&amp;" вид) "&amp;Substring(Техкарта[[#This Row],[Виділ]],"_",2)&amp;" діл."</f>
        <v>47 кв (7 вид) 1 діл.</v>
      </c>
      <c r="BL446" s="682" t="str">
        <f>Техкарта[[#This Row],[ПолнаяДіл]] &amp;" "&amp;Техкарта[[#This Row],[ЛК]]&amp;" "&amp;Техкарта[[#This Row],[Вид рубки]]</f>
        <v>47 кв (7 вид) 1 діл. 556707 РЛД</v>
      </c>
      <c r="BM446" s="682"/>
      <c r="BN446" s="636" t="s">
        <v>3784</v>
      </c>
      <c r="BO446" s="636" t="s">
        <v>3784</v>
      </c>
      <c r="BP446" s="636" t="s">
        <v>3784</v>
      </c>
      <c r="BQ446" s="636" t="s">
        <v>105</v>
      </c>
      <c r="BR446" s="636"/>
      <c r="BS446" s="636"/>
      <c r="BT446" s="636"/>
      <c r="BU446" s="636"/>
      <c r="BV446" s="636"/>
      <c r="BW446" s="636" t="s">
        <v>4351</v>
      </c>
      <c r="BX446" s="636"/>
      <c r="BY446" s="972"/>
    </row>
    <row r="447" spans="1:77">
      <c r="A447" t="s">
        <v>105</v>
      </c>
      <c r="B447" s="675" t="s">
        <v>113</v>
      </c>
      <c r="C447" s="687" t="s">
        <v>3842</v>
      </c>
      <c r="D447" s="675">
        <v>0</v>
      </c>
      <c r="E447" s="675" t="s">
        <v>2305</v>
      </c>
      <c r="F447" s="675">
        <v>3</v>
      </c>
      <c r="G447" s="675" t="s">
        <v>2238</v>
      </c>
      <c r="H447" s="675">
        <v>48</v>
      </c>
      <c r="I447" s="676" t="s">
        <v>3806</v>
      </c>
      <c r="J447" s="677">
        <v>0.05</v>
      </c>
      <c r="K447" s="683">
        <v>43</v>
      </c>
      <c r="L447" s="677">
        <v>0</v>
      </c>
      <c r="M447" s="677">
        <v>0</v>
      </c>
      <c r="N447" s="677">
        <v>2</v>
      </c>
      <c r="O447" s="677">
        <v>0</v>
      </c>
      <c r="P447" s="677">
        <v>0</v>
      </c>
      <c r="Q447" s="677">
        <v>0</v>
      </c>
      <c r="R447" s="677">
        <v>0</v>
      </c>
      <c r="S447" s="677">
        <v>0</v>
      </c>
      <c r="T447" s="677">
        <v>10</v>
      </c>
      <c r="U447" s="677">
        <v>0</v>
      </c>
      <c r="V447" s="677">
        <v>0</v>
      </c>
      <c r="W447" s="677">
        <v>0</v>
      </c>
      <c r="X447" s="678"/>
      <c r="Y447" s="682"/>
      <c r="Z447" s="680"/>
      <c r="AA447" s="681">
        <v>88.251999999999995</v>
      </c>
      <c r="AB447" s="681">
        <v>28.722000000000001</v>
      </c>
      <c r="AC447" s="417">
        <v>0</v>
      </c>
      <c r="AD447" s="417"/>
      <c r="AE447" s="682" t="s">
        <v>4369</v>
      </c>
      <c r="AF447">
        <v>1</v>
      </c>
      <c r="AG447" s="745">
        <v>43101</v>
      </c>
      <c r="AH447" s="417"/>
      <c r="AI447" s="417"/>
      <c r="AJ447" s="746">
        <v>43283</v>
      </c>
      <c r="AK447" s="417"/>
      <c r="AL447" s="637" t="s">
        <v>3474</v>
      </c>
      <c r="AM447" s="417"/>
      <c r="AN447" s="417"/>
      <c r="AO447" s="636"/>
      <c r="AP447">
        <v>556707</v>
      </c>
      <c r="AQ447" s="747">
        <v>43250</v>
      </c>
      <c r="AR447" s="417"/>
      <c r="AS447" s="417"/>
      <c r="AT447" s="417"/>
      <c r="AU447" s="417"/>
      <c r="AV447" s="417"/>
      <c r="AW447" s="417"/>
      <c r="AX447" s="417"/>
      <c r="AY447" s="183" t="s">
        <v>4245</v>
      </c>
      <c r="AZ447" s="417"/>
      <c r="BA447" s="417"/>
      <c r="BB447" t="s">
        <v>4238</v>
      </c>
      <c r="BC447" s="636"/>
      <c r="BD447" s="417"/>
      <c r="BE447" s="612">
        <v>0</v>
      </c>
      <c r="BF447" s="613">
        <v>0</v>
      </c>
      <c r="BG447" s="614" t="s">
        <v>78</v>
      </c>
      <c r="BH447" s="682"/>
      <c r="BI447" s="417"/>
      <c r="BJ447" s="417">
        <v>4</v>
      </c>
      <c r="BK447" s="682" t="str">
        <f>Техкарта[[#This Row],[Кв-л]]&amp;" кв ("&amp;Substring(Техкарта[[#This Row],[Виділ]],"_",1)&amp;" вид) "&amp;Substring(Техкарта[[#This Row],[Виділ]],"_",2)&amp;" діл."</f>
        <v>48 кв (1 вид) 1 діл.</v>
      </c>
      <c r="BL447" s="682" t="str">
        <f>Техкарта[[#This Row],[ПолнаяДіл]] &amp;" "&amp;Техкарта[[#This Row],[ЛК]]&amp;" "&amp;Техкарта[[#This Row],[Вид рубки]]</f>
        <v>48 кв (1 вид) 1 діл. 556707 РЛД</v>
      </c>
      <c r="BM447" s="682"/>
      <c r="BN447" s="636" t="s">
        <v>3784</v>
      </c>
      <c r="BO447" s="636" t="s">
        <v>3784</v>
      </c>
      <c r="BP447" s="636" t="s">
        <v>3784</v>
      </c>
      <c r="BQ447" s="636" t="s">
        <v>105</v>
      </c>
      <c r="BR447" s="636"/>
      <c r="BS447" s="636"/>
      <c r="BT447" s="636"/>
      <c r="BU447" s="636"/>
      <c r="BV447" s="636"/>
      <c r="BW447" s="636" t="s">
        <v>4351</v>
      </c>
      <c r="BX447" s="636"/>
      <c r="BY447" s="972"/>
    </row>
    <row r="448" spans="1:77">
      <c r="A448" t="s">
        <v>105</v>
      </c>
      <c r="B448" s="675" t="s">
        <v>113</v>
      </c>
      <c r="C448" s="687" t="s">
        <v>3842</v>
      </c>
      <c r="D448" s="675">
        <v>0</v>
      </c>
      <c r="E448" s="675" t="s">
        <v>2305</v>
      </c>
      <c r="F448" s="675">
        <v>3</v>
      </c>
      <c r="G448" s="675" t="s">
        <v>2238</v>
      </c>
      <c r="H448" s="675">
        <v>72</v>
      </c>
      <c r="I448" s="676" t="s">
        <v>3796</v>
      </c>
      <c r="J448" s="677">
        <v>0.03</v>
      </c>
      <c r="K448" s="683">
        <v>6</v>
      </c>
      <c r="L448" s="677">
        <v>0</v>
      </c>
      <c r="M448" s="677">
        <v>0</v>
      </c>
      <c r="N448" s="677">
        <v>1</v>
      </c>
      <c r="O448" s="677">
        <v>0</v>
      </c>
      <c r="P448" s="677">
        <v>0</v>
      </c>
      <c r="Q448" s="677">
        <v>0</v>
      </c>
      <c r="R448" s="677">
        <v>0</v>
      </c>
      <c r="S448" s="677">
        <v>0</v>
      </c>
      <c r="T448" s="677">
        <v>2</v>
      </c>
      <c r="U448" s="677">
        <v>0</v>
      </c>
      <c r="V448" s="677">
        <v>0</v>
      </c>
      <c r="W448" s="677">
        <v>0</v>
      </c>
      <c r="X448" s="678"/>
      <c r="Y448" s="682"/>
      <c r="Z448" s="680"/>
      <c r="AA448" s="681">
        <v>69.162000000000006</v>
      </c>
      <c r="AB448" s="681">
        <v>28.722000000000001</v>
      </c>
      <c r="AC448" s="417">
        <v>0</v>
      </c>
      <c r="AD448" s="417"/>
      <c r="AE448" s="682" t="s">
        <v>4370</v>
      </c>
      <c r="AF448">
        <v>1</v>
      </c>
      <c r="AG448" s="745">
        <v>43101</v>
      </c>
      <c r="AH448" s="417"/>
      <c r="AI448" s="417"/>
      <c r="AJ448" s="746">
        <v>43283</v>
      </c>
      <c r="AK448" s="417"/>
      <c r="AL448" s="637" t="s">
        <v>3474</v>
      </c>
      <c r="AM448" s="417"/>
      <c r="AN448" s="417"/>
      <c r="AO448" s="636"/>
      <c r="AP448">
        <v>556707</v>
      </c>
      <c r="AQ448" s="747">
        <v>43250</v>
      </c>
      <c r="AR448" s="417"/>
      <c r="AS448" s="417"/>
      <c r="AT448" s="417"/>
      <c r="AU448" s="417"/>
      <c r="AV448" s="417"/>
      <c r="AW448" s="417"/>
      <c r="AX448" s="417"/>
      <c r="AY448" s="183" t="s">
        <v>4245</v>
      </c>
      <c r="AZ448" s="417"/>
      <c r="BA448" s="417"/>
      <c r="BB448" t="s">
        <v>4238</v>
      </c>
      <c r="BC448" s="636"/>
      <c r="BD448" s="417"/>
      <c r="BE448" s="612">
        <v>0</v>
      </c>
      <c r="BF448" s="613">
        <v>0</v>
      </c>
      <c r="BG448" s="614" t="s">
        <v>78</v>
      </c>
      <c r="BH448" s="682"/>
      <c r="BI448" s="417"/>
      <c r="BJ448" s="417">
        <v>5</v>
      </c>
      <c r="BK448" s="682" t="str">
        <f>Техкарта[[#This Row],[Кв-л]]&amp;" кв ("&amp;Substring(Техкарта[[#This Row],[Виділ]],"_",1)&amp;" вид) "&amp;Substring(Техкарта[[#This Row],[Виділ]],"_",2)&amp;" діл."</f>
        <v>72 кв (5 вид) 1 діл.</v>
      </c>
      <c r="BL448" s="682" t="str">
        <f>Техкарта[[#This Row],[ПолнаяДіл]] &amp;" "&amp;Техкарта[[#This Row],[ЛК]]&amp;" "&amp;Техкарта[[#This Row],[Вид рубки]]</f>
        <v>72 кв (5 вид) 1 діл. 556707 РЛД</v>
      </c>
      <c r="BM448" s="682"/>
      <c r="BN448" s="636" t="s">
        <v>3784</v>
      </c>
      <c r="BO448" s="636" t="s">
        <v>3784</v>
      </c>
      <c r="BP448" s="636" t="s">
        <v>3784</v>
      </c>
      <c r="BQ448" s="636" t="s">
        <v>105</v>
      </c>
      <c r="BR448" s="636"/>
      <c r="BS448" s="636"/>
      <c r="BT448" s="636"/>
      <c r="BU448" s="636"/>
      <c r="BV448" s="636"/>
      <c r="BW448" s="636" t="s">
        <v>4351</v>
      </c>
      <c r="BX448" s="636"/>
      <c r="BY448" s="972"/>
    </row>
    <row r="449" spans="1:77">
      <c r="A449" t="s">
        <v>105</v>
      </c>
      <c r="B449" s="675" t="s">
        <v>113</v>
      </c>
      <c r="C449" s="687" t="s">
        <v>3842</v>
      </c>
      <c r="D449" s="675">
        <v>0</v>
      </c>
      <c r="E449" s="675" t="s">
        <v>2305</v>
      </c>
      <c r="F449" s="675">
        <v>3</v>
      </c>
      <c r="G449" s="675" t="s">
        <v>2238</v>
      </c>
      <c r="H449" s="675">
        <v>75</v>
      </c>
      <c r="I449" s="676" t="s">
        <v>3809</v>
      </c>
      <c r="J449" s="677">
        <v>0.5</v>
      </c>
      <c r="K449" s="683">
        <v>75</v>
      </c>
      <c r="L449" s="677">
        <v>0</v>
      </c>
      <c r="M449" s="677">
        <v>0</v>
      </c>
      <c r="N449" s="677">
        <v>7</v>
      </c>
      <c r="O449" s="677">
        <v>0</v>
      </c>
      <c r="P449" s="677">
        <v>0</v>
      </c>
      <c r="Q449" s="677">
        <v>0</v>
      </c>
      <c r="R449" s="677">
        <v>0</v>
      </c>
      <c r="S449" s="677">
        <v>0</v>
      </c>
      <c r="T449" s="677">
        <v>26</v>
      </c>
      <c r="U449" s="677">
        <v>0</v>
      </c>
      <c r="V449" s="677">
        <v>0</v>
      </c>
      <c r="W449" s="677">
        <v>0</v>
      </c>
      <c r="X449" s="678"/>
      <c r="Y449" s="682"/>
      <c r="Z449" s="680"/>
      <c r="AA449" s="681">
        <v>73.385000000000005</v>
      </c>
      <c r="AB449" s="681">
        <v>28.722000000000001</v>
      </c>
      <c r="AC449" s="417">
        <v>0</v>
      </c>
      <c r="AD449" s="417"/>
      <c r="AE449" s="682" t="s">
        <v>4371</v>
      </c>
      <c r="AF449">
        <v>1</v>
      </c>
      <c r="AG449" s="745">
        <v>43101</v>
      </c>
      <c r="AH449" s="417"/>
      <c r="AI449" s="417"/>
      <c r="AJ449" s="746">
        <v>43283</v>
      </c>
      <c r="AK449" s="417"/>
      <c r="AL449" s="637" t="s">
        <v>3474</v>
      </c>
      <c r="AM449" s="417"/>
      <c r="AN449" s="417"/>
      <c r="AO449" s="636"/>
      <c r="AP449">
        <v>556707</v>
      </c>
      <c r="AQ449" s="747">
        <v>43250</v>
      </c>
      <c r="AR449" s="417"/>
      <c r="AS449" s="417"/>
      <c r="AT449" s="417"/>
      <c r="AU449" s="417"/>
      <c r="AV449" s="417"/>
      <c r="AW449" s="417"/>
      <c r="AX449" s="417"/>
      <c r="AY449" s="183" t="s">
        <v>4245</v>
      </c>
      <c r="AZ449" s="417"/>
      <c r="BA449" s="417"/>
      <c r="BB449" t="s">
        <v>4238</v>
      </c>
      <c r="BC449" s="636"/>
      <c r="BD449" s="417"/>
      <c r="BE449" s="612">
        <v>0</v>
      </c>
      <c r="BF449" s="613">
        <v>0</v>
      </c>
      <c r="BG449" s="614" t="s">
        <v>78</v>
      </c>
      <c r="BH449" s="682"/>
      <c r="BI449" s="417"/>
      <c r="BJ449" s="417">
        <v>6</v>
      </c>
      <c r="BK449" s="682" t="str">
        <f>Техкарта[[#This Row],[Кв-л]]&amp;" кв ("&amp;Substring(Техкарта[[#This Row],[Виділ]],"_",1)&amp;" вид) "&amp;Substring(Техкарта[[#This Row],[Виділ]],"_",2)&amp;" діл."</f>
        <v>75 кв (2 вид) 1 діл.</v>
      </c>
      <c r="BL449" s="682" t="str">
        <f>Техкарта[[#This Row],[ПолнаяДіл]] &amp;" "&amp;Техкарта[[#This Row],[ЛК]]&amp;" "&amp;Техкарта[[#This Row],[Вид рубки]]</f>
        <v>75 кв (2 вид) 1 діл. 556707 РЛД</v>
      </c>
      <c r="BM449" s="682"/>
      <c r="BN449" s="636" t="s">
        <v>3784</v>
      </c>
      <c r="BO449" s="636" t="s">
        <v>3784</v>
      </c>
      <c r="BP449" s="636" t="s">
        <v>3784</v>
      </c>
      <c r="BQ449" s="636" t="s">
        <v>105</v>
      </c>
      <c r="BR449" s="636"/>
      <c r="BS449" s="636"/>
      <c r="BT449" s="636"/>
      <c r="BU449" s="636"/>
      <c r="BV449" s="636"/>
      <c r="BW449" s="636" t="s">
        <v>4351</v>
      </c>
      <c r="BX449" s="636"/>
      <c r="BY449" s="972"/>
    </row>
    <row r="450" spans="1:77">
      <c r="A450" t="s">
        <v>3896</v>
      </c>
      <c r="B450" s="675" t="s">
        <v>113</v>
      </c>
      <c r="C450" s="687" t="s">
        <v>3843</v>
      </c>
      <c r="D450" s="675">
        <v>0</v>
      </c>
      <c r="E450" s="675" t="s">
        <v>2311</v>
      </c>
      <c r="F450" s="675">
        <v>3</v>
      </c>
      <c r="G450" s="675" t="s">
        <v>79</v>
      </c>
      <c r="H450" s="675">
        <v>94</v>
      </c>
      <c r="I450" s="676" t="s">
        <v>3829</v>
      </c>
      <c r="J450" s="677">
        <v>5.4</v>
      </c>
      <c r="K450" s="683">
        <v>450</v>
      </c>
      <c r="L450" s="677"/>
      <c r="M450" s="677">
        <v>0</v>
      </c>
      <c r="N450" s="677">
        <v>100</v>
      </c>
      <c r="O450" s="677"/>
      <c r="P450" s="677"/>
      <c r="Q450" s="677">
        <v>0</v>
      </c>
      <c r="R450" s="677"/>
      <c r="S450" s="677">
        <v>0</v>
      </c>
      <c r="T450" s="677">
        <v>0</v>
      </c>
      <c r="U450" s="677"/>
      <c r="V450" s="677">
        <v>0</v>
      </c>
      <c r="W450" s="677">
        <v>0</v>
      </c>
      <c r="X450" s="678"/>
      <c r="Y450" s="682"/>
      <c r="Z450" s="680"/>
      <c r="AA450" s="681">
        <v>309.8</v>
      </c>
      <c r="AB450" s="681"/>
      <c r="AC450" s="417">
        <v>23</v>
      </c>
      <c r="AD450" s="417"/>
      <c r="AE450" s="682" t="s">
        <v>4372</v>
      </c>
      <c r="AF450">
        <v>1</v>
      </c>
      <c r="AG450" s="745">
        <v>43101</v>
      </c>
      <c r="AH450" s="417"/>
      <c r="AI450" s="417"/>
      <c r="AJ450" s="746">
        <v>43283</v>
      </c>
      <c r="AK450" s="417"/>
      <c r="AL450" s="637" t="s">
        <v>3447</v>
      </c>
      <c r="AM450" s="417"/>
      <c r="AN450" s="417"/>
      <c r="AO450" s="636"/>
      <c r="AP450">
        <v>556671</v>
      </c>
      <c r="AQ450" s="747">
        <v>43201</v>
      </c>
      <c r="AR450" s="417">
        <v>0.3</v>
      </c>
      <c r="AS450" s="417"/>
      <c r="AT450" s="417"/>
      <c r="AU450" s="417"/>
      <c r="AV450" s="417"/>
      <c r="AW450" s="417"/>
      <c r="AX450" s="417"/>
      <c r="AY450" s="183" t="s">
        <v>4245</v>
      </c>
      <c r="AZ450" s="417"/>
      <c r="BA450" s="417"/>
      <c r="BB450" t="s">
        <v>4238</v>
      </c>
      <c r="BC450" s="636"/>
      <c r="BD450" s="417"/>
      <c r="BE450" s="612"/>
      <c r="BF450" s="613"/>
      <c r="BG450" s="614"/>
      <c r="BH450" s="682"/>
      <c r="BI450" s="417"/>
      <c r="BJ450" s="417">
        <v>12</v>
      </c>
      <c r="BK450" s="682" t="str">
        <f>Техкарта[[#This Row],[Кв-л]]&amp;" кв ("&amp;Substring(Техкарта[[#This Row],[Виділ]],"_",1)&amp;" вид) "&amp;Substring(Техкарта[[#This Row],[Виділ]],"_",2)&amp;" діл."</f>
        <v>94 кв (3 вид) 0 діл.</v>
      </c>
      <c r="BL450" s="682" t="str">
        <f>Техкарта[[#This Row],[ПолнаяДіл]] &amp;" "&amp;Техкарта[[#This Row],[ЛК]]&amp;" "&amp;Техкарта[[#This Row],[Вид рубки]]</f>
        <v>94 кв (3 вид) 0 діл. 556671 ОСВ</v>
      </c>
      <c r="BM450" s="682"/>
      <c r="BN450" s="636"/>
      <c r="BO450" s="636"/>
      <c r="BP450" s="636"/>
      <c r="BQ450" s="636" t="s">
        <v>3896</v>
      </c>
      <c r="BR450" s="636">
        <v>2</v>
      </c>
      <c r="BS450" s="636"/>
      <c r="BT450" s="636"/>
      <c r="BU450" s="636"/>
      <c r="BV450" s="636"/>
      <c r="BW450" s="636" t="s">
        <v>4351</v>
      </c>
      <c r="BX450" s="636"/>
      <c r="BY450" s="972"/>
    </row>
    <row r="451" spans="1:77">
      <c r="A451" t="s">
        <v>3896</v>
      </c>
      <c r="B451" s="675" t="s">
        <v>113</v>
      </c>
      <c r="C451" s="687" t="s">
        <v>3844</v>
      </c>
      <c r="D451" s="675">
        <v>0</v>
      </c>
      <c r="E451" s="675" t="s">
        <v>2311</v>
      </c>
      <c r="F451" s="675">
        <v>3</v>
      </c>
      <c r="G451" s="675" t="s">
        <v>79</v>
      </c>
      <c r="H451" s="675">
        <v>19</v>
      </c>
      <c r="I451" s="676" t="s">
        <v>3850</v>
      </c>
      <c r="J451" s="677">
        <v>1.3</v>
      </c>
      <c r="K451" s="683">
        <v>450</v>
      </c>
      <c r="L451" s="677"/>
      <c r="M451" s="677">
        <v>0</v>
      </c>
      <c r="N451" s="677">
        <v>20</v>
      </c>
      <c r="O451" s="677"/>
      <c r="P451" s="677"/>
      <c r="Q451" s="677">
        <v>0</v>
      </c>
      <c r="R451" s="677"/>
      <c r="S451" s="677">
        <v>0</v>
      </c>
      <c r="T451" s="677">
        <v>0</v>
      </c>
      <c r="U451" s="677"/>
      <c r="V451" s="677">
        <v>0</v>
      </c>
      <c r="W451" s="677">
        <v>0</v>
      </c>
      <c r="X451" s="678"/>
      <c r="Y451" s="682"/>
      <c r="Z451" s="680"/>
      <c r="AA451" s="681">
        <v>309.89999999999998</v>
      </c>
      <c r="AB451" s="681"/>
      <c r="AC451" s="417">
        <v>23</v>
      </c>
      <c r="AD451" s="417"/>
      <c r="AE451" s="682" t="s">
        <v>4373</v>
      </c>
      <c r="AF451">
        <v>1</v>
      </c>
      <c r="AG451" s="745">
        <v>43101</v>
      </c>
      <c r="AH451" s="417"/>
      <c r="AI451" s="417"/>
      <c r="AJ451" s="746">
        <v>43283</v>
      </c>
      <c r="AK451" s="417"/>
      <c r="AL451" s="637" t="s">
        <v>3435</v>
      </c>
      <c r="AM451" s="417"/>
      <c r="AN451" s="417"/>
      <c r="AO451" s="636"/>
      <c r="AP451">
        <v>556708</v>
      </c>
      <c r="AQ451" s="747">
        <v>43256</v>
      </c>
      <c r="AR451" s="417">
        <v>0.3</v>
      </c>
      <c r="AS451" s="417"/>
      <c r="AT451" s="417"/>
      <c r="AU451" s="417"/>
      <c r="AV451" s="417"/>
      <c r="AW451" s="417"/>
      <c r="AX451" s="417"/>
      <c r="AY451" s="183" t="s">
        <v>4245</v>
      </c>
      <c r="AZ451" s="417"/>
      <c r="BA451" s="417"/>
      <c r="BB451" t="s">
        <v>4238</v>
      </c>
      <c r="BC451" s="636"/>
      <c r="BD451" s="417"/>
      <c r="BE451" s="612"/>
      <c r="BF451" s="613"/>
      <c r="BG451" s="614"/>
      <c r="BH451" s="682"/>
      <c r="BI451" s="417"/>
      <c r="BJ451" s="417">
        <v>13</v>
      </c>
      <c r="BK451" s="682" t="str">
        <f>Техкарта[[#This Row],[Кв-л]]&amp;" кв ("&amp;Substring(Техкарта[[#This Row],[Виділ]],"_",1)&amp;" вид) "&amp;Substring(Техкарта[[#This Row],[Виділ]],"_",2)&amp;" діл."</f>
        <v>19 кв (6 вид) 0 діл.</v>
      </c>
      <c r="BL451" s="682" t="str">
        <f>Техкарта[[#This Row],[ПолнаяДіл]] &amp;" "&amp;Техкарта[[#This Row],[ЛК]]&amp;" "&amp;Техкарта[[#This Row],[Вид рубки]]</f>
        <v>19 кв (6 вид) 0 діл. 556708 ЛД</v>
      </c>
      <c r="BM451" s="682"/>
      <c r="BN451" s="636"/>
      <c r="BO451" s="636"/>
      <c r="BP451" s="636"/>
      <c r="BQ451" s="636" t="s">
        <v>3896</v>
      </c>
      <c r="BR451" s="636">
        <v>2</v>
      </c>
      <c r="BS451" s="636"/>
      <c r="BT451" s="636"/>
      <c r="BU451" s="636"/>
      <c r="BV451" s="636"/>
      <c r="BW451" s="636" t="s">
        <v>4351</v>
      </c>
      <c r="BX451" s="636"/>
      <c r="BY451" s="972"/>
    </row>
    <row r="452" spans="1:77">
      <c r="A452" t="s">
        <v>3896</v>
      </c>
      <c r="B452" s="675" t="s">
        <v>111</v>
      </c>
      <c r="C452" s="687" t="s">
        <v>3843</v>
      </c>
      <c r="D452" s="675">
        <v>0</v>
      </c>
      <c r="E452" s="675" t="s">
        <v>2311</v>
      </c>
      <c r="F452" s="675">
        <v>3</v>
      </c>
      <c r="G452" s="675" t="s">
        <v>79</v>
      </c>
      <c r="H452" s="675">
        <v>114</v>
      </c>
      <c r="I452" s="676" t="s">
        <v>3831</v>
      </c>
      <c r="J452" s="677">
        <v>3.7</v>
      </c>
      <c r="K452" s="683">
        <v>450</v>
      </c>
      <c r="L452" s="677"/>
      <c r="M452" s="677">
        <v>0</v>
      </c>
      <c r="N452" s="677">
        <v>430</v>
      </c>
      <c r="O452" s="677"/>
      <c r="P452" s="677"/>
      <c r="Q452" s="677">
        <v>0</v>
      </c>
      <c r="R452" s="677"/>
      <c r="S452" s="677">
        <v>0</v>
      </c>
      <c r="T452" s="677">
        <v>0</v>
      </c>
      <c r="U452" s="677"/>
      <c r="V452" s="677">
        <v>0</v>
      </c>
      <c r="W452" s="677">
        <v>0</v>
      </c>
      <c r="X452" s="678"/>
      <c r="Y452" s="682"/>
      <c r="Z452" s="680"/>
      <c r="AA452" s="681">
        <v>185.62</v>
      </c>
      <c r="AB452" s="681"/>
      <c r="AC452" s="417">
        <v>23</v>
      </c>
      <c r="AD452" s="417"/>
      <c r="AE452" s="682" t="s">
        <v>4374</v>
      </c>
      <c r="AF452">
        <v>1</v>
      </c>
      <c r="AG452" s="749">
        <v>43101</v>
      </c>
      <c r="AH452" s="417"/>
      <c r="AI452" s="417"/>
      <c r="AJ452" s="750">
        <v>43283</v>
      </c>
      <c r="AK452" s="417"/>
      <c r="AL452" s="637" t="s">
        <v>3472</v>
      </c>
      <c r="AM452" s="417"/>
      <c r="AN452" s="417"/>
      <c r="AO452" s="636"/>
      <c r="AP452">
        <v>556667</v>
      </c>
      <c r="AQ452" s="751">
        <v>43192</v>
      </c>
      <c r="AR452" s="417">
        <v>0.3</v>
      </c>
      <c r="AS452" s="417"/>
      <c r="AT452" s="417"/>
      <c r="AU452" s="417"/>
      <c r="AV452" s="417"/>
      <c r="AW452" s="417"/>
      <c r="AX452" s="417"/>
      <c r="AY452" s="183" t="s">
        <v>3424</v>
      </c>
      <c r="AZ452" s="417"/>
      <c r="BA452" s="417"/>
      <c r="BB452" t="s">
        <v>3583</v>
      </c>
      <c r="BC452" s="636"/>
      <c r="BD452" s="417"/>
      <c r="BE452" s="612"/>
      <c r="BF452" s="613"/>
      <c r="BG452" s="614"/>
      <c r="BH452" s="682"/>
      <c r="BI452" s="417"/>
      <c r="BJ452" s="417">
        <v>1</v>
      </c>
      <c r="BK452" s="682" t="str">
        <f>Техкарта[[#This Row],[Кв-л]]&amp;" кв ("&amp;Substring(Техкарта[[#This Row],[Виділ]],"_",1)&amp;" вид) "&amp;Substring(Техкарта[[#This Row],[Виділ]],"_",2)&amp;" діл."</f>
        <v>114 кв (4 вид) 0 діл.</v>
      </c>
      <c r="BL452" s="682" t="str">
        <f>Техкарта[[#This Row],[ПолнаяДіл]] &amp;" "&amp;Техкарта[[#This Row],[ЛК]]&amp;" "&amp;Техкарта[[#This Row],[Вид рубки]]</f>
        <v>114 кв (4 вид) 0 діл. 556667 ОСВ</v>
      </c>
      <c r="BM452" s="682"/>
      <c r="BN452" s="636"/>
      <c r="BO452" s="636"/>
      <c r="BP452" s="636"/>
      <c r="BQ452" s="636" t="s">
        <v>3896</v>
      </c>
      <c r="BR452" s="636">
        <v>2</v>
      </c>
      <c r="BS452" s="636"/>
      <c r="BT452" s="636"/>
      <c r="BU452" s="636"/>
      <c r="BV452" s="636"/>
      <c r="BW452" s="636" t="s">
        <v>4351</v>
      </c>
      <c r="BX452" s="636"/>
      <c r="BY452" s="972"/>
    </row>
    <row r="453" spans="1:77">
      <c r="A453" t="s">
        <v>3896</v>
      </c>
      <c r="B453" s="675" t="s">
        <v>116</v>
      </c>
      <c r="C453" s="687" t="s">
        <v>3843</v>
      </c>
      <c r="D453" s="675">
        <v>0</v>
      </c>
      <c r="E453" s="675" t="s">
        <v>2311</v>
      </c>
      <c r="F453" s="675">
        <v>3</v>
      </c>
      <c r="G453" s="675" t="s">
        <v>79</v>
      </c>
      <c r="H453" s="675">
        <v>60</v>
      </c>
      <c r="I453" s="676" t="s">
        <v>3831</v>
      </c>
      <c r="J453" s="677">
        <v>3</v>
      </c>
      <c r="K453" s="683">
        <v>450</v>
      </c>
      <c r="L453" s="677"/>
      <c r="M453" s="677">
        <v>0</v>
      </c>
      <c r="N453" s="677">
        <v>90</v>
      </c>
      <c r="O453" s="677"/>
      <c r="P453" s="677"/>
      <c r="Q453" s="677">
        <v>50</v>
      </c>
      <c r="R453" s="677"/>
      <c r="S453" s="677">
        <v>0</v>
      </c>
      <c r="T453" s="677">
        <v>0</v>
      </c>
      <c r="U453" s="677"/>
      <c r="V453" s="677">
        <v>0</v>
      </c>
      <c r="W453" s="677">
        <v>0</v>
      </c>
      <c r="X453" s="678"/>
      <c r="Y453" s="682"/>
      <c r="Z453" s="680"/>
      <c r="AA453" s="681">
        <v>239.58</v>
      </c>
      <c r="AB453" s="681"/>
      <c r="AC453" s="417">
        <v>23</v>
      </c>
      <c r="AD453" s="417"/>
      <c r="AE453" s="682" t="s">
        <v>4375</v>
      </c>
      <c r="AF453">
        <v>1</v>
      </c>
      <c r="AG453" s="749">
        <v>43101</v>
      </c>
      <c r="AH453" s="417"/>
      <c r="AI453" s="417"/>
      <c r="AJ453" s="750">
        <v>43283</v>
      </c>
      <c r="AK453" s="417"/>
      <c r="AL453" s="637" t="s">
        <v>3475</v>
      </c>
      <c r="AM453" s="417"/>
      <c r="AN453" s="417"/>
      <c r="AO453" s="636"/>
      <c r="AP453">
        <v>556665</v>
      </c>
      <c r="AQ453" s="751">
        <v>43192</v>
      </c>
      <c r="AR453" s="417">
        <v>0.4</v>
      </c>
      <c r="AS453" s="417"/>
      <c r="AT453" s="417"/>
      <c r="AU453" s="417"/>
      <c r="AV453" s="417"/>
      <c r="AW453" s="417"/>
      <c r="AX453" s="417"/>
      <c r="AY453" s="183" t="s">
        <v>4245</v>
      </c>
      <c r="AZ453" s="417"/>
      <c r="BA453" s="417"/>
      <c r="BB453" t="s">
        <v>4238</v>
      </c>
      <c r="BC453" s="636"/>
      <c r="BD453" s="417"/>
      <c r="BE453" s="612"/>
      <c r="BF453" s="613"/>
      <c r="BG453" s="614"/>
      <c r="BH453" s="682"/>
      <c r="BI453" s="417"/>
      <c r="BJ453" s="417">
        <v>16</v>
      </c>
      <c r="BK453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453" s="682" t="str">
        <f>Техкарта[[#This Row],[ПолнаяДіл]] &amp;" "&amp;Техкарта[[#This Row],[ЛК]]&amp;" "&amp;Техкарта[[#This Row],[Вид рубки]]</f>
        <v>60 кв (4 вид) 0 діл. 556665 ОСВ</v>
      </c>
      <c r="BM453" s="682"/>
      <c r="BN453" s="636"/>
      <c r="BO453" s="636"/>
      <c r="BP453" s="636"/>
      <c r="BQ453" s="636" t="s">
        <v>3896</v>
      </c>
      <c r="BR453" s="636">
        <v>2</v>
      </c>
      <c r="BS453" s="636"/>
      <c r="BT453" s="636"/>
      <c r="BU453" s="636"/>
      <c r="BV453" s="636"/>
      <c r="BW453" s="636" t="s">
        <v>4351</v>
      </c>
      <c r="BX453" s="636"/>
      <c r="BY453" s="972"/>
    </row>
    <row r="454" spans="1:77">
      <c r="A454" t="s">
        <v>3896</v>
      </c>
      <c r="B454" s="675" t="s">
        <v>116</v>
      </c>
      <c r="C454" s="687" t="s">
        <v>3843</v>
      </c>
      <c r="D454" s="675">
        <v>0</v>
      </c>
      <c r="E454" s="675" t="s">
        <v>2311</v>
      </c>
      <c r="F454" s="675">
        <v>3</v>
      </c>
      <c r="G454" s="675" t="s">
        <v>79</v>
      </c>
      <c r="H454" s="675">
        <v>2</v>
      </c>
      <c r="I454" s="676" t="s">
        <v>3833</v>
      </c>
      <c r="J454" s="677">
        <v>1.7</v>
      </c>
      <c r="K454" s="683">
        <v>450</v>
      </c>
      <c r="L454" s="677"/>
      <c r="M454" s="677">
        <v>0</v>
      </c>
      <c r="N454" s="677">
        <v>240</v>
      </c>
      <c r="O454" s="677"/>
      <c r="P454" s="677"/>
      <c r="Q454" s="677">
        <v>0</v>
      </c>
      <c r="R454" s="677"/>
      <c r="S454" s="677">
        <v>0</v>
      </c>
      <c r="T454" s="677">
        <v>0</v>
      </c>
      <c r="U454" s="677"/>
      <c r="V454" s="677">
        <v>0</v>
      </c>
      <c r="W454" s="677">
        <v>0</v>
      </c>
      <c r="X454" s="678"/>
      <c r="Y454" s="682"/>
      <c r="Z454" s="680"/>
      <c r="AA454" s="681">
        <v>185.62</v>
      </c>
      <c r="AB454" s="681"/>
      <c r="AC454" s="417">
        <v>23</v>
      </c>
      <c r="AD454" s="417"/>
      <c r="AE454" s="682" t="s">
        <v>4375</v>
      </c>
      <c r="AF454">
        <v>1</v>
      </c>
      <c r="AG454" s="749">
        <v>43101</v>
      </c>
      <c r="AH454" s="417"/>
      <c r="AI454" s="417"/>
      <c r="AJ454" s="750">
        <v>43283</v>
      </c>
      <c r="AK454" s="417"/>
      <c r="AL454" s="637" t="s">
        <v>3455</v>
      </c>
      <c r="AM454" s="417"/>
      <c r="AN454" s="417"/>
      <c r="AO454" s="636"/>
      <c r="AP454">
        <v>556665</v>
      </c>
      <c r="AQ454" s="751">
        <v>43192</v>
      </c>
      <c r="AR454" s="417">
        <v>0.3</v>
      </c>
      <c r="AS454" s="417"/>
      <c r="AT454" s="417"/>
      <c r="AU454" s="417"/>
      <c r="AV454" s="417"/>
      <c r="AW454" s="417"/>
      <c r="AX454" s="417"/>
      <c r="AY454" s="183" t="s">
        <v>4245</v>
      </c>
      <c r="AZ454" s="417"/>
      <c r="BA454" s="417"/>
      <c r="BB454" t="s">
        <v>4238</v>
      </c>
      <c r="BC454" s="636"/>
      <c r="BD454" s="417"/>
      <c r="BE454" s="612"/>
      <c r="BF454" s="613"/>
      <c r="BG454" s="614"/>
      <c r="BH454" s="682"/>
      <c r="BI454" s="417"/>
      <c r="BJ454" s="417">
        <v>17</v>
      </c>
      <c r="BK454" s="682" t="str">
        <f>Техкарта[[#This Row],[Кв-л]]&amp;" кв ("&amp;Substring(Техкарта[[#This Row],[Виділ]],"_",1)&amp;" вид) "&amp;Substring(Техкарта[[#This Row],[Виділ]],"_",2)&amp;" діл."</f>
        <v>2 кв (8 вид) 0 діл.</v>
      </c>
      <c r="BL454" s="682" t="str">
        <f>Техкарта[[#This Row],[ПолнаяДіл]] &amp;" "&amp;Техкарта[[#This Row],[ЛК]]&amp;" "&amp;Техкарта[[#This Row],[Вид рубки]]</f>
        <v>2 кв (8 вид) 0 діл. 556665 ОСВ</v>
      </c>
      <c r="BM454" s="682"/>
      <c r="BN454" s="636"/>
      <c r="BO454" s="636"/>
      <c r="BP454" s="636"/>
      <c r="BQ454" s="636" t="s">
        <v>3896</v>
      </c>
      <c r="BR454" s="636">
        <v>2</v>
      </c>
      <c r="BS454" s="636"/>
      <c r="BT454" s="636"/>
      <c r="BU454" s="636"/>
      <c r="BV454" s="636"/>
      <c r="BW454" s="636" t="s">
        <v>4351</v>
      </c>
      <c r="BX454" s="636"/>
      <c r="BY454" s="972"/>
    </row>
    <row r="455" spans="1:77">
      <c r="A455" t="s">
        <v>3896</v>
      </c>
      <c r="B455" s="675" t="s">
        <v>116</v>
      </c>
      <c r="C455" s="687" t="s">
        <v>3843</v>
      </c>
      <c r="D455" s="675">
        <v>0</v>
      </c>
      <c r="E455" s="675" t="s">
        <v>2311</v>
      </c>
      <c r="F455" s="675">
        <v>3</v>
      </c>
      <c r="G455" s="675" t="s">
        <v>79</v>
      </c>
      <c r="H455" s="675">
        <v>93</v>
      </c>
      <c r="I455" s="676" t="s">
        <v>3790</v>
      </c>
      <c r="J455" s="677">
        <v>0.6</v>
      </c>
      <c r="K455" s="683">
        <v>450</v>
      </c>
      <c r="L455" s="677"/>
      <c r="M455" s="677">
        <v>0</v>
      </c>
      <c r="N455" s="677">
        <v>30</v>
      </c>
      <c r="O455" s="677"/>
      <c r="P455" s="677"/>
      <c r="Q455" s="677">
        <v>0</v>
      </c>
      <c r="R455" s="677"/>
      <c r="S455" s="677">
        <v>0</v>
      </c>
      <c r="T455" s="677">
        <v>0</v>
      </c>
      <c r="U455" s="677"/>
      <c r="V455" s="677">
        <v>0</v>
      </c>
      <c r="W455" s="677">
        <v>0</v>
      </c>
      <c r="X455" s="678"/>
      <c r="Y455" s="682"/>
      <c r="Z455" s="680"/>
      <c r="AA455" s="681">
        <v>229.39</v>
      </c>
      <c r="AB455" s="681"/>
      <c r="AC455" s="417">
        <v>23</v>
      </c>
      <c r="AD455" s="417"/>
      <c r="AE455" s="682" t="s">
        <v>4376</v>
      </c>
      <c r="AF455">
        <v>1</v>
      </c>
      <c r="AG455" s="749">
        <v>43101</v>
      </c>
      <c r="AH455" s="417"/>
      <c r="AI455" s="417"/>
      <c r="AJ455" s="750">
        <v>43283</v>
      </c>
      <c r="AK455" s="417"/>
      <c r="AL455" s="637" t="s">
        <v>3475</v>
      </c>
      <c r="AM455" s="417"/>
      <c r="AN455" s="417"/>
      <c r="AO455" s="636"/>
      <c r="AP455">
        <v>556665</v>
      </c>
      <c r="AQ455" s="751">
        <v>43192</v>
      </c>
      <c r="AR455" s="417">
        <v>0.3</v>
      </c>
      <c r="AS455" s="417"/>
      <c r="AT455" s="417"/>
      <c r="AU455" s="417"/>
      <c r="AV455" s="417"/>
      <c r="AW455" s="417"/>
      <c r="AX455" s="417"/>
      <c r="AY455" s="183" t="s">
        <v>4245</v>
      </c>
      <c r="AZ455" s="417"/>
      <c r="BA455" s="417"/>
      <c r="BB455" t="s">
        <v>4238</v>
      </c>
      <c r="BC455" s="636"/>
      <c r="BD455" s="417"/>
      <c r="BE455" s="612"/>
      <c r="BF455" s="613"/>
      <c r="BG455" s="614"/>
      <c r="BH455" s="682"/>
      <c r="BI455" s="417"/>
      <c r="BJ455" s="417">
        <v>18</v>
      </c>
      <c r="BK455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455" s="682" t="str">
        <f>Техкарта[[#This Row],[ПолнаяДіл]] &amp;" "&amp;Техкарта[[#This Row],[ЛК]]&amp;" "&amp;Техкарта[[#This Row],[Вид рубки]]</f>
        <v>93 кв (2 вид) 0 діл. 556665 ОСВ</v>
      </c>
      <c r="BM455" s="682"/>
      <c r="BN455" s="636"/>
      <c r="BO455" s="636"/>
      <c r="BP455" s="636"/>
      <c r="BQ455" s="636" t="s">
        <v>3896</v>
      </c>
      <c r="BR455" s="636">
        <v>2</v>
      </c>
      <c r="BS455" s="636"/>
      <c r="BT455" s="636"/>
      <c r="BU455" s="636"/>
      <c r="BV455" s="636"/>
      <c r="BW455" s="636" t="s">
        <v>4351</v>
      </c>
      <c r="BX455" s="636"/>
      <c r="BY455" s="972"/>
    </row>
    <row r="456" spans="1:77">
      <c r="A456" t="s">
        <v>3896</v>
      </c>
      <c r="B456" s="675" t="s">
        <v>116</v>
      </c>
      <c r="C456" s="687" t="s">
        <v>3843</v>
      </c>
      <c r="D456" s="675">
        <v>0</v>
      </c>
      <c r="E456" s="675" t="s">
        <v>2311</v>
      </c>
      <c r="F456" s="675">
        <v>3</v>
      </c>
      <c r="G456" s="675" t="s">
        <v>79</v>
      </c>
      <c r="H456" s="675">
        <v>98</v>
      </c>
      <c r="I456" s="676" t="s">
        <v>3790</v>
      </c>
      <c r="J456" s="677">
        <v>5</v>
      </c>
      <c r="K456" s="683">
        <v>450</v>
      </c>
      <c r="L456" s="677"/>
      <c r="M456" s="677">
        <v>0</v>
      </c>
      <c r="N456" s="677">
        <v>750</v>
      </c>
      <c r="O456" s="677"/>
      <c r="P456" s="677"/>
      <c r="Q456" s="677">
        <v>0</v>
      </c>
      <c r="R456" s="677"/>
      <c r="S456" s="677">
        <v>0</v>
      </c>
      <c r="T456" s="677">
        <v>0</v>
      </c>
      <c r="U456" s="677"/>
      <c r="V456" s="677">
        <v>0</v>
      </c>
      <c r="W456" s="677">
        <v>0</v>
      </c>
      <c r="X456" s="678"/>
      <c r="Y456" s="682"/>
      <c r="Z456" s="680"/>
      <c r="AA456" s="681">
        <v>185.61</v>
      </c>
      <c r="AB456" s="681"/>
      <c r="AC456" s="417">
        <v>23</v>
      </c>
      <c r="AD456" s="417"/>
      <c r="AE456" s="682" t="s">
        <v>4377</v>
      </c>
      <c r="AF456">
        <v>1</v>
      </c>
      <c r="AG456" s="749">
        <v>43101</v>
      </c>
      <c r="AH456" s="417"/>
      <c r="AI456" s="417"/>
      <c r="AJ456" s="750">
        <v>43283</v>
      </c>
      <c r="AK456" s="417"/>
      <c r="AL456" s="637" t="s">
        <v>3475</v>
      </c>
      <c r="AM456" s="417"/>
      <c r="AN456" s="417"/>
      <c r="AO456" s="636"/>
      <c r="AP456">
        <v>556665</v>
      </c>
      <c r="AQ456" s="751">
        <v>43192</v>
      </c>
      <c r="AR456" s="417">
        <v>0.3</v>
      </c>
      <c r="AS456" s="417"/>
      <c r="AT456" s="417"/>
      <c r="AU456" s="417"/>
      <c r="AV456" s="417"/>
      <c r="AW456" s="417"/>
      <c r="AX456" s="417"/>
      <c r="AY456" s="183" t="s">
        <v>4245</v>
      </c>
      <c r="AZ456" s="417"/>
      <c r="BA456" s="417"/>
      <c r="BB456" t="s">
        <v>4238</v>
      </c>
      <c r="BC456" s="636"/>
      <c r="BD456" s="417"/>
      <c r="BE456" s="612"/>
      <c r="BF456" s="613"/>
      <c r="BG456" s="614"/>
      <c r="BH456" s="682"/>
      <c r="BI456" s="417"/>
      <c r="BJ456" s="417">
        <v>19</v>
      </c>
      <c r="BK456" s="682" t="str">
        <f>Техкарта[[#This Row],[Кв-л]]&amp;" кв ("&amp;Substring(Техкарта[[#This Row],[Виділ]],"_",1)&amp;" вид) "&amp;Substring(Техкарта[[#This Row],[Виділ]],"_",2)&amp;" діл."</f>
        <v>98 кв (2 вид) 0 діл.</v>
      </c>
      <c r="BL456" s="682" t="str">
        <f>Техкарта[[#This Row],[ПолнаяДіл]] &amp;" "&amp;Техкарта[[#This Row],[ЛК]]&amp;" "&amp;Техкарта[[#This Row],[Вид рубки]]</f>
        <v>98 кв (2 вид) 0 діл. 556665 ОСВ</v>
      </c>
      <c r="BM456" s="682"/>
      <c r="BN456" s="636"/>
      <c r="BO456" s="636"/>
      <c r="BP456" s="636"/>
      <c r="BQ456" s="636" t="s">
        <v>3896</v>
      </c>
      <c r="BR456" s="636">
        <v>2</v>
      </c>
      <c r="BS456" s="636"/>
      <c r="BT456" s="636"/>
      <c r="BU456" s="636"/>
      <c r="BV456" s="636"/>
      <c r="BW456" s="636" t="s">
        <v>4351</v>
      </c>
      <c r="BX456" s="636"/>
      <c r="BY456" s="972"/>
    </row>
    <row r="457" spans="1:77">
      <c r="A457" t="s">
        <v>3896</v>
      </c>
      <c r="B457" s="675" t="s">
        <v>116</v>
      </c>
      <c r="C457" s="687" t="s">
        <v>134</v>
      </c>
      <c r="D457" s="675">
        <v>0</v>
      </c>
      <c r="E457" s="675" t="s">
        <v>2311</v>
      </c>
      <c r="F457" s="675">
        <v>3</v>
      </c>
      <c r="G457" s="675" t="s">
        <v>79</v>
      </c>
      <c r="H457" s="675">
        <v>34</v>
      </c>
      <c r="I457" s="676" t="s">
        <v>3850</v>
      </c>
      <c r="J457" s="677">
        <v>1.4</v>
      </c>
      <c r="K457" s="683">
        <v>450</v>
      </c>
      <c r="L457" s="677"/>
      <c r="M457" s="677">
        <v>0</v>
      </c>
      <c r="N457" s="677">
        <v>0</v>
      </c>
      <c r="O457" s="677"/>
      <c r="P457" s="677"/>
      <c r="Q457" s="677">
        <v>200</v>
      </c>
      <c r="R457" s="677"/>
      <c r="S457" s="677">
        <v>0</v>
      </c>
      <c r="T457" s="677">
        <v>0</v>
      </c>
      <c r="U457" s="677"/>
      <c r="V457" s="677">
        <v>0</v>
      </c>
      <c r="W457" s="677">
        <v>0</v>
      </c>
      <c r="X457" s="678"/>
      <c r="Y457" s="682"/>
      <c r="Z457" s="680"/>
      <c r="AA457" s="681">
        <v>175.65</v>
      </c>
      <c r="AB457" s="681"/>
      <c r="AC457" s="417">
        <v>23</v>
      </c>
      <c r="AD457" s="417"/>
      <c r="AE457" s="682" t="s">
        <v>4378</v>
      </c>
      <c r="AF457">
        <v>1</v>
      </c>
      <c r="AG457" s="749">
        <v>43101</v>
      </c>
      <c r="AH457" s="417"/>
      <c r="AI457" s="417"/>
      <c r="AJ457" s="750">
        <v>43283</v>
      </c>
      <c r="AK457" s="417"/>
      <c r="AL457" s="637" t="s">
        <v>3437</v>
      </c>
      <c r="AM457" s="417"/>
      <c r="AN457" s="417"/>
      <c r="AO457" s="636"/>
      <c r="AP457">
        <v>556624</v>
      </c>
      <c r="AQ457" s="751">
        <v>43102</v>
      </c>
      <c r="AR457" s="417">
        <v>0.5</v>
      </c>
      <c r="AS457" s="417"/>
      <c r="AT457" s="417"/>
      <c r="AU457" s="417"/>
      <c r="AV457" s="417"/>
      <c r="AW457" s="417"/>
      <c r="AX457" s="417"/>
      <c r="AY457" s="183" t="s">
        <v>4245</v>
      </c>
      <c r="AZ457" s="417"/>
      <c r="BA457" s="417"/>
      <c r="BB457" t="s">
        <v>4238</v>
      </c>
      <c r="BC457" s="636"/>
      <c r="BD457" s="417"/>
      <c r="BE457" s="612"/>
      <c r="BF457" s="613"/>
      <c r="BG457" s="614"/>
      <c r="BH457" s="682"/>
      <c r="BI457" s="417"/>
      <c r="BJ457" s="417">
        <v>20</v>
      </c>
      <c r="BK457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457" s="682" t="str">
        <f>Техкарта[[#This Row],[ПолнаяДіл]] &amp;" "&amp;Техкарта[[#This Row],[ЛК]]&amp;" "&amp;Техкарта[[#This Row],[Вид рубки]]</f>
        <v>34 кв (6 вид) 0 діл. 556624 ПРЧ</v>
      </c>
      <c r="BM457" s="682"/>
      <c r="BN457" s="636"/>
      <c r="BO457" s="636"/>
      <c r="BP457" s="636"/>
      <c r="BQ457" s="636" t="s">
        <v>3896</v>
      </c>
      <c r="BR457" s="636">
        <v>2</v>
      </c>
      <c r="BS457" s="636"/>
      <c r="BT457" s="636"/>
      <c r="BU457" s="636"/>
      <c r="BV457" s="636"/>
      <c r="BW457" s="636" t="s">
        <v>4351</v>
      </c>
      <c r="BX457" s="636"/>
      <c r="BY457" s="972"/>
    </row>
    <row r="458" spans="1:77">
      <c r="A458" t="s">
        <v>3896</v>
      </c>
      <c r="B458" s="675" t="s">
        <v>116</v>
      </c>
      <c r="C458" s="687" t="s">
        <v>134</v>
      </c>
      <c r="D458" s="675">
        <v>0</v>
      </c>
      <c r="E458" s="675" t="s">
        <v>2311</v>
      </c>
      <c r="F458" s="675">
        <v>3</v>
      </c>
      <c r="G458" s="675" t="s">
        <v>79</v>
      </c>
      <c r="H458" s="675">
        <v>48</v>
      </c>
      <c r="I458" s="676" t="s">
        <v>3789</v>
      </c>
      <c r="J458" s="677">
        <v>0.9</v>
      </c>
      <c r="K458" s="683">
        <v>450</v>
      </c>
      <c r="L458" s="677"/>
      <c r="M458" s="677">
        <v>0</v>
      </c>
      <c r="N458" s="677">
        <v>60</v>
      </c>
      <c r="O458" s="677"/>
      <c r="P458" s="677"/>
      <c r="Q458" s="677">
        <v>0</v>
      </c>
      <c r="R458" s="677"/>
      <c r="S458" s="677">
        <v>0</v>
      </c>
      <c r="T458" s="677">
        <v>0</v>
      </c>
      <c r="U458" s="677"/>
      <c r="V458" s="677">
        <v>0</v>
      </c>
      <c r="W458" s="677">
        <v>0</v>
      </c>
      <c r="X458" s="678"/>
      <c r="Y458" s="682"/>
      <c r="Z458" s="680"/>
      <c r="AA458" s="681">
        <v>204.27</v>
      </c>
      <c r="AB458" s="681"/>
      <c r="AC458" s="417">
        <v>23</v>
      </c>
      <c r="AD458" s="417"/>
      <c r="AE458" s="682" t="s">
        <v>4379</v>
      </c>
      <c r="AF458">
        <v>1</v>
      </c>
      <c r="AG458" s="749">
        <v>43101</v>
      </c>
      <c r="AH458" s="417"/>
      <c r="AI458" s="417"/>
      <c r="AJ458" s="750">
        <v>43283</v>
      </c>
      <c r="AK458" s="417"/>
      <c r="AL458" s="637" t="s">
        <v>3437</v>
      </c>
      <c r="AM458" s="417"/>
      <c r="AN458" s="417"/>
      <c r="AO458" s="636"/>
      <c r="AP458">
        <v>556624</v>
      </c>
      <c r="AQ458" s="751">
        <v>43102</v>
      </c>
      <c r="AR458" s="417">
        <v>0.3</v>
      </c>
      <c r="AS458" s="417"/>
      <c r="AT458" s="417"/>
      <c r="AU458" s="417"/>
      <c r="AV458" s="417"/>
      <c r="AW458" s="417"/>
      <c r="AX458" s="417"/>
      <c r="AY458" s="183" t="s">
        <v>4245</v>
      </c>
      <c r="AZ458" s="417"/>
      <c r="BA458" s="417"/>
      <c r="BB458" t="s">
        <v>4238</v>
      </c>
      <c r="BC458" s="636"/>
      <c r="BD458" s="417"/>
      <c r="BE458" s="612"/>
      <c r="BF458" s="613"/>
      <c r="BG458" s="614"/>
      <c r="BH458" s="682"/>
      <c r="BI458" s="417"/>
      <c r="BJ458" s="417">
        <v>21</v>
      </c>
      <c r="BK458" s="682" t="str">
        <f>Техкарта[[#This Row],[Кв-л]]&amp;" кв ("&amp;Substring(Техкарта[[#This Row],[Виділ]],"_",1)&amp;" вид) "&amp;Substring(Техкарта[[#This Row],[Виділ]],"_",2)&amp;" діл."</f>
        <v>48 кв (10 вид) 0 діл.</v>
      </c>
      <c r="BL458" s="682" t="str">
        <f>Техкарта[[#This Row],[ПолнаяДіл]] &amp;" "&amp;Техкарта[[#This Row],[ЛК]]&amp;" "&amp;Техкарта[[#This Row],[Вид рубки]]</f>
        <v>48 кв (10 вид) 0 діл. 556624 ПРЧ</v>
      </c>
      <c r="BM458" s="682"/>
      <c r="BN458" s="636"/>
      <c r="BO458" s="636"/>
      <c r="BP458" s="636"/>
      <c r="BQ458" s="636" t="s">
        <v>3896</v>
      </c>
      <c r="BR458" s="636">
        <v>2</v>
      </c>
      <c r="BS458" s="636"/>
      <c r="BT458" s="636"/>
      <c r="BU458" s="636"/>
      <c r="BV458" s="636"/>
      <c r="BW458" s="636" t="s">
        <v>4351</v>
      </c>
      <c r="BX458" s="636"/>
      <c r="BY458" s="972"/>
    </row>
    <row r="459" spans="1:77">
      <c r="A459" t="s">
        <v>3896</v>
      </c>
      <c r="B459" s="675" t="s">
        <v>116</v>
      </c>
      <c r="C459" s="687" t="s">
        <v>134</v>
      </c>
      <c r="D459" s="675">
        <v>0</v>
      </c>
      <c r="E459" s="675" t="s">
        <v>2311</v>
      </c>
      <c r="F459" s="675">
        <v>3</v>
      </c>
      <c r="G459" s="675" t="s">
        <v>79</v>
      </c>
      <c r="H459" s="675">
        <v>127</v>
      </c>
      <c r="I459" s="676" t="s">
        <v>3831</v>
      </c>
      <c r="J459" s="677">
        <v>4.0999999999999996</v>
      </c>
      <c r="K459" s="683">
        <v>450</v>
      </c>
      <c r="L459" s="677"/>
      <c r="M459" s="677">
        <v>0</v>
      </c>
      <c r="N459" s="677">
        <v>0</v>
      </c>
      <c r="O459" s="677"/>
      <c r="P459" s="677"/>
      <c r="Q459" s="677">
        <v>250</v>
      </c>
      <c r="R459" s="677"/>
      <c r="S459" s="677">
        <v>0</v>
      </c>
      <c r="T459" s="677">
        <v>0</v>
      </c>
      <c r="U459" s="677"/>
      <c r="V459" s="677">
        <v>0</v>
      </c>
      <c r="W459" s="677">
        <v>0</v>
      </c>
      <c r="X459" s="678"/>
      <c r="Y459" s="682"/>
      <c r="Z459" s="680"/>
      <c r="AA459" s="681">
        <v>205.04</v>
      </c>
      <c r="AB459" s="681"/>
      <c r="AC459" s="417">
        <v>23</v>
      </c>
      <c r="AD459" s="417"/>
      <c r="AE459" s="682" t="s">
        <v>4380</v>
      </c>
      <c r="AF459">
        <v>1</v>
      </c>
      <c r="AG459" s="749">
        <v>43101</v>
      </c>
      <c r="AH459" s="417"/>
      <c r="AI459" s="417"/>
      <c r="AJ459" s="750">
        <v>43283</v>
      </c>
      <c r="AK459" s="417"/>
      <c r="AL459" s="637" t="s">
        <v>3437</v>
      </c>
      <c r="AM459" s="417"/>
      <c r="AN459" s="417"/>
      <c r="AO459" s="636"/>
      <c r="AP459">
        <v>556624</v>
      </c>
      <c r="AQ459" s="751">
        <v>43102</v>
      </c>
      <c r="AR459" s="417">
        <v>0.5</v>
      </c>
      <c r="AS459" s="417"/>
      <c r="AT459" s="417"/>
      <c r="AU459" s="417"/>
      <c r="AV459" s="417"/>
      <c r="AW459" s="417"/>
      <c r="AX459" s="417"/>
      <c r="AY459" s="183" t="s">
        <v>4245</v>
      </c>
      <c r="AZ459" s="417"/>
      <c r="BA459" s="417"/>
      <c r="BB459" t="s">
        <v>4238</v>
      </c>
      <c r="BC459" s="636"/>
      <c r="BD459" s="417"/>
      <c r="BE459" s="612"/>
      <c r="BF459" s="613"/>
      <c r="BG459" s="614"/>
      <c r="BH459" s="682"/>
      <c r="BI459" s="417"/>
      <c r="BJ459" s="417">
        <v>22</v>
      </c>
      <c r="BK459" s="682" t="str">
        <f>Техкарта[[#This Row],[Кв-л]]&amp;" кв ("&amp;Substring(Техкарта[[#This Row],[Виділ]],"_",1)&amp;" вид) "&amp;Substring(Техкарта[[#This Row],[Виділ]],"_",2)&amp;" діл."</f>
        <v>127 кв (4 вид) 0 діл.</v>
      </c>
      <c r="BL459" s="682" t="str">
        <f>Техкарта[[#This Row],[ПолнаяДіл]] &amp;" "&amp;Техкарта[[#This Row],[ЛК]]&amp;" "&amp;Техкарта[[#This Row],[Вид рубки]]</f>
        <v>127 кв (4 вид) 0 діл. 556624 ПРЧ</v>
      </c>
      <c r="BM459" s="682"/>
      <c r="BN459" s="636"/>
      <c r="BO459" s="636"/>
      <c r="BP459" s="636"/>
      <c r="BQ459" s="636" t="s">
        <v>3896</v>
      </c>
      <c r="BR459" s="636">
        <v>2</v>
      </c>
      <c r="BS459" s="636"/>
      <c r="BT459" s="636"/>
      <c r="BU459" s="636"/>
      <c r="BV459" s="636"/>
      <c r="BW459" s="636" t="s">
        <v>4351</v>
      </c>
      <c r="BX459" s="636"/>
      <c r="BY459" s="972"/>
    </row>
    <row r="460" spans="1:77">
      <c r="A460" t="s">
        <v>105</v>
      </c>
      <c r="B460" s="675" t="s">
        <v>116</v>
      </c>
      <c r="C460" s="687" t="s">
        <v>124</v>
      </c>
      <c r="D460" s="675">
        <v>0</v>
      </c>
      <c r="E460" s="675" t="s">
        <v>2311</v>
      </c>
      <c r="F460" s="675">
        <v>3</v>
      </c>
      <c r="G460" s="675" t="s">
        <v>79</v>
      </c>
      <c r="H460" s="675">
        <v>69</v>
      </c>
      <c r="I460" s="676" t="s">
        <v>3831</v>
      </c>
      <c r="J460" s="677">
        <v>1</v>
      </c>
      <c r="K460" s="683">
        <v>309</v>
      </c>
      <c r="L460" s="677"/>
      <c r="M460" s="677">
        <v>0</v>
      </c>
      <c r="N460" s="677">
        <v>0</v>
      </c>
      <c r="O460" s="677"/>
      <c r="P460" s="677"/>
      <c r="Q460" s="677">
        <v>0</v>
      </c>
      <c r="R460" s="677"/>
      <c r="S460" s="677">
        <v>0</v>
      </c>
      <c r="T460" s="677">
        <v>0</v>
      </c>
      <c r="U460" s="677"/>
      <c r="V460" s="677">
        <v>17</v>
      </c>
      <c r="W460" s="677">
        <v>3</v>
      </c>
      <c r="X460" s="678"/>
      <c r="Y460" s="682"/>
      <c r="Z460" s="680"/>
      <c r="AA460" s="681">
        <v>193.142</v>
      </c>
      <c r="AB460" s="681"/>
      <c r="AC460" s="417">
        <v>0</v>
      </c>
      <c r="AD460" s="417"/>
      <c r="AE460" s="682" t="s">
        <v>4381</v>
      </c>
      <c r="AF460">
        <v>1</v>
      </c>
      <c r="AG460" s="749">
        <v>43101</v>
      </c>
      <c r="AH460" s="417"/>
      <c r="AI460" s="417"/>
      <c r="AJ460" s="750">
        <v>43283</v>
      </c>
      <c r="AK460" s="417"/>
      <c r="AL460" s="637" t="s">
        <v>3475</v>
      </c>
      <c r="AM460" s="417"/>
      <c r="AN460" s="417"/>
      <c r="AO460" s="636"/>
      <c r="AP460">
        <v>556625</v>
      </c>
      <c r="AQ460" s="751">
        <v>43102</v>
      </c>
      <c r="AR460" s="417">
        <v>0.3</v>
      </c>
      <c r="AS460" s="417"/>
      <c r="AT460" s="417"/>
      <c r="AU460" s="417"/>
      <c r="AV460" s="417"/>
      <c r="AW460" s="417"/>
      <c r="AX460" s="417"/>
      <c r="AY460" s="183" t="s">
        <v>4245</v>
      </c>
      <c r="AZ460" s="417"/>
      <c r="BA460" s="417"/>
      <c r="BB460" t="s">
        <v>4238</v>
      </c>
      <c r="BC460" s="636"/>
      <c r="BD460" s="417"/>
      <c r="BE460" s="612"/>
      <c r="BF460" s="613"/>
      <c r="BG460" s="614"/>
      <c r="BH460" s="682"/>
      <c r="BI460" s="417"/>
      <c r="BJ460" s="417">
        <v>12</v>
      </c>
      <c r="BK460" s="682" t="str">
        <f>Техкарта[[#This Row],[Кв-л]]&amp;" кв ("&amp;Substring(Техкарта[[#This Row],[Виділ]],"_",1)&amp;" вид) "&amp;Substring(Техкарта[[#This Row],[Виділ]],"_",2)&amp;" діл."</f>
        <v>69 кв (4 вид) 0 діл.</v>
      </c>
      <c r="BL460" s="682" t="str">
        <f>Техкарта[[#This Row],[ПолнаяДіл]] &amp;" "&amp;Техкарта[[#This Row],[ЛК]]&amp;" "&amp;Техкарта[[#This Row],[Вид рубки]]</f>
        <v>69 кв (4 вид) 0 діл. 556625 ПРЖ</v>
      </c>
      <c r="BM460" s="682"/>
      <c r="BN460" s="636"/>
      <c r="BO460" s="636"/>
      <c r="BP460" s="636"/>
      <c r="BQ460" s="636" t="s">
        <v>105</v>
      </c>
      <c r="BR460" s="636">
        <v>2</v>
      </c>
      <c r="BS460" s="636"/>
      <c r="BT460" s="636"/>
      <c r="BU460" s="636"/>
      <c r="BV460" s="636"/>
      <c r="BW460" s="636" t="s">
        <v>4351</v>
      </c>
      <c r="BX460" s="636"/>
      <c r="BY460" s="972"/>
    </row>
    <row r="461" spans="1:77">
      <c r="A461" t="s">
        <v>105</v>
      </c>
      <c r="B461" s="675" t="s">
        <v>116</v>
      </c>
      <c r="C461" s="687" t="s">
        <v>124</v>
      </c>
      <c r="D461" s="675">
        <v>0</v>
      </c>
      <c r="E461" s="675" t="s">
        <v>2311</v>
      </c>
      <c r="F461" s="675">
        <v>3</v>
      </c>
      <c r="G461" s="675" t="s">
        <v>79</v>
      </c>
      <c r="H461" s="675">
        <v>98</v>
      </c>
      <c r="I461" s="676" t="s">
        <v>3830</v>
      </c>
      <c r="J461" s="677">
        <v>2.2000000000000002</v>
      </c>
      <c r="K461" s="683">
        <v>497</v>
      </c>
      <c r="L461" s="677"/>
      <c r="M461" s="677">
        <v>0</v>
      </c>
      <c r="N461" s="677">
        <v>0</v>
      </c>
      <c r="O461" s="677"/>
      <c r="P461" s="677"/>
      <c r="Q461" s="677">
        <v>0</v>
      </c>
      <c r="R461" s="677"/>
      <c r="S461" s="677">
        <v>0</v>
      </c>
      <c r="T461" s="677">
        <v>0</v>
      </c>
      <c r="U461" s="677"/>
      <c r="V461" s="677">
        <v>13</v>
      </c>
      <c r="W461" s="677">
        <v>19</v>
      </c>
      <c r="X461" s="678"/>
      <c r="Y461" s="682"/>
      <c r="Z461" s="680"/>
      <c r="AA461" s="681">
        <v>208.13200000000001</v>
      </c>
      <c r="AB461" s="681"/>
      <c r="AC461" s="417">
        <v>0</v>
      </c>
      <c r="AD461" s="417"/>
      <c r="AE461" s="682" t="s">
        <v>4382</v>
      </c>
      <c r="AF461">
        <v>1</v>
      </c>
      <c r="AG461" s="749">
        <v>43101</v>
      </c>
      <c r="AH461" s="417"/>
      <c r="AI461" s="417"/>
      <c r="AJ461" s="750">
        <v>43283</v>
      </c>
      <c r="AK461" s="417"/>
      <c r="AL461" s="637" t="s">
        <v>3475</v>
      </c>
      <c r="AM461" s="417"/>
      <c r="AN461" s="417"/>
      <c r="AO461" s="636"/>
      <c r="AP461">
        <v>556625</v>
      </c>
      <c r="AQ461" s="751">
        <v>43102</v>
      </c>
      <c r="AR461" s="417">
        <v>0.3</v>
      </c>
      <c r="AS461" s="417"/>
      <c r="AT461" s="417"/>
      <c r="AU461" s="417"/>
      <c r="AV461" s="417"/>
      <c r="AW461" s="417"/>
      <c r="AX461" s="417"/>
      <c r="AY461" s="183" t="s">
        <v>4245</v>
      </c>
      <c r="AZ461" s="417"/>
      <c r="BA461" s="417"/>
      <c r="BB461" t="s">
        <v>4238</v>
      </c>
      <c r="BC461" s="636"/>
      <c r="BD461" s="417"/>
      <c r="BE461" s="612"/>
      <c r="BF461" s="613"/>
      <c r="BG461" s="614"/>
      <c r="BH461" s="682"/>
      <c r="BI461" s="417"/>
      <c r="BJ461" s="417">
        <v>13</v>
      </c>
      <c r="BK461" s="682" t="str">
        <f>Техкарта[[#This Row],[Кв-л]]&amp;" кв ("&amp;Substring(Техкарта[[#This Row],[Виділ]],"_",1)&amp;" вид) "&amp;Substring(Техкарта[[#This Row],[Виділ]],"_",2)&amp;" діл."</f>
        <v>98 кв (1 вид) 0 діл.</v>
      </c>
      <c r="BL461" s="682" t="str">
        <f>Техкарта[[#This Row],[ПолнаяДіл]] &amp;" "&amp;Техкарта[[#This Row],[ЛК]]&amp;" "&amp;Техкарта[[#This Row],[Вид рубки]]</f>
        <v>98 кв (1 вид) 0 діл. 556625 ПРЖ</v>
      </c>
      <c r="BM461" s="682"/>
      <c r="BN461" s="636"/>
      <c r="BO461" s="636"/>
      <c r="BP461" s="636"/>
      <c r="BQ461" s="636" t="s">
        <v>105</v>
      </c>
      <c r="BR461" s="636">
        <v>2</v>
      </c>
      <c r="BS461" s="636"/>
      <c r="BT461" s="636"/>
      <c r="BU461" s="636"/>
      <c r="BV461" s="636"/>
      <c r="BW461" s="636" t="s">
        <v>4351</v>
      </c>
      <c r="BX461" s="636"/>
      <c r="BY461" s="972"/>
    </row>
    <row r="462" spans="1:77">
      <c r="A462" t="s">
        <v>105</v>
      </c>
      <c r="B462" s="675" t="s">
        <v>116</v>
      </c>
      <c r="C462" s="687" t="s">
        <v>126</v>
      </c>
      <c r="D462" s="675">
        <v>0</v>
      </c>
      <c r="E462" s="675" t="s">
        <v>2311</v>
      </c>
      <c r="F462" s="675">
        <v>3</v>
      </c>
      <c r="G462" s="675" t="s">
        <v>79</v>
      </c>
      <c r="H462" s="675">
        <v>18</v>
      </c>
      <c r="I462" s="676" t="s">
        <v>3791</v>
      </c>
      <c r="J462" s="677">
        <v>4.5999999999999996</v>
      </c>
      <c r="K462" s="683">
        <v>235</v>
      </c>
      <c r="L462" s="677"/>
      <c r="M462" s="677">
        <v>0</v>
      </c>
      <c r="N462" s="677">
        <v>4</v>
      </c>
      <c r="O462" s="677"/>
      <c r="P462" s="677"/>
      <c r="Q462" s="677">
        <v>0</v>
      </c>
      <c r="R462" s="677"/>
      <c r="S462" s="677">
        <v>0</v>
      </c>
      <c r="T462" s="677">
        <v>0</v>
      </c>
      <c r="U462" s="677">
        <v>15</v>
      </c>
      <c r="V462" s="677">
        <v>6</v>
      </c>
      <c r="W462" s="677">
        <v>52</v>
      </c>
      <c r="X462" s="678"/>
      <c r="Y462" s="682"/>
      <c r="Z462" s="680"/>
      <c r="AA462" s="681">
        <v>92.376999999999995</v>
      </c>
      <c r="AB462" s="681"/>
      <c r="AC462" s="417">
        <v>7</v>
      </c>
      <c r="AD462" s="417"/>
      <c r="AE462" s="682" t="s">
        <v>4383</v>
      </c>
      <c r="AF462">
        <v>1</v>
      </c>
      <c r="AG462" s="749">
        <v>43101</v>
      </c>
      <c r="AH462" s="417"/>
      <c r="AI462" s="417"/>
      <c r="AJ462" s="750">
        <v>43297</v>
      </c>
      <c r="AK462" s="417"/>
      <c r="AL462" s="637" t="s">
        <v>3449</v>
      </c>
      <c r="AM462" s="417"/>
      <c r="AN462" s="417"/>
      <c r="AO462" s="636"/>
      <c r="AP462">
        <v>556715</v>
      </c>
      <c r="AQ462" s="751">
        <v>43297</v>
      </c>
      <c r="AR462" s="417">
        <v>0.3</v>
      </c>
      <c r="AS462" s="417"/>
      <c r="AT462" s="417"/>
      <c r="AU462" s="417"/>
      <c r="AV462" s="417"/>
      <c r="AW462" s="417"/>
      <c r="AX462" s="417"/>
      <c r="AY462" s="183" t="s">
        <v>4245</v>
      </c>
      <c r="AZ462" s="417"/>
      <c r="BA462" s="417"/>
      <c r="BB462" t="s">
        <v>4238</v>
      </c>
      <c r="BC462" s="636"/>
      <c r="BD462" s="417"/>
      <c r="BE462" s="612"/>
      <c r="BF462" s="613"/>
      <c r="BG462" s="614"/>
      <c r="BH462" s="682"/>
      <c r="BI462" s="417"/>
      <c r="BJ462" s="417">
        <v>3</v>
      </c>
      <c r="BK462" s="682" t="str">
        <f>Техкарта[[#This Row],[Кв-л]]&amp;" кв ("&amp;Substring(Техкарта[[#This Row],[Виділ]],"_",1)&amp;" вид) "&amp;Substring(Техкарта[[#This Row],[Виділ]],"_",2)&amp;" діл."</f>
        <v>18 кв (7 вид) 0 діл.</v>
      </c>
      <c r="BL462" s="682" t="str">
        <f>Техкарта[[#This Row],[ПолнаяДіл]] &amp;" "&amp;Техкарта[[#This Row],[ЛК]]&amp;" "&amp;Техкарта[[#This Row],[Вид рубки]]</f>
        <v>18 кв (7 вид) 0 діл. 556715 СРВ</v>
      </c>
      <c r="BM462" s="682"/>
      <c r="BN462" s="636"/>
      <c r="BO462" s="636"/>
      <c r="BP462" s="636"/>
      <c r="BQ462" s="636" t="s">
        <v>105</v>
      </c>
      <c r="BR462" s="636">
        <v>2</v>
      </c>
      <c r="BS462" s="636"/>
      <c r="BT462" s="636"/>
      <c r="BU462" s="636"/>
      <c r="BV462" s="636"/>
      <c r="BW462" s="636" t="s">
        <v>4351</v>
      </c>
      <c r="BX462" s="636"/>
      <c r="BY462" s="972"/>
    </row>
    <row r="463" spans="1:77">
      <c r="A463" t="s">
        <v>105</v>
      </c>
      <c r="B463" s="675" t="s">
        <v>116</v>
      </c>
      <c r="C463" s="687" t="s">
        <v>126</v>
      </c>
      <c r="D463" s="675">
        <v>0</v>
      </c>
      <c r="E463" s="675" t="s">
        <v>2311</v>
      </c>
      <c r="F463" s="675">
        <v>3</v>
      </c>
      <c r="G463" s="675" t="s">
        <v>79</v>
      </c>
      <c r="H463" s="675">
        <v>111</v>
      </c>
      <c r="I463" s="676" t="s">
        <v>3829</v>
      </c>
      <c r="J463" s="677">
        <v>12.9</v>
      </c>
      <c r="K463" s="683">
        <v>783</v>
      </c>
      <c r="L463" s="677"/>
      <c r="M463" s="677">
        <v>0</v>
      </c>
      <c r="N463" s="677">
        <v>53</v>
      </c>
      <c r="O463" s="677"/>
      <c r="P463" s="677"/>
      <c r="Q463" s="677">
        <v>0</v>
      </c>
      <c r="R463" s="677"/>
      <c r="S463" s="677">
        <v>0</v>
      </c>
      <c r="T463" s="677">
        <v>0</v>
      </c>
      <c r="U463" s="677">
        <v>54</v>
      </c>
      <c r="V463" s="677">
        <v>1</v>
      </c>
      <c r="W463" s="677">
        <v>338</v>
      </c>
      <c r="X463" s="678"/>
      <c r="Y463" s="682"/>
      <c r="Z463" s="680"/>
      <c r="AA463" s="681">
        <v>73.495999999999995</v>
      </c>
      <c r="AB463" s="681"/>
      <c r="AC463" s="417">
        <v>29</v>
      </c>
      <c r="AD463" s="417"/>
      <c r="AE463" s="682" t="s">
        <v>4384</v>
      </c>
      <c r="AF463">
        <v>1</v>
      </c>
      <c r="AG463" s="749">
        <v>43101</v>
      </c>
      <c r="AH463" s="417"/>
      <c r="AI463" s="417"/>
      <c r="AJ463" s="750">
        <v>43297</v>
      </c>
      <c r="AK463" s="417"/>
      <c r="AL463" s="637" t="s">
        <v>3479</v>
      </c>
      <c r="AM463" s="417"/>
      <c r="AN463" s="417"/>
      <c r="AO463" s="636"/>
      <c r="AP463">
        <v>556715</v>
      </c>
      <c r="AQ463" s="751">
        <v>43297</v>
      </c>
      <c r="AR463" s="417">
        <v>0.3</v>
      </c>
      <c r="AS463" s="417"/>
      <c r="AT463" s="417"/>
      <c r="AU463" s="417"/>
      <c r="AV463" s="417"/>
      <c r="AW463" s="417"/>
      <c r="AX463" s="417"/>
      <c r="AY463" s="183" t="s">
        <v>4245</v>
      </c>
      <c r="AZ463" s="417"/>
      <c r="BA463" s="417"/>
      <c r="BB463" t="s">
        <v>4238</v>
      </c>
      <c r="BC463" s="636"/>
      <c r="BD463" s="417"/>
      <c r="BE463" s="612"/>
      <c r="BF463" s="613"/>
      <c r="BG463" s="614"/>
      <c r="BH463" s="682"/>
      <c r="BI463" s="417"/>
      <c r="BJ463" s="417">
        <v>4</v>
      </c>
      <c r="BK463" s="682" t="str">
        <f>Техкарта[[#This Row],[Кв-л]]&amp;" кв ("&amp;Substring(Техкарта[[#This Row],[Виділ]],"_",1)&amp;" вид) "&amp;Substring(Техкарта[[#This Row],[Виділ]],"_",2)&amp;" діл."</f>
        <v>111 кв (3 вид) 0 діл.</v>
      </c>
      <c r="BL463" s="682" t="str">
        <f>Техкарта[[#This Row],[ПолнаяДіл]] &amp;" "&amp;Техкарта[[#This Row],[ЛК]]&amp;" "&amp;Техкарта[[#This Row],[Вид рубки]]</f>
        <v>111 кв (3 вид) 0 діл. 556715 СРВ</v>
      </c>
      <c r="BM463" s="682"/>
      <c r="BN463" s="636"/>
      <c r="BO463" s="636"/>
      <c r="BP463" s="636"/>
      <c r="BQ463" s="636" t="s">
        <v>105</v>
      </c>
      <c r="BR463" s="636">
        <v>2</v>
      </c>
      <c r="BS463" s="636"/>
      <c r="BT463" s="636"/>
      <c r="BU463" s="636"/>
      <c r="BV463" s="636"/>
      <c r="BW463" s="636" t="s">
        <v>4351</v>
      </c>
      <c r="BX463" s="636"/>
      <c r="BY463" s="972"/>
    </row>
    <row r="464" spans="1:77">
      <c r="A464" t="s">
        <v>105</v>
      </c>
      <c r="B464" s="675" t="s">
        <v>116</v>
      </c>
      <c r="C464" s="687" t="s">
        <v>126</v>
      </c>
      <c r="D464" s="675">
        <v>0</v>
      </c>
      <c r="E464" s="675" t="s">
        <v>2311</v>
      </c>
      <c r="F464" s="675">
        <v>3</v>
      </c>
      <c r="G464" s="675" t="s">
        <v>79</v>
      </c>
      <c r="H464" s="675">
        <v>122</v>
      </c>
      <c r="I464" s="676" t="s">
        <v>3850</v>
      </c>
      <c r="J464" s="677">
        <v>3.2</v>
      </c>
      <c r="K464" s="683">
        <v>382</v>
      </c>
      <c r="L464" s="677"/>
      <c r="M464" s="677">
        <v>15</v>
      </c>
      <c r="N464" s="677">
        <v>0</v>
      </c>
      <c r="O464" s="677"/>
      <c r="P464" s="677"/>
      <c r="Q464" s="677">
        <v>0</v>
      </c>
      <c r="R464" s="677"/>
      <c r="S464" s="677">
        <v>0</v>
      </c>
      <c r="T464" s="677">
        <v>0</v>
      </c>
      <c r="U464" s="677">
        <v>0</v>
      </c>
      <c r="V464" s="677">
        <v>113</v>
      </c>
      <c r="W464" s="677">
        <v>0</v>
      </c>
      <c r="X464" s="678"/>
      <c r="Y464" s="682"/>
      <c r="Z464" s="680"/>
      <c r="AA464" s="681">
        <v>76.039000000000001</v>
      </c>
      <c r="AB464" s="681"/>
      <c r="AC464" s="417">
        <v>19</v>
      </c>
      <c r="AD464" s="417"/>
      <c r="AE464" s="682" t="s">
        <v>4386</v>
      </c>
      <c r="AF464">
        <v>1</v>
      </c>
      <c r="AG464" s="749">
        <v>43101</v>
      </c>
      <c r="AH464" s="417"/>
      <c r="AI464" s="417"/>
      <c r="AJ464" s="750">
        <v>43297</v>
      </c>
      <c r="AK464" s="417"/>
      <c r="AL464" s="637" t="s">
        <v>3443</v>
      </c>
      <c r="AM464" s="417"/>
      <c r="AN464" s="417"/>
      <c r="AO464" s="636"/>
      <c r="AP464">
        <v>556715</v>
      </c>
      <c r="AQ464" s="751">
        <v>43297</v>
      </c>
      <c r="AR464" s="417">
        <v>0.3</v>
      </c>
      <c r="AS464" s="417"/>
      <c r="AT464" s="417"/>
      <c r="AU464" s="417"/>
      <c r="AV464" s="417"/>
      <c r="AW464" s="417"/>
      <c r="AX464" s="417"/>
      <c r="AY464" s="183" t="s">
        <v>4245</v>
      </c>
      <c r="AZ464" s="417"/>
      <c r="BA464" s="417"/>
      <c r="BB464" t="s">
        <v>4238</v>
      </c>
      <c r="BC464" s="636"/>
      <c r="BD464" s="417"/>
      <c r="BE464" s="612"/>
      <c r="BF464" s="613"/>
      <c r="BG464" s="614"/>
      <c r="BH464" s="682"/>
      <c r="BI464" s="417"/>
      <c r="BJ464" s="417">
        <v>6</v>
      </c>
      <c r="BK464" s="682" t="str">
        <f>Техкарта[[#This Row],[Кв-л]]&amp;" кв ("&amp;Substring(Техкарта[[#This Row],[Виділ]],"_",1)&amp;" вид) "&amp;Substring(Техкарта[[#This Row],[Виділ]],"_",2)&amp;" діл."</f>
        <v>122 кв (6 вид) 0 діл.</v>
      </c>
      <c r="BL464" s="682" t="str">
        <f>Техкарта[[#This Row],[ПолнаяДіл]] &amp;" "&amp;Техкарта[[#This Row],[ЛК]]&amp;" "&amp;Техкарта[[#This Row],[Вид рубки]]</f>
        <v>122 кв (6 вид) 0 діл. 556715 СРВ</v>
      </c>
      <c r="BM464" s="682"/>
      <c r="BN464" s="636"/>
      <c r="BO464" s="636"/>
      <c r="BP464" s="636"/>
      <c r="BQ464" s="636" t="s">
        <v>105</v>
      </c>
      <c r="BR464" s="636">
        <v>2</v>
      </c>
      <c r="BS464" s="636"/>
      <c r="BT464" s="636"/>
      <c r="BU464" s="636"/>
      <c r="BV464" s="636"/>
      <c r="BW464" s="636" t="s">
        <v>4351</v>
      </c>
      <c r="BX464" s="636"/>
      <c r="BY464" s="972"/>
    </row>
    <row r="465" spans="1:77">
      <c r="A465" t="s">
        <v>105</v>
      </c>
      <c r="B465" s="675" t="s">
        <v>116</v>
      </c>
      <c r="C465" s="687" t="s">
        <v>126</v>
      </c>
      <c r="D465" s="675">
        <v>0</v>
      </c>
      <c r="E465" s="675" t="s">
        <v>2311</v>
      </c>
      <c r="F465" s="675">
        <v>3</v>
      </c>
      <c r="G465" s="675" t="s">
        <v>79</v>
      </c>
      <c r="H465" s="675">
        <v>122</v>
      </c>
      <c r="I465" s="676" t="s">
        <v>3832</v>
      </c>
      <c r="J465" s="677">
        <v>3</v>
      </c>
      <c r="K465" s="683">
        <v>407</v>
      </c>
      <c r="L465" s="677"/>
      <c r="M465" s="677">
        <v>14</v>
      </c>
      <c r="N465" s="677">
        <v>0</v>
      </c>
      <c r="O465" s="677"/>
      <c r="P465" s="677"/>
      <c r="Q465" s="677">
        <v>0</v>
      </c>
      <c r="R465" s="677"/>
      <c r="S465" s="677">
        <v>0</v>
      </c>
      <c r="T465" s="677">
        <v>0</v>
      </c>
      <c r="U465" s="677">
        <v>0</v>
      </c>
      <c r="V465" s="677">
        <v>127</v>
      </c>
      <c r="W465" s="677">
        <v>0</v>
      </c>
      <c r="X465" s="678"/>
      <c r="Y465" s="682"/>
      <c r="Z465" s="680"/>
      <c r="AA465" s="681">
        <v>76.727000000000004</v>
      </c>
      <c r="AB465" s="681"/>
      <c r="AC465" s="417">
        <v>19</v>
      </c>
      <c r="AD465" s="417"/>
      <c r="AE465" s="682" t="s">
        <v>4387</v>
      </c>
      <c r="AF465">
        <v>1</v>
      </c>
      <c r="AG465" s="749">
        <v>43101</v>
      </c>
      <c r="AH465" s="417"/>
      <c r="AI465" s="417"/>
      <c r="AJ465" s="750">
        <v>43297</v>
      </c>
      <c r="AK465" s="417"/>
      <c r="AL465" s="637" t="s">
        <v>3443</v>
      </c>
      <c r="AM465" s="417"/>
      <c r="AN465" s="417"/>
      <c r="AO465" s="636"/>
      <c r="AP465">
        <v>556715</v>
      </c>
      <c r="AQ465" s="751">
        <v>43297</v>
      </c>
      <c r="AR465" s="417">
        <v>0.3</v>
      </c>
      <c r="AS465" s="417"/>
      <c r="AT465" s="417"/>
      <c r="AU465" s="417"/>
      <c r="AV465" s="417"/>
      <c r="AW465" s="417"/>
      <c r="AX465" s="417"/>
      <c r="AY465" s="183" t="s">
        <v>4245</v>
      </c>
      <c r="AZ465" s="417"/>
      <c r="BA465" s="417"/>
      <c r="BB465" t="s">
        <v>4238</v>
      </c>
      <c r="BC465" s="636"/>
      <c r="BD465" s="417"/>
      <c r="BE465" s="612"/>
      <c r="BF465" s="613"/>
      <c r="BG465" s="614"/>
      <c r="BH465" s="682"/>
      <c r="BI465" s="417"/>
      <c r="BJ465" s="417">
        <v>7</v>
      </c>
      <c r="BK465" s="682" t="str">
        <f>Техкарта[[#This Row],[Кв-л]]&amp;" кв ("&amp;Substring(Техкарта[[#This Row],[Виділ]],"_",1)&amp;" вид) "&amp;Substring(Техкарта[[#This Row],[Виділ]],"_",2)&amp;" діл."</f>
        <v>122 кв (5 вид) 0 діл.</v>
      </c>
      <c r="BL465" s="682" t="str">
        <f>Техкарта[[#This Row],[ПолнаяДіл]] &amp;" "&amp;Техкарта[[#This Row],[ЛК]]&amp;" "&amp;Техкарта[[#This Row],[Вид рубки]]</f>
        <v>122 кв (5 вид) 0 діл. 556715 СРВ</v>
      </c>
      <c r="BM465" s="682"/>
      <c r="BN465" s="636"/>
      <c r="BO465" s="636"/>
      <c r="BP465" s="636"/>
      <c r="BQ465" s="636" t="s">
        <v>105</v>
      </c>
      <c r="BR465" s="636">
        <v>2</v>
      </c>
      <c r="BS465" s="636"/>
      <c r="BT465" s="636"/>
      <c r="BU465" s="636"/>
      <c r="BV465" s="636"/>
      <c r="BW465" s="636" t="s">
        <v>4351</v>
      </c>
      <c r="BX465" s="636"/>
      <c r="BY465" s="972"/>
    </row>
    <row r="466" spans="1:77">
      <c r="A466" t="s">
        <v>105</v>
      </c>
      <c r="B466" s="675" t="s">
        <v>116</v>
      </c>
      <c r="C466" s="687" t="s">
        <v>126</v>
      </c>
      <c r="D466" s="675">
        <v>0</v>
      </c>
      <c r="E466" s="675" t="s">
        <v>2311</v>
      </c>
      <c r="F466" s="675">
        <v>3</v>
      </c>
      <c r="G466" s="675" t="s">
        <v>79</v>
      </c>
      <c r="H466" s="675">
        <v>81</v>
      </c>
      <c r="I466" s="676" t="s">
        <v>3831</v>
      </c>
      <c r="J466" s="677">
        <v>4.5999999999999996</v>
      </c>
      <c r="K466" s="683">
        <v>240</v>
      </c>
      <c r="L466" s="677"/>
      <c r="M466" s="677">
        <v>0</v>
      </c>
      <c r="N466" s="677">
        <v>13</v>
      </c>
      <c r="O466" s="677"/>
      <c r="P466" s="677"/>
      <c r="Q466" s="677">
        <v>0</v>
      </c>
      <c r="R466" s="677"/>
      <c r="S466" s="677">
        <v>0</v>
      </c>
      <c r="T466" s="677">
        <v>0</v>
      </c>
      <c r="U466" s="677">
        <v>4</v>
      </c>
      <c r="V466" s="677">
        <v>2</v>
      </c>
      <c r="W466" s="677">
        <v>143</v>
      </c>
      <c r="X466" s="678"/>
      <c r="Y466" s="682"/>
      <c r="Z466" s="680"/>
      <c r="AA466" s="681">
        <v>70.968000000000004</v>
      </c>
      <c r="AB466" s="681"/>
      <c r="AC466" s="417">
        <v>10</v>
      </c>
      <c r="AD466" s="417"/>
      <c r="AE466" s="682" t="s">
        <v>4388</v>
      </c>
      <c r="AF466">
        <v>1</v>
      </c>
      <c r="AG466" s="749">
        <v>43101</v>
      </c>
      <c r="AH466" s="417"/>
      <c r="AI466" s="417"/>
      <c r="AJ466" s="750">
        <v>43297</v>
      </c>
      <c r="AK466" s="417"/>
      <c r="AL466" s="637" t="s">
        <v>3443</v>
      </c>
      <c r="AM466" s="417"/>
      <c r="AN466" s="417"/>
      <c r="AO466" s="636"/>
      <c r="AP466">
        <v>556715</v>
      </c>
      <c r="AQ466" s="751">
        <v>43297</v>
      </c>
      <c r="AR466" s="417">
        <v>0.3</v>
      </c>
      <c r="AS466" s="417"/>
      <c r="AT466" s="417"/>
      <c r="AU466" s="417"/>
      <c r="AV466" s="417"/>
      <c r="AW466" s="417"/>
      <c r="AX466" s="417"/>
      <c r="AY466" s="183" t="s">
        <v>4245</v>
      </c>
      <c r="AZ466" s="417"/>
      <c r="BA466" s="417"/>
      <c r="BB466" t="s">
        <v>4238</v>
      </c>
      <c r="BC466" s="636"/>
      <c r="BD466" s="417"/>
      <c r="BE466" s="612"/>
      <c r="BF466" s="613"/>
      <c r="BG466" s="614"/>
      <c r="BH466" s="682"/>
      <c r="BI466" s="417"/>
      <c r="BJ466" s="417">
        <v>8</v>
      </c>
      <c r="BK466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466" s="682" t="str">
        <f>Техкарта[[#This Row],[ПолнаяДіл]] &amp;" "&amp;Техкарта[[#This Row],[ЛК]]&amp;" "&amp;Техкарта[[#This Row],[Вид рубки]]</f>
        <v>81 кв (4 вид) 0 діл. 556715 СРВ</v>
      </c>
      <c r="BM466" s="682"/>
      <c r="BN466" s="636"/>
      <c r="BO466" s="636"/>
      <c r="BP466" s="636"/>
      <c r="BQ466" s="636" t="s">
        <v>105</v>
      </c>
      <c r="BR466" s="636">
        <v>2</v>
      </c>
      <c r="BS466" s="636"/>
      <c r="BT466" s="636"/>
      <c r="BU466" s="636"/>
      <c r="BV466" s="636"/>
      <c r="BW466" s="636" t="s">
        <v>4351</v>
      </c>
      <c r="BX466" s="636"/>
      <c r="BY466" s="972"/>
    </row>
    <row r="467" spans="1:77">
      <c r="A467" t="s">
        <v>105</v>
      </c>
      <c r="B467" s="675" t="s">
        <v>116</v>
      </c>
      <c r="C467" s="687" t="s">
        <v>126</v>
      </c>
      <c r="D467" s="675">
        <v>0</v>
      </c>
      <c r="E467" s="675" t="s">
        <v>2311</v>
      </c>
      <c r="F467" s="675">
        <v>3</v>
      </c>
      <c r="G467" s="675" t="s">
        <v>79</v>
      </c>
      <c r="H467" s="675">
        <v>121</v>
      </c>
      <c r="I467" s="676" t="s">
        <v>3832</v>
      </c>
      <c r="J467" s="677">
        <v>7.8</v>
      </c>
      <c r="K467" s="683">
        <v>436</v>
      </c>
      <c r="L467" s="677"/>
      <c r="M467" s="677">
        <v>0</v>
      </c>
      <c r="N467" s="677">
        <v>3</v>
      </c>
      <c r="O467" s="677"/>
      <c r="P467" s="677"/>
      <c r="Q467" s="677">
        <v>0</v>
      </c>
      <c r="R467" s="677"/>
      <c r="S467" s="677">
        <v>0</v>
      </c>
      <c r="T467" s="677">
        <v>0</v>
      </c>
      <c r="U467" s="677">
        <v>4</v>
      </c>
      <c r="V467" s="677">
        <v>0</v>
      </c>
      <c r="W467" s="677">
        <v>105</v>
      </c>
      <c r="X467" s="678"/>
      <c r="Y467" s="682"/>
      <c r="Z467" s="680"/>
      <c r="AA467" s="681">
        <v>97.704999999999998</v>
      </c>
      <c r="AB467" s="681"/>
      <c r="AC467" s="417">
        <v>12</v>
      </c>
      <c r="AD467" s="417"/>
      <c r="AE467" s="682" t="s">
        <v>4389</v>
      </c>
      <c r="AF467">
        <v>1</v>
      </c>
      <c r="AG467" s="749">
        <v>43101</v>
      </c>
      <c r="AH467" s="417"/>
      <c r="AI467" s="417"/>
      <c r="AJ467" s="750">
        <v>43297</v>
      </c>
      <c r="AK467" s="417"/>
      <c r="AL467" s="637" t="s">
        <v>3455</v>
      </c>
      <c r="AM467" s="417"/>
      <c r="AN467" s="417"/>
      <c r="AO467" s="636"/>
      <c r="AP467">
        <v>556715</v>
      </c>
      <c r="AQ467" s="751">
        <v>43297</v>
      </c>
      <c r="AR467" s="417">
        <v>0.3</v>
      </c>
      <c r="AS467" s="417"/>
      <c r="AT467" s="417"/>
      <c r="AU467" s="417"/>
      <c r="AV467" s="417"/>
      <c r="AW467" s="417"/>
      <c r="AX467" s="417"/>
      <c r="AY467" s="183" t="s">
        <v>4245</v>
      </c>
      <c r="AZ467" s="417"/>
      <c r="BA467" s="417"/>
      <c r="BB467" t="s">
        <v>4238</v>
      </c>
      <c r="BC467" s="636"/>
      <c r="BD467" s="417"/>
      <c r="BE467" s="612"/>
      <c r="BF467" s="613"/>
      <c r="BG467" s="614"/>
      <c r="BH467" s="682"/>
      <c r="BI467" s="417"/>
      <c r="BJ467" s="417">
        <v>9</v>
      </c>
      <c r="BK467" s="682" t="str">
        <f>Техкарта[[#This Row],[Кв-л]]&amp;" кв ("&amp;Substring(Техкарта[[#This Row],[Виділ]],"_",1)&amp;" вид) "&amp;Substring(Техкарта[[#This Row],[Виділ]],"_",2)&amp;" діл."</f>
        <v>121 кв (5 вид) 0 діл.</v>
      </c>
      <c r="BL467" s="682" t="str">
        <f>Техкарта[[#This Row],[ПолнаяДіл]] &amp;" "&amp;Техкарта[[#This Row],[ЛК]]&amp;" "&amp;Техкарта[[#This Row],[Вид рубки]]</f>
        <v>121 кв (5 вид) 0 діл. 556715 СРВ</v>
      </c>
      <c r="BM467" s="682"/>
      <c r="BN467" s="636"/>
      <c r="BO467" s="636"/>
      <c r="BP467" s="636"/>
      <c r="BQ467" s="636" t="s">
        <v>105</v>
      </c>
      <c r="BR467" s="636">
        <v>2</v>
      </c>
      <c r="BS467" s="636"/>
      <c r="BT467" s="636"/>
      <c r="BU467" s="636"/>
      <c r="BV467" s="636"/>
      <c r="BW467" s="636" t="s">
        <v>4351</v>
      </c>
      <c r="BX467" s="636"/>
      <c r="BY467" s="972"/>
    </row>
    <row r="468" spans="1:77">
      <c r="A468" t="s">
        <v>105</v>
      </c>
      <c r="B468" s="675" t="s">
        <v>116</v>
      </c>
      <c r="C468" s="687" t="s">
        <v>126</v>
      </c>
      <c r="D468" s="675">
        <v>0</v>
      </c>
      <c r="E468" s="675" t="s">
        <v>2311</v>
      </c>
      <c r="F468" s="675">
        <v>3</v>
      </c>
      <c r="G468" s="675" t="s">
        <v>79</v>
      </c>
      <c r="H468" s="675">
        <v>137</v>
      </c>
      <c r="I468" s="676" t="s">
        <v>4390</v>
      </c>
      <c r="J468" s="677">
        <v>3.1</v>
      </c>
      <c r="K468" s="683">
        <v>429</v>
      </c>
      <c r="L468" s="677"/>
      <c r="M468" s="677">
        <v>0</v>
      </c>
      <c r="N468" s="677">
        <v>10</v>
      </c>
      <c r="O468" s="677"/>
      <c r="P468" s="677"/>
      <c r="Q468" s="677">
        <v>0</v>
      </c>
      <c r="R468" s="677"/>
      <c r="S468" s="677">
        <v>0</v>
      </c>
      <c r="T468" s="677">
        <v>0</v>
      </c>
      <c r="U468" s="677">
        <v>0</v>
      </c>
      <c r="V468" s="677">
        <v>0</v>
      </c>
      <c r="W468" s="677">
        <v>146</v>
      </c>
      <c r="X468" s="678"/>
      <c r="Y468" s="682"/>
      <c r="Z468" s="680"/>
      <c r="AA468" s="681">
        <v>81.936999999999998</v>
      </c>
      <c r="AB468" s="681"/>
      <c r="AC468" s="417">
        <v>13</v>
      </c>
      <c r="AD468" s="417"/>
      <c r="AE468" s="682" t="s">
        <v>4391</v>
      </c>
      <c r="AF468">
        <v>1</v>
      </c>
      <c r="AG468" s="749">
        <v>43101</v>
      </c>
      <c r="AH468" s="417"/>
      <c r="AI468" s="417"/>
      <c r="AJ468" s="750">
        <v>43297</v>
      </c>
      <c r="AK468" s="417"/>
      <c r="AL468" s="637" t="s">
        <v>3479</v>
      </c>
      <c r="AM468" s="417"/>
      <c r="AN468" s="417"/>
      <c r="AO468" s="636"/>
      <c r="AP468">
        <v>556715</v>
      </c>
      <c r="AQ468" s="751">
        <v>43297</v>
      </c>
      <c r="AR468" s="417">
        <v>0.3</v>
      </c>
      <c r="AS468" s="417"/>
      <c r="AT468" s="417"/>
      <c r="AU468" s="417"/>
      <c r="AV468" s="417"/>
      <c r="AW468" s="417"/>
      <c r="AX468" s="417"/>
      <c r="AY468" s="183" t="s">
        <v>4245</v>
      </c>
      <c r="AZ468" s="417"/>
      <c r="BA468" s="417"/>
      <c r="BB468" t="s">
        <v>4238</v>
      </c>
      <c r="BC468" s="636"/>
      <c r="BD468" s="417"/>
      <c r="BE468" s="612"/>
      <c r="BF468" s="613"/>
      <c r="BG468" s="614"/>
      <c r="BH468" s="682"/>
      <c r="BI468" s="417"/>
      <c r="BJ468" s="417">
        <v>2</v>
      </c>
      <c r="BK468" s="682" t="str">
        <f>Техкарта[[#This Row],[Кв-л]]&amp;" кв ("&amp;Substring(Техкарта[[#This Row],[Виділ]],"_",1)&amp;" вид) "&amp;Substring(Техкарта[[#This Row],[Виділ]],"_",2)&amp;" діл."</f>
        <v>137 кв (29 вид) 0 діл.</v>
      </c>
      <c r="BL468" s="682" t="str">
        <f>Техкарта[[#This Row],[ПолнаяДіл]] &amp;" "&amp;Техкарта[[#This Row],[ЛК]]&amp;" "&amp;Техкарта[[#This Row],[Вид рубки]]</f>
        <v>137 кв (29 вид) 0 діл. 556715 СРВ</v>
      </c>
      <c r="BM468" s="682"/>
      <c r="BN468" s="636"/>
      <c r="BO468" s="636"/>
      <c r="BP468" s="636"/>
      <c r="BQ468" s="636" t="s">
        <v>105</v>
      </c>
      <c r="BR468" s="636">
        <v>2</v>
      </c>
      <c r="BS468" s="636"/>
      <c r="BT468" s="636"/>
      <c r="BU468" s="636"/>
      <c r="BV468" s="636"/>
      <c r="BW468" s="636" t="s">
        <v>4351</v>
      </c>
      <c r="BX468" s="636"/>
      <c r="BY468" s="972"/>
    </row>
    <row r="469" spans="1:77">
      <c r="A469" t="s">
        <v>105</v>
      </c>
      <c r="B469" s="675" t="s">
        <v>116</v>
      </c>
      <c r="C469" s="687" t="s">
        <v>126</v>
      </c>
      <c r="D469" s="675">
        <v>0</v>
      </c>
      <c r="E469" s="675" t="s">
        <v>2311</v>
      </c>
      <c r="F469" s="675">
        <v>3</v>
      </c>
      <c r="G469" s="675" t="s">
        <v>79</v>
      </c>
      <c r="H469" s="675">
        <v>67</v>
      </c>
      <c r="I469" s="676" t="s">
        <v>3847</v>
      </c>
      <c r="J469" s="677">
        <v>8.6</v>
      </c>
      <c r="K469" s="683">
        <v>425</v>
      </c>
      <c r="L469" s="677"/>
      <c r="M469" s="677">
        <v>25</v>
      </c>
      <c r="N469" s="677">
        <v>1</v>
      </c>
      <c r="O469" s="677"/>
      <c r="P469" s="677"/>
      <c r="Q469" s="677">
        <v>0</v>
      </c>
      <c r="R469" s="677"/>
      <c r="S469" s="677">
        <v>0</v>
      </c>
      <c r="T469" s="677">
        <v>0</v>
      </c>
      <c r="U469" s="677">
        <v>4</v>
      </c>
      <c r="V469" s="677">
        <v>174</v>
      </c>
      <c r="W469" s="677">
        <v>30</v>
      </c>
      <c r="X469" s="678"/>
      <c r="Y469" s="682"/>
      <c r="Z469" s="680"/>
      <c r="AA469" s="681">
        <v>68.350999999999999</v>
      </c>
      <c r="AB469" s="681"/>
      <c r="AC469" s="417">
        <v>26</v>
      </c>
      <c r="AD469" s="417"/>
      <c r="AE469" s="682" t="s">
        <v>4392</v>
      </c>
      <c r="AF469">
        <v>1</v>
      </c>
      <c r="AG469" s="749">
        <v>43101</v>
      </c>
      <c r="AH469" s="417"/>
      <c r="AI469" s="417"/>
      <c r="AJ469" s="750">
        <v>43297</v>
      </c>
      <c r="AK469" s="417"/>
      <c r="AL469" s="637" t="s">
        <v>3475</v>
      </c>
      <c r="AM469" s="417"/>
      <c r="AN469" s="417"/>
      <c r="AO469" s="636"/>
      <c r="AP469">
        <v>556715</v>
      </c>
      <c r="AQ469" s="751">
        <v>43297</v>
      </c>
      <c r="AR469" s="417">
        <v>0.3</v>
      </c>
      <c r="AS469" s="417"/>
      <c r="AT469" s="417"/>
      <c r="AU469" s="417"/>
      <c r="AV469" s="417"/>
      <c r="AW469" s="417"/>
      <c r="AX469" s="417"/>
      <c r="AY469" s="183" t="s">
        <v>4245</v>
      </c>
      <c r="AZ469" s="417"/>
      <c r="BA469" s="417"/>
      <c r="BB469" t="s">
        <v>4238</v>
      </c>
      <c r="BC469" s="636"/>
      <c r="BD469" s="417"/>
      <c r="BE469" s="612"/>
      <c r="BF469" s="613"/>
      <c r="BG469" s="614"/>
      <c r="BH469" s="682"/>
      <c r="BI469" s="417"/>
      <c r="BJ469" s="417">
        <v>10</v>
      </c>
      <c r="BK469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469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469" s="682"/>
      <c r="BN469" s="636"/>
      <c r="BO469" s="636"/>
      <c r="BP469" s="636"/>
      <c r="BQ469" s="636" t="s">
        <v>105</v>
      </c>
      <c r="BR469" s="636">
        <v>2</v>
      </c>
      <c r="BS469" s="636"/>
      <c r="BT469" s="636"/>
      <c r="BU469" s="636"/>
      <c r="BV469" s="636"/>
      <c r="BW469" s="636" t="s">
        <v>4351</v>
      </c>
      <c r="BX469" s="636"/>
      <c r="BY469" s="972"/>
    </row>
    <row r="470" spans="1:77">
      <c r="A470" t="s">
        <v>105</v>
      </c>
      <c r="B470" s="675" t="s">
        <v>116</v>
      </c>
      <c r="C470" s="687" t="s">
        <v>126</v>
      </c>
      <c r="D470" s="675">
        <v>0</v>
      </c>
      <c r="E470" s="675" t="s">
        <v>2311</v>
      </c>
      <c r="F470" s="675">
        <v>3</v>
      </c>
      <c r="G470" s="675" t="s">
        <v>79</v>
      </c>
      <c r="H470" s="675">
        <v>100</v>
      </c>
      <c r="I470" s="676" t="s">
        <v>3791</v>
      </c>
      <c r="J470" s="677">
        <v>1.5</v>
      </c>
      <c r="K470" s="683">
        <v>113</v>
      </c>
      <c r="L470" s="677"/>
      <c r="M470" s="677">
        <v>1</v>
      </c>
      <c r="N470" s="677">
        <v>3</v>
      </c>
      <c r="O470" s="677"/>
      <c r="P470" s="677"/>
      <c r="Q470" s="677">
        <v>0</v>
      </c>
      <c r="R470" s="677"/>
      <c r="S470" s="677">
        <v>0</v>
      </c>
      <c r="T470" s="677">
        <v>0</v>
      </c>
      <c r="U470" s="677">
        <v>7</v>
      </c>
      <c r="V470" s="677">
        <v>6</v>
      </c>
      <c r="W470" s="677">
        <v>43</v>
      </c>
      <c r="X470" s="678"/>
      <c r="Y470" s="682"/>
      <c r="Z470" s="680"/>
      <c r="AA470" s="681">
        <v>74.606999999999999</v>
      </c>
      <c r="AB470" s="681"/>
      <c r="AC470" s="417">
        <v>5</v>
      </c>
      <c r="AD470" s="417"/>
      <c r="AE470" s="682" t="s">
        <v>4384</v>
      </c>
      <c r="AF470">
        <v>1</v>
      </c>
      <c r="AG470" s="749">
        <v>43101</v>
      </c>
      <c r="AH470" s="417"/>
      <c r="AI470" s="417"/>
      <c r="AJ470" s="750">
        <v>43297</v>
      </c>
      <c r="AK470" s="417"/>
      <c r="AL470" s="637" t="s">
        <v>3475</v>
      </c>
      <c r="AM470" s="417"/>
      <c r="AN470" s="417"/>
      <c r="AO470" s="636"/>
      <c r="AP470">
        <v>556715</v>
      </c>
      <c r="AQ470" s="751">
        <v>43297</v>
      </c>
      <c r="AR470" s="417">
        <v>0.3</v>
      </c>
      <c r="AS470" s="417"/>
      <c r="AT470" s="417"/>
      <c r="AU470" s="417"/>
      <c r="AV470" s="417"/>
      <c r="AW470" s="417"/>
      <c r="AX470" s="417"/>
      <c r="AY470" s="183" t="s">
        <v>4245</v>
      </c>
      <c r="AZ470" s="417"/>
      <c r="BA470" s="417"/>
      <c r="BB470" t="s">
        <v>4238</v>
      </c>
      <c r="BC470" s="636"/>
      <c r="BD470" s="417"/>
      <c r="BE470" s="612"/>
      <c r="BF470" s="613"/>
      <c r="BG470" s="614"/>
      <c r="BH470" s="682"/>
      <c r="BI470" s="417"/>
      <c r="BJ470" s="417">
        <v>4</v>
      </c>
      <c r="BK470" s="682" t="str">
        <f>Техкарта[[#This Row],[Кв-л]]&amp;" кв ("&amp;Substring(Техкарта[[#This Row],[Виділ]],"_",1)&amp;" вид) "&amp;Substring(Техкарта[[#This Row],[Виділ]],"_",2)&amp;" діл."</f>
        <v>100 кв (7 вид) 0 діл.</v>
      </c>
      <c r="BL470" s="682" t="str">
        <f>Техкарта[[#This Row],[ПолнаяДіл]] &amp;" "&amp;Техкарта[[#This Row],[ЛК]]&amp;" "&amp;Техкарта[[#This Row],[Вид рубки]]</f>
        <v>100 кв (7 вид) 0 діл. 556715 СРВ</v>
      </c>
      <c r="BM470" s="682"/>
      <c r="BN470" s="636"/>
      <c r="BO470" s="636"/>
      <c r="BP470" s="636"/>
      <c r="BQ470" s="636" t="s">
        <v>105</v>
      </c>
      <c r="BR470" s="636">
        <v>2</v>
      </c>
      <c r="BS470" s="636"/>
      <c r="BT470" s="636"/>
      <c r="BU470" s="636"/>
      <c r="BV470" s="636"/>
      <c r="BW470" s="636" t="s">
        <v>4351</v>
      </c>
      <c r="BX470" s="636"/>
      <c r="BY470" s="972"/>
    </row>
    <row r="471" spans="1:77">
      <c r="A471" t="s">
        <v>105</v>
      </c>
      <c r="B471" s="675" t="s">
        <v>116</v>
      </c>
      <c r="C471" s="687" t="s">
        <v>126</v>
      </c>
      <c r="D471" s="675">
        <v>0</v>
      </c>
      <c r="E471" s="675" t="s">
        <v>2311</v>
      </c>
      <c r="F471" s="675">
        <v>3</v>
      </c>
      <c r="G471" s="675" t="s">
        <v>79</v>
      </c>
      <c r="H471" s="675">
        <v>63</v>
      </c>
      <c r="I471" s="676" t="s">
        <v>3850</v>
      </c>
      <c r="J471" s="677">
        <v>0.5</v>
      </c>
      <c r="K471" s="683">
        <v>90</v>
      </c>
      <c r="L471" s="677"/>
      <c r="M471" s="677">
        <v>0</v>
      </c>
      <c r="N471" s="677">
        <v>6</v>
      </c>
      <c r="O471" s="677"/>
      <c r="P471" s="677"/>
      <c r="Q471" s="677">
        <v>0</v>
      </c>
      <c r="R471" s="677"/>
      <c r="S471" s="677">
        <v>0</v>
      </c>
      <c r="T471" s="677">
        <v>0</v>
      </c>
      <c r="U471" s="677">
        <v>2</v>
      </c>
      <c r="V471" s="677">
        <v>0</v>
      </c>
      <c r="W471" s="677">
        <v>56</v>
      </c>
      <c r="X471" s="678"/>
      <c r="Y471" s="682"/>
      <c r="Z471" s="680"/>
      <c r="AA471" s="681">
        <v>70.590999999999994</v>
      </c>
      <c r="AB471" s="681"/>
      <c r="AC471" s="417">
        <v>4</v>
      </c>
      <c r="AD471" s="417"/>
      <c r="AE471" s="682" t="s">
        <v>4393</v>
      </c>
      <c r="AF471">
        <v>1</v>
      </c>
      <c r="AG471" s="749">
        <v>43101</v>
      </c>
      <c r="AH471" s="417"/>
      <c r="AI471" s="417"/>
      <c r="AJ471" s="750">
        <v>43297</v>
      </c>
      <c r="AK471" s="417"/>
      <c r="AL471" s="637" t="s">
        <v>3475</v>
      </c>
      <c r="AM471" s="417"/>
      <c r="AN471" s="417"/>
      <c r="AO471" s="636"/>
      <c r="AP471">
        <v>556715</v>
      </c>
      <c r="AQ471" s="751">
        <v>43297</v>
      </c>
      <c r="AR471" s="417">
        <v>0.3</v>
      </c>
      <c r="AS471" s="417"/>
      <c r="AT471" s="417"/>
      <c r="AU471" s="417"/>
      <c r="AV471" s="417"/>
      <c r="AW471" s="417"/>
      <c r="AX471" s="417"/>
      <c r="AY471" s="183" t="s">
        <v>4245</v>
      </c>
      <c r="AZ471" s="417"/>
      <c r="BA471" s="417"/>
      <c r="BB471" t="s">
        <v>4238</v>
      </c>
      <c r="BC471" s="636"/>
      <c r="BD471" s="417"/>
      <c r="BE471" s="612"/>
      <c r="BF471" s="613"/>
      <c r="BG471" s="614"/>
      <c r="BH471" s="682"/>
      <c r="BI471" s="417"/>
      <c r="BJ471" s="417">
        <v>16</v>
      </c>
      <c r="BK471" s="682" t="str">
        <f>Техкарта[[#This Row],[Кв-л]]&amp;" кв ("&amp;Substring(Техкарта[[#This Row],[Виділ]],"_",1)&amp;" вид) "&amp;Substring(Техкарта[[#This Row],[Виділ]],"_",2)&amp;" діл."</f>
        <v>63 кв (6 вид) 0 діл.</v>
      </c>
      <c r="BL471" s="682" t="str">
        <f>Техкарта[[#This Row],[ПолнаяДіл]] &amp;" "&amp;Техкарта[[#This Row],[ЛК]]&amp;" "&amp;Техкарта[[#This Row],[Вид рубки]]</f>
        <v>63 кв (6 вид) 0 діл. 556715 СРВ</v>
      </c>
      <c r="BM471" s="682"/>
      <c r="BN471" s="636"/>
      <c r="BO471" s="636"/>
      <c r="BP471" s="636"/>
      <c r="BQ471" s="636" t="s">
        <v>105</v>
      </c>
      <c r="BR471" s="636">
        <v>2</v>
      </c>
      <c r="BS471" s="636"/>
      <c r="BT471" s="636"/>
      <c r="BU471" s="636"/>
      <c r="BV471" s="636"/>
      <c r="BW471" s="636" t="s">
        <v>4351</v>
      </c>
      <c r="BX471" s="636"/>
      <c r="BY471" s="972"/>
    </row>
    <row r="472" spans="1:77">
      <c r="A472" t="s">
        <v>105</v>
      </c>
      <c r="B472" s="675" t="s">
        <v>112</v>
      </c>
      <c r="C472" s="687" t="s">
        <v>126</v>
      </c>
      <c r="D472" s="675">
        <v>0</v>
      </c>
      <c r="E472" s="675" t="s">
        <v>2311</v>
      </c>
      <c r="F472" s="675">
        <v>3</v>
      </c>
      <c r="G472" s="675" t="s">
        <v>79</v>
      </c>
      <c r="H472" s="675">
        <v>63</v>
      </c>
      <c r="I472" s="676" t="s">
        <v>3829</v>
      </c>
      <c r="J472" s="677">
        <v>9</v>
      </c>
      <c r="K472" s="683">
        <v>373</v>
      </c>
      <c r="L472" s="677"/>
      <c r="M472" s="677">
        <v>0</v>
      </c>
      <c r="N472" s="677">
        <v>16</v>
      </c>
      <c r="O472" s="677"/>
      <c r="P472" s="677"/>
      <c r="Q472" s="677">
        <v>0</v>
      </c>
      <c r="R472" s="677"/>
      <c r="S472" s="677">
        <v>0</v>
      </c>
      <c r="T472" s="677">
        <v>0</v>
      </c>
      <c r="U472" s="677">
        <v>0</v>
      </c>
      <c r="V472" s="677">
        <v>0</v>
      </c>
      <c r="W472" s="677">
        <v>303</v>
      </c>
      <c r="X472" s="678"/>
      <c r="Y472" s="682"/>
      <c r="Z472" s="680"/>
      <c r="AA472" s="681">
        <v>69.117000000000004</v>
      </c>
      <c r="AB472" s="681"/>
      <c r="AC472" s="417">
        <v>21</v>
      </c>
      <c r="AD472" s="417"/>
      <c r="AE472" s="682" t="s">
        <v>4394</v>
      </c>
      <c r="AF472">
        <v>1</v>
      </c>
      <c r="AG472" s="749">
        <v>43101</v>
      </c>
      <c r="AH472" s="417"/>
      <c r="AI472" s="417"/>
      <c r="AJ472" s="750">
        <v>43284</v>
      </c>
      <c r="AK472" s="417"/>
      <c r="AL472" s="637" t="s">
        <v>3440</v>
      </c>
      <c r="AM472" s="417"/>
      <c r="AN472" s="417"/>
      <c r="AO472" s="636"/>
      <c r="AP472">
        <v>556714</v>
      </c>
      <c r="AQ472" s="751">
        <v>43284</v>
      </c>
      <c r="AR472" s="417">
        <v>0.3</v>
      </c>
      <c r="AS472" s="417"/>
      <c r="AT472" s="417"/>
      <c r="AU472" s="417"/>
      <c r="AV472" s="417"/>
      <c r="AW472" s="417"/>
      <c r="AX472" s="417"/>
      <c r="AY472" s="183" t="s">
        <v>4245</v>
      </c>
      <c r="AZ472" s="417"/>
      <c r="BA472" s="417"/>
      <c r="BB472" t="s">
        <v>4238</v>
      </c>
      <c r="BC472" s="636"/>
      <c r="BD472" s="417"/>
      <c r="BE472" s="612"/>
      <c r="BF472" s="613"/>
      <c r="BG472" s="614"/>
      <c r="BH472" s="682"/>
      <c r="BI472" s="417"/>
      <c r="BJ472" s="417">
        <v>3</v>
      </c>
      <c r="BK472" s="682" t="str">
        <f>Техкарта[[#This Row],[Кв-л]]&amp;" кв ("&amp;Substring(Техкарта[[#This Row],[Виділ]],"_",1)&amp;" вид) "&amp;Substring(Техкарта[[#This Row],[Виділ]],"_",2)&amp;" діл."</f>
        <v>63 кв (3 вид) 0 діл.</v>
      </c>
      <c r="BL472" s="682" t="str">
        <f>Техкарта[[#This Row],[ПолнаяДіл]] &amp;" "&amp;Техкарта[[#This Row],[ЛК]]&amp;" "&amp;Техкарта[[#This Row],[Вид рубки]]</f>
        <v>63 кв (3 вид) 0 діл. 556714 СРВ</v>
      </c>
      <c r="BM472" s="682"/>
      <c r="BN472" s="636"/>
      <c r="BO472" s="636"/>
      <c r="BP472" s="636"/>
      <c r="BQ472" s="636" t="s">
        <v>105</v>
      </c>
      <c r="BR472" s="636">
        <v>2</v>
      </c>
      <c r="BS472" s="636"/>
      <c r="BT472" s="636"/>
      <c r="BU472" s="636"/>
      <c r="BV472" s="636"/>
      <c r="BW472" s="636" t="s">
        <v>4351</v>
      </c>
      <c r="BX472" s="636"/>
      <c r="BY472" s="972"/>
    </row>
    <row r="473" spans="1:77">
      <c r="A473" t="s">
        <v>105</v>
      </c>
      <c r="B473" s="675" t="s">
        <v>112</v>
      </c>
      <c r="C473" s="687" t="s">
        <v>126</v>
      </c>
      <c r="D473" s="675">
        <v>0</v>
      </c>
      <c r="E473" s="675" t="s">
        <v>2311</v>
      </c>
      <c r="F473" s="675">
        <v>3</v>
      </c>
      <c r="G473" s="675" t="s">
        <v>79</v>
      </c>
      <c r="H473" s="675">
        <v>114</v>
      </c>
      <c r="I473" s="676" t="s">
        <v>3830</v>
      </c>
      <c r="J473" s="677">
        <v>11.2</v>
      </c>
      <c r="K473" s="683">
        <v>232</v>
      </c>
      <c r="L473" s="677"/>
      <c r="M473" s="677">
        <v>0</v>
      </c>
      <c r="N473" s="677">
        <v>6</v>
      </c>
      <c r="O473" s="677"/>
      <c r="P473" s="677"/>
      <c r="Q473" s="677">
        <v>0</v>
      </c>
      <c r="R473" s="677"/>
      <c r="S473" s="677">
        <v>0</v>
      </c>
      <c r="T473" s="677">
        <v>0</v>
      </c>
      <c r="U473" s="677">
        <v>0</v>
      </c>
      <c r="V473" s="677">
        <v>0</v>
      </c>
      <c r="W473" s="677">
        <v>142</v>
      </c>
      <c r="X473" s="678"/>
      <c r="Y473" s="682"/>
      <c r="Z473" s="680"/>
      <c r="AA473" s="681">
        <v>80.480999999999995</v>
      </c>
      <c r="AB473" s="681"/>
      <c r="AC473" s="417">
        <v>10</v>
      </c>
      <c r="AD473" s="417"/>
      <c r="AE473" s="682" t="s">
        <v>4395</v>
      </c>
      <c r="AF473">
        <v>1</v>
      </c>
      <c r="AG473" s="749">
        <v>43101</v>
      </c>
      <c r="AH473" s="417"/>
      <c r="AI473" s="417"/>
      <c r="AJ473" s="750">
        <v>43284</v>
      </c>
      <c r="AK473" s="417"/>
      <c r="AL473" s="637" t="s">
        <v>3458</v>
      </c>
      <c r="AM473" s="417"/>
      <c r="AN473" s="417"/>
      <c r="AO473" s="636"/>
      <c r="AP473">
        <v>556714</v>
      </c>
      <c r="AQ473" s="751">
        <v>43284</v>
      </c>
      <c r="AR473" s="417">
        <v>0.3</v>
      </c>
      <c r="AS473" s="417"/>
      <c r="AT473" s="417"/>
      <c r="AU473" s="417"/>
      <c r="AV473" s="417"/>
      <c r="AW473" s="417"/>
      <c r="AX473" s="417"/>
      <c r="AY473" s="183" t="s">
        <v>4245</v>
      </c>
      <c r="AZ473" s="417"/>
      <c r="BA473" s="417"/>
      <c r="BB473" t="s">
        <v>4238</v>
      </c>
      <c r="BC473" s="636"/>
      <c r="BD473" s="417"/>
      <c r="BE473" s="612"/>
      <c r="BF473" s="613"/>
      <c r="BG473" s="614"/>
      <c r="BH473" s="682"/>
      <c r="BI473" s="417"/>
      <c r="BJ473" s="417">
        <v>4</v>
      </c>
      <c r="BK473" s="682" t="str">
        <f>Техкарта[[#This Row],[Кв-л]]&amp;" кв ("&amp;Substring(Техкарта[[#This Row],[Виділ]],"_",1)&amp;" вид) "&amp;Substring(Техкарта[[#This Row],[Виділ]],"_",2)&amp;" діл."</f>
        <v>114 кв (1 вид) 0 діл.</v>
      </c>
      <c r="BL473" s="682" t="str">
        <f>Техкарта[[#This Row],[ПолнаяДіл]] &amp;" "&amp;Техкарта[[#This Row],[ЛК]]&amp;" "&amp;Техкарта[[#This Row],[Вид рубки]]</f>
        <v>114 кв (1 вид) 0 діл. 556714 СРВ</v>
      </c>
      <c r="BM473" s="682"/>
      <c r="BN473" s="636"/>
      <c r="BO473" s="636"/>
      <c r="BP473" s="636"/>
      <c r="BQ473" s="636" t="s">
        <v>105</v>
      </c>
      <c r="BR473" s="636"/>
      <c r="BS473" s="636"/>
      <c r="BT473" s="636"/>
      <c r="BU473" s="636"/>
      <c r="BV473" s="636"/>
      <c r="BW473" s="636" t="s">
        <v>4351</v>
      </c>
      <c r="BX473" s="636"/>
      <c r="BY473" s="972"/>
    </row>
    <row r="474" spans="1:77">
      <c r="A474" t="s">
        <v>105</v>
      </c>
      <c r="B474" s="675" t="s">
        <v>111</v>
      </c>
      <c r="C474" s="687" t="s">
        <v>3842</v>
      </c>
      <c r="D474" s="675">
        <v>0</v>
      </c>
      <c r="E474" s="675" t="s">
        <v>2311</v>
      </c>
      <c r="F474" s="675">
        <v>3</v>
      </c>
      <c r="G474" s="675" t="s">
        <v>79</v>
      </c>
      <c r="H474" s="675">
        <v>10</v>
      </c>
      <c r="I474" s="676" t="s">
        <v>3850</v>
      </c>
      <c r="J474" s="677">
        <v>0.9</v>
      </c>
      <c r="K474" s="683">
        <v>74</v>
      </c>
      <c r="L474" s="677"/>
      <c r="M474" s="677">
        <v>66</v>
      </c>
      <c r="N474" s="677">
        <v>0</v>
      </c>
      <c r="O474" s="677"/>
      <c r="P474" s="677"/>
      <c r="Q474" s="677">
        <v>0</v>
      </c>
      <c r="R474" s="677"/>
      <c r="S474" s="677">
        <v>10</v>
      </c>
      <c r="T474" s="677">
        <v>0</v>
      </c>
      <c r="U474" s="677">
        <v>0</v>
      </c>
      <c r="V474" s="677">
        <v>0</v>
      </c>
      <c r="W474" s="677">
        <v>5</v>
      </c>
      <c r="X474" s="678"/>
      <c r="Y474" s="682"/>
      <c r="Z474" s="680"/>
      <c r="AA474" s="681">
        <v>32.909999999999997</v>
      </c>
      <c r="AB474" s="681"/>
      <c r="AC474" s="417">
        <v>9</v>
      </c>
      <c r="AD474" s="417"/>
      <c r="AE474" s="682" t="s">
        <v>4396</v>
      </c>
      <c r="AF474">
        <v>1</v>
      </c>
      <c r="AG474" s="749">
        <v>43101</v>
      </c>
      <c r="AH474" s="417"/>
      <c r="AI474" s="417"/>
      <c r="AJ474" s="750">
        <v>43283</v>
      </c>
      <c r="AK474" s="417"/>
      <c r="AL474" s="637" t="s">
        <v>3462</v>
      </c>
      <c r="AM474" s="417"/>
      <c r="AN474" s="417"/>
      <c r="AO474" s="636"/>
      <c r="AP474">
        <v>556672</v>
      </c>
      <c r="AQ474" s="751">
        <v>43214</v>
      </c>
      <c r="AR474" s="417">
        <v>0.3</v>
      </c>
      <c r="AS474" s="417"/>
      <c r="AT474" s="417"/>
      <c r="AU474" s="417"/>
      <c r="AV474" s="417"/>
      <c r="AW474" s="417"/>
      <c r="AX474" s="417"/>
      <c r="AY474" s="183" t="s">
        <v>3424</v>
      </c>
      <c r="AZ474" s="417"/>
      <c r="BA474" s="417"/>
      <c r="BB474" t="s">
        <v>3583</v>
      </c>
      <c r="BC474" s="636"/>
      <c r="BD474" s="417"/>
      <c r="BE474" s="612"/>
      <c r="BF474" s="613"/>
      <c r="BG474" s="614"/>
      <c r="BH474" s="682"/>
      <c r="BI474" s="417"/>
      <c r="BJ474" s="417">
        <v>2</v>
      </c>
      <c r="BK474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74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74" s="682"/>
      <c r="BN474" s="636"/>
      <c r="BO474" s="636"/>
      <c r="BP474" s="636"/>
      <c r="BQ474" s="636" t="s">
        <v>105</v>
      </c>
      <c r="BR474" s="636"/>
      <c r="BS474" s="636"/>
      <c r="BT474" s="636"/>
      <c r="BU474" s="636"/>
      <c r="BV474" s="636"/>
      <c r="BW474" s="636" t="s">
        <v>4351</v>
      </c>
      <c r="BX474" s="636"/>
      <c r="BY474" s="972"/>
    </row>
    <row r="475" spans="1:77">
      <c r="A475" t="s">
        <v>3896</v>
      </c>
      <c r="B475" s="675" t="s">
        <v>112</v>
      </c>
      <c r="C475" s="687" t="s">
        <v>124</v>
      </c>
      <c r="D475" s="675">
        <v>0</v>
      </c>
      <c r="E475" s="675" t="s">
        <v>2311</v>
      </c>
      <c r="F475" s="675">
        <v>3</v>
      </c>
      <c r="G475" s="675" t="s">
        <v>79</v>
      </c>
      <c r="H475" s="675">
        <v>18</v>
      </c>
      <c r="I475" s="676" t="s">
        <v>3833</v>
      </c>
      <c r="J475" s="677">
        <v>3.1</v>
      </c>
      <c r="K475" s="683">
        <v>0</v>
      </c>
      <c r="L475" s="677"/>
      <c r="M475" s="677">
        <v>0</v>
      </c>
      <c r="N475" s="677">
        <v>0</v>
      </c>
      <c r="O475" s="677"/>
      <c r="P475" s="677"/>
      <c r="Q475" s="677">
        <v>216.67</v>
      </c>
      <c r="R475" s="677"/>
      <c r="S475" s="677">
        <v>0</v>
      </c>
      <c r="T475" s="677">
        <v>205</v>
      </c>
      <c r="U475" s="677"/>
      <c r="V475" s="677">
        <v>0</v>
      </c>
      <c r="W475" s="677">
        <v>0</v>
      </c>
      <c r="X475" s="678"/>
      <c r="Y475" s="682"/>
      <c r="Z475" s="680"/>
      <c r="AA475" s="681">
        <v>127</v>
      </c>
      <c r="AB475" s="681"/>
      <c r="AC475" s="417">
        <v>23</v>
      </c>
      <c r="AD475" s="417"/>
      <c r="AE475" s="682" t="s">
        <v>4397</v>
      </c>
      <c r="AF475">
        <v>1</v>
      </c>
      <c r="AG475" s="749">
        <v>43101</v>
      </c>
      <c r="AH475" s="417"/>
      <c r="AI475" s="417"/>
      <c r="AJ475" s="750">
        <v>43283</v>
      </c>
      <c r="AK475" s="417"/>
      <c r="AL475" s="637" t="s">
        <v>3434</v>
      </c>
      <c r="AM475" s="417"/>
      <c r="AN475" s="417"/>
      <c r="AO475" s="636"/>
      <c r="AP475">
        <v>556634</v>
      </c>
      <c r="AQ475" s="751">
        <v>43102</v>
      </c>
      <c r="AR475" s="417">
        <v>0.5</v>
      </c>
      <c r="AS475" s="417"/>
      <c r="AT475" s="417"/>
      <c r="AU475" s="417"/>
      <c r="AV475" s="417"/>
      <c r="AW475" s="417"/>
      <c r="AX475" s="417"/>
      <c r="AY475" s="183" t="s">
        <v>4245</v>
      </c>
      <c r="AZ475" s="417"/>
      <c r="BA475" s="417"/>
      <c r="BB475" t="s">
        <v>4238</v>
      </c>
      <c r="BC475" s="636"/>
      <c r="BD475" s="417"/>
      <c r="BE475" s="612"/>
      <c r="BF475" s="613"/>
      <c r="BG475" s="614"/>
      <c r="BH475" s="682"/>
      <c r="BI475" s="417"/>
      <c r="BJ475" s="417">
        <v>5</v>
      </c>
      <c r="BK475" s="682" t="str">
        <f>Техкарта[[#This Row],[Кв-л]]&amp;" кв ("&amp;Substring(Техкарта[[#This Row],[Виділ]],"_",1)&amp;" вид) "&amp;Substring(Техкарта[[#This Row],[Виділ]],"_",2)&amp;" діл."</f>
        <v>18 кв (8 вид) 0 діл.</v>
      </c>
      <c r="BL475" s="682" t="str">
        <f>Техкарта[[#This Row],[ПолнаяДіл]] &amp;" "&amp;Техкарта[[#This Row],[ЛК]]&amp;" "&amp;Техкарта[[#This Row],[Вид рубки]]</f>
        <v>18 кв (8 вид) 0 діл. 556634 ПРЖ</v>
      </c>
      <c r="BM475" s="682"/>
      <c r="BN475" s="636"/>
      <c r="BO475" s="636"/>
      <c r="BP475" s="636"/>
      <c r="BQ475" s="636" t="s">
        <v>3896</v>
      </c>
      <c r="BR475" s="636">
        <v>5</v>
      </c>
      <c r="BS475" s="636"/>
      <c r="BT475" s="636"/>
      <c r="BU475" s="636"/>
      <c r="BV475" s="636"/>
      <c r="BW475" s="636" t="s">
        <v>4351</v>
      </c>
      <c r="BX475" s="636"/>
      <c r="BY475" s="972"/>
    </row>
    <row r="476" spans="1:77">
      <c r="A476" t="s">
        <v>3896</v>
      </c>
      <c r="B476" s="675" t="s">
        <v>112</v>
      </c>
      <c r="C476" s="687" t="s">
        <v>3843</v>
      </c>
      <c r="D476" s="675">
        <v>0</v>
      </c>
      <c r="E476" s="675" t="s">
        <v>2311</v>
      </c>
      <c r="F476" s="675">
        <v>3</v>
      </c>
      <c r="G476" s="675" t="s">
        <v>79</v>
      </c>
      <c r="H476" s="675">
        <v>30</v>
      </c>
      <c r="I476" s="676" t="s">
        <v>3795</v>
      </c>
      <c r="J476" s="677">
        <v>1.5</v>
      </c>
      <c r="K476" s="683">
        <v>0</v>
      </c>
      <c r="L476" s="677"/>
      <c r="M476" s="677">
        <v>0</v>
      </c>
      <c r="N476" s="677">
        <v>170</v>
      </c>
      <c r="O476" s="677"/>
      <c r="P476" s="677"/>
      <c r="Q476" s="677">
        <v>0</v>
      </c>
      <c r="R476" s="677"/>
      <c r="S476" s="677">
        <v>0</v>
      </c>
      <c r="T476" s="677">
        <v>0</v>
      </c>
      <c r="U476" s="677"/>
      <c r="V476" s="677">
        <v>0</v>
      </c>
      <c r="W476" s="677">
        <v>0</v>
      </c>
      <c r="X476" s="678"/>
      <c r="Y476" s="682"/>
      <c r="Z476" s="680"/>
      <c r="AA476" s="681">
        <v>185.6</v>
      </c>
      <c r="AB476" s="681"/>
      <c r="AC476" s="417">
        <v>23</v>
      </c>
      <c r="AD476" s="417"/>
      <c r="AE476" s="682" t="s">
        <v>4398</v>
      </c>
      <c r="AF476">
        <v>1</v>
      </c>
      <c r="AG476" s="749">
        <v>43101</v>
      </c>
      <c r="AH476" s="417"/>
      <c r="AI476" s="417"/>
      <c r="AJ476" s="750">
        <v>43283</v>
      </c>
      <c r="AK476" s="417"/>
      <c r="AL476" s="637" t="s">
        <v>3434</v>
      </c>
      <c r="AM476" s="417"/>
      <c r="AN476" s="417"/>
      <c r="AO476" s="636"/>
      <c r="AP476">
        <v>556665</v>
      </c>
      <c r="AQ476" s="751">
        <v>43192</v>
      </c>
      <c r="AR476" s="417">
        <v>0.3</v>
      </c>
      <c r="AS476" s="417"/>
      <c r="AT476" s="417"/>
      <c r="AU476" s="417"/>
      <c r="AV476" s="417"/>
      <c r="AW476" s="417"/>
      <c r="AX476" s="417"/>
      <c r="AY476" s="183" t="s">
        <v>4245</v>
      </c>
      <c r="AZ476" s="417"/>
      <c r="BA476" s="417"/>
      <c r="BB476" t="s">
        <v>4238</v>
      </c>
      <c r="BC476" s="636"/>
      <c r="BD476" s="417"/>
      <c r="BE476" s="612"/>
      <c r="BF476" s="613"/>
      <c r="BG476" s="614"/>
      <c r="BH476" s="682"/>
      <c r="BI476" s="417"/>
      <c r="BJ476" s="417">
        <v>6</v>
      </c>
      <c r="BK476" s="682" t="str">
        <f>Техкарта[[#This Row],[Кв-л]]&amp;" кв ("&amp;Substring(Техкарта[[#This Row],[Виділ]],"_",1)&amp;" вид) "&amp;Substring(Техкарта[[#This Row],[Виділ]],"_",2)&amp;" діл."</f>
        <v>30 кв (9 вид) 0 діл.</v>
      </c>
      <c r="BL476" s="682" t="str">
        <f>Техкарта[[#This Row],[ПолнаяДіл]] &amp;" "&amp;Техкарта[[#This Row],[ЛК]]&amp;" "&amp;Техкарта[[#This Row],[Вид рубки]]</f>
        <v>30 кв (9 вид) 0 діл. 556665 ОСВ</v>
      </c>
      <c r="BM476" s="682"/>
      <c r="BN476" s="636"/>
      <c r="BO476" s="636"/>
      <c r="BP476" s="636"/>
      <c r="BQ476" s="636" t="s">
        <v>3896</v>
      </c>
      <c r="BR476" s="636">
        <v>2</v>
      </c>
      <c r="BS476" s="636"/>
      <c r="BT476" s="636"/>
      <c r="BU476" s="636"/>
      <c r="BV476" s="636"/>
      <c r="BW476" s="636" t="s">
        <v>4351</v>
      </c>
      <c r="BX476" s="636"/>
      <c r="BY476" s="972"/>
    </row>
    <row r="477" spans="1:77">
      <c r="A477" t="s">
        <v>105</v>
      </c>
      <c r="B477" s="675" t="s">
        <v>113</v>
      </c>
      <c r="C477" s="687" t="s">
        <v>124</v>
      </c>
      <c r="D477" s="675">
        <v>0</v>
      </c>
      <c r="E477" s="675" t="s">
        <v>2311</v>
      </c>
      <c r="F477" s="675">
        <v>3</v>
      </c>
      <c r="G477" s="675" t="s">
        <v>79</v>
      </c>
      <c r="H477" s="675">
        <v>28</v>
      </c>
      <c r="I477" s="676" t="s">
        <v>3829</v>
      </c>
      <c r="J477" s="677">
        <v>6.2</v>
      </c>
      <c r="K477" s="683">
        <v>564</v>
      </c>
      <c r="L477" s="677"/>
      <c r="M477" s="677">
        <v>0</v>
      </c>
      <c r="N477" s="677">
        <v>0</v>
      </c>
      <c r="O477" s="677"/>
      <c r="P477" s="677"/>
      <c r="Q477" s="677">
        <v>0</v>
      </c>
      <c r="R477" s="677"/>
      <c r="S477" s="677">
        <v>0</v>
      </c>
      <c r="T477" s="677">
        <v>0</v>
      </c>
      <c r="U477" s="677">
        <v>0</v>
      </c>
      <c r="V477" s="677">
        <v>0</v>
      </c>
      <c r="W477" s="677">
        <v>43</v>
      </c>
      <c r="X477" s="678"/>
      <c r="Y477" s="682"/>
      <c r="Z477" s="680"/>
      <c r="AA477" s="681">
        <v>210.167</v>
      </c>
      <c r="AB477" s="681"/>
      <c r="AC477" s="417">
        <v>1</v>
      </c>
      <c r="AD477" s="417"/>
      <c r="AE477" s="682" t="s">
        <v>4399</v>
      </c>
      <c r="AF477">
        <v>1</v>
      </c>
      <c r="AG477" s="749">
        <v>43101</v>
      </c>
      <c r="AH477" s="417"/>
      <c r="AI477" s="417"/>
      <c r="AJ477" s="750">
        <v>43283</v>
      </c>
      <c r="AK477" s="417"/>
      <c r="AL477" s="637" t="s">
        <v>3435</v>
      </c>
      <c r="AM477" s="417"/>
      <c r="AN477" s="417"/>
      <c r="AO477" s="636"/>
      <c r="AP477">
        <v>556640</v>
      </c>
      <c r="AQ477" s="751">
        <v>43102</v>
      </c>
      <c r="AR477" s="417">
        <v>0.3</v>
      </c>
      <c r="AS477" s="417"/>
      <c r="AT477" s="417"/>
      <c r="AU477" s="417"/>
      <c r="AV477" s="417"/>
      <c r="AW477" s="417"/>
      <c r="AX477" s="417"/>
      <c r="AY477" s="183" t="s">
        <v>4245</v>
      </c>
      <c r="AZ477" s="417"/>
      <c r="BA477" s="417"/>
      <c r="BB477" t="s">
        <v>4238</v>
      </c>
      <c r="BC477" s="636"/>
      <c r="BD477" s="417"/>
      <c r="BE477" s="612"/>
      <c r="BF477" s="613"/>
      <c r="BG477" s="614"/>
      <c r="BH477" s="682"/>
      <c r="BI477" s="417"/>
      <c r="BJ477" s="417">
        <v>17</v>
      </c>
      <c r="BK477" s="682" t="str">
        <f>Техкарта[[#This Row],[Кв-л]]&amp;" кв ("&amp;Substring(Техкарта[[#This Row],[Виділ]],"_",1)&amp;" вид) "&amp;Substring(Техкарта[[#This Row],[Виділ]],"_",2)&amp;" діл."</f>
        <v>28 кв (3 вид) 0 діл.</v>
      </c>
      <c r="BL477" s="682" t="str">
        <f>Техкарта[[#This Row],[ПолнаяДіл]] &amp;" "&amp;Техкарта[[#This Row],[ЛК]]&amp;" "&amp;Техкарта[[#This Row],[Вид рубки]]</f>
        <v>28 кв (3 вид) 0 діл. 556640 ПРЖ</v>
      </c>
      <c r="BM477" s="682"/>
      <c r="BN477" s="636"/>
      <c r="BO477" s="636"/>
      <c r="BP477" s="636"/>
      <c r="BQ477" s="636" t="s">
        <v>105</v>
      </c>
      <c r="BR477" s="636"/>
      <c r="BS477" s="636"/>
      <c r="BT477" s="636"/>
      <c r="BU477" s="636"/>
      <c r="BV477" s="636"/>
      <c r="BW477" s="636" t="s">
        <v>4351</v>
      </c>
      <c r="BX477" s="636"/>
      <c r="BY477" s="972"/>
    </row>
    <row r="478" spans="1:77">
      <c r="A478" t="s">
        <v>104</v>
      </c>
      <c r="B478" s="675" t="s">
        <v>112</v>
      </c>
      <c r="C478" s="687" t="s">
        <v>104</v>
      </c>
      <c r="D478" s="675">
        <v>0</v>
      </c>
      <c r="E478" s="675" t="s">
        <v>2305</v>
      </c>
      <c r="F478" s="675">
        <v>2</v>
      </c>
      <c r="G478" s="675" t="s">
        <v>2238</v>
      </c>
      <c r="H478" s="675">
        <v>45</v>
      </c>
      <c r="I478" s="676" t="s">
        <v>3790</v>
      </c>
      <c r="J478" s="677">
        <v>2.9</v>
      </c>
      <c r="K478" s="683">
        <v>1625</v>
      </c>
      <c r="L478" s="677">
        <v>0</v>
      </c>
      <c r="M478" s="677">
        <v>1</v>
      </c>
      <c r="N478" s="677">
        <v>403</v>
      </c>
      <c r="O478" s="677">
        <v>0</v>
      </c>
      <c r="P478" s="677">
        <v>0</v>
      </c>
      <c r="Q478" s="677">
        <v>49</v>
      </c>
      <c r="R478" s="677">
        <v>25</v>
      </c>
      <c r="S478" s="677">
        <v>28</v>
      </c>
      <c r="T478" s="677">
        <v>328</v>
      </c>
      <c r="U478" s="677">
        <v>9</v>
      </c>
      <c r="V478" s="677">
        <v>24</v>
      </c>
      <c r="W478" s="677">
        <v>222</v>
      </c>
      <c r="X478" s="678"/>
      <c r="Y478" s="682"/>
      <c r="Z478" s="680"/>
      <c r="AA478" s="681">
        <v>74.144999999999996</v>
      </c>
      <c r="AB478" s="681">
        <v>34.731999999999999</v>
      </c>
      <c r="AC478" s="417">
        <v>75</v>
      </c>
      <c r="AD478" s="417"/>
      <c r="AE478" s="682" t="s">
        <v>4401</v>
      </c>
      <c r="AF478">
        <v>1</v>
      </c>
      <c r="AG478" s="749">
        <v>43101</v>
      </c>
      <c r="AH478" s="417"/>
      <c r="AI478" s="417"/>
      <c r="AJ478" s="750">
        <v>43283</v>
      </c>
      <c r="AK478" s="417"/>
      <c r="AL478" s="637" t="s">
        <v>3473</v>
      </c>
      <c r="AM478" s="417"/>
      <c r="AN478" s="417"/>
      <c r="AO478" s="636"/>
      <c r="AP478">
        <v>556617</v>
      </c>
      <c r="AQ478" s="751">
        <v>43077</v>
      </c>
      <c r="AR478" s="417"/>
      <c r="AS478" s="417"/>
      <c r="AT478" s="417"/>
      <c r="AU478" s="417"/>
      <c r="AV478" s="417"/>
      <c r="AW478" s="417"/>
      <c r="AX478" s="417"/>
      <c r="AY478" s="183" t="s">
        <v>4245</v>
      </c>
      <c r="AZ478" s="417"/>
      <c r="BA478" s="417"/>
      <c r="BB478" t="s">
        <v>4238</v>
      </c>
      <c r="BC478" s="636"/>
      <c r="BD478" s="417"/>
      <c r="BE478" s="612">
        <v>5</v>
      </c>
      <c r="BF478" s="613">
        <v>40</v>
      </c>
      <c r="BG478" s="614" t="s">
        <v>78</v>
      </c>
      <c r="BH478" s="682"/>
      <c r="BI478" s="417"/>
      <c r="BJ478" s="417">
        <v>1</v>
      </c>
      <c r="BK478" s="682" t="str">
        <f>Техкарта[[#This Row],[Кв-л]]&amp;" кв ("&amp;Substring(Техкарта[[#This Row],[Виділ]],"_",1)&amp;" вид) "&amp;Substring(Техкарта[[#This Row],[Виділ]],"_",2)&amp;" діл."</f>
        <v>45 кв (2 вид) 0 діл.</v>
      </c>
      <c r="BL478" s="682" t="str">
        <f>Техкарта[[#This Row],[ПолнаяДіл]] &amp;" "&amp;Техкарта[[#This Row],[ЛК]]&amp;" "&amp;Техкарта[[#This Row],[Вид рубки]]</f>
        <v>45 кв (2 вид) 0 діл. 556617 РГК</v>
      </c>
      <c r="BM478" s="682"/>
      <c r="BN478" s="636" t="s">
        <v>3784</v>
      </c>
      <c r="BO478" s="636" t="s">
        <v>3784</v>
      </c>
      <c r="BP478" s="636" t="s">
        <v>3784</v>
      </c>
      <c r="BQ478" s="636" t="s">
        <v>104</v>
      </c>
      <c r="BR478" s="636"/>
      <c r="BS478" s="636"/>
      <c r="BT478" s="636"/>
      <c r="BU478" s="636"/>
      <c r="BV478" s="636"/>
      <c r="BW478" s="636" t="s">
        <v>4400</v>
      </c>
      <c r="BX478" s="636"/>
      <c r="BY478" s="972"/>
    </row>
    <row r="479" spans="1:77">
      <c r="A479" t="s">
        <v>104</v>
      </c>
      <c r="B479" s="675" t="s">
        <v>115</v>
      </c>
      <c r="C479" s="687" t="s">
        <v>104</v>
      </c>
      <c r="D479" s="675">
        <v>0</v>
      </c>
      <c r="E479" s="675" t="s">
        <v>2305</v>
      </c>
      <c r="F479" s="675">
        <v>2</v>
      </c>
      <c r="G479" s="675" t="s">
        <v>2238</v>
      </c>
      <c r="H479" s="675">
        <v>10</v>
      </c>
      <c r="I479" s="676" t="s">
        <v>3790</v>
      </c>
      <c r="J479" s="677">
        <v>1.4</v>
      </c>
      <c r="K479" s="683">
        <v>779</v>
      </c>
      <c r="L479" s="677">
        <v>0</v>
      </c>
      <c r="M479" s="677">
        <v>1</v>
      </c>
      <c r="N479" s="677">
        <v>175</v>
      </c>
      <c r="O479" s="677">
        <v>0</v>
      </c>
      <c r="P479" s="677">
        <v>0</v>
      </c>
      <c r="Q479" s="677">
        <v>14</v>
      </c>
      <c r="R479" s="677">
        <v>58</v>
      </c>
      <c r="S479" s="677">
        <v>3</v>
      </c>
      <c r="T479" s="677">
        <v>95</v>
      </c>
      <c r="U479" s="677">
        <v>20</v>
      </c>
      <c r="V479" s="677">
        <v>3</v>
      </c>
      <c r="W479" s="677">
        <v>66</v>
      </c>
      <c r="X479" s="678"/>
      <c r="Y479" s="682"/>
      <c r="Z479" s="680"/>
      <c r="AA479" s="681">
        <v>79.641999999999996</v>
      </c>
      <c r="AB479" s="681">
        <v>38.442999999999998</v>
      </c>
      <c r="AC479" s="417">
        <v>34</v>
      </c>
      <c r="AD479" s="417"/>
      <c r="AE479" s="682" t="s">
        <v>4402</v>
      </c>
      <c r="AF479">
        <v>1</v>
      </c>
      <c r="AG479" s="749">
        <v>43101</v>
      </c>
      <c r="AH479" s="417"/>
      <c r="AI479" s="417"/>
      <c r="AJ479" s="750">
        <v>43283</v>
      </c>
      <c r="AK479" s="417"/>
      <c r="AL479" s="637" t="s">
        <v>3480</v>
      </c>
      <c r="AM479" s="417"/>
      <c r="AN479" s="417"/>
      <c r="AO479" s="636"/>
      <c r="AP479">
        <v>556622</v>
      </c>
      <c r="AQ479" s="751">
        <v>43077</v>
      </c>
      <c r="AR479" s="417"/>
      <c r="AS479" s="417"/>
      <c r="AT479" s="417"/>
      <c r="AU479" s="417"/>
      <c r="AV479" s="417"/>
      <c r="AW479" s="417"/>
      <c r="AX479" s="417"/>
      <c r="AY479" s="183" t="s">
        <v>3362</v>
      </c>
      <c r="AZ479" s="417"/>
      <c r="BA479" s="417"/>
      <c r="BB479" t="s">
        <v>3585</v>
      </c>
      <c r="BC479" s="636"/>
      <c r="BD479" s="417"/>
      <c r="BE479" s="612">
        <v>10</v>
      </c>
      <c r="BF479" s="613">
        <v>40</v>
      </c>
      <c r="BG479" s="614" t="s">
        <v>78</v>
      </c>
      <c r="BH479" s="682"/>
      <c r="BI479" s="417"/>
      <c r="BJ479" s="417">
        <v>1</v>
      </c>
      <c r="BK479" s="682" t="str">
        <f>Техкарта[[#This Row],[Кв-л]]&amp;" кв ("&amp;Substring(Техкарта[[#This Row],[Виділ]],"_",1)&amp;" вид) "&amp;Substring(Техкарта[[#This Row],[Виділ]],"_",2)&amp;" діл."</f>
        <v>10 кв (2 вид) 0 діл.</v>
      </c>
      <c r="BL479" s="682" t="str">
        <f>Техкарта[[#This Row],[ПолнаяДіл]] &amp;" "&amp;Техкарта[[#This Row],[ЛК]]&amp;" "&amp;Техкарта[[#This Row],[Вид рубки]]</f>
        <v>10 кв (2 вид) 0 діл. 556622 РГК</v>
      </c>
      <c r="BM479" s="682"/>
      <c r="BN479" s="636" t="s">
        <v>3784</v>
      </c>
      <c r="BO479" s="636" t="s">
        <v>3784</v>
      </c>
      <c r="BP479" s="636" t="s">
        <v>3784</v>
      </c>
      <c r="BQ479" s="636" t="s">
        <v>104</v>
      </c>
      <c r="BR479" s="636"/>
      <c r="BS479" s="636"/>
      <c r="BT479" s="636"/>
      <c r="BU479" s="636"/>
      <c r="BV479" s="636"/>
      <c r="BW479" s="636" t="s">
        <v>4403</v>
      </c>
      <c r="BX479" s="636"/>
      <c r="BY479" s="972"/>
    </row>
    <row r="480" spans="1:77">
      <c r="A480" t="s">
        <v>105</v>
      </c>
      <c r="B480" s="675" t="s">
        <v>115</v>
      </c>
      <c r="C480" s="687" t="s">
        <v>126</v>
      </c>
      <c r="D480" s="675">
        <v>0</v>
      </c>
      <c r="E480" s="675" t="s">
        <v>2311</v>
      </c>
      <c r="F480" s="675">
        <v>3</v>
      </c>
      <c r="G480" s="675" t="s">
        <v>79</v>
      </c>
      <c r="H480" s="675">
        <v>21</v>
      </c>
      <c r="I480" s="676" t="s">
        <v>3809</v>
      </c>
      <c r="J480" s="677">
        <v>13.9</v>
      </c>
      <c r="K480" s="683">
        <v>607</v>
      </c>
      <c r="L480" s="677"/>
      <c r="M480" s="677">
        <v>0</v>
      </c>
      <c r="N480" s="677">
        <v>20</v>
      </c>
      <c r="O480" s="677"/>
      <c r="P480" s="677"/>
      <c r="Q480" s="677">
        <v>0</v>
      </c>
      <c r="R480" s="677"/>
      <c r="S480" s="677">
        <v>0</v>
      </c>
      <c r="T480" s="677">
        <v>0</v>
      </c>
      <c r="U480" s="677">
        <v>3</v>
      </c>
      <c r="V480" s="677">
        <v>0</v>
      </c>
      <c r="W480" s="677">
        <v>275</v>
      </c>
      <c r="X480" s="678"/>
      <c r="Y480" s="682"/>
      <c r="Z480" s="680"/>
      <c r="AA480" s="681">
        <v>82.638000000000005</v>
      </c>
      <c r="AB480" s="681"/>
      <c r="AC480" s="417">
        <v>22</v>
      </c>
      <c r="AD480" s="417"/>
      <c r="AE480" s="682" t="s">
        <v>4404</v>
      </c>
      <c r="AF480">
        <v>1</v>
      </c>
      <c r="AG480" s="749">
        <v>43101</v>
      </c>
      <c r="AH480" s="417"/>
      <c r="AI480" s="417"/>
      <c r="AJ480" s="750">
        <v>43305</v>
      </c>
      <c r="AK480" s="417"/>
      <c r="AL480" s="637" t="s">
        <v>3471</v>
      </c>
      <c r="AM480" s="417"/>
      <c r="AN480" s="417"/>
      <c r="AO480" s="636"/>
      <c r="AP480">
        <v>556716</v>
      </c>
      <c r="AQ480" s="751">
        <v>43305</v>
      </c>
      <c r="AR480" s="417">
        <v>0.3</v>
      </c>
      <c r="AS480" s="417"/>
      <c r="AT480" s="417"/>
      <c r="AU480" s="417"/>
      <c r="AV480" s="417"/>
      <c r="AW480" s="417"/>
      <c r="AX480" s="417"/>
      <c r="AY480" s="183" t="s">
        <v>3362</v>
      </c>
      <c r="AZ480" s="417"/>
      <c r="BA480" s="417"/>
      <c r="BB480" t="s">
        <v>3585</v>
      </c>
      <c r="BC480" s="636"/>
      <c r="BD480" s="417"/>
      <c r="BE480" s="612"/>
      <c r="BF480" s="613"/>
      <c r="BG480" s="614"/>
      <c r="BH480" s="682"/>
      <c r="BI480" s="417"/>
      <c r="BJ480" s="417">
        <v>4</v>
      </c>
      <c r="BK480" s="682" t="str">
        <f>Техкарта[[#This Row],[Кв-л]]&amp;" кв ("&amp;Substring(Техкарта[[#This Row],[Виділ]],"_",1)&amp;" вид) "&amp;Substring(Техкарта[[#This Row],[Виділ]],"_",2)&amp;" діл."</f>
        <v>21 кв (2 вид) 1 діл.</v>
      </c>
      <c r="BL480" s="682" t="str">
        <f>Техкарта[[#This Row],[ПолнаяДіл]] &amp;" "&amp;Техкарта[[#This Row],[ЛК]]&amp;" "&amp;Техкарта[[#This Row],[Вид рубки]]</f>
        <v>21 кв (2 вид) 1 діл. 556716 СРВ</v>
      </c>
      <c r="BM480" s="682"/>
      <c r="BN480" s="636"/>
      <c r="BO480" s="636"/>
      <c r="BP480" s="636"/>
      <c r="BQ480" s="636" t="s">
        <v>105</v>
      </c>
      <c r="BR480" s="636"/>
      <c r="BS480" s="636"/>
      <c r="BT480" s="636"/>
      <c r="BU480" s="636"/>
      <c r="BV480" s="636"/>
      <c r="BW480" s="636" t="s">
        <v>4403</v>
      </c>
      <c r="BX480" s="636"/>
      <c r="BY480" s="972"/>
    </row>
    <row r="481" spans="1:77">
      <c r="A481" t="s">
        <v>105</v>
      </c>
      <c r="B481" s="675" t="s">
        <v>115</v>
      </c>
      <c r="C481" s="687" t="s">
        <v>126</v>
      </c>
      <c r="D481" s="675">
        <v>0</v>
      </c>
      <c r="E481" s="675" t="s">
        <v>2311</v>
      </c>
      <c r="F481" s="675">
        <v>3</v>
      </c>
      <c r="G481" s="675" t="s">
        <v>79</v>
      </c>
      <c r="H481" s="675">
        <v>75</v>
      </c>
      <c r="I481" s="676" t="s">
        <v>3790</v>
      </c>
      <c r="J481" s="677">
        <v>5.7</v>
      </c>
      <c r="K481" s="683">
        <v>298</v>
      </c>
      <c r="L481" s="677"/>
      <c r="M481" s="677">
        <v>0</v>
      </c>
      <c r="N481" s="677">
        <v>8</v>
      </c>
      <c r="O481" s="677"/>
      <c r="P481" s="677"/>
      <c r="Q481" s="677">
        <v>0</v>
      </c>
      <c r="R481" s="677"/>
      <c r="S481" s="677">
        <v>0</v>
      </c>
      <c r="T481" s="677">
        <v>0</v>
      </c>
      <c r="U481" s="677">
        <v>0</v>
      </c>
      <c r="V481" s="677">
        <v>0</v>
      </c>
      <c r="W481" s="677">
        <v>108</v>
      </c>
      <c r="X481" s="678"/>
      <c r="Y481" s="682"/>
      <c r="Z481" s="680"/>
      <c r="AA481" s="681">
        <v>86.736000000000004</v>
      </c>
      <c r="AB481" s="681"/>
      <c r="AC481" s="417">
        <v>11</v>
      </c>
      <c r="AD481" s="417"/>
      <c r="AE481" s="682" t="s">
        <v>4405</v>
      </c>
      <c r="AF481">
        <v>1</v>
      </c>
      <c r="AG481" s="749">
        <v>43101</v>
      </c>
      <c r="AH481" s="417"/>
      <c r="AI481" s="417"/>
      <c r="AJ481" s="750">
        <v>43305</v>
      </c>
      <c r="AK481" s="417"/>
      <c r="AL481" s="637" t="s">
        <v>3481</v>
      </c>
      <c r="AM481" s="417"/>
      <c r="AN481" s="417"/>
      <c r="AO481" s="636"/>
      <c r="AP481">
        <v>556716</v>
      </c>
      <c r="AQ481" s="751">
        <v>43305</v>
      </c>
      <c r="AR481" s="417">
        <v>0.3</v>
      </c>
      <c r="AS481" s="417"/>
      <c r="AT481" s="417"/>
      <c r="AU481" s="417"/>
      <c r="AV481" s="417"/>
      <c r="AW481" s="417"/>
      <c r="AX481" s="417"/>
      <c r="AY481" s="183" t="s">
        <v>3362</v>
      </c>
      <c r="AZ481" s="417"/>
      <c r="BA481" s="417"/>
      <c r="BB481" t="s">
        <v>3585</v>
      </c>
      <c r="BC481" s="636"/>
      <c r="BD481" s="417"/>
      <c r="BE481" s="612"/>
      <c r="BF481" s="613"/>
      <c r="BG481" s="614"/>
      <c r="BH481" s="682"/>
      <c r="BI481" s="417"/>
      <c r="BJ481" s="417">
        <v>5</v>
      </c>
      <c r="BK481" s="682" t="str">
        <f>Техкарта[[#This Row],[Кв-л]]&amp;" кв ("&amp;Substring(Техкарта[[#This Row],[Виділ]],"_",1)&amp;" вид) "&amp;Substring(Техкарта[[#This Row],[Виділ]],"_",2)&amp;" діл."</f>
        <v>75 кв (2 вид) 0 діл.</v>
      </c>
      <c r="BL481" s="682" t="str">
        <f>Техкарта[[#This Row],[ПолнаяДіл]] &amp;" "&amp;Техкарта[[#This Row],[ЛК]]&amp;" "&amp;Техкарта[[#This Row],[Вид рубки]]</f>
        <v>75 кв (2 вид) 0 діл. 556716 СРВ</v>
      </c>
      <c r="BM481" s="682"/>
      <c r="BN481" s="636"/>
      <c r="BO481" s="636"/>
      <c r="BP481" s="636"/>
      <c r="BQ481" s="636" t="s">
        <v>105</v>
      </c>
      <c r="BR481" s="636"/>
      <c r="BS481" s="636"/>
      <c r="BT481" s="636"/>
      <c r="BU481" s="636"/>
      <c r="BV481" s="636"/>
      <c r="BW481" s="636" t="s">
        <v>4403</v>
      </c>
      <c r="BX481" s="636"/>
      <c r="BY481" s="972"/>
    </row>
    <row r="482" spans="1:77">
      <c r="A482" t="s">
        <v>105</v>
      </c>
      <c r="B482" s="675" t="s">
        <v>115</v>
      </c>
      <c r="C482" s="687" t="s">
        <v>126</v>
      </c>
      <c r="D482" s="675">
        <v>0</v>
      </c>
      <c r="E482" s="675" t="s">
        <v>2311</v>
      </c>
      <c r="F482" s="675">
        <v>3</v>
      </c>
      <c r="G482" s="675" t="s">
        <v>79</v>
      </c>
      <c r="H482" s="675">
        <v>132</v>
      </c>
      <c r="I482" s="676" t="s">
        <v>3791</v>
      </c>
      <c r="J482" s="677">
        <v>0.1</v>
      </c>
      <c r="K482" s="683">
        <v>282</v>
      </c>
      <c r="L482" s="677"/>
      <c r="M482" s="677">
        <v>0</v>
      </c>
      <c r="N482" s="677">
        <v>2</v>
      </c>
      <c r="O482" s="677"/>
      <c r="P482" s="677"/>
      <c r="Q482" s="677">
        <v>0</v>
      </c>
      <c r="R482" s="677"/>
      <c r="S482" s="677">
        <v>0</v>
      </c>
      <c r="T482" s="677">
        <v>0</v>
      </c>
      <c r="U482" s="677">
        <v>0</v>
      </c>
      <c r="V482" s="677">
        <v>0</v>
      </c>
      <c r="W482" s="677">
        <v>124</v>
      </c>
      <c r="X482" s="678"/>
      <c r="Y482" s="682"/>
      <c r="Z482" s="680"/>
      <c r="AA482" s="681">
        <v>100.926</v>
      </c>
      <c r="AB482" s="681"/>
      <c r="AC482" s="417">
        <v>8</v>
      </c>
      <c r="AD482" s="417"/>
      <c r="AE482" s="682" t="s">
        <v>4406</v>
      </c>
      <c r="AF482">
        <v>1</v>
      </c>
      <c r="AG482" s="749">
        <v>43101</v>
      </c>
      <c r="AH482" s="417"/>
      <c r="AI482" s="417"/>
      <c r="AJ482" s="750">
        <v>43305</v>
      </c>
      <c r="AK482" s="417"/>
      <c r="AL482" s="637" t="s">
        <v>3483</v>
      </c>
      <c r="AM482" s="417"/>
      <c r="AN482" s="417"/>
      <c r="AO482" s="636"/>
      <c r="AP482">
        <v>556716</v>
      </c>
      <c r="AQ482" s="751">
        <v>43305</v>
      </c>
      <c r="AR482" s="417">
        <v>0.3</v>
      </c>
      <c r="AS482" s="417"/>
      <c r="AT482" s="417"/>
      <c r="AU482" s="417"/>
      <c r="AV482" s="417"/>
      <c r="AW482" s="417"/>
      <c r="AX482" s="417"/>
      <c r="AY482" s="183" t="s">
        <v>3362</v>
      </c>
      <c r="AZ482" s="417"/>
      <c r="BA482" s="417"/>
      <c r="BB482" t="s">
        <v>3585</v>
      </c>
      <c r="BC482" s="636"/>
      <c r="BD482" s="417"/>
      <c r="BE482" s="612"/>
      <c r="BF482" s="613"/>
      <c r="BG482" s="614"/>
      <c r="BH482" s="682"/>
      <c r="BI482" s="417"/>
      <c r="BJ482" s="417">
        <v>3</v>
      </c>
      <c r="BK482" s="682" t="str">
        <f>Техкарта[[#This Row],[Кв-л]]&amp;" кв ("&amp;Substring(Техкарта[[#This Row],[Виділ]],"_",1)&amp;" вид) "&amp;Substring(Техкарта[[#This Row],[Виділ]],"_",2)&amp;" діл."</f>
        <v>132 кв (7 вид) 0 діл.</v>
      </c>
      <c r="BL482" s="682" t="str">
        <f>Техкарта[[#This Row],[ПолнаяДіл]] &amp;" "&amp;Техкарта[[#This Row],[ЛК]]&amp;" "&amp;Техкарта[[#This Row],[Вид рубки]]</f>
        <v>132 кв (7 вид) 0 діл. 556716 СРВ</v>
      </c>
      <c r="BM482" s="682"/>
      <c r="BN482" s="636"/>
      <c r="BO482" s="636"/>
      <c r="BP482" s="636"/>
      <c r="BQ482" s="636" t="s">
        <v>105</v>
      </c>
      <c r="BR482" s="636"/>
      <c r="BS482" s="636"/>
      <c r="BT482" s="636"/>
      <c r="BU482" s="636"/>
      <c r="BV482" s="636"/>
      <c r="BW482" s="636" t="s">
        <v>4403</v>
      </c>
      <c r="BX482" s="636"/>
      <c r="BY482" s="972"/>
    </row>
    <row r="483" spans="1:77">
      <c r="A483" t="s">
        <v>105</v>
      </c>
      <c r="B483" s="675" t="s">
        <v>115</v>
      </c>
      <c r="C483" s="687" t="s">
        <v>126</v>
      </c>
      <c r="D483" s="675">
        <v>0</v>
      </c>
      <c r="E483" s="675" t="s">
        <v>2311</v>
      </c>
      <c r="F483" s="675">
        <v>3</v>
      </c>
      <c r="G483" s="675" t="s">
        <v>79</v>
      </c>
      <c r="H483" s="675">
        <v>148</v>
      </c>
      <c r="I483" s="676" t="s">
        <v>3850</v>
      </c>
      <c r="J483" s="677">
        <v>15.4</v>
      </c>
      <c r="K483" s="683">
        <v>445</v>
      </c>
      <c r="L483" s="677"/>
      <c r="M483" s="677">
        <v>0</v>
      </c>
      <c r="N483" s="677">
        <v>0</v>
      </c>
      <c r="O483" s="677"/>
      <c r="P483" s="677"/>
      <c r="Q483" s="677">
        <v>0</v>
      </c>
      <c r="R483" s="677"/>
      <c r="S483" s="677">
        <v>0</v>
      </c>
      <c r="T483" s="677">
        <v>0</v>
      </c>
      <c r="U483" s="677">
        <v>0</v>
      </c>
      <c r="V483" s="677">
        <v>0</v>
      </c>
      <c r="W483" s="677">
        <v>240</v>
      </c>
      <c r="X483" s="678"/>
      <c r="Y483" s="682"/>
      <c r="Z483" s="680"/>
      <c r="AA483" s="681">
        <v>81.088999999999999</v>
      </c>
      <c r="AB483" s="681"/>
      <c r="AC483" s="417">
        <v>32</v>
      </c>
      <c r="AD483" s="417"/>
      <c r="AE483" s="682" t="s">
        <v>4407</v>
      </c>
      <c r="AF483">
        <v>1</v>
      </c>
      <c r="AG483" s="749">
        <v>43101</v>
      </c>
      <c r="AH483" s="417"/>
      <c r="AI483" s="417"/>
      <c r="AJ483" s="750">
        <v>43305</v>
      </c>
      <c r="AK483" s="417"/>
      <c r="AL483" s="637" t="s">
        <v>3450</v>
      </c>
      <c r="AM483" s="417"/>
      <c r="AN483" s="417"/>
      <c r="AO483" s="636"/>
      <c r="AP483">
        <v>556716</v>
      </c>
      <c r="AQ483" s="751">
        <v>43305</v>
      </c>
      <c r="AR483" s="417">
        <v>0.3</v>
      </c>
      <c r="AS483" s="417"/>
      <c r="AT483" s="417"/>
      <c r="AU483" s="417"/>
      <c r="AV483" s="417"/>
      <c r="AW483" s="417"/>
      <c r="AX483" s="417"/>
      <c r="AY483" s="183" t="s">
        <v>3362</v>
      </c>
      <c r="AZ483" s="417"/>
      <c r="BA483" s="417"/>
      <c r="BB483" t="s">
        <v>3585</v>
      </c>
      <c r="BC483" s="636"/>
      <c r="BD483" s="417"/>
      <c r="BE483" s="612"/>
      <c r="BF483" s="613"/>
      <c r="BG483" s="614"/>
      <c r="BH483" s="682"/>
      <c r="BI483" s="417"/>
      <c r="BJ483" s="417">
        <v>2</v>
      </c>
      <c r="BK483" s="682" t="str">
        <f>Техкарта[[#This Row],[Кв-л]]&amp;" кв ("&amp;Substring(Техкарта[[#This Row],[Виділ]],"_",1)&amp;" вид) "&amp;Substring(Техкарта[[#This Row],[Виділ]],"_",2)&amp;" діл."</f>
        <v>148 кв (6 вид) 0 діл.</v>
      </c>
      <c r="BL483" s="682" t="str">
        <f>Техкарта[[#This Row],[ПолнаяДіл]] &amp;" "&amp;Техкарта[[#This Row],[ЛК]]&amp;" "&amp;Техкарта[[#This Row],[Вид рубки]]</f>
        <v>148 кв (6 вид) 0 діл. 556716 СРВ</v>
      </c>
      <c r="BM483" s="682"/>
      <c r="BN483" s="636"/>
      <c r="BO483" s="636"/>
      <c r="BP483" s="636"/>
      <c r="BQ483" s="636" t="s">
        <v>105</v>
      </c>
      <c r="BR483" s="636"/>
      <c r="BS483" s="636"/>
      <c r="BT483" s="636"/>
      <c r="BU483" s="636"/>
      <c r="BV483" s="636"/>
      <c r="BW483" s="636" t="s">
        <v>4403</v>
      </c>
      <c r="BX483" s="636"/>
      <c r="BY483" s="972"/>
    </row>
    <row r="484" spans="1:77">
      <c r="A484" t="s">
        <v>105</v>
      </c>
      <c r="B484" s="675" t="s">
        <v>115</v>
      </c>
      <c r="C484" s="687" t="s">
        <v>126</v>
      </c>
      <c r="D484" s="675">
        <v>0</v>
      </c>
      <c r="E484" s="675" t="s">
        <v>2311</v>
      </c>
      <c r="F484" s="675">
        <v>3</v>
      </c>
      <c r="G484" s="675" t="s">
        <v>79</v>
      </c>
      <c r="H484" s="675">
        <v>152</v>
      </c>
      <c r="I484" s="676" t="s">
        <v>3795</v>
      </c>
      <c r="J484" s="677">
        <v>2.5</v>
      </c>
      <c r="K484" s="683">
        <v>258</v>
      </c>
      <c r="L484" s="677"/>
      <c r="M484" s="677">
        <v>0</v>
      </c>
      <c r="N484" s="677">
        <v>1</v>
      </c>
      <c r="O484" s="677"/>
      <c r="P484" s="677"/>
      <c r="Q484" s="677">
        <v>0</v>
      </c>
      <c r="R484" s="677"/>
      <c r="S484" s="677">
        <v>0</v>
      </c>
      <c r="T484" s="677">
        <v>0</v>
      </c>
      <c r="U484" s="677">
        <v>0</v>
      </c>
      <c r="V484" s="677">
        <v>1</v>
      </c>
      <c r="W484" s="677">
        <v>130</v>
      </c>
      <c r="X484" s="678"/>
      <c r="Y484" s="682"/>
      <c r="Z484" s="680"/>
      <c r="AA484" s="681">
        <v>76.599000000000004</v>
      </c>
      <c r="AB484" s="681"/>
      <c r="AC484" s="417">
        <v>17</v>
      </c>
      <c r="AD484" s="417"/>
      <c r="AE484" s="682" t="s">
        <v>4408</v>
      </c>
      <c r="AF484">
        <v>1</v>
      </c>
      <c r="AG484" s="749">
        <v>43101</v>
      </c>
      <c r="AH484" s="417"/>
      <c r="AI484" s="417"/>
      <c r="AJ484" s="750">
        <v>43305</v>
      </c>
      <c r="AK484" s="417"/>
      <c r="AL484" s="637" t="s">
        <v>3482</v>
      </c>
      <c r="AM484" s="417"/>
      <c r="AN484" s="417"/>
      <c r="AO484" s="636"/>
      <c r="AP484">
        <v>556716</v>
      </c>
      <c r="AQ484" s="751">
        <v>43305</v>
      </c>
      <c r="AR484" s="417">
        <v>0.3</v>
      </c>
      <c r="AS484" s="417"/>
      <c r="AT484" s="417"/>
      <c r="AU484" s="417"/>
      <c r="AV484" s="417"/>
      <c r="AW484" s="417"/>
      <c r="AX484" s="417"/>
      <c r="AY484" s="183" t="s">
        <v>3362</v>
      </c>
      <c r="AZ484" s="417"/>
      <c r="BA484" s="417"/>
      <c r="BB484" t="s">
        <v>3585</v>
      </c>
      <c r="BC484" s="636"/>
      <c r="BD484" s="417"/>
      <c r="BE484" s="612"/>
      <c r="BF484" s="613"/>
      <c r="BG484" s="614"/>
      <c r="BH484" s="682"/>
      <c r="BI484" s="417"/>
      <c r="BJ484" s="417">
        <v>6</v>
      </c>
      <c r="BK484" s="682" t="str">
        <f>Техкарта[[#This Row],[Кв-л]]&amp;" кв ("&amp;Substring(Техкарта[[#This Row],[Виділ]],"_",1)&amp;" вид) "&amp;Substring(Техкарта[[#This Row],[Виділ]],"_",2)&amp;" діл."</f>
        <v>152 кв (9 вид) 0 діл.</v>
      </c>
      <c r="BL484" s="682" t="str">
        <f>Техкарта[[#This Row],[ПолнаяДіл]] &amp;" "&amp;Техкарта[[#This Row],[ЛК]]&amp;" "&amp;Техкарта[[#This Row],[Вид рубки]]</f>
        <v>152 кв (9 вид) 0 діл. 556716 СРВ</v>
      </c>
      <c r="BM484" s="682"/>
      <c r="BN484" s="636"/>
      <c r="BO484" s="636"/>
      <c r="BP484" s="636"/>
      <c r="BQ484" s="636" t="s">
        <v>105</v>
      </c>
      <c r="BR484" s="636"/>
      <c r="BS484" s="636"/>
      <c r="BT484" s="636"/>
      <c r="BU484" s="636"/>
      <c r="BV484" s="636"/>
      <c r="BW484" s="636" t="s">
        <v>4403</v>
      </c>
      <c r="BX484" s="636"/>
      <c r="BY484" s="972"/>
    </row>
    <row r="485" spans="1:77">
      <c r="A485" t="s">
        <v>105</v>
      </c>
      <c r="B485" s="675" t="s">
        <v>115</v>
      </c>
      <c r="C485" s="687" t="s">
        <v>124</v>
      </c>
      <c r="D485" s="675">
        <v>0</v>
      </c>
      <c r="E485" s="675" t="s">
        <v>2311</v>
      </c>
      <c r="F485" s="675">
        <v>3</v>
      </c>
      <c r="G485" s="675" t="s">
        <v>79</v>
      </c>
      <c r="H485" s="675">
        <v>77</v>
      </c>
      <c r="I485" s="676" t="s">
        <v>3833</v>
      </c>
      <c r="J485" s="677">
        <v>5</v>
      </c>
      <c r="K485" s="683">
        <v>314</v>
      </c>
      <c r="L485" s="677"/>
      <c r="M485" s="677">
        <v>0</v>
      </c>
      <c r="N485" s="677">
        <v>0</v>
      </c>
      <c r="O485" s="677"/>
      <c r="P485" s="677"/>
      <c r="Q485" s="677">
        <v>0</v>
      </c>
      <c r="R485" s="677"/>
      <c r="S485" s="677">
        <v>0</v>
      </c>
      <c r="T485" s="677">
        <v>0</v>
      </c>
      <c r="U485" s="677">
        <v>0</v>
      </c>
      <c r="V485" s="677">
        <v>2</v>
      </c>
      <c r="W485" s="677">
        <v>14</v>
      </c>
      <c r="X485" s="678"/>
      <c r="Y485" s="682"/>
      <c r="Z485" s="680"/>
      <c r="AA485" s="681">
        <v>252.64599999999999</v>
      </c>
      <c r="AB485" s="681"/>
      <c r="AC485" s="417">
        <v>94</v>
      </c>
      <c r="AD485" s="417"/>
      <c r="AE485" s="682" t="s">
        <v>4409</v>
      </c>
      <c r="AF485">
        <v>1</v>
      </c>
      <c r="AG485" s="749">
        <v>43101</v>
      </c>
      <c r="AH485" s="417"/>
      <c r="AI485" s="417"/>
      <c r="AJ485" s="750">
        <v>43283</v>
      </c>
      <c r="AK485" s="417"/>
      <c r="AL485" s="637" t="s">
        <v>3481</v>
      </c>
      <c r="AM485" s="417"/>
      <c r="AN485" s="417"/>
      <c r="AO485" s="636"/>
      <c r="AP485">
        <v>556628</v>
      </c>
      <c r="AQ485" s="751">
        <v>43102</v>
      </c>
      <c r="AR485" s="417">
        <v>0.3</v>
      </c>
      <c r="AS485" s="417"/>
      <c r="AT485" s="417"/>
      <c r="AU485" s="417"/>
      <c r="AV485" s="417"/>
      <c r="AW485" s="417"/>
      <c r="AX485" s="417"/>
      <c r="AY485" s="183" t="s">
        <v>3362</v>
      </c>
      <c r="AZ485" s="417"/>
      <c r="BA485" s="417"/>
      <c r="BB485" t="s">
        <v>3585</v>
      </c>
      <c r="BC485" s="636"/>
      <c r="BD485" s="417"/>
      <c r="BE485" s="612"/>
      <c r="BF485" s="613"/>
      <c r="BG485" s="614"/>
      <c r="BH485" s="682"/>
      <c r="BI485" s="417"/>
      <c r="BJ485" s="417">
        <v>7</v>
      </c>
      <c r="BK485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5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5" s="682"/>
      <c r="BN485" s="636"/>
      <c r="BO485" s="636"/>
      <c r="BP485" s="636"/>
      <c r="BQ485" s="636" t="s">
        <v>105</v>
      </c>
      <c r="BR485" s="636"/>
      <c r="BS485" s="636"/>
      <c r="BT485" s="636"/>
      <c r="BU485" s="636"/>
      <c r="BV485" s="636"/>
      <c r="BW485" s="636" t="s">
        <v>4403</v>
      </c>
      <c r="BX485" s="636"/>
      <c r="BY485" s="972"/>
    </row>
    <row r="486" spans="1:77">
      <c r="A486" t="s">
        <v>3896</v>
      </c>
      <c r="B486" s="675" t="s">
        <v>115</v>
      </c>
      <c r="C486" s="687" t="s">
        <v>124</v>
      </c>
      <c r="D486" s="675">
        <v>0</v>
      </c>
      <c r="E486" s="675" t="s">
        <v>2311</v>
      </c>
      <c r="F486" s="675">
        <v>3</v>
      </c>
      <c r="G486" s="675" t="s">
        <v>79</v>
      </c>
      <c r="H486" s="675">
        <v>77</v>
      </c>
      <c r="I486" s="676" t="s">
        <v>3833</v>
      </c>
      <c r="J486" s="677">
        <v>5</v>
      </c>
      <c r="K486" s="683">
        <v>0</v>
      </c>
      <c r="L486" s="677"/>
      <c r="M486" s="677">
        <v>0</v>
      </c>
      <c r="N486" s="677">
        <v>0</v>
      </c>
      <c r="O486" s="677"/>
      <c r="P486" s="677"/>
      <c r="Q486" s="677">
        <v>266.67</v>
      </c>
      <c r="R486" s="677"/>
      <c r="S486" s="677">
        <v>0</v>
      </c>
      <c r="T486" s="677">
        <v>310</v>
      </c>
      <c r="U486" s="677"/>
      <c r="V486" s="677">
        <v>0</v>
      </c>
      <c r="W486" s="677">
        <v>0</v>
      </c>
      <c r="X486" s="678"/>
      <c r="Y486" s="682"/>
      <c r="Z486" s="680"/>
      <c r="AA486" s="681">
        <v>123.52</v>
      </c>
      <c r="AB486" s="681"/>
      <c r="AC486" s="417">
        <v>23</v>
      </c>
      <c r="AD486" s="417"/>
      <c r="AE486" s="682" t="s">
        <v>4410</v>
      </c>
      <c r="AF486">
        <v>1</v>
      </c>
      <c r="AG486" s="749">
        <v>43101</v>
      </c>
      <c r="AH486" s="417"/>
      <c r="AI486" s="417"/>
      <c r="AJ486" s="750">
        <v>43283</v>
      </c>
      <c r="AK486" s="417"/>
      <c r="AL486" s="637" t="s">
        <v>3481</v>
      </c>
      <c r="AM486" s="417"/>
      <c r="AN486" s="417"/>
      <c r="AO486" s="636"/>
      <c r="AP486">
        <v>556628</v>
      </c>
      <c r="AQ486" s="751">
        <v>43102</v>
      </c>
      <c r="AR486" s="417">
        <v>0.5</v>
      </c>
      <c r="AS486" s="417"/>
      <c r="AT486" s="417"/>
      <c r="AU486" s="417"/>
      <c r="AV486" s="417"/>
      <c r="AW486" s="417"/>
      <c r="AX486" s="417"/>
      <c r="AY486" s="183" t="s">
        <v>3362</v>
      </c>
      <c r="AZ486" s="417"/>
      <c r="BA486" s="417"/>
      <c r="BB486" t="s">
        <v>3585</v>
      </c>
      <c r="BC486" s="636"/>
      <c r="BD486" s="417"/>
      <c r="BE486" s="612"/>
      <c r="BF486" s="613"/>
      <c r="BG486" s="614"/>
      <c r="BH486" s="682"/>
      <c r="BI486" s="417"/>
      <c r="BJ486" s="417">
        <v>8</v>
      </c>
      <c r="BK486" s="682" t="str">
        <f>Техкарта[[#This Row],[Кв-л]]&amp;" кв ("&amp;Substring(Техкарта[[#This Row],[Виділ]],"_",1)&amp;" вид) "&amp;Substring(Техкарта[[#This Row],[Виділ]],"_",2)&amp;" діл."</f>
        <v>77 кв (8 вид) 0 діл.</v>
      </c>
      <c r="BL486" s="682" t="str">
        <f>Техкарта[[#This Row],[ПолнаяДіл]] &amp;" "&amp;Техкарта[[#This Row],[ЛК]]&amp;" "&amp;Техкарта[[#This Row],[Вид рубки]]</f>
        <v>77 кв (8 вид) 0 діл. 556628 ПРЖ</v>
      </c>
      <c r="BM486" s="682"/>
      <c r="BN486" s="636"/>
      <c r="BO486" s="636"/>
      <c r="BP486" s="636"/>
      <c r="BQ486" s="636" t="s">
        <v>3896</v>
      </c>
      <c r="BR486" s="636">
        <v>5</v>
      </c>
      <c r="BS486" s="636"/>
      <c r="BT486" s="636"/>
      <c r="BU486" s="636"/>
      <c r="BV486" s="636"/>
      <c r="BW486" s="636" t="s">
        <v>4403</v>
      </c>
      <c r="BX486" s="636"/>
      <c r="BY486" s="972"/>
    </row>
    <row r="487" spans="1:77">
      <c r="A487" t="s">
        <v>105</v>
      </c>
      <c r="B487" s="675" t="s">
        <v>111</v>
      </c>
      <c r="C487" s="687" t="s">
        <v>3842</v>
      </c>
      <c r="D487" s="675">
        <v>0</v>
      </c>
      <c r="E487" s="675" t="s">
        <v>2311</v>
      </c>
      <c r="F487" s="675">
        <v>3</v>
      </c>
      <c r="G487" s="675" t="s">
        <v>79</v>
      </c>
      <c r="H487" s="675">
        <v>10</v>
      </c>
      <c r="I487" s="676" t="s">
        <v>3850</v>
      </c>
      <c r="J487" s="677">
        <v>0.9</v>
      </c>
      <c r="K487" s="683">
        <v>74</v>
      </c>
      <c r="L487" s="677"/>
      <c r="M487" s="677">
        <v>66</v>
      </c>
      <c r="N487" s="677">
        <v>0</v>
      </c>
      <c r="O487" s="677"/>
      <c r="P487" s="677"/>
      <c r="Q487" s="677">
        <v>0</v>
      </c>
      <c r="R487" s="677"/>
      <c r="S487" s="677">
        <v>10</v>
      </c>
      <c r="T487" s="677">
        <v>0</v>
      </c>
      <c r="U487" s="677">
        <v>0</v>
      </c>
      <c r="V487" s="677">
        <v>0</v>
      </c>
      <c r="W487" s="677">
        <v>5</v>
      </c>
      <c r="X487" s="678"/>
      <c r="Y487" s="682"/>
      <c r="Z487" s="680"/>
      <c r="AA487" s="681">
        <v>32.909999999999997</v>
      </c>
      <c r="AB487" s="681"/>
      <c r="AC487" s="417">
        <v>9</v>
      </c>
      <c r="AD487" s="417"/>
      <c r="AE487" s="682" t="s">
        <v>4396</v>
      </c>
      <c r="AF487">
        <v>1</v>
      </c>
      <c r="AG487" s="749">
        <v>43101</v>
      </c>
      <c r="AH487" s="417"/>
      <c r="AI487" s="417"/>
      <c r="AJ487" s="750">
        <v>43283</v>
      </c>
      <c r="AK487" s="417"/>
      <c r="AL487" s="637" t="s">
        <v>3462</v>
      </c>
      <c r="AM487" s="417"/>
      <c r="AN487" s="417"/>
      <c r="AO487" s="636"/>
      <c r="AP487">
        <v>556672</v>
      </c>
      <c r="AQ487" s="751">
        <v>43214</v>
      </c>
      <c r="AR487" s="417">
        <v>0.3</v>
      </c>
      <c r="AS487" s="417"/>
      <c r="AT487" s="417"/>
      <c r="AU487" s="417"/>
      <c r="AV487" s="417"/>
      <c r="AW487" s="417"/>
      <c r="AX487" s="417"/>
      <c r="AY487" s="183" t="s">
        <v>3424</v>
      </c>
      <c r="AZ487" s="417"/>
      <c r="BA487" s="417"/>
      <c r="BB487" t="s">
        <v>3583</v>
      </c>
      <c r="BC487" s="636"/>
      <c r="BD487" s="417"/>
      <c r="BE487" s="612"/>
      <c r="BF487" s="613"/>
      <c r="BG487" s="614"/>
      <c r="BH487" s="682"/>
      <c r="BI487" s="417"/>
      <c r="BJ487" s="417">
        <v>2</v>
      </c>
      <c r="BK487" s="682" t="str">
        <f>Техкарта[[#This Row],[Кв-л]]&amp;" кв ("&amp;Substring(Техкарта[[#This Row],[Виділ]],"_",1)&amp;" вид) "&amp;Substring(Техкарта[[#This Row],[Виділ]],"_",2)&amp;" діл."</f>
        <v>10 кв (6 вид) 0 діл.</v>
      </c>
      <c r="BL487" s="682" t="str">
        <f>Техкарта[[#This Row],[ПолнаяДіл]] &amp;" "&amp;Техкарта[[#This Row],[ЛК]]&amp;" "&amp;Техкарта[[#This Row],[Вид рубки]]</f>
        <v>10 кв (6 вид) 0 діл. 556672 РЛД</v>
      </c>
      <c r="BM487" s="682"/>
      <c r="BN487" s="636"/>
      <c r="BO487" s="636"/>
      <c r="BP487" s="636"/>
      <c r="BQ487" s="636" t="s">
        <v>105</v>
      </c>
      <c r="BR487" s="636"/>
      <c r="BS487" s="636"/>
      <c r="BT487" s="636"/>
      <c r="BU487" s="636"/>
      <c r="BV487" s="636"/>
      <c r="BW487" s="636" t="s">
        <v>4411</v>
      </c>
      <c r="BX487" s="636"/>
      <c r="BY487" s="972"/>
    </row>
    <row r="488" spans="1:77">
      <c r="A488" t="s">
        <v>104</v>
      </c>
      <c r="B488" s="675" t="s">
        <v>116</v>
      </c>
      <c r="C488" s="687" t="s">
        <v>104</v>
      </c>
      <c r="D488" s="675">
        <v>0</v>
      </c>
      <c r="E488" s="675" t="s">
        <v>2305</v>
      </c>
      <c r="F488" s="675">
        <v>2</v>
      </c>
      <c r="G488" s="675" t="s">
        <v>2238</v>
      </c>
      <c r="H488" s="675">
        <v>51</v>
      </c>
      <c r="I488" s="676" t="s">
        <v>3831</v>
      </c>
      <c r="J488" s="677">
        <v>2.4</v>
      </c>
      <c r="K488" s="683">
        <v>936</v>
      </c>
      <c r="L488" s="677">
        <v>0</v>
      </c>
      <c r="M488" s="677">
        <v>42</v>
      </c>
      <c r="N488" s="677">
        <v>90</v>
      </c>
      <c r="O488" s="677">
        <v>0</v>
      </c>
      <c r="P488" s="677">
        <v>0</v>
      </c>
      <c r="Q488" s="677">
        <v>0</v>
      </c>
      <c r="R488" s="677">
        <v>110</v>
      </c>
      <c r="S488" s="677">
        <v>35</v>
      </c>
      <c r="T488" s="677">
        <v>201</v>
      </c>
      <c r="U488" s="677">
        <v>36</v>
      </c>
      <c r="V488" s="677">
        <v>28</v>
      </c>
      <c r="W488" s="677">
        <v>141</v>
      </c>
      <c r="X488" s="678"/>
      <c r="Y488" s="682"/>
      <c r="Z488" s="680"/>
      <c r="AA488" s="681">
        <v>84.212999999999994</v>
      </c>
      <c r="AB488" s="681">
        <v>35.884</v>
      </c>
      <c r="AC488" s="417">
        <v>0</v>
      </c>
      <c r="AD488" s="417"/>
      <c r="AE488" s="682" t="s">
        <v>4412</v>
      </c>
      <c r="AF488">
        <v>1</v>
      </c>
      <c r="AG488" s="749">
        <v>43101</v>
      </c>
      <c r="AH488" s="417"/>
      <c r="AI488" s="417"/>
      <c r="AJ488" s="750">
        <v>43283</v>
      </c>
      <c r="AK488" s="417"/>
      <c r="AL488" s="637" t="s">
        <v>3477</v>
      </c>
      <c r="AM488" s="417"/>
      <c r="AN488" s="417"/>
      <c r="AO488" s="636"/>
      <c r="AP488">
        <v>556618</v>
      </c>
      <c r="AQ488" s="751">
        <v>43077</v>
      </c>
      <c r="AR488" s="417"/>
      <c r="AS488" s="417"/>
      <c r="AT488" s="417"/>
      <c r="AU488" s="417"/>
      <c r="AV488" s="417"/>
      <c r="AW488" s="417"/>
      <c r="AX488" s="417"/>
      <c r="AY488" s="183" t="s">
        <v>4245</v>
      </c>
      <c r="AZ488" s="417"/>
      <c r="BA488" s="417"/>
      <c r="BB488" t="s">
        <v>4238</v>
      </c>
      <c r="BC488" s="636"/>
      <c r="BD488" s="417"/>
      <c r="BE488" s="612">
        <v>5</v>
      </c>
      <c r="BF488" s="613">
        <v>40</v>
      </c>
      <c r="BG488" s="614" t="s">
        <v>78</v>
      </c>
      <c r="BH488" s="682"/>
      <c r="BI488" s="417"/>
      <c r="BJ488" s="417">
        <v>14</v>
      </c>
      <c r="BK488" s="682" t="str">
        <f>Техкарта[[#This Row],[Кв-л]]&amp;" кв ("&amp;Substring(Техкарта[[#This Row],[Виділ]],"_",1)&amp;" вид) "&amp;Substring(Техкарта[[#This Row],[Виділ]],"_",2)&amp;" діл."</f>
        <v>51 кв (4 вид) 0 діл.</v>
      </c>
      <c r="BL488" s="682" t="str">
        <f>Техкарта[[#This Row],[ПолнаяДіл]] &amp;" "&amp;Техкарта[[#This Row],[ЛК]]&amp;" "&amp;Техкарта[[#This Row],[Вид рубки]]</f>
        <v>51 кв (4 вид) 0 діл. 556618 РГК</v>
      </c>
      <c r="BM488" s="682"/>
      <c r="BN488" s="636" t="s">
        <v>3784</v>
      </c>
      <c r="BO488" s="636" t="s">
        <v>3784</v>
      </c>
      <c r="BP488" s="636" t="s">
        <v>3784</v>
      </c>
      <c r="BQ488" s="636" t="s">
        <v>104</v>
      </c>
      <c r="BR488" s="636"/>
      <c r="BS488" s="636"/>
      <c r="BT488" s="636"/>
      <c r="BU488" s="636"/>
      <c r="BV488" s="636"/>
      <c r="BW488" s="636" t="s">
        <v>4411</v>
      </c>
      <c r="BX488" s="636"/>
      <c r="BY488" s="972"/>
    </row>
    <row r="489" spans="1:77">
      <c r="A489" t="s">
        <v>104</v>
      </c>
      <c r="B489" s="675" t="s">
        <v>116</v>
      </c>
      <c r="C489" s="687" t="s">
        <v>104</v>
      </c>
      <c r="D489" s="675">
        <v>0</v>
      </c>
      <c r="E489" s="675" t="s">
        <v>2305</v>
      </c>
      <c r="F489" s="675">
        <v>5</v>
      </c>
      <c r="G489" s="675" t="s">
        <v>2238</v>
      </c>
      <c r="H489" s="675">
        <v>130</v>
      </c>
      <c r="I489" s="676" t="s">
        <v>4413</v>
      </c>
      <c r="J489" s="677">
        <v>1.5</v>
      </c>
      <c r="K489" s="683">
        <v>768</v>
      </c>
      <c r="L489" s="677">
        <v>0</v>
      </c>
      <c r="M489" s="677">
        <v>0</v>
      </c>
      <c r="N489" s="677">
        <v>1</v>
      </c>
      <c r="O489" s="677">
        <v>0</v>
      </c>
      <c r="P489" s="677">
        <v>0</v>
      </c>
      <c r="Q489" s="677">
        <v>0</v>
      </c>
      <c r="R489" s="677">
        <v>0</v>
      </c>
      <c r="S489" s="677">
        <v>0</v>
      </c>
      <c r="T489" s="677">
        <v>91</v>
      </c>
      <c r="U489" s="677">
        <v>0</v>
      </c>
      <c r="V489" s="677">
        <v>0</v>
      </c>
      <c r="W489" s="677">
        <v>135</v>
      </c>
      <c r="X489" s="678"/>
      <c r="Y489" s="682"/>
      <c r="Z489" s="680"/>
      <c r="AA489" s="681">
        <v>140.56800000000001</v>
      </c>
      <c r="AB489" s="681">
        <v>42.881999999999998</v>
      </c>
      <c r="AC489" s="417">
        <v>0</v>
      </c>
      <c r="AD489" s="417"/>
      <c r="AE489" s="682" t="s">
        <v>4414</v>
      </c>
      <c r="AF489">
        <v>1</v>
      </c>
      <c r="AG489" s="749">
        <v>43101</v>
      </c>
      <c r="AH489" s="417"/>
      <c r="AI489" s="417"/>
      <c r="AJ489" s="750">
        <v>43283</v>
      </c>
      <c r="AK489" s="417"/>
      <c r="AL489" s="637" t="s">
        <v>3437</v>
      </c>
      <c r="AM489" s="417"/>
      <c r="AN489" s="417"/>
      <c r="AO489" s="636"/>
      <c r="AP489">
        <v>556618</v>
      </c>
      <c r="AQ489" s="751">
        <v>43077</v>
      </c>
      <c r="AR489" s="417"/>
      <c r="AS489" s="417"/>
      <c r="AT489" s="417"/>
      <c r="AU489" s="417"/>
      <c r="AV489" s="417"/>
      <c r="AW489" s="417"/>
      <c r="AX489" s="417"/>
      <c r="AY489" s="183" t="s">
        <v>4245</v>
      </c>
      <c r="AZ489" s="417"/>
      <c r="BA489" s="417"/>
      <c r="BB489" t="s">
        <v>4238</v>
      </c>
      <c r="BC489" s="636"/>
      <c r="BD489" s="417"/>
      <c r="BE489" s="612">
        <v>0</v>
      </c>
      <c r="BF489" s="613">
        <v>40</v>
      </c>
      <c r="BG489" s="614" t="s">
        <v>78</v>
      </c>
      <c r="BH489" s="682"/>
      <c r="BI489" s="417"/>
      <c r="BJ489" s="417">
        <v>1</v>
      </c>
      <c r="BK489" s="682" t="str">
        <f>Техкарта[[#This Row],[Кв-л]]&amp;" кв ("&amp;Substring(Техкарта[[#This Row],[Виділ]],"_",1)&amp;" вид) "&amp;Substring(Техкарта[[#This Row],[Виділ]],"_",2)&amp;" діл."</f>
        <v>130 кв (5 вид) 2 діл.</v>
      </c>
      <c r="BL489" s="682" t="str">
        <f>Техкарта[[#This Row],[ПолнаяДіл]] &amp;" "&amp;Техкарта[[#This Row],[ЛК]]&amp;" "&amp;Техкарта[[#This Row],[Вид рубки]]</f>
        <v>130 кв (5 вид) 2 діл. 556618 РГК</v>
      </c>
      <c r="BM489" s="682"/>
      <c r="BN489" s="636" t="s">
        <v>3783</v>
      </c>
      <c r="BO489" s="636" t="s">
        <v>3783</v>
      </c>
      <c r="BP489" s="636" t="s">
        <v>3783</v>
      </c>
      <c r="BQ489" s="636" t="s">
        <v>104</v>
      </c>
      <c r="BR489" s="636"/>
      <c r="BS489" s="636"/>
      <c r="BT489" s="636"/>
      <c r="BU489" s="636"/>
      <c r="BV489" s="636"/>
      <c r="BW489" s="636" t="s">
        <v>4415</v>
      </c>
      <c r="BX489" s="636"/>
      <c r="BY489" s="972"/>
    </row>
    <row r="490" spans="1:77">
      <c r="A490" t="s">
        <v>105</v>
      </c>
      <c r="B490" s="675" t="s">
        <v>116</v>
      </c>
      <c r="C490" s="687" t="s">
        <v>126</v>
      </c>
      <c r="D490" s="675">
        <v>0</v>
      </c>
      <c r="E490" s="675" t="s">
        <v>2311</v>
      </c>
      <c r="F490" s="675">
        <v>3</v>
      </c>
      <c r="G490" s="675" t="s">
        <v>79</v>
      </c>
      <c r="H490" s="675">
        <v>100</v>
      </c>
      <c r="I490" s="676" t="s">
        <v>4113</v>
      </c>
      <c r="J490" s="677">
        <v>0.6</v>
      </c>
      <c r="K490" s="683">
        <v>101</v>
      </c>
      <c r="L490" s="677"/>
      <c r="M490" s="677">
        <v>0</v>
      </c>
      <c r="N490" s="677">
        <v>5</v>
      </c>
      <c r="O490" s="677"/>
      <c r="P490" s="677"/>
      <c r="Q490" s="677">
        <v>0</v>
      </c>
      <c r="R490" s="677"/>
      <c r="S490" s="677">
        <v>0</v>
      </c>
      <c r="T490" s="677">
        <v>0</v>
      </c>
      <c r="U490" s="677">
        <v>4</v>
      </c>
      <c r="V490" s="677">
        <v>0</v>
      </c>
      <c r="W490" s="677">
        <v>42</v>
      </c>
      <c r="X490" s="678"/>
      <c r="Y490" s="682"/>
      <c r="Z490" s="680"/>
      <c r="AA490" s="681">
        <v>77.444999999999993</v>
      </c>
      <c r="AB490" s="681"/>
      <c r="AC490" s="417">
        <v>3</v>
      </c>
      <c r="AD490" s="417"/>
      <c r="AE490" s="682" t="s">
        <v>4385</v>
      </c>
      <c r="AF490">
        <v>1</v>
      </c>
      <c r="AG490" s="749">
        <v>43101</v>
      </c>
      <c r="AH490" s="417"/>
      <c r="AI490" s="417"/>
      <c r="AJ490" s="750">
        <v>43297</v>
      </c>
      <c r="AK490" s="417"/>
      <c r="AL490" s="637" t="s">
        <v>3475</v>
      </c>
      <c r="AM490" s="417"/>
      <c r="AN490" s="417"/>
      <c r="AO490" s="636"/>
      <c r="AP490">
        <v>556715</v>
      </c>
      <c r="AQ490" s="751">
        <v>43297</v>
      </c>
      <c r="AR490" s="417">
        <v>0.3</v>
      </c>
      <c r="AS490" s="417"/>
      <c r="AT490" s="417"/>
      <c r="AU490" s="417"/>
      <c r="AV490" s="417"/>
      <c r="AW490" s="417"/>
      <c r="AX490" s="417"/>
      <c r="AY490" s="183" t="s">
        <v>4245</v>
      </c>
      <c r="AZ490" s="417"/>
      <c r="BA490" s="417"/>
      <c r="BB490" t="s">
        <v>4238</v>
      </c>
      <c r="BC490" s="636"/>
      <c r="BD490" s="417"/>
      <c r="BE490" s="612"/>
      <c r="BF490" s="613"/>
      <c r="BG490" s="614"/>
      <c r="BH490" s="682"/>
      <c r="BI490" s="417"/>
      <c r="BJ490" s="417">
        <v>5</v>
      </c>
      <c r="BK490" s="682" t="str">
        <f>Техкарта[[#This Row],[Кв-л]]&amp;" кв ("&amp;Substring(Техкарта[[#This Row],[Виділ]],"_",1)&amp;" вид) "&amp;Substring(Техкарта[[#This Row],[Виділ]],"_",2)&amp;" діл."</f>
        <v>100 кв (17 вид) 0 діл.</v>
      </c>
      <c r="BL490" s="682" t="str">
        <f>Техкарта[[#This Row],[ПолнаяДіл]] &amp;" "&amp;Техкарта[[#This Row],[ЛК]]&amp;" "&amp;Техкарта[[#This Row],[Вид рубки]]</f>
        <v>100 кв (17 вид) 0 діл. 556715 СРВ</v>
      </c>
      <c r="BM490" s="682"/>
      <c r="BN490" s="636"/>
      <c r="BO490" s="636"/>
      <c r="BP490" s="636"/>
      <c r="BQ490" s="636" t="s">
        <v>105</v>
      </c>
      <c r="BR490" s="636">
        <v>2</v>
      </c>
      <c r="BS490" s="636"/>
      <c r="BT490" s="636"/>
      <c r="BU490" s="636"/>
      <c r="BV490" s="636"/>
      <c r="BW490" s="636" t="s">
        <v>4415</v>
      </c>
      <c r="BX490" s="636"/>
      <c r="BY490" s="972"/>
    </row>
    <row r="491" spans="1:77">
      <c r="A491" t="s">
        <v>3896</v>
      </c>
      <c r="B491" s="675" t="s">
        <v>111</v>
      </c>
      <c r="C491" s="687" t="s">
        <v>3843</v>
      </c>
      <c r="D491" s="675">
        <v>0</v>
      </c>
      <c r="E491" s="675" t="s">
        <v>2311</v>
      </c>
      <c r="F491" s="675">
        <v>3</v>
      </c>
      <c r="G491" s="675" t="s">
        <v>79</v>
      </c>
      <c r="H491" s="675">
        <v>93</v>
      </c>
      <c r="I491" s="676" t="s">
        <v>4110</v>
      </c>
      <c r="J491" s="677">
        <v>0.7</v>
      </c>
      <c r="K491" s="683">
        <v>0</v>
      </c>
      <c r="L491" s="677"/>
      <c r="M491" s="677">
        <v>0</v>
      </c>
      <c r="N491" s="677">
        <v>120</v>
      </c>
      <c r="O491" s="677"/>
      <c r="P491" s="677"/>
      <c r="Q491" s="677">
        <v>0</v>
      </c>
      <c r="R491" s="677"/>
      <c r="S491" s="677">
        <v>0</v>
      </c>
      <c r="T491" s="677">
        <v>0</v>
      </c>
      <c r="U491" s="677"/>
      <c r="V491" s="677">
        <v>0</v>
      </c>
      <c r="W491" s="677">
        <v>0</v>
      </c>
      <c r="X491" s="678"/>
      <c r="Y491" s="682"/>
      <c r="Z491" s="680"/>
      <c r="AA491" s="681">
        <v>185.65</v>
      </c>
      <c r="AB491" s="681"/>
      <c r="AC491" s="417">
        <v>23</v>
      </c>
      <c r="AD491" s="417"/>
      <c r="AE491" s="682" t="s">
        <v>4111</v>
      </c>
      <c r="AF491">
        <v>1</v>
      </c>
      <c r="AG491" s="749">
        <v>43101</v>
      </c>
      <c r="AH491" s="417"/>
      <c r="AI491" s="417"/>
      <c r="AJ491" s="750">
        <v>43192</v>
      </c>
      <c r="AK491" s="417"/>
      <c r="AL491" s="637" t="s">
        <v>3457</v>
      </c>
      <c r="AM491" s="417"/>
      <c r="AN491" s="417"/>
      <c r="AO491" s="636"/>
      <c r="AP491">
        <v>556667</v>
      </c>
      <c r="AQ491" s="751">
        <v>43192</v>
      </c>
      <c r="AR491" s="417">
        <v>0.3</v>
      </c>
      <c r="AS491" s="417"/>
      <c r="AT491" s="417"/>
      <c r="AU491" s="417"/>
      <c r="AV491" s="417"/>
      <c r="AW491" s="417"/>
      <c r="AX491" s="417"/>
      <c r="AY491" s="183" t="s">
        <v>3424</v>
      </c>
      <c r="AZ491" s="417"/>
      <c r="BA491" s="417"/>
      <c r="BB491" t="s">
        <v>3583</v>
      </c>
      <c r="BC491" s="636"/>
      <c r="BD491" s="417"/>
      <c r="BE491" s="612"/>
      <c r="BF491" s="613"/>
      <c r="BG491" s="614"/>
      <c r="BH491" s="682"/>
      <c r="BI491" s="417"/>
      <c r="BJ491" s="417">
        <v>3</v>
      </c>
      <c r="BK491" s="682" t="str">
        <f>Техкарта[[#This Row],[Кв-л]]&amp;" кв ("&amp;Substring(Техкарта[[#This Row],[Виділ]],"_",1)&amp;" вид) "&amp;Substring(Техкарта[[#This Row],[Виділ]],"_",2)&amp;" діл."</f>
        <v>93 кв (16 вид) 0 діл.</v>
      </c>
      <c r="BL491" s="682" t="str">
        <f>Техкарта[[#This Row],[ПолнаяДіл]] &amp;" "&amp;Техкарта[[#This Row],[ЛК]]&amp;" "&amp;Техкарта[[#This Row],[Вид рубки]]</f>
        <v>93 кв (16 вид) 0 діл. 556667 ОСВ</v>
      </c>
      <c r="BM491" s="682"/>
      <c r="BN491" s="636"/>
      <c r="BO491" s="636"/>
      <c r="BP491" s="636"/>
      <c r="BQ491" s="636" t="s">
        <v>3896</v>
      </c>
      <c r="BR491" s="636">
        <v>2</v>
      </c>
      <c r="BS491" s="636"/>
      <c r="BT491" s="636"/>
      <c r="BU491" s="636"/>
      <c r="BV491" s="636"/>
      <c r="BW491" s="636" t="s">
        <v>4415</v>
      </c>
      <c r="BX491" s="636"/>
      <c r="BY491" s="972"/>
    </row>
    <row r="492" spans="1:77">
      <c r="A492" t="s">
        <v>105</v>
      </c>
      <c r="B492" s="675" t="s">
        <v>112</v>
      </c>
      <c r="C492" s="687" t="s">
        <v>134</v>
      </c>
      <c r="D492" s="675">
        <v>0</v>
      </c>
      <c r="E492" s="675" t="s">
        <v>2311</v>
      </c>
      <c r="F492" s="675">
        <v>3</v>
      </c>
      <c r="G492" s="675" t="s">
        <v>79</v>
      </c>
      <c r="H492" s="675">
        <v>35</v>
      </c>
      <c r="I492" s="676" t="s">
        <v>3833</v>
      </c>
      <c r="J492" s="677">
        <v>2.1</v>
      </c>
      <c r="K492" s="683">
        <v>219</v>
      </c>
      <c r="L492" s="677"/>
      <c r="M492" s="677">
        <v>0</v>
      </c>
      <c r="N492" s="677">
        <v>0</v>
      </c>
      <c r="O492" s="677"/>
      <c r="P492" s="677"/>
      <c r="Q492" s="677">
        <v>0</v>
      </c>
      <c r="R492" s="677"/>
      <c r="S492" s="677">
        <v>0</v>
      </c>
      <c r="T492" s="677">
        <v>0</v>
      </c>
      <c r="U492" s="677"/>
      <c r="V492" s="677">
        <v>0</v>
      </c>
      <c r="W492" s="677">
        <v>13</v>
      </c>
      <c r="X492" s="678"/>
      <c r="Y492" s="682"/>
      <c r="Z492" s="680"/>
      <c r="AA492" s="681">
        <v>221.85300000000001</v>
      </c>
      <c r="AB492" s="681"/>
      <c r="AC492" s="417">
        <v>33</v>
      </c>
      <c r="AD492" s="417"/>
      <c r="AE492" s="682" t="s">
        <v>4416</v>
      </c>
      <c r="AF492">
        <v>1</v>
      </c>
      <c r="AG492" s="749">
        <v>43101</v>
      </c>
      <c r="AH492" s="417"/>
      <c r="AI492" s="417"/>
      <c r="AJ492" s="750">
        <v>43313</v>
      </c>
      <c r="AK492" s="417"/>
      <c r="AL492" s="637" t="s">
        <v>3440</v>
      </c>
      <c r="AM492" s="417"/>
      <c r="AN492" s="417"/>
      <c r="AO492" s="636"/>
      <c r="AP492">
        <v>556633</v>
      </c>
      <c r="AQ492" s="751">
        <v>43102</v>
      </c>
      <c r="AR492" s="417">
        <v>0.3</v>
      </c>
      <c r="AS492" s="417"/>
      <c r="AT492" s="417"/>
      <c r="AU492" s="417"/>
      <c r="AV492" s="417"/>
      <c r="AW492" s="417"/>
      <c r="AX492" s="417"/>
      <c r="AY492" s="183" t="s">
        <v>4245</v>
      </c>
      <c r="AZ492" s="417"/>
      <c r="BA492" s="417"/>
      <c r="BB492" t="s">
        <v>4238</v>
      </c>
      <c r="BC492" s="636"/>
      <c r="BD492" s="417"/>
      <c r="BE492" s="612"/>
      <c r="BF492" s="613"/>
      <c r="BG492" s="614"/>
      <c r="BH492" s="682"/>
      <c r="BI492" s="417"/>
      <c r="BJ492" s="417">
        <v>2</v>
      </c>
      <c r="BK492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492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492" s="682"/>
      <c r="BN492" s="636"/>
      <c r="BO492" s="636"/>
      <c r="BP492" s="636"/>
      <c r="BQ492" s="636" t="s">
        <v>105</v>
      </c>
      <c r="BR492" s="636">
        <v>2</v>
      </c>
      <c r="BS492" s="636"/>
      <c r="BT492" s="636"/>
      <c r="BU492" s="636"/>
      <c r="BV492" s="636"/>
      <c r="BW492" s="636" t="s">
        <v>4415</v>
      </c>
      <c r="BX492" s="636"/>
      <c r="BY492" s="972"/>
    </row>
    <row r="493" spans="1:77">
      <c r="A493" t="s">
        <v>105</v>
      </c>
      <c r="B493" s="675" t="s">
        <v>112</v>
      </c>
      <c r="C493" s="687" t="s">
        <v>134</v>
      </c>
      <c r="D493" s="675">
        <v>0</v>
      </c>
      <c r="E493" s="675" t="s">
        <v>2311</v>
      </c>
      <c r="F493" s="675">
        <v>3</v>
      </c>
      <c r="G493" s="675" t="s">
        <v>79</v>
      </c>
      <c r="H493" s="675">
        <v>39</v>
      </c>
      <c r="I493" s="676" t="s">
        <v>3795</v>
      </c>
      <c r="J493" s="677">
        <v>5.6</v>
      </c>
      <c r="K493" s="683">
        <v>261</v>
      </c>
      <c r="L493" s="677"/>
      <c r="M493" s="677">
        <v>0</v>
      </c>
      <c r="N493" s="677">
        <v>0</v>
      </c>
      <c r="O493" s="677"/>
      <c r="P493" s="677"/>
      <c r="Q493" s="677">
        <v>0</v>
      </c>
      <c r="R493" s="677"/>
      <c r="S493" s="677">
        <v>0</v>
      </c>
      <c r="T493" s="677">
        <v>0</v>
      </c>
      <c r="U493" s="677"/>
      <c r="V493" s="677">
        <v>0</v>
      </c>
      <c r="W493" s="677">
        <v>13</v>
      </c>
      <c r="X493" s="678"/>
      <c r="Y493" s="682"/>
      <c r="Z493" s="680"/>
      <c r="AA493" s="681">
        <v>257.69900000000001</v>
      </c>
      <c r="AB493" s="681"/>
      <c r="AC493" s="417">
        <v>109</v>
      </c>
      <c r="AD493" s="417"/>
      <c r="AE493" s="682" t="s">
        <v>4417</v>
      </c>
      <c r="AF493">
        <v>1</v>
      </c>
      <c r="AG493" s="749">
        <v>43101</v>
      </c>
      <c r="AH493" s="417"/>
      <c r="AI493" s="417"/>
      <c r="AJ493" s="750">
        <v>43313</v>
      </c>
      <c r="AK493" s="417"/>
      <c r="AL493" s="637" t="s">
        <v>3440</v>
      </c>
      <c r="AM493" s="417"/>
      <c r="AN493" s="417"/>
      <c r="AO493" s="636"/>
      <c r="AP493">
        <v>556633</v>
      </c>
      <c r="AQ493" s="751">
        <v>43102</v>
      </c>
      <c r="AR493" s="417">
        <v>0.3</v>
      </c>
      <c r="AS493" s="417"/>
      <c r="AT493" s="417"/>
      <c r="AU493" s="417"/>
      <c r="AV493" s="417"/>
      <c r="AW493" s="417"/>
      <c r="AX493" s="417"/>
      <c r="AY493" s="183" t="s">
        <v>4245</v>
      </c>
      <c r="AZ493" s="417"/>
      <c r="BA493" s="417"/>
      <c r="BB493" t="s">
        <v>4238</v>
      </c>
      <c r="BC493" s="636"/>
      <c r="BD493" s="417"/>
      <c r="BE493" s="612"/>
      <c r="BF493" s="613"/>
      <c r="BG493" s="614"/>
      <c r="BH493" s="682"/>
      <c r="BI493" s="417"/>
      <c r="BJ493" s="417">
        <v>3</v>
      </c>
      <c r="BK493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3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3" s="682"/>
      <c r="BN493" s="636"/>
      <c r="BO493" s="636"/>
      <c r="BP493" s="636"/>
      <c r="BQ493" s="636" t="s">
        <v>105</v>
      </c>
      <c r="BR493" s="636">
        <v>2</v>
      </c>
      <c r="BS493" s="636"/>
      <c r="BT493" s="636"/>
      <c r="BU493" s="636"/>
      <c r="BV493" s="636"/>
      <c r="BW493" s="636" t="s">
        <v>4415</v>
      </c>
      <c r="BX493" s="636"/>
      <c r="BY493" s="972"/>
    </row>
    <row r="494" spans="1:77">
      <c r="A494" t="s">
        <v>105</v>
      </c>
      <c r="B494" s="675" t="s">
        <v>112</v>
      </c>
      <c r="C494" s="687" t="s">
        <v>134</v>
      </c>
      <c r="D494" s="675">
        <v>0</v>
      </c>
      <c r="E494" s="675" t="s">
        <v>2311</v>
      </c>
      <c r="F494" s="675">
        <v>3</v>
      </c>
      <c r="G494" s="675" t="s">
        <v>79</v>
      </c>
      <c r="H494" s="675">
        <v>39</v>
      </c>
      <c r="I494" s="676" t="s">
        <v>3795</v>
      </c>
      <c r="J494" s="677">
        <v>5.6</v>
      </c>
      <c r="K494" s="683">
        <v>261</v>
      </c>
      <c r="L494" s="677"/>
      <c r="M494" s="677">
        <v>0</v>
      </c>
      <c r="N494" s="677">
        <v>0</v>
      </c>
      <c r="O494" s="677"/>
      <c r="P494" s="677"/>
      <c r="Q494" s="677">
        <v>0</v>
      </c>
      <c r="R494" s="677"/>
      <c r="S494" s="677">
        <v>0</v>
      </c>
      <c r="T494" s="677">
        <v>0</v>
      </c>
      <c r="U494" s="677"/>
      <c r="V494" s="677">
        <v>0</v>
      </c>
      <c r="W494" s="677">
        <v>13</v>
      </c>
      <c r="X494" s="678"/>
      <c r="Y494" s="682"/>
      <c r="Z494" s="680"/>
      <c r="AA494" s="681">
        <v>257.69900000000001</v>
      </c>
      <c r="AB494" s="681"/>
      <c r="AC494" s="417">
        <v>109</v>
      </c>
      <c r="AD494" s="417"/>
      <c r="AE494" s="682" t="s">
        <v>4417</v>
      </c>
      <c r="AF494">
        <v>1</v>
      </c>
      <c r="AG494" s="749">
        <v>43101</v>
      </c>
      <c r="AH494" s="417"/>
      <c r="AI494" s="417"/>
      <c r="AJ494" s="750">
        <v>43313</v>
      </c>
      <c r="AK494" s="417"/>
      <c r="AL494" s="637" t="s">
        <v>3440</v>
      </c>
      <c r="AM494" s="417"/>
      <c r="AN494" s="417"/>
      <c r="AO494" s="636"/>
      <c r="AP494">
        <v>556633</v>
      </c>
      <c r="AQ494" s="751">
        <v>43102</v>
      </c>
      <c r="AR494" s="417">
        <v>0.3</v>
      </c>
      <c r="AS494" s="417"/>
      <c r="AT494" s="417"/>
      <c r="AU494" s="417"/>
      <c r="AV494" s="417"/>
      <c r="AW494" s="417"/>
      <c r="AX494" s="417"/>
      <c r="AY494" s="183" t="s">
        <v>4245</v>
      </c>
      <c r="AZ494" s="417"/>
      <c r="BA494" s="417"/>
      <c r="BB494" t="s">
        <v>4238</v>
      </c>
      <c r="BC494" s="636"/>
      <c r="BD494" s="417"/>
      <c r="BE494" s="612"/>
      <c r="BF494" s="613"/>
      <c r="BG494" s="614"/>
      <c r="BH494" s="682"/>
      <c r="BI494" s="417"/>
      <c r="BJ494" s="417">
        <v>3</v>
      </c>
      <c r="BK494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4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4" s="682"/>
      <c r="BN494" s="636"/>
      <c r="BO494" s="636"/>
      <c r="BP494" s="636"/>
      <c r="BQ494" s="636" t="s">
        <v>105</v>
      </c>
      <c r="BR494" s="636">
        <v>2</v>
      </c>
      <c r="BS494" s="636"/>
      <c r="BT494" s="636"/>
      <c r="BU494" s="636"/>
      <c r="BV494" s="636"/>
      <c r="BW494" s="636" t="s">
        <v>4418</v>
      </c>
      <c r="BX494" s="636"/>
      <c r="BY494" s="972"/>
    </row>
    <row r="495" spans="1:77">
      <c r="A495" t="s">
        <v>105</v>
      </c>
      <c r="B495" s="675" t="s">
        <v>112</v>
      </c>
      <c r="C495" s="687" t="s">
        <v>134</v>
      </c>
      <c r="D495" s="675">
        <v>0</v>
      </c>
      <c r="E495" s="675" t="s">
        <v>2311</v>
      </c>
      <c r="F495" s="675">
        <v>3</v>
      </c>
      <c r="G495" s="675" t="s">
        <v>79</v>
      </c>
      <c r="H495" s="675">
        <v>39</v>
      </c>
      <c r="I495" s="676" t="s">
        <v>3795</v>
      </c>
      <c r="J495" s="677">
        <v>5.6</v>
      </c>
      <c r="K495" s="683">
        <v>261</v>
      </c>
      <c r="L495" s="677"/>
      <c r="M495" s="677">
        <v>0</v>
      </c>
      <c r="N495" s="677">
        <v>0</v>
      </c>
      <c r="O495" s="677"/>
      <c r="P495" s="677"/>
      <c r="Q495" s="677">
        <v>0</v>
      </c>
      <c r="R495" s="677"/>
      <c r="S495" s="677">
        <v>0</v>
      </c>
      <c r="T495" s="677">
        <v>0</v>
      </c>
      <c r="U495" s="677"/>
      <c r="V495" s="677">
        <v>0</v>
      </c>
      <c r="W495" s="677">
        <v>13</v>
      </c>
      <c r="X495" s="678"/>
      <c r="Y495" s="682"/>
      <c r="Z495" s="680"/>
      <c r="AA495" s="681">
        <v>257.69900000000001</v>
      </c>
      <c r="AB495" s="681"/>
      <c r="AC495" s="417">
        <v>109</v>
      </c>
      <c r="AD495" s="417"/>
      <c r="AE495" s="682" t="s">
        <v>4417</v>
      </c>
      <c r="AF495">
        <v>1</v>
      </c>
      <c r="AG495" s="749">
        <v>43101</v>
      </c>
      <c r="AH495" s="417"/>
      <c r="AI495" s="417"/>
      <c r="AJ495" s="750">
        <v>43313</v>
      </c>
      <c r="AK495" s="417"/>
      <c r="AL495" s="637" t="s">
        <v>3440</v>
      </c>
      <c r="AM495" s="417"/>
      <c r="AN495" s="417"/>
      <c r="AO495" s="636"/>
      <c r="AP495">
        <v>556633</v>
      </c>
      <c r="AQ495" s="751">
        <v>43102</v>
      </c>
      <c r="AR495" s="417">
        <v>0.3</v>
      </c>
      <c r="AS495" s="417"/>
      <c r="AT495" s="417"/>
      <c r="AU495" s="417"/>
      <c r="AV495" s="417"/>
      <c r="AW495" s="417"/>
      <c r="AX495" s="417"/>
      <c r="AY495" s="183" t="s">
        <v>4245</v>
      </c>
      <c r="AZ495" s="417"/>
      <c r="BA495" s="417"/>
      <c r="BB495" t="s">
        <v>4238</v>
      </c>
      <c r="BC495" s="636"/>
      <c r="BD495" s="417"/>
      <c r="BE495" s="612"/>
      <c r="BF495" s="613"/>
      <c r="BG495" s="614"/>
      <c r="BH495" s="682"/>
      <c r="BI495" s="417"/>
      <c r="BJ495" s="417">
        <v>3</v>
      </c>
      <c r="BK495" s="682" t="str">
        <f>Техкарта[[#This Row],[Кв-л]]&amp;" кв ("&amp;Substring(Техкарта[[#This Row],[Виділ]],"_",1)&amp;" вид) "&amp;Substring(Техкарта[[#This Row],[Виділ]],"_",2)&amp;" діл."</f>
        <v>39 кв (9 вид) 0 діл.</v>
      </c>
      <c r="BL495" s="682" t="str">
        <f>Техкарта[[#This Row],[ПолнаяДіл]] &amp;" "&amp;Техкарта[[#This Row],[ЛК]]&amp;" "&amp;Техкарта[[#This Row],[Вид рубки]]</f>
        <v>39 кв (9 вид) 0 діл. 556633 ПРЧ</v>
      </c>
      <c r="BM495" s="682"/>
      <c r="BN495" s="636"/>
      <c r="BO495" s="636"/>
      <c r="BP495" s="636"/>
      <c r="BQ495" s="636" t="s">
        <v>105</v>
      </c>
      <c r="BR495" s="636">
        <v>2</v>
      </c>
      <c r="BS495" s="636"/>
      <c r="BT495" s="636"/>
      <c r="BU495" s="636"/>
      <c r="BV495" s="636"/>
      <c r="BW495" s="636" t="s">
        <v>4418</v>
      </c>
      <c r="BX495" s="636"/>
      <c r="BY495" s="972"/>
    </row>
    <row r="496" spans="1:77">
      <c r="A496" s="636" t="s">
        <v>104</v>
      </c>
      <c r="B496" s="675" t="s">
        <v>112</v>
      </c>
      <c r="C496" s="687" t="s">
        <v>104</v>
      </c>
      <c r="D496" s="675">
        <v>0</v>
      </c>
      <c r="E496" s="675" t="s">
        <v>2311</v>
      </c>
      <c r="F496" s="675">
        <v>3</v>
      </c>
      <c r="G496" s="675" t="s">
        <v>79</v>
      </c>
      <c r="H496" s="675">
        <v>2</v>
      </c>
      <c r="I496" s="676" t="s">
        <v>3791</v>
      </c>
      <c r="J496" s="677">
        <v>1.6</v>
      </c>
      <c r="K496" s="683">
        <v>1396</v>
      </c>
      <c r="L496" s="677">
        <v>0</v>
      </c>
      <c r="M496" s="677">
        <v>0</v>
      </c>
      <c r="N496" s="677">
        <v>324</v>
      </c>
      <c r="O496" s="677">
        <v>0</v>
      </c>
      <c r="P496" s="677">
        <v>0</v>
      </c>
      <c r="Q496" s="677">
        <v>20</v>
      </c>
      <c r="R496" s="677">
        <v>19</v>
      </c>
      <c r="S496" s="677">
        <v>2</v>
      </c>
      <c r="T496" s="677">
        <v>232</v>
      </c>
      <c r="U496" s="677">
        <v>6</v>
      </c>
      <c r="V496" s="677">
        <v>1</v>
      </c>
      <c r="W496" s="677">
        <v>159</v>
      </c>
      <c r="X496" s="678"/>
      <c r="Y496" s="682"/>
      <c r="Z496" s="680"/>
      <c r="AA496" s="681">
        <v>81.58</v>
      </c>
      <c r="AB496" s="681">
        <v>41.396000000000001</v>
      </c>
      <c r="AC496" s="417">
        <v>57</v>
      </c>
      <c r="AD496" s="417"/>
      <c r="AE496" s="682" t="s">
        <v>4419</v>
      </c>
      <c r="AF496">
        <v>1</v>
      </c>
      <c r="AG496" s="749">
        <v>43101</v>
      </c>
      <c r="AH496" s="417"/>
      <c r="AI496" s="417"/>
      <c r="AJ496" s="750">
        <v>43319</v>
      </c>
      <c r="AK496" s="417"/>
      <c r="AL496" s="637" t="s">
        <v>3473</v>
      </c>
      <c r="AM496" s="417"/>
      <c r="AN496" s="417"/>
      <c r="AO496" s="636"/>
      <c r="AP496">
        <v>556617</v>
      </c>
      <c r="AQ496" s="751">
        <v>43077</v>
      </c>
      <c r="AR496" s="417">
        <v>0.3</v>
      </c>
      <c r="AS496" s="417"/>
      <c r="AT496" s="417"/>
      <c r="AU496" s="417"/>
      <c r="AV496" s="417"/>
      <c r="AW496" s="417"/>
      <c r="AX496" s="417"/>
      <c r="AY496" s="183" t="s">
        <v>4245</v>
      </c>
      <c r="AZ496" s="417"/>
      <c r="BA496" s="417"/>
      <c r="BB496" t="s">
        <v>4238</v>
      </c>
      <c r="BC496" s="636"/>
      <c r="BD496" s="417"/>
      <c r="BE496" s="612">
        <v>5</v>
      </c>
      <c r="BF496" s="613">
        <v>40</v>
      </c>
      <c r="BG496" s="614"/>
      <c r="BH496" s="682"/>
      <c r="BI496" s="417"/>
      <c r="BJ496" s="417">
        <v>1</v>
      </c>
      <c r="BK496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6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6" s="682"/>
      <c r="BN496" s="636" t="s">
        <v>3784</v>
      </c>
      <c r="BO496" s="636" t="s">
        <v>3784</v>
      </c>
      <c r="BP496" s="636" t="s">
        <v>3784</v>
      </c>
      <c r="BQ496" s="636" t="s">
        <v>104</v>
      </c>
      <c r="BR496" s="636">
        <v>2</v>
      </c>
      <c r="BS496" s="636"/>
      <c r="BT496" s="636"/>
      <c r="BU496" s="636"/>
      <c r="BV496" s="636"/>
      <c r="BW496" s="636" t="s">
        <v>4418</v>
      </c>
      <c r="BX496" s="636"/>
      <c r="BY496" s="972"/>
    </row>
    <row r="497" spans="1:77">
      <c r="A497" s="636" t="s">
        <v>104</v>
      </c>
      <c r="B497" s="675" t="s">
        <v>112</v>
      </c>
      <c r="C497" s="687" t="s">
        <v>104</v>
      </c>
      <c r="D497" s="675">
        <v>0</v>
      </c>
      <c r="E497" s="675" t="s">
        <v>2311</v>
      </c>
      <c r="F497" s="675">
        <v>3</v>
      </c>
      <c r="G497" s="675" t="s">
        <v>79</v>
      </c>
      <c r="H497" s="675">
        <v>2</v>
      </c>
      <c r="I497" s="676" t="s">
        <v>3791</v>
      </c>
      <c r="J497" s="677">
        <v>1.6</v>
      </c>
      <c r="K497" s="683">
        <v>1396</v>
      </c>
      <c r="L497" s="677">
        <v>0</v>
      </c>
      <c r="M497" s="677">
        <v>0</v>
      </c>
      <c r="N497" s="677">
        <v>324</v>
      </c>
      <c r="O497" s="677">
        <v>0</v>
      </c>
      <c r="P497" s="677">
        <v>0</v>
      </c>
      <c r="Q497" s="677">
        <v>20</v>
      </c>
      <c r="R497" s="677">
        <v>19</v>
      </c>
      <c r="S497" s="677">
        <v>2</v>
      </c>
      <c r="T497" s="677">
        <v>232</v>
      </c>
      <c r="U497" s="677">
        <v>6</v>
      </c>
      <c r="V497" s="677">
        <v>1</v>
      </c>
      <c r="W497" s="677">
        <v>159</v>
      </c>
      <c r="X497" s="678"/>
      <c r="Y497" s="682"/>
      <c r="Z497" s="680"/>
      <c r="AA497" s="681">
        <v>81.58</v>
      </c>
      <c r="AB497" s="681">
        <v>41.396000000000001</v>
      </c>
      <c r="AC497" s="417">
        <v>57</v>
      </c>
      <c r="AD497" s="417"/>
      <c r="AE497" s="682" t="s">
        <v>4419</v>
      </c>
      <c r="AF497">
        <v>1</v>
      </c>
      <c r="AG497" s="749">
        <v>43101</v>
      </c>
      <c r="AH497" s="417"/>
      <c r="AI497" s="417"/>
      <c r="AJ497" s="750">
        <v>43319</v>
      </c>
      <c r="AK497" s="417"/>
      <c r="AL497" s="637" t="s">
        <v>3473</v>
      </c>
      <c r="AM497" s="417"/>
      <c r="AN497" s="417"/>
      <c r="AO497" s="636"/>
      <c r="AP497">
        <v>556617</v>
      </c>
      <c r="AQ497" s="751">
        <v>43077</v>
      </c>
      <c r="AR497" s="417">
        <v>0.3</v>
      </c>
      <c r="AS497" s="417"/>
      <c r="AT497" s="417"/>
      <c r="AU497" s="417"/>
      <c r="AV497" s="417"/>
      <c r="AW497" s="417"/>
      <c r="AX497" s="417"/>
      <c r="AY497" s="183" t="s">
        <v>4245</v>
      </c>
      <c r="AZ497" s="417"/>
      <c r="BA497" s="417"/>
      <c r="BB497" t="s">
        <v>4238</v>
      </c>
      <c r="BC497" s="636"/>
      <c r="BD497" s="417"/>
      <c r="BE497" s="612">
        <v>5</v>
      </c>
      <c r="BF497" s="613">
        <v>40</v>
      </c>
      <c r="BG497" s="614"/>
      <c r="BH497" s="682"/>
      <c r="BI497" s="417"/>
      <c r="BJ497" s="417">
        <v>1</v>
      </c>
      <c r="BK497" s="682" t="str">
        <f>Техкарта[[#This Row],[Кв-л]]&amp;" кв ("&amp;Substring(Техкарта[[#This Row],[Виділ]],"_",1)&amp;" вид) "&amp;Substring(Техкарта[[#This Row],[Виділ]],"_",2)&amp;" діл."</f>
        <v>2 кв (7 вид) 0 діл.</v>
      </c>
      <c r="BL497" s="682" t="str">
        <f>Техкарта[[#This Row],[ПолнаяДіл]] &amp;" "&amp;Техкарта[[#This Row],[ЛК]]&amp;" "&amp;Техкарта[[#This Row],[Вид рубки]]</f>
        <v>2 кв (7 вид) 0 діл. 556617 РГК</v>
      </c>
      <c r="BM497" s="682"/>
      <c r="BN497" s="636" t="s">
        <v>3784</v>
      </c>
      <c r="BO497" s="636" t="s">
        <v>3784</v>
      </c>
      <c r="BP497" s="636" t="s">
        <v>3784</v>
      </c>
      <c r="BQ497" s="636" t="s">
        <v>104</v>
      </c>
      <c r="BR497" s="636">
        <v>2</v>
      </c>
      <c r="BS497" s="636"/>
      <c r="BT497" s="636"/>
      <c r="BU497" s="636"/>
      <c r="BV497" s="636"/>
      <c r="BW497" s="636" t="s">
        <v>4418</v>
      </c>
      <c r="BX497" s="636"/>
      <c r="BY497" s="972"/>
    </row>
    <row r="498" spans="1:77">
      <c r="A498" s="636" t="s">
        <v>3896</v>
      </c>
      <c r="B498" s="675" t="s">
        <v>112</v>
      </c>
      <c r="C498" s="687" t="s">
        <v>3843</v>
      </c>
      <c r="D498" s="675">
        <v>0</v>
      </c>
      <c r="E498" s="675" t="s">
        <v>2311</v>
      </c>
      <c r="F498" s="675">
        <v>3</v>
      </c>
      <c r="G498" s="675" t="s">
        <v>79</v>
      </c>
      <c r="H498" s="675">
        <v>57</v>
      </c>
      <c r="I498" s="676" t="s">
        <v>3830</v>
      </c>
      <c r="J498" s="677">
        <v>3.5</v>
      </c>
      <c r="K498" s="683">
        <v>0</v>
      </c>
      <c r="L498" s="677"/>
      <c r="M498" s="677">
        <v>0</v>
      </c>
      <c r="N498" s="677">
        <v>0</v>
      </c>
      <c r="O498" s="677"/>
      <c r="P498" s="677"/>
      <c r="Q498" s="677">
        <v>383.33</v>
      </c>
      <c r="R498" s="677"/>
      <c r="S498" s="677">
        <v>0</v>
      </c>
      <c r="T498" s="677">
        <v>0</v>
      </c>
      <c r="U498" s="677"/>
      <c r="V498" s="677">
        <v>0</v>
      </c>
      <c r="W498" s="677">
        <v>0</v>
      </c>
      <c r="X498" s="678"/>
      <c r="Y498" s="682"/>
      <c r="Z498" s="680"/>
      <c r="AA498" s="681">
        <v>198.52</v>
      </c>
      <c r="AB498" s="681"/>
      <c r="AC498" s="417">
        <v>23</v>
      </c>
      <c r="AD498" s="417"/>
      <c r="AE498" s="682" t="s">
        <v>4420</v>
      </c>
      <c r="AF498">
        <v>1</v>
      </c>
      <c r="AG498" s="749">
        <v>43101</v>
      </c>
      <c r="AH498" s="417"/>
      <c r="AI498" s="417"/>
      <c r="AJ498" s="750">
        <v>43313</v>
      </c>
      <c r="AK498" s="417"/>
      <c r="AL498" s="637" t="s">
        <v>3452</v>
      </c>
      <c r="AM498" s="417"/>
      <c r="AN498" s="417"/>
      <c r="AO498" s="636"/>
      <c r="AP498">
        <v>556666</v>
      </c>
      <c r="AQ498" s="751">
        <v>43192</v>
      </c>
      <c r="AR498" s="417">
        <v>0.5</v>
      </c>
      <c r="AS498" s="417"/>
      <c r="AT498" s="417"/>
      <c r="AU498" s="417"/>
      <c r="AV498" s="417"/>
      <c r="AW498" s="417"/>
      <c r="AX498" s="417"/>
      <c r="AY498" s="183" t="s">
        <v>4245</v>
      </c>
      <c r="AZ498" s="417"/>
      <c r="BA498" s="417"/>
      <c r="BB498" t="s">
        <v>4238</v>
      </c>
      <c r="BC498" s="636"/>
      <c r="BD498" s="417"/>
      <c r="BE498" s="612"/>
      <c r="BF498" s="613"/>
      <c r="BG498" s="614"/>
      <c r="BH498" s="682"/>
      <c r="BI498" s="417"/>
      <c r="BJ498" s="417">
        <v>5</v>
      </c>
      <c r="BK498" s="682" t="str">
        <f>Техкарта[[#This Row],[Кв-л]]&amp;" кв ("&amp;Substring(Техкарта[[#This Row],[Виділ]],"_",1)&amp;" вид) "&amp;Substring(Техкарта[[#This Row],[Виділ]],"_",2)&amp;" діл."</f>
        <v>57 кв (1 вид) 0 діл.</v>
      </c>
      <c r="BL498" s="682" t="str">
        <f>Техкарта[[#This Row],[ПолнаяДіл]] &amp;" "&amp;Техкарта[[#This Row],[ЛК]]&amp;" "&amp;Техкарта[[#This Row],[Вид рубки]]</f>
        <v>57 кв (1 вид) 0 діл. 556666 ОСВ</v>
      </c>
      <c r="BM498" s="682"/>
      <c r="BN498" s="636"/>
      <c r="BO498" s="636"/>
      <c r="BP498" s="636"/>
      <c r="BQ498" s="636" t="s">
        <v>3896</v>
      </c>
      <c r="BR498" s="636">
        <v>5</v>
      </c>
      <c r="BS498" s="636"/>
      <c r="BT498" s="636"/>
      <c r="BU498" s="636"/>
      <c r="BV498" s="636"/>
      <c r="BW498" s="636" t="s">
        <v>4418</v>
      </c>
      <c r="BX498" s="636"/>
      <c r="BY498" s="972"/>
    </row>
    <row r="499" spans="1:77">
      <c r="A499" s="636" t="s">
        <v>3896</v>
      </c>
      <c r="B499" s="675" t="s">
        <v>112</v>
      </c>
      <c r="C499" s="687" t="s">
        <v>3843</v>
      </c>
      <c r="D499" s="675">
        <v>0</v>
      </c>
      <c r="E499" s="675" t="s">
        <v>2311</v>
      </c>
      <c r="F499" s="675">
        <v>3</v>
      </c>
      <c r="G499" s="675" t="s">
        <v>79</v>
      </c>
      <c r="H499" s="675">
        <v>6</v>
      </c>
      <c r="I499" s="676" t="s">
        <v>3832</v>
      </c>
      <c r="J499" s="677">
        <v>5.8</v>
      </c>
      <c r="K499" s="683">
        <v>0</v>
      </c>
      <c r="L499" s="677"/>
      <c r="M499" s="677">
        <v>0</v>
      </c>
      <c r="N499" s="677">
        <v>0</v>
      </c>
      <c r="O499" s="677"/>
      <c r="P499" s="677"/>
      <c r="Q499" s="677">
        <v>466.67</v>
      </c>
      <c r="R499" s="677"/>
      <c r="S499" s="677">
        <v>0</v>
      </c>
      <c r="T499" s="677">
        <v>0</v>
      </c>
      <c r="U499" s="677"/>
      <c r="V499" s="677">
        <v>0</v>
      </c>
      <c r="W499" s="677">
        <v>0</v>
      </c>
      <c r="X499" s="678"/>
      <c r="Y499" s="682"/>
      <c r="Z499" s="680"/>
      <c r="AA499" s="681">
        <v>198.52</v>
      </c>
      <c r="AB499" s="681"/>
      <c r="AC499" s="417">
        <v>23</v>
      </c>
      <c r="AD499" s="417"/>
      <c r="AE499" s="682" t="s">
        <v>4421</v>
      </c>
      <c r="AF499">
        <v>1</v>
      </c>
      <c r="AG499" s="749">
        <v>43101</v>
      </c>
      <c r="AH499" s="417"/>
      <c r="AI499" s="417"/>
      <c r="AJ499" s="750">
        <v>43313</v>
      </c>
      <c r="AK499" s="417"/>
      <c r="AL499" s="637" t="s">
        <v>3468</v>
      </c>
      <c r="AM499" s="417"/>
      <c r="AN499" s="417"/>
      <c r="AO499" s="636"/>
      <c r="AP499">
        <v>556666</v>
      </c>
      <c r="AQ499" s="751">
        <v>43192</v>
      </c>
      <c r="AR499" s="417">
        <v>0.5</v>
      </c>
      <c r="AS499" s="417"/>
      <c r="AT499" s="417"/>
      <c r="AU499" s="417"/>
      <c r="AV499" s="417"/>
      <c r="AW499" s="417"/>
      <c r="AX499" s="417"/>
      <c r="AY499" s="183" t="s">
        <v>4245</v>
      </c>
      <c r="AZ499" s="417"/>
      <c r="BA499" s="417"/>
      <c r="BB499" t="s">
        <v>4238</v>
      </c>
      <c r="BC499" s="636"/>
      <c r="BD499" s="417"/>
      <c r="BE499" s="612"/>
      <c r="BF499" s="613"/>
      <c r="BG499" s="614"/>
      <c r="BH499" s="682"/>
      <c r="BI499" s="417"/>
      <c r="BJ499" s="417">
        <v>6</v>
      </c>
      <c r="BK499" s="682" t="str">
        <f>Техкарта[[#This Row],[Кв-л]]&amp;" кв ("&amp;Substring(Техкарта[[#This Row],[Виділ]],"_",1)&amp;" вид) "&amp;Substring(Техкарта[[#This Row],[Виділ]],"_",2)&amp;" діл."</f>
        <v>6 кв (5 вид) 0 діл.</v>
      </c>
      <c r="BL499" s="682" t="str">
        <f>Техкарта[[#This Row],[ПолнаяДіл]] &amp;" "&amp;Техкарта[[#This Row],[ЛК]]&amp;" "&amp;Техкарта[[#This Row],[Вид рубки]]</f>
        <v>6 кв (5 вид) 0 діл. 556666 ОСВ</v>
      </c>
      <c r="BM499" s="682"/>
      <c r="BN499" s="636"/>
      <c r="BO499" s="636"/>
      <c r="BP499" s="636"/>
      <c r="BQ499" s="636" t="s">
        <v>3896</v>
      </c>
      <c r="BR499" s="636">
        <v>5</v>
      </c>
      <c r="BS499" s="636"/>
      <c r="BT499" s="636"/>
      <c r="BU499" s="636"/>
      <c r="BV499" s="636"/>
      <c r="BW499" s="636" t="s">
        <v>4418</v>
      </c>
      <c r="BX499" s="636"/>
      <c r="BY499" s="972"/>
    </row>
    <row r="500" spans="1:77">
      <c r="A500" s="636" t="s">
        <v>3896</v>
      </c>
      <c r="B500" s="675" t="s">
        <v>112</v>
      </c>
      <c r="C500" s="687" t="s">
        <v>134</v>
      </c>
      <c r="D500" s="675">
        <v>0</v>
      </c>
      <c r="E500" s="675" t="s">
        <v>2311</v>
      </c>
      <c r="F500" s="675">
        <v>3</v>
      </c>
      <c r="G500" s="675" t="s">
        <v>79</v>
      </c>
      <c r="H500" s="675">
        <v>35</v>
      </c>
      <c r="I500" s="676" t="s">
        <v>3833</v>
      </c>
      <c r="J500" s="677">
        <v>2.1</v>
      </c>
      <c r="K500" s="683">
        <v>0</v>
      </c>
      <c r="L500" s="677"/>
      <c r="M500" s="677">
        <v>0</v>
      </c>
      <c r="N500" s="677">
        <v>0</v>
      </c>
      <c r="O500" s="677"/>
      <c r="P500" s="677"/>
      <c r="Q500" s="677">
        <v>275</v>
      </c>
      <c r="R500" s="677"/>
      <c r="S500" s="677">
        <v>0</v>
      </c>
      <c r="T500" s="677">
        <v>0</v>
      </c>
      <c r="U500" s="677"/>
      <c r="V500" s="677">
        <v>0</v>
      </c>
      <c r="W500" s="677">
        <v>0</v>
      </c>
      <c r="X500" s="678"/>
      <c r="Y500" s="682"/>
      <c r="Z500" s="680"/>
      <c r="AA500" s="681">
        <v>198.52</v>
      </c>
      <c r="AB500" s="681"/>
      <c r="AC500" s="417">
        <v>23</v>
      </c>
      <c r="AD500" s="417"/>
      <c r="AE500" s="682" t="s">
        <v>4422</v>
      </c>
      <c r="AF500">
        <v>1</v>
      </c>
      <c r="AG500" s="749">
        <v>43101</v>
      </c>
      <c r="AH500" s="417"/>
      <c r="AI500" s="417"/>
      <c r="AJ500" s="750">
        <v>43313</v>
      </c>
      <c r="AK500" s="417"/>
      <c r="AL500" s="637" t="s">
        <v>3440</v>
      </c>
      <c r="AM500" s="417"/>
      <c r="AN500" s="417"/>
      <c r="AO500" s="636"/>
      <c r="AP500">
        <v>556633</v>
      </c>
      <c r="AQ500" s="751">
        <v>43102</v>
      </c>
      <c r="AR500" s="417">
        <v>0.5</v>
      </c>
      <c r="AS500" s="417"/>
      <c r="AT500" s="417"/>
      <c r="AU500" s="417"/>
      <c r="AV500" s="417"/>
      <c r="AW500" s="417"/>
      <c r="AX500" s="417"/>
      <c r="AY500" s="183" t="s">
        <v>4245</v>
      </c>
      <c r="AZ500" s="417"/>
      <c r="BA500" s="417"/>
      <c r="BB500" t="s">
        <v>4238</v>
      </c>
      <c r="BC500" s="636"/>
      <c r="BD500" s="417"/>
      <c r="BE500" s="612"/>
      <c r="BF500" s="613"/>
      <c r="BG500" s="614"/>
      <c r="BH500" s="682"/>
      <c r="BI500" s="417"/>
      <c r="BJ500" s="417">
        <v>7</v>
      </c>
      <c r="BK500" s="682" t="str">
        <f>Техкарта[[#This Row],[Кв-л]]&amp;" кв ("&amp;Substring(Техкарта[[#This Row],[Виділ]],"_",1)&amp;" вид) "&amp;Substring(Техкарта[[#This Row],[Виділ]],"_",2)&amp;" діл."</f>
        <v>35 кв (8 вид) 0 діл.</v>
      </c>
      <c r="BL500" s="682" t="str">
        <f>Техкарта[[#This Row],[ПолнаяДіл]] &amp;" "&amp;Техкарта[[#This Row],[ЛК]]&amp;" "&amp;Техкарта[[#This Row],[Вид рубки]]</f>
        <v>35 кв (8 вид) 0 діл. 556633 ПРЧ</v>
      </c>
      <c r="BM500" s="682"/>
      <c r="BN500" s="636"/>
      <c r="BO500" s="636"/>
      <c r="BP500" s="636"/>
      <c r="BQ500" s="636" t="s">
        <v>3896</v>
      </c>
      <c r="BR500" s="636">
        <v>5</v>
      </c>
      <c r="BS500" s="636"/>
      <c r="BT500" s="636"/>
      <c r="BU500" s="636"/>
      <c r="BV500" s="636"/>
      <c r="BW500" s="636" t="s">
        <v>4418</v>
      </c>
      <c r="BX500" s="636"/>
      <c r="BY500" s="972"/>
    </row>
    <row r="501" spans="1:77">
      <c r="A501" s="636" t="s">
        <v>104</v>
      </c>
      <c r="B501" s="675" t="s">
        <v>113</v>
      </c>
      <c r="C501" s="687" t="s">
        <v>104</v>
      </c>
      <c r="D501" s="675">
        <v>0</v>
      </c>
      <c r="E501" s="675" t="s">
        <v>2311</v>
      </c>
      <c r="F501" s="675">
        <v>3</v>
      </c>
      <c r="G501" s="675" t="s">
        <v>79</v>
      </c>
      <c r="H501" s="675">
        <v>69</v>
      </c>
      <c r="I501" s="676" t="s">
        <v>4219</v>
      </c>
      <c r="J501" s="677">
        <v>2.2999999999999998</v>
      </c>
      <c r="K501" s="683">
        <v>957</v>
      </c>
      <c r="L501" s="677">
        <v>0</v>
      </c>
      <c r="M501" s="677">
        <v>1</v>
      </c>
      <c r="N501" s="677">
        <v>403</v>
      </c>
      <c r="O501" s="677">
        <v>0</v>
      </c>
      <c r="P501" s="677">
        <v>0</v>
      </c>
      <c r="Q501" s="677">
        <v>40</v>
      </c>
      <c r="R501" s="677">
        <v>46</v>
      </c>
      <c r="S501" s="677">
        <v>11</v>
      </c>
      <c r="T501" s="677">
        <v>166</v>
      </c>
      <c r="U501" s="677">
        <v>16</v>
      </c>
      <c r="V501" s="677">
        <v>9</v>
      </c>
      <c r="W501" s="677">
        <v>112</v>
      </c>
      <c r="X501" s="678"/>
      <c r="Y501" s="682"/>
      <c r="Z501" s="680"/>
      <c r="AA501" s="681">
        <v>70.141000000000005</v>
      </c>
      <c r="AB501" s="681">
        <v>32.83</v>
      </c>
      <c r="AC501" s="417">
        <v>54</v>
      </c>
      <c r="AD501" s="417"/>
      <c r="AE501" s="682" t="s">
        <v>4424</v>
      </c>
      <c r="AF501">
        <v>1</v>
      </c>
      <c r="AG501" s="749">
        <v>43101</v>
      </c>
      <c r="AH501" s="417"/>
      <c r="AI501" s="417"/>
      <c r="AJ501" s="750">
        <v>43325</v>
      </c>
      <c r="AK501" s="417"/>
      <c r="AL501" s="637" t="s">
        <v>3469</v>
      </c>
      <c r="AM501" s="417"/>
      <c r="AN501" s="417"/>
      <c r="AO501" s="636"/>
      <c r="AP501">
        <v>556620</v>
      </c>
      <c r="AQ501" s="751">
        <v>43077</v>
      </c>
      <c r="AR501" s="417">
        <v>0.3</v>
      </c>
      <c r="AS501" s="417"/>
      <c r="AT501" s="417"/>
      <c r="AU501" s="417"/>
      <c r="AV501" s="417"/>
      <c r="AW501" s="417"/>
      <c r="AX501" s="417"/>
      <c r="AY501" s="183" t="s">
        <v>4245</v>
      </c>
      <c r="AZ501" s="417"/>
      <c r="BA501" s="417"/>
      <c r="BB501" t="s">
        <v>4238</v>
      </c>
      <c r="BC501" s="636"/>
      <c r="BD501" s="417"/>
      <c r="BE501" s="612">
        <v>5</v>
      </c>
      <c r="BF501" s="613">
        <v>40</v>
      </c>
      <c r="BG501" s="614"/>
      <c r="BH501" s="682"/>
      <c r="BI501" s="417"/>
      <c r="BJ501" s="417">
        <v>1</v>
      </c>
      <c r="BK501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01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01" s="682"/>
      <c r="BN501" s="636" t="s">
        <v>3784</v>
      </c>
      <c r="BO501" s="636" t="s">
        <v>3784</v>
      </c>
      <c r="BP501" s="636" t="s">
        <v>3784</v>
      </c>
      <c r="BQ501" s="636" t="s">
        <v>104</v>
      </c>
      <c r="BR501" s="636">
        <v>2</v>
      </c>
      <c r="BS501" s="636"/>
      <c r="BT501" s="636"/>
      <c r="BU501" s="636"/>
      <c r="BV501" s="636"/>
      <c r="BW501" s="636" t="s">
        <v>4423</v>
      </c>
      <c r="BX501" s="636"/>
      <c r="BY501" s="972"/>
    </row>
    <row r="502" spans="1:77">
      <c r="A502" s="636" t="s">
        <v>104</v>
      </c>
      <c r="B502" s="675" t="s">
        <v>113</v>
      </c>
      <c r="C502" s="687" t="s">
        <v>104</v>
      </c>
      <c r="D502" s="675">
        <v>0</v>
      </c>
      <c r="E502" s="675" t="s">
        <v>2311</v>
      </c>
      <c r="F502" s="675">
        <v>2</v>
      </c>
      <c r="G502" s="675" t="s">
        <v>79</v>
      </c>
      <c r="H502" s="675">
        <v>59</v>
      </c>
      <c r="I502" s="676" t="s">
        <v>3796</v>
      </c>
      <c r="J502" s="677">
        <v>1.8</v>
      </c>
      <c r="K502" s="683">
        <v>975</v>
      </c>
      <c r="L502" s="677">
        <v>0</v>
      </c>
      <c r="M502" s="677">
        <v>1</v>
      </c>
      <c r="N502" s="677">
        <v>160</v>
      </c>
      <c r="O502" s="677">
        <v>0</v>
      </c>
      <c r="P502" s="677">
        <v>0</v>
      </c>
      <c r="Q502" s="677">
        <v>0</v>
      </c>
      <c r="R502" s="677">
        <v>44</v>
      </c>
      <c r="S502" s="677">
        <v>13</v>
      </c>
      <c r="T502" s="677">
        <v>184</v>
      </c>
      <c r="U502" s="677">
        <v>15</v>
      </c>
      <c r="V502" s="677">
        <v>10</v>
      </c>
      <c r="W502" s="677">
        <v>124</v>
      </c>
      <c r="X502" s="678"/>
      <c r="Y502" s="682"/>
      <c r="Z502" s="680"/>
      <c r="AA502" s="681">
        <v>81.466999999999999</v>
      </c>
      <c r="AB502" s="681">
        <v>37.944000000000003</v>
      </c>
      <c r="AC502" s="417">
        <v>41</v>
      </c>
      <c r="AD502" s="417"/>
      <c r="AE502" s="682" t="s">
        <v>4425</v>
      </c>
      <c r="AF502">
        <v>1</v>
      </c>
      <c r="AG502" s="749">
        <v>43101</v>
      </c>
      <c r="AH502" s="417"/>
      <c r="AI502" s="417"/>
      <c r="AJ502" s="750">
        <v>43325</v>
      </c>
      <c r="AK502" s="417"/>
      <c r="AL502" s="637" t="s">
        <v>3469</v>
      </c>
      <c r="AM502" s="417"/>
      <c r="AN502" s="417"/>
      <c r="AO502" s="636"/>
      <c r="AP502">
        <v>556620</v>
      </c>
      <c r="AQ502" s="751">
        <v>43077</v>
      </c>
      <c r="AR502" s="417">
        <v>0.3</v>
      </c>
      <c r="AS502" s="417"/>
      <c r="AT502" s="417"/>
      <c r="AU502" s="417"/>
      <c r="AV502" s="417"/>
      <c r="AW502" s="417"/>
      <c r="AX502" s="417"/>
      <c r="AY502" s="183" t="s">
        <v>4245</v>
      </c>
      <c r="AZ502" s="417"/>
      <c r="BA502" s="417"/>
      <c r="BB502" t="s">
        <v>4238</v>
      </c>
      <c r="BC502" s="636"/>
      <c r="BD502" s="417"/>
      <c r="BE502" s="612">
        <v>5</v>
      </c>
      <c r="BF502" s="613">
        <v>40</v>
      </c>
      <c r="BG502" s="614"/>
      <c r="BH502" s="682"/>
      <c r="BI502" s="417"/>
      <c r="BJ502" s="417">
        <v>2</v>
      </c>
      <c r="BK502" s="682" t="str">
        <f>Техкарта[[#This Row],[Кв-л]]&amp;" кв ("&amp;Substring(Техкарта[[#This Row],[Виділ]],"_",1)&amp;" вид) "&amp;Substring(Техкарта[[#This Row],[Виділ]],"_",2)&amp;" діл."</f>
        <v>59 кв (5 вид) 1 діл.</v>
      </c>
      <c r="BL502" s="682" t="str">
        <f>Техкарта[[#This Row],[ПолнаяДіл]] &amp;" "&amp;Техкарта[[#This Row],[ЛК]]&amp;" "&amp;Техкарта[[#This Row],[Вид рубки]]</f>
        <v>59 кв (5 вид) 1 діл. 556620 РГК</v>
      </c>
      <c r="BM502" s="682"/>
      <c r="BN502" s="636" t="s">
        <v>3784</v>
      </c>
      <c r="BO502" s="636" t="s">
        <v>3784</v>
      </c>
      <c r="BP502" s="636" t="s">
        <v>3784</v>
      </c>
      <c r="BQ502" s="636" t="s">
        <v>104</v>
      </c>
      <c r="BR502" s="636">
        <v>2</v>
      </c>
      <c r="BS502" s="636"/>
      <c r="BT502" s="636"/>
      <c r="BU502" s="636"/>
      <c r="BV502" s="636"/>
      <c r="BW502" s="636" t="s">
        <v>4426</v>
      </c>
      <c r="BX502" s="636"/>
      <c r="BY502" s="972"/>
    </row>
    <row r="503" spans="1:77">
      <c r="A503" s="636" t="s">
        <v>104</v>
      </c>
      <c r="B503" s="675" t="s">
        <v>113</v>
      </c>
      <c r="C503" s="687" t="s">
        <v>104</v>
      </c>
      <c r="D503" s="675">
        <v>0</v>
      </c>
      <c r="E503" s="675" t="s">
        <v>2311</v>
      </c>
      <c r="F503" s="675">
        <v>3</v>
      </c>
      <c r="G503" s="675" t="s">
        <v>79</v>
      </c>
      <c r="H503" s="675">
        <v>50</v>
      </c>
      <c r="I503" s="676" t="s">
        <v>3790</v>
      </c>
      <c r="J503" s="677">
        <v>1.8</v>
      </c>
      <c r="K503" s="683">
        <v>1057</v>
      </c>
      <c r="L503" s="677">
        <v>0</v>
      </c>
      <c r="M503" s="677">
        <v>2</v>
      </c>
      <c r="N503" s="677">
        <v>100</v>
      </c>
      <c r="O503" s="677">
        <v>0</v>
      </c>
      <c r="P503" s="677">
        <v>0</v>
      </c>
      <c r="Q503" s="677">
        <v>10</v>
      </c>
      <c r="R503" s="677">
        <v>10</v>
      </c>
      <c r="S503" s="677">
        <v>25</v>
      </c>
      <c r="T503" s="677">
        <v>172</v>
      </c>
      <c r="U503" s="677">
        <v>3</v>
      </c>
      <c r="V503" s="677">
        <v>20</v>
      </c>
      <c r="W503" s="677">
        <v>119</v>
      </c>
      <c r="X503" s="678"/>
      <c r="Y503" s="682"/>
      <c r="Z503" s="680"/>
      <c r="AA503" s="681">
        <v>98.906000000000006</v>
      </c>
      <c r="AB503" s="681">
        <v>44.503999999999998</v>
      </c>
      <c r="AC503" s="417">
        <v>31</v>
      </c>
      <c r="AD503" s="417"/>
      <c r="AE503" s="682" t="s">
        <v>4427</v>
      </c>
      <c r="AF503">
        <v>1</v>
      </c>
      <c r="AG503" s="749">
        <v>43101</v>
      </c>
      <c r="AH503" s="417"/>
      <c r="AI503" s="417"/>
      <c r="AJ503" s="750">
        <v>43325</v>
      </c>
      <c r="AK503" s="417"/>
      <c r="AL503" s="637" t="s">
        <v>3469</v>
      </c>
      <c r="AM503" s="417"/>
      <c r="AN503" s="417"/>
      <c r="AO503" s="636"/>
      <c r="AP503">
        <v>556620</v>
      </c>
      <c r="AQ503" s="751">
        <v>43077</v>
      </c>
      <c r="AR503" s="417">
        <v>0.3</v>
      </c>
      <c r="AS503" s="417"/>
      <c r="AT503" s="417"/>
      <c r="AU503" s="417"/>
      <c r="AV503" s="417"/>
      <c r="AW503" s="417"/>
      <c r="AX503" s="417"/>
      <c r="AY503" s="183" t="s">
        <v>4245</v>
      </c>
      <c r="AZ503" s="417"/>
      <c r="BA503" s="417"/>
      <c r="BB503" t="s">
        <v>4238</v>
      </c>
      <c r="BC503" s="636"/>
      <c r="BD503" s="417"/>
      <c r="BE503" s="612">
        <v>5</v>
      </c>
      <c r="BF503" s="613">
        <v>20</v>
      </c>
      <c r="BG503" s="614"/>
      <c r="BH503" s="682"/>
      <c r="BI503" s="417"/>
      <c r="BJ503" s="417">
        <v>3</v>
      </c>
      <c r="BK503" s="682" t="str">
        <f>Техкарта[[#This Row],[Кв-л]]&amp;" кв ("&amp;Substring(Техкарта[[#This Row],[Виділ]],"_",1)&amp;" вид) "&amp;Substring(Техкарта[[#This Row],[Виділ]],"_",2)&amp;" діл."</f>
        <v>50 кв (2 вид) 0 діл.</v>
      </c>
      <c r="BL503" s="682" t="str">
        <f>Техкарта[[#This Row],[ПолнаяДіл]] &amp;" "&amp;Техкарта[[#This Row],[ЛК]]&amp;" "&amp;Техкарта[[#This Row],[Вид рубки]]</f>
        <v>50 кв (2 вид) 0 діл. 556620 РГК</v>
      </c>
      <c r="BM503" s="682"/>
      <c r="BN503" s="636" t="s">
        <v>3784</v>
      </c>
      <c r="BO503" s="636" t="s">
        <v>3784</v>
      </c>
      <c r="BP503" s="636" t="s">
        <v>3784</v>
      </c>
      <c r="BQ503" s="636" t="s">
        <v>104</v>
      </c>
      <c r="BR503" s="636">
        <v>2</v>
      </c>
      <c r="BS503" s="636"/>
      <c r="BT503" s="636"/>
      <c r="BU503" s="636"/>
      <c r="BV503" s="636"/>
      <c r="BW503" s="636" t="s">
        <v>4428</v>
      </c>
      <c r="BX503" s="636"/>
      <c r="BY503" s="972"/>
    </row>
    <row r="504" spans="1:77">
      <c r="A504" s="636" t="s">
        <v>105</v>
      </c>
      <c r="B504" s="675" t="s">
        <v>113</v>
      </c>
      <c r="C504" s="687" t="s">
        <v>126</v>
      </c>
      <c r="D504" s="675">
        <v>0</v>
      </c>
      <c r="E504" s="675" t="s">
        <v>2311</v>
      </c>
      <c r="F504" s="675">
        <v>3</v>
      </c>
      <c r="G504" s="675" t="s">
        <v>79</v>
      </c>
      <c r="H504" s="675">
        <v>125</v>
      </c>
      <c r="I504" s="676" t="s">
        <v>3809</v>
      </c>
      <c r="J504" s="677">
        <v>0.1</v>
      </c>
      <c r="K504" s="683">
        <v>49</v>
      </c>
      <c r="L504" s="677"/>
      <c r="M504" s="677">
        <v>0</v>
      </c>
      <c r="N504" s="677">
        <v>0</v>
      </c>
      <c r="O504" s="677"/>
      <c r="P504" s="677"/>
      <c r="Q504" s="677">
        <v>0</v>
      </c>
      <c r="R504" s="677"/>
      <c r="S504" s="677">
        <v>0</v>
      </c>
      <c r="T504" s="677">
        <v>0</v>
      </c>
      <c r="U504" s="677">
        <v>0</v>
      </c>
      <c r="V504" s="677">
        <v>0</v>
      </c>
      <c r="W504" s="677">
        <v>20</v>
      </c>
      <c r="X504" s="678"/>
      <c r="Y504" s="682"/>
      <c r="Z504" s="680"/>
      <c r="AA504" s="681">
        <v>84.111999999999995</v>
      </c>
      <c r="AB504" s="681"/>
      <c r="AC504" s="417">
        <v>3</v>
      </c>
      <c r="AD504" s="417"/>
      <c r="AE504" s="682" t="s">
        <v>4429</v>
      </c>
      <c r="AF504">
        <v>1</v>
      </c>
      <c r="AG504" s="749">
        <v>43101</v>
      </c>
      <c r="AH504" s="417"/>
      <c r="AI504" s="417"/>
      <c r="AJ504" s="750">
        <v>43328</v>
      </c>
      <c r="AK504" s="417"/>
      <c r="AL504" s="637" t="s">
        <v>3435</v>
      </c>
      <c r="AM504" s="417"/>
      <c r="AN504" s="417"/>
      <c r="AO504" s="636"/>
      <c r="AP504">
        <v>556719</v>
      </c>
      <c r="AQ504" s="751">
        <v>43328</v>
      </c>
      <c r="AR504" s="417">
        <v>0.3</v>
      </c>
      <c r="AS504" s="417"/>
      <c r="AT504" s="417"/>
      <c r="AU504" s="417"/>
      <c r="AV504" s="417"/>
      <c r="AW504" s="417"/>
      <c r="AX504" s="417"/>
      <c r="AY504" s="183" t="s">
        <v>4245</v>
      </c>
      <c r="AZ504" s="417"/>
      <c r="BA504" s="417"/>
      <c r="BB504" t="s">
        <v>4238</v>
      </c>
      <c r="BC504" s="636"/>
      <c r="BD504" s="417"/>
      <c r="BE504" s="612"/>
      <c r="BF504" s="613"/>
      <c r="BG504" s="614"/>
      <c r="BH504" s="682"/>
      <c r="BI504" s="417"/>
      <c r="BJ504" s="417">
        <v>4</v>
      </c>
      <c r="BK504" s="682" t="str">
        <f>Техкарта[[#This Row],[Кв-л]]&amp;" кв ("&amp;Substring(Техкарта[[#This Row],[Виділ]],"_",1)&amp;" вид) "&amp;Substring(Техкарта[[#This Row],[Виділ]],"_",2)&amp;" діл."</f>
        <v>125 кв (2 вид) 1 діл.</v>
      </c>
      <c r="BL504" s="682" t="str">
        <f>Техкарта[[#This Row],[ПолнаяДіл]] &amp;" "&amp;Техкарта[[#This Row],[ЛК]]&amp;" "&amp;Техкарта[[#This Row],[Вид рубки]]</f>
        <v>125 кв (2 вид) 1 діл. 556719 СРВ</v>
      </c>
      <c r="BM504" s="682"/>
      <c r="BN504" s="636"/>
      <c r="BO504" s="636"/>
      <c r="BP504" s="636"/>
      <c r="BQ504" s="636" t="s">
        <v>105</v>
      </c>
      <c r="BR504" s="636">
        <v>2</v>
      </c>
      <c r="BS504" s="636"/>
      <c r="BT504" s="636"/>
      <c r="BU504" s="636"/>
      <c r="BV504" s="636"/>
      <c r="BW504" s="636" t="s">
        <v>4428</v>
      </c>
      <c r="BX504" s="636"/>
      <c r="BY504" s="972"/>
    </row>
    <row r="505" spans="1:77">
      <c r="A505" s="636" t="s">
        <v>105</v>
      </c>
      <c r="B505" s="675" t="s">
        <v>114</v>
      </c>
      <c r="C505" s="687" t="s">
        <v>126</v>
      </c>
      <c r="D505" s="675">
        <v>0</v>
      </c>
      <c r="E505" s="675" t="s">
        <v>2311</v>
      </c>
      <c r="F505" s="675">
        <v>3</v>
      </c>
      <c r="G505" s="675" t="s">
        <v>79</v>
      </c>
      <c r="H505" s="675">
        <v>48</v>
      </c>
      <c r="I505" s="676" t="s">
        <v>3830</v>
      </c>
      <c r="J505" s="677">
        <v>14.5</v>
      </c>
      <c r="K505" s="683">
        <v>741</v>
      </c>
      <c r="L505" s="677"/>
      <c r="M505" s="677">
        <v>4</v>
      </c>
      <c r="N505" s="677">
        <v>29</v>
      </c>
      <c r="O505" s="677"/>
      <c r="P505" s="677"/>
      <c r="Q505" s="677">
        <v>0</v>
      </c>
      <c r="R505" s="677">
        <v>44</v>
      </c>
      <c r="S505" s="677">
        <v>31</v>
      </c>
      <c r="T505" s="677">
        <v>156</v>
      </c>
      <c r="U505" s="677">
        <v>8</v>
      </c>
      <c r="V505" s="677">
        <v>4</v>
      </c>
      <c r="W505" s="677">
        <v>5</v>
      </c>
      <c r="X505" s="678"/>
      <c r="Y505" s="682"/>
      <c r="Z505" s="680"/>
      <c r="AA505" s="681">
        <v>85.742000000000004</v>
      </c>
      <c r="AB505" s="681"/>
      <c r="AC505" s="417">
        <v>26</v>
      </c>
      <c r="AD505" s="417"/>
      <c r="AE505" s="682" t="s">
        <v>4430</v>
      </c>
      <c r="AF505">
        <v>1</v>
      </c>
      <c r="AG505" s="749">
        <v>43101</v>
      </c>
      <c r="AH505" s="417"/>
      <c r="AI505" s="417"/>
      <c r="AJ505" s="750">
        <v>43329</v>
      </c>
      <c r="AK505" s="417"/>
      <c r="AL505" s="637" t="s">
        <v>3436</v>
      </c>
      <c r="AM505" s="417"/>
      <c r="AN505" s="417"/>
      <c r="AO505" s="636"/>
      <c r="AP505">
        <v>556675</v>
      </c>
      <c r="AQ505" s="751">
        <v>43329</v>
      </c>
      <c r="AR505" s="417">
        <v>0.3</v>
      </c>
      <c r="AS505" s="417"/>
      <c r="AT505" s="417"/>
      <c r="AU505" s="417"/>
      <c r="AV505" s="417"/>
      <c r="AW505" s="417"/>
      <c r="AX505" s="417"/>
      <c r="AY505" s="183" t="s">
        <v>3424</v>
      </c>
      <c r="AZ505" s="417"/>
      <c r="BA505" s="417"/>
      <c r="BB505" t="s">
        <v>3583</v>
      </c>
      <c r="BC505" s="636"/>
      <c r="BD505" s="417"/>
      <c r="BE505" s="612"/>
      <c r="BF505" s="613"/>
      <c r="BG505" s="614"/>
      <c r="BH505" s="682"/>
      <c r="BI505" s="417"/>
      <c r="BJ505" s="417">
        <v>1</v>
      </c>
      <c r="BK505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505" s="682" t="str">
        <f>Техкарта[[#This Row],[ПолнаяДіл]] &amp;" "&amp;Техкарта[[#This Row],[ЛК]]&amp;" "&amp;Техкарта[[#This Row],[Вид рубки]]</f>
        <v>48 кв (1 вид) 0 діл. 556675 СРВ</v>
      </c>
      <c r="BM505" s="682"/>
      <c r="BN505" s="636"/>
      <c r="BO505" s="636"/>
      <c r="BP505" s="636"/>
      <c r="BQ505" s="636" t="s">
        <v>105</v>
      </c>
      <c r="BR505" s="636">
        <v>2</v>
      </c>
      <c r="BS505" s="636"/>
      <c r="BT505" s="636"/>
      <c r="BU505" s="636"/>
      <c r="BV505" s="636"/>
      <c r="BW505" s="636" t="s">
        <v>4428</v>
      </c>
      <c r="BX505" s="636"/>
      <c r="BY505" s="972"/>
    </row>
    <row r="506" spans="1:77">
      <c r="A506" s="636" t="s">
        <v>105</v>
      </c>
      <c r="B506" s="675" t="s">
        <v>114</v>
      </c>
      <c r="C506" s="687" t="s">
        <v>126</v>
      </c>
      <c r="D506" s="675">
        <v>0</v>
      </c>
      <c r="E506" s="675" t="s">
        <v>2311</v>
      </c>
      <c r="F506" s="675">
        <v>3</v>
      </c>
      <c r="G506" s="675" t="s">
        <v>79</v>
      </c>
      <c r="H506" s="675">
        <v>81</v>
      </c>
      <c r="I506" s="676" t="s">
        <v>4431</v>
      </c>
      <c r="J506" s="677">
        <v>0.1</v>
      </c>
      <c r="K506" s="683">
        <v>21</v>
      </c>
      <c r="L506" s="677"/>
      <c r="M506" s="677">
        <v>0</v>
      </c>
      <c r="N506" s="677">
        <v>2</v>
      </c>
      <c r="O506" s="677"/>
      <c r="P506" s="677"/>
      <c r="Q506" s="677">
        <v>0</v>
      </c>
      <c r="R506" s="677">
        <v>0</v>
      </c>
      <c r="S506" s="677">
        <v>0</v>
      </c>
      <c r="T506" s="677">
        <v>0</v>
      </c>
      <c r="U506" s="677">
        <v>0</v>
      </c>
      <c r="V506" s="677">
        <v>0</v>
      </c>
      <c r="W506" s="677">
        <v>7</v>
      </c>
      <c r="X506" s="678"/>
      <c r="Y506" s="682"/>
      <c r="Z506" s="680"/>
      <c r="AA506" s="681">
        <v>72.706999999999994</v>
      </c>
      <c r="AB506" s="681"/>
      <c r="AC506" s="417">
        <v>0</v>
      </c>
      <c r="AD506" s="417"/>
      <c r="AE506" s="682" t="s">
        <v>4432</v>
      </c>
      <c r="AF506">
        <v>1</v>
      </c>
      <c r="AG506" s="749">
        <v>43101</v>
      </c>
      <c r="AH506" s="417"/>
      <c r="AI506" s="417"/>
      <c r="AJ506" s="750">
        <v>43329</v>
      </c>
      <c r="AK506" s="417"/>
      <c r="AL506" s="637" t="s">
        <v>3448</v>
      </c>
      <c r="AM506" s="417"/>
      <c r="AN506" s="417"/>
      <c r="AO506" s="636"/>
      <c r="AP506">
        <v>556675</v>
      </c>
      <c r="AQ506" s="751">
        <v>43329</v>
      </c>
      <c r="AR506" s="417">
        <v>0.3</v>
      </c>
      <c r="AS506" s="417"/>
      <c r="AT506" s="417"/>
      <c r="AU506" s="417"/>
      <c r="AV506" s="417"/>
      <c r="AW506" s="417"/>
      <c r="AX506" s="417"/>
      <c r="AY506" s="183" t="s">
        <v>3424</v>
      </c>
      <c r="AZ506" s="417"/>
      <c r="BA506" s="417"/>
      <c r="BB506" t="s">
        <v>3583</v>
      </c>
      <c r="BC506" s="636"/>
      <c r="BD506" s="417"/>
      <c r="BE506" s="612"/>
      <c r="BF506" s="613"/>
      <c r="BG506" s="614"/>
      <c r="BH506" s="682"/>
      <c r="BI506" s="417"/>
      <c r="BJ506" s="417">
        <v>2</v>
      </c>
      <c r="BK506" s="682" t="str">
        <f>Техкарта[[#This Row],[Кв-л]]&amp;" кв ("&amp;Substring(Техкарта[[#This Row],[Виділ]],"_",1)&amp;" вид) "&amp;Substring(Техкарта[[#This Row],[Виділ]],"_",2)&amp;" діл."</f>
        <v>81 кв (21 вид) 1 діл.</v>
      </c>
      <c r="BL506" s="682" t="str">
        <f>Техкарта[[#This Row],[ПолнаяДіл]] &amp;" "&amp;Техкарта[[#This Row],[ЛК]]&amp;" "&amp;Техкарта[[#This Row],[Вид рубки]]</f>
        <v>81 кв (21 вид) 1 діл. 556675 СРВ</v>
      </c>
      <c r="BM506" s="682"/>
      <c r="BN506" s="636"/>
      <c r="BO506" s="636"/>
      <c r="BP506" s="636"/>
      <c r="BQ506" s="636" t="s">
        <v>105</v>
      </c>
      <c r="BR506" s="636">
        <v>2</v>
      </c>
      <c r="BS506" s="636"/>
      <c r="BT506" s="636"/>
      <c r="BU506" s="636"/>
      <c r="BV506" s="636"/>
      <c r="BW506" s="636" t="s">
        <v>4428</v>
      </c>
      <c r="BX506" s="636"/>
      <c r="BY506" s="972"/>
    </row>
    <row r="507" spans="1:77">
      <c r="A507" s="636" t="s">
        <v>105</v>
      </c>
      <c r="B507" s="675" t="s">
        <v>111</v>
      </c>
      <c r="C507" s="687" t="s">
        <v>3842</v>
      </c>
      <c r="D507" s="675">
        <v>0</v>
      </c>
      <c r="E507" s="675" t="s">
        <v>2311</v>
      </c>
      <c r="F507" s="675">
        <v>3</v>
      </c>
      <c r="G507" s="675" t="s">
        <v>79</v>
      </c>
      <c r="H507" s="675">
        <v>10</v>
      </c>
      <c r="I507" s="676" t="s">
        <v>3789</v>
      </c>
      <c r="J507" s="677">
        <v>0.1</v>
      </c>
      <c r="K507" s="683">
        <v>38</v>
      </c>
      <c r="L507" s="677"/>
      <c r="M507" s="677">
        <v>27</v>
      </c>
      <c r="N507" s="677">
        <v>0</v>
      </c>
      <c r="O507" s="677"/>
      <c r="P507" s="677"/>
      <c r="Q507" s="677">
        <v>0</v>
      </c>
      <c r="R507" s="677">
        <v>0</v>
      </c>
      <c r="S507" s="677">
        <v>0</v>
      </c>
      <c r="T507" s="677">
        <v>0</v>
      </c>
      <c r="U507" s="677">
        <v>0</v>
      </c>
      <c r="V507" s="677">
        <v>21</v>
      </c>
      <c r="W507" s="677">
        <v>0</v>
      </c>
      <c r="X507" s="678"/>
      <c r="Y507" s="682"/>
      <c r="Z507" s="680"/>
      <c r="AA507" s="681">
        <v>42.631999999999998</v>
      </c>
      <c r="AB507" s="681"/>
      <c r="AC507" s="417">
        <v>5</v>
      </c>
      <c r="AD507" s="417"/>
      <c r="AE507" s="682" t="s">
        <v>4433</v>
      </c>
      <c r="AF507">
        <v>1</v>
      </c>
      <c r="AG507" s="749">
        <v>43101</v>
      </c>
      <c r="AH507" s="417"/>
      <c r="AI507" s="417"/>
      <c r="AJ507" s="750">
        <v>43313</v>
      </c>
      <c r="AK507" s="417"/>
      <c r="AL507" s="637" t="s">
        <v>3462</v>
      </c>
      <c r="AM507" s="417"/>
      <c r="AN507" s="417"/>
      <c r="AO507" s="636"/>
      <c r="AP507">
        <v>556672</v>
      </c>
      <c r="AQ507" s="751">
        <v>43214</v>
      </c>
      <c r="AR507" s="417">
        <v>0.3</v>
      </c>
      <c r="AS507" s="417"/>
      <c r="AT507" s="417"/>
      <c r="AU507" s="417"/>
      <c r="AV507" s="417"/>
      <c r="AW507" s="417"/>
      <c r="AX507" s="417"/>
      <c r="AY507" s="183" t="s">
        <v>3424</v>
      </c>
      <c r="AZ507" s="417"/>
      <c r="BA507" s="417"/>
      <c r="BB507" t="s">
        <v>3583</v>
      </c>
      <c r="BC507" s="636"/>
      <c r="BD507" s="417"/>
      <c r="BE507" s="612"/>
      <c r="BF507" s="613"/>
      <c r="BG507" s="614"/>
      <c r="BH507" s="682"/>
      <c r="BI507" s="417"/>
      <c r="BJ507" s="417">
        <v>11</v>
      </c>
      <c r="BK507" s="682" t="str">
        <f>Техкарта[[#This Row],[Кв-л]]&amp;" кв ("&amp;Substring(Техкарта[[#This Row],[Виділ]],"_",1)&amp;" вид) "&amp;Substring(Техкарта[[#This Row],[Виділ]],"_",2)&amp;" діл."</f>
        <v>10 кв (10 вид) 0 діл.</v>
      </c>
      <c r="BL507" s="682" t="str">
        <f>Техкарта[[#This Row],[ПолнаяДіл]] &amp;" "&amp;Техкарта[[#This Row],[ЛК]]&amp;" "&amp;Техкарта[[#This Row],[Вид рубки]]</f>
        <v>10 кв (10 вид) 0 діл. 556672 РЛД</v>
      </c>
      <c r="BM507" s="682"/>
      <c r="BN507" s="636"/>
      <c r="BO507" s="636"/>
      <c r="BP507" s="636"/>
      <c r="BQ507" s="636" t="s">
        <v>105</v>
      </c>
      <c r="BR507" s="636">
        <v>2</v>
      </c>
      <c r="BS507" s="636"/>
      <c r="BT507" s="636"/>
      <c r="BU507" s="636"/>
      <c r="BV507" s="636"/>
      <c r="BW507" s="636" t="s">
        <v>4428</v>
      </c>
      <c r="BX507" s="636"/>
      <c r="BY507" s="972"/>
    </row>
    <row r="508" spans="1:77">
      <c r="A508" s="636" t="s">
        <v>105</v>
      </c>
      <c r="B508" s="675" t="s">
        <v>111</v>
      </c>
      <c r="C508" s="687" t="s">
        <v>3842</v>
      </c>
      <c r="D508" s="675">
        <v>0</v>
      </c>
      <c r="E508" s="675" t="s">
        <v>2311</v>
      </c>
      <c r="F508" s="675">
        <v>3</v>
      </c>
      <c r="G508" s="675" t="s">
        <v>79</v>
      </c>
      <c r="H508" s="675">
        <v>10</v>
      </c>
      <c r="I508" s="676" t="s">
        <v>3791</v>
      </c>
      <c r="J508" s="677">
        <v>0.5</v>
      </c>
      <c r="K508" s="683">
        <v>17</v>
      </c>
      <c r="L508" s="677"/>
      <c r="M508" s="677">
        <v>8</v>
      </c>
      <c r="N508" s="677">
        <v>0</v>
      </c>
      <c r="O508" s="677"/>
      <c r="P508" s="677"/>
      <c r="Q508" s="677">
        <v>0</v>
      </c>
      <c r="R508" s="677">
        <v>0</v>
      </c>
      <c r="S508" s="677">
        <v>0</v>
      </c>
      <c r="T508" s="677">
        <v>0</v>
      </c>
      <c r="U508" s="677">
        <v>0</v>
      </c>
      <c r="V508" s="677">
        <v>9</v>
      </c>
      <c r="W508" s="677">
        <v>0</v>
      </c>
      <c r="X508" s="678"/>
      <c r="Y508" s="682"/>
      <c r="Z508" s="680"/>
      <c r="AA508" s="681">
        <v>46.210999999999999</v>
      </c>
      <c r="AB508" s="681"/>
      <c r="AC508" s="417">
        <v>2</v>
      </c>
      <c r="AD508" s="417"/>
      <c r="AE508" s="682" t="s">
        <v>4434</v>
      </c>
      <c r="AF508">
        <v>1</v>
      </c>
      <c r="AG508" s="749">
        <v>43101</v>
      </c>
      <c r="AH508" s="417"/>
      <c r="AI508" s="417"/>
      <c r="AJ508" s="750">
        <v>43313</v>
      </c>
      <c r="AK508" s="417"/>
      <c r="AL508" s="637" t="s">
        <v>3462</v>
      </c>
      <c r="AM508" s="417"/>
      <c r="AN508" s="417"/>
      <c r="AO508" s="636"/>
      <c r="AP508">
        <v>556672</v>
      </c>
      <c r="AQ508" s="751">
        <v>43214</v>
      </c>
      <c r="AR508" s="417">
        <v>0.3</v>
      </c>
      <c r="AS508" s="417"/>
      <c r="AT508" s="417"/>
      <c r="AU508" s="417"/>
      <c r="AV508" s="417"/>
      <c r="AW508" s="417"/>
      <c r="AX508" s="417"/>
      <c r="AY508" s="183" t="s">
        <v>3424</v>
      </c>
      <c r="AZ508" s="417"/>
      <c r="BA508" s="417"/>
      <c r="BB508" t="s">
        <v>3583</v>
      </c>
      <c r="BC508" s="636"/>
      <c r="BD508" s="417"/>
      <c r="BE508" s="612"/>
      <c r="BF508" s="613"/>
      <c r="BG508" s="614"/>
      <c r="BH508" s="682"/>
      <c r="BI508" s="417"/>
      <c r="BJ508" s="417">
        <v>9</v>
      </c>
      <c r="BK508" s="682" t="str">
        <f>Техкарта[[#This Row],[Кв-л]]&amp;" кв ("&amp;Substring(Техкарта[[#This Row],[Виділ]],"_",1)&amp;" вид) "&amp;Substring(Техкарта[[#This Row],[Виділ]],"_",2)&amp;" діл."</f>
        <v>10 кв (7 вид) 0 діл.</v>
      </c>
      <c r="BL508" s="682" t="str">
        <f>Техкарта[[#This Row],[ПолнаяДіл]] &amp;" "&amp;Техкарта[[#This Row],[ЛК]]&amp;" "&amp;Техкарта[[#This Row],[Вид рубки]]</f>
        <v>10 кв (7 вид) 0 діл. 556672 РЛД</v>
      </c>
      <c r="BM508" s="682"/>
      <c r="BN508" s="636"/>
      <c r="BO508" s="636"/>
      <c r="BP508" s="636"/>
      <c r="BQ508" s="636" t="s">
        <v>105</v>
      </c>
      <c r="BR508" s="636">
        <v>2</v>
      </c>
      <c r="BS508" s="636"/>
      <c r="BT508" s="636"/>
      <c r="BU508" s="636"/>
      <c r="BV508" s="636"/>
      <c r="BW508" s="636" t="s">
        <v>4428</v>
      </c>
      <c r="BX508" s="636"/>
      <c r="BY508" s="972"/>
    </row>
    <row r="509" spans="1:77">
      <c r="A509" s="636" t="s">
        <v>105</v>
      </c>
      <c r="B509" s="675" t="s">
        <v>111</v>
      </c>
      <c r="C509" s="687" t="s">
        <v>3842</v>
      </c>
      <c r="D509" s="675">
        <v>0</v>
      </c>
      <c r="E509" s="675" t="s">
        <v>2311</v>
      </c>
      <c r="F509" s="675">
        <v>3</v>
      </c>
      <c r="G509" s="675" t="s">
        <v>79</v>
      </c>
      <c r="H509" s="675">
        <v>10</v>
      </c>
      <c r="I509" s="676" t="s">
        <v>3833</v>
      </c>
      <c r="J509" s="677">
        <v>0.5</v>
      </c>
      <c r="K509" s="683">
        <v>38</v>
      </c>
      <c r="L509" s="677"/>
      <c r="M509" s="677">
        <v>18</v>
      </c>
      <c r="N509" s="677">
        <v>0</v>
      </c>
      <c r="O509" s="677"/>
      <c r="P509" s="677"/>
      <c r="Q509" s="677">
        <v>0</v>
      </c>
      <c r="R509" s="677">
        <v>0</v>
      </c>
      <c r="S509" s="677">
        <v>11</v>
      </c>
      <c r="T509" s="677">
        <v>0</v>
      </c>
      <c r="U509" s="677">
        <v>0</v>
      </c>
      <c r="V509" s="677">
        <v>5</v>
      </c>
      <c r="W509" s="677">
        <v>0</v>
      </c>
      <c r="X509" s="678"/>
      <c r="Y509" s="682"/>
      <c r="Z509" s="680"/>
      <c r="AA509" s="681">
        <v>46.097999999999999</v>
      </c>
      <c r="AB509" s="681"/>
      <c r="AC509" s="417">
        <v>3</v>
      </c>
      <c r="AD509" s="417"/>
      <c r="AE509" s="682" t="s">
        <v>4435</v>
      </c>
      <c r="AF509">
        <v>1</v>
      </c>
      <c r="AG509" s="749">
        <v>43101</v>
      </c>
      <c r="AH509" s="417"/>
      <c r="AI509" s="417"/>
      <c r="AJ509" s="750">
        <v>43313</v>
      </c>
      <c r="AK509" s="417"/>
      <c r="AL509" s="637" t="s">
        <v>3462</v>
      </c>
      <c r="AM509" s="417"/>
      <c r="AN509" s="417"/>
      <c r="AO509" s="636"/>
      <c r="AP509">
        <v>556672</v>
      </c>
      <c r="AQ509" s="751">
        <v>43214</v>
      </c>
      <c r="AR509" s="417">
        <v>0.3</v>
      </c>
      <c r="AS509" s="417"/>
      <c r="AT509" s="417"/>
      <c r="AU509" s="417"/>
      <c r="AV509" s="417"/>
      <c r="AW509" s="417"/>
      <c r="AX509" s="417"/>
      <c r="AY509" s="183" t="s">
        <v>3424</v>
      </c>
      <c r="AZ509" s="417"/>
      <c r="BA509" s="417"/>
      <c r="BB509" t="s">
        <v>3583</v>
      </c>
      <c r="BC509" s="636"/>
      <c r="BD509" s="417"/>
      <c r="BE509" s="612"/>
      <c r="BF509" s="613"/>
      <c r="BG509" s="614"/>
      <c r="BH509" s="682"/>
      <c r="BI509" s="417"/>
      <c r="BJ509" s="417">
        <v>10</v>
      </c>
      <c r="BK509" s="682" t="str">
        <f>Техкарта[[#This Row],[Кв-л]]&amp;" кв ("&amp;Substring(Техкарта[[#This Row],[Виділ]],"_",1)&amp;" вид) "&amp;Substring(Техкарта[[#This Row],[Виділ]],"_",2)&amp;" діл."</f>
        <v>10 кв (8 вид) 0 діл.</v>
      </c>
      <c r="BL509" s="682" t="str">
        <f>Техкарта[[#This Row],[ПолнаяДіл]] &amp;" "&amp;Техкарта[[#This Row],[ЛК]]&amp;" "&amp;Техкарта[[#This Row],[Вид рубки]]</f>
        <v>10 кв (8 вид) 0 діл. 556672 РЛД</v>
      </c>
      <c r="BM509" s="682"/>
      <c r="BN509" s="636"/>
      <c r="BO509" s="636"/>
      <c r="BP509" s="636"/>
      <c r="BQ509" s="636" t="s">
        <v>105</v>
      </c>
      <c r="BR509" s="636">
        <v>2</v>
      </c>
      <c r="BS509" s="636"/>
      <c r="BT509" s="636"/>
      <c r="BU509" s="636"/>
      <c r="BV509" s="636"/>
      <c r="BW509" s="636" t="s">
        <v>4428</v>
      </c>
      <c r="BX509" s="636"/>
      <c r="BY509" s="972"/>
    </row>
    <row r="510" spans="1:77">
      <c r="A510" s="636" t="s">
        <v>105</v>
      </c>
      <c r="B510" s="675" t="s">
        <v>111</v>
      </c>
      <c r="C510" s="687" t="s">
        <v>3842</v>
      </c>
      <c r="D510" s="675">
        <v>0</v>
      </c>
      <c r="E510" s="675" t="s">
        <v>2311</v>
      </c>
      <c r="F510" s="675">
        <v>3</v>
      </c>
      <c r="G510" s="675" t="s">
        <v>79</v>
      </c>
      <c r="H510" s="675">
        <v>10</v>
      </c>
      <c r="I510" s="676" t="s">
        <v>3831</v>
      </c>
      <c r="J510" s="677">
        <v>0.8</v>
      </c>
      <c r="K510" s="683">
        <v>25</v>
      </c>
      <c r="L510" s="677"/>
      <c r="M510" s="677">
        <v>8</v>
      </c>
      <c r="N510" s="677">
        <v>0</v>
      </c>
      <c r="O510" s="677"/>
      <c r="P510" s="677"/>
      <c r="Q510" s="677">
        <v>0</v>
      </c>
      <c r="R510" s="677">
        <v>0</v>
      </c>
      <c r="S510" s="677">
        <v>0</v>
      </c>
      <c r="T510" s="677">
        <v>0</v>
      </c>
      <c r="U510" s="677">
        <v>0</v>
      </c>
      <c r="V510" s="677">
        <v>9</v>
      </c>
      <c r="W510" s="677">
        <v>0</v>
      </c>
      <c r="X510" s="678"/>
      <c r="Y510" s="682"/>
      <c r="Z510" s="680"/>
      <c r="AA510" s="681">
        <v>50.923999999999999</v>
      </c>
      <c r="AB510" s="681"/>
      <c r="AC510" s="417">
        <v>3</v>
      </c>
      <c r="AD510" s="417"/>
      <c r="AE510" s="682" t="s">
        <v>4438</v>
      </c>
      <c r="AF510">
        <v>1</v>
      </c>
      <c r="AG510" s="749">
        <v>43101</v>
      </c>
      <c r="AH510" s="417"/>
      <c r="AI510" s="417"/>
      <c r="AJ510" s="750">
        <v>43313</v>
      </c>
      <c r="AK510" s="417"/>
      <c r="AL510" s="637" t="s">
        <v>3462</v>
      </c>
      <c r="AM510" s="417"/>
      <c r="AN510" s="417"/>
      <c r="AO510" s="636"/>
      <c r="AP510">
        <v>556672</v>
      </c>
      <c r="AQ510" s="751">
        <v>43214</v>
      </c>
      <c r="AR510" s="417">
        <v>0.3</v>
      </c>
      <c r="AS510" s="417"/>
      <c r="AT510" s="417"/>
      <c r="AU510" s="417"/>
      <c r="AV510" s="417"/>
      <c r="AW510" s="417"/>
      <c r="AX510" s="417"/>
      <c r="AY510" s="183" t="s">
        <v>3424</v>
      </c>
      <c r="AZ510" s="417"/>
      <c r="BA510" s="417"/>
      <c r="BB510" t="s">
        <v>3583</v>
      </c>
      <c r="BC510" s="636"/>
      <c r="BD510" s="417"/>
      <c r="BE510" s="612"/>
      <c r="BF510" s="613"/>
      <c r="BG510" s="614"/>
      <c r="BH510" s="682"/>
      <c r="BI510" s="417"/>
      <c r="BJ510" s="417">
        <v>7</v>
      </c>
      <c r="BK510" s="682" t="str">
        <f>Техкарта[[#This Row],[Кв-л]]&amp;" кв ("&amp;Substring(Техкарта[[#This Row],[Виділ]],"_",1)&amp;" вид) "&amp;Substring(Техкарта[[#This Row],[Виділ]],"_",2)&amp;" діл."</f>
        <v>10 кв (4 вид) 0 діл.</v>
      </c>
      <c r="BL510" s="682" t="str">
        <f>Техкарта[[#This Row],[ПолнаяДіл]] &amp;" "&amp;Техкарта[[#This Row],[ЛК]]&amp;" "&amp;Техкарта[[#This Row],[Вид рубки]]</f>
        <v>10 кв (4 вид) 0 діл. 556672 РЛД</v>
      </c>
      <c r="BM510" s="682"/>
      <c r="BN510" s="636"/>
      <c r="BO510" s="636"/>
      <c r="BP510" s="636"/>
      <c r="BQ510" s="636" t="s">
        <v>105</v>
      </c>
      <c r="BR510" s="636">
        <v>2</v>
      </c>
      <c r="BS510" s="636"/>
      <c r="BT510" s="636"/>
      <c r="BU510" s="636"/>
      <c r="BV510" s="636"/>
      <c r="BW510" s="636" t="s">
        <v>4428</v>
      </c>
      <c r="BX510" s="636"/>
      <c r="BY510" s="972"/>
    </row>
    <row r="511" spans="1:77">
      <c r="A511" s="636" t="s">
        <v>105</v>
      </c>
      <c r="B511" s="675" t="s">
        <v>111</v>
      </c>
      <c r="C511" s="687" t="s">
        <v>3842</v>
      </c>
      <c r="D511" s="675">
        <v>0</v>
      </c>
      <c r="E511" s="675" t="s">
        <v>2311</v>
      </c>
      <c r="F511" s="675">
        <v>3</v>
      </c>
      <c r="G511" s="675" t="s">
        <v>79</v>
      </c>
      <c r="H511" s="675">
        <v>10</v>
      </c>
      <c r="I511" s="676" t="s">
        <v>3830</v>
      </c>
      <c r="J511" s="677">
        <v>0.6</v>
      </c>
      <c r="K511" s="683">
        <v>70</v>
      </c>
      <c r="L511" s="677"/>
      <c r="M511" s="677">
        <v>27</v>
      </c>
      <c r="N511" s="677">
        <v>0</v>
      </c>
      <c r="O511" s="677"/>
      <c r="P511" s="677"/>
      <c r="Q511" s="677">
        <v>0</v>
      </c>
      <c r="R511" s="677">
        <v>0</v>
      </c>
      <c r="S511" s="677">
        <v>10</v>
      </c>
      <c r="T511" s="677">
        <v>0</v>
      </c>
      <c r="U511" s="677">
        <v>0</v>
      </c>
      <c r="V511" s="677">
        <v>6</v>
      </c>
      <c r="W511" s="677">
        <v>0</v>
      </c>
      <c r="X511" s="678"/>
      <c r="Y511" s="682"/>
      <c r="Z511" s="680"/>
      <c r="AA511" s="681">
        <v>47.228000000000002</v>
      </c>
      <c r="AB511" s="681"/>
      <c r="AC511" s="417">
        <v>6</v>
      </c>
      <c r="AD511" s="417"/>
      <c r="AE511" s="682" t="s">
        <v>4437</v>
      </c>
      <c r="AF511">
        <v>1</v>
      </c>
      <c r="AG511" s="749">
        <v>43101</v>
      </c>
      <c r="AH511" s="417"/>
      <c r="AI511" s="417"/>
      <c r="AJ511" s="750">
        <v>43313</v>
      </c>
      <c r="AK511" s="417"/>
      <c r="AL511" s="637" t="s">
        <v>3462</v>
      </c>
      <c r="AM511" s="417"/>
      <c r="AN511" s="417"/>
      <c r="AO511" s="636"/>
      <c r="AP511">
        <v>556673</v>
      </c>
      <c r="AQ511" s="751">
        <v>43214</v>
      </c>
      <c r="AR511" s="417">
        <v>0.3</v>
      </c>
      <c r="AS511" s="417"/>
      <c r="AT511" s="417"/>
      <c r="AU511" s="417"/>
      <c r="AV511" s="417"/>
      <c r="AW511" s="417"/>
      <c r="AX511" s="417"/>
      <c r="AY511" s="183" t="s">
        <v>3424</v>
      </c>
      <c r="AZ511" s="417"/>
      <c r="BA511" s="417"/>
      <c r="BB511" t="s">
        <v>3583</v>
      </c>
      <c r="BC511" s="636"/>
      <c r="BD511" s="417"/>
      <c r="BE511" s="612"/>
      <c r="BF511" s="613"/>
      <c r="BG511" s="614"/>
      <c r="BH511" s="682"/>
      <c r="BI511" s="417"/>
      <c r="BJ511" s="417">
        <v>5</v>
      </c>
      <c r="BK511" s="682" t="str">
        <f>Техкарта[[#This Row],[Кв-л]]&amp;" кв ("&amp;Substring(Техкарта[[#This Row],[Виділ]],"_",1)&amp;" вид) "&amp;Substring(Техкарта[[#This Row],[Виділ]],"_",2)&amp;" діл."</f>
        <v>10 кв (1 вид) 0 діл.</v>
      </c>
      <c r="BL511" s="682" t="str">
        <f>Техкарта[[#This Row],[ПолнаяДіл]] &amp;" "&amp;Техкарта[[#This Row],[ЛК]]&amp;" "&amp;Техкарта[[#This Row],[Вид рубки]]</f>
        <v>10 кв (1 вид) 0 діл. 556673 РЛД</v>
      </c>
      <c r="BM511" s="682"/>
      <c r="BN511" s="636"/>
      <c r="BO511" s="636"/>
      <c r="BP511" s="636"/>
      <c r="BQ511" s="636" t="s">
        <v>105</v>
      </c>
      <c r="BR511" s="636">
        <v>2</v>
      </c>
      <c r="BS511" s="636"/>
      <c r="BT511" s="636"/>
      <c r="BU511" s="636"/>
      <c r="BV511" s="636"/>
      <c r="BW511" s="636" t="s">
        <v>4428</v>
      </c>
      <c r="BX511" s="636"/>
      <c r="BY511" s="972"/>
    </row>
    <row r="512" spans="1:77">
      <c r="A512" s="636" t="s">
        <v>105</v>
      </c>
      <c r="B512" s="675" t="s">
        <v>111</v>
      </c>
      <c r="C512" s="687" t="s">
        <v>3842</v>
      </c>
      <c r="D512" s="675">
        <v>0</v>
      </c>
      <c r="E512" s="675" t="s">
        <v>2311</v>
      </c>
      <c r="F512" s="675">
        <v>3</v>
      </c>
      <c r="G512" s="675" t="s">
        <v>79</v>
      </c>
      <c r="H512" s="675">
        <v>10</v>
      </c>
      <c r="I512" s="676" t="s">
        <v>3832</v>
      </c>
      <c r="J512" s="677">
        <v>0.8</v>
      </c>
      <c r="K512" s="683">
        <v>147</v>
      </c>
      <c r="L512" s="677"/>
      <c r="M512" s="677">
        <v>39</v>
      </c>
      <c r="N512" s="677">
        <v>0</v>
      </c>
      <c r="O512" s="677"/>
      <c r="P512" s="677"/>
      <c r="Q512" s="677">
        <v>0</v>
      </c>
      <c r="R512" s="677">
        <v>0</v>
      </c>
      <c r="S512" s="677">
        <v>11</v>
      </c>
      <c r="T512" s="677">
        <v>0</v>
      </c>
      <c r="U512" s="677">
        <v>0</v>
      </c>
      <c r="V512" s="677">
        <v>10</v>
      </c>
      <c r="W512" s="677">
        <v>0</v>
      </c>
      <c r="X512" s="678"/>
      <c r="Y512" s="682"/>
      <c r="Z512" s="680"/>
      <c r="AA512" s="681">
        <v>51.637</v>
      </c>
      <c r="AB512" s="681"/>
      <c r="AC512" s="417">
        <v>9</v>
      </c>
      <c r="AD512" s="417"/>
      <c r="AE512" s="682" t="s">
        <v>4436</v>
      </c>
      <c r="AF512">
        <v>1</v>
      </c>
      <c r="AG512" s="749">
        <v>43101</v>
      </c>
      <c r="AH512" s="417"/>
      <c r="AI512" s="417"/>
      <c r="AJ512" s="750">
        <v>43313</v>
      </c>
      <c r="AK512" s="417"/>
      <c r="AL512" s="637" t="s">
        <v>3462</v>
      </c>
      <c r="AM512" s="417"/>
      <c r="AN512" s="417"/>
      <c r="AO512" s="636"/>
      <c r="AP512">
        <v>556673</v>
      </c>
      <c r="AQ512" s="751">
        <v>43214</v>
      </c>
      <c r="AR512" s="417">
        <v>0.3</v>
      </c>
      <c r="AS512" s="417"/>
      <c r="AT512" s="417"/>
      <c r="AU512" s="417"/>
      <c r="AV512" s="417"/>
      <c r="AW512" s="417"/>
      <c r="AX512" s="417"/>
      <c r="AY512" s="183" t="s">
        <v>3424</v>
      </c>
      <c r="AZ512" s="417"/>
      <c r="BA512" s="417"/>
      <c r="BB512" t="s">
        <v>3583</v>
      </c>
      <c r="BC512" s="636"/>
      <c r="BD512" s="417"/>
      <c r="BE512" s="612"/>
      <c r="BF512" s="613"/>
      <c r="BG512" s="614"/>
      <c r="BH512" s="682"/>
      <c r="BI512" s="417"/>
      <c r="BJ512" s="417">
        <v>8</v>
      </c>
      <c r="BK512" s="682" t="str">
        <f>Техкарта[[#This Row],[Кв-л]]&amp;" кв ("&amp;Substring(Техкарта[[#This Row],[Виділ]],"_",1)&amp;" вид) "&amp;Substring(Техкарта[[#This Row],[Виділ]],"_",2)&amp;" діл."</f>
        <v>10 кв (5 вид) 0 діл.</v>
      </c>
      <c r="BL512" s="682" t="str">
        <f>Техкарта[[#This Row],[ПолнаяДіл]] &amp;" "&amp;Техкарта[[#This Row],[ЛК]]&amp;" "&amp;Техкарта[[#This Row],[Вид рубки]]</f>
        <v>10 кв (5 вид) 0 діл. 556673 РЛД</v>
      </c>
      <c r="BM512" s="682"/>
      <c r="BN512" s="636"/>
      <c r="BO512" s="636"/>
      <c r="BP512" s="636"/>
      <c r="BQ512" s="636" t="s">
        <v>105</v>
      </c>
      <c r="BR512" s="636">
        <v>2</v>
      </c>
      <c r="BS512" s="636"/>
      <c r="BT512" s="636"/>
      <c r="BU512" s="636"/>
      <c r="BV512" s="636"/>
      <c r="BW512" s="636" t="s">
        <v>4428</v>
      </c>
      <c r="BX512" s="636"/>
      <c r="BY512" s="972"/>
    </row>
    <row r="513" spans="1:77">
      <c r="A513" s="636" t="s">
        <v>105</v>
      </c>
      <c r="B513" s="675" t="s">
        <v>111</v>
      </c>
      <c r="C513" s="687" t="s">
        <v>140</v>
      </c>
      <c r="D513" s="675">
        <v>0</v>
      </c>
      <c r="E513" s="675" t="s">
        <v>2311</v>
      </c>
      <c r="F513" s="675">
        <v>3</v>
      </c>
      <c r="G513" s="675" t="s">
        <v>79</v>
      </c>
      <c r="H513" s="675">
        <v>97</v>
      </c>
      <c r="I513" s="676" t="s">
        <v>3789</v>
      </c>
      <c r="J513" s="677">
        <v>0.1</v>
      </c>
      <c r="K513" s="683">
        <v>217</v>
      </c>
      <c r="L513" s="677"/>
      <c r="M513" s="677">
        <v>29</v>
      </c>
      <c r="N513" s="677">
        <v>0</v>
      </c>
      <c r="O513" s="677"/>
      <c r="P513" s="677"/>
      <c r="Q513" s="677">
        <v>0</v>
      </c>
      <c r="R513" s="677">
        <v>0</v>
      </c>
      <c r="S513" s="677">
        <v>30</v>
      </c>
      <c r="T513" s="677">
        <v>0</v>
      </c>
      <c r="U513" s="677">
        <v>0</v>
      </c>
      <c r="V513" s="677">
        <v>33</v>
      </c>
      <c r="W513" s="677">
        <v>0</v>
      </c>
      <c r="X513" s="678"/>
      <c r="Y513" s="682"/>
      <c r="Z513" s="680"/>
      <c r="AA513" s="681">
        <v>78.78</v>
      </c>
      <c r="AB513" s="681"/>
      <c r="AC513" s="417">
        <v>13</v>
      </c>
      <c r="AD513" s="417"/>
      <c r="AE513" s="682" t="s">
        <v>4439</v>
      </c>
      <c r="AF513">
        <v>1</v>
      </c>
      <c r="AG513" s="749">
        <v>43101</v>
      </c>
      <c r="AH513" s="417"/>
      <c r="AI513" s="417"/>
      <c r="AJ513" s="750">
        <v>43313</v>
      </c>
      <c r="AK513" s="417"/>
      <c r="AL513" s="637" t="s">
        <v>3445</v>
      </c>
      <c r="AM513" s="417"/>
      <c r="AN513" s="417"/>
      <c r="AO513" s="636"/>
      <c r="AP513">
        <v>556674</v>
      </c>
      <c r="AQ513" s="751">
        <v>43214</v>
      </c>
      <c r="AR513" s="417">
        <v>0.3</v>
      </c>
      <c r="AS513" s="417"/>
      <c r="AT513" s="417"/>
      <c r="AU513" s="417"/>
      <c r="AV513" s="417"/>
      <c r="AW513" s="417"/>
      <c r="AX513" s="417"/>
      <c r="AY513" s="183" t="s">
        <v>3424</v>
      </c>
      <c r="AZ513" s="417"/>
      <c r="BA513" s="417"/>
      <c r="BB513" t="s">
        <v>3583</v>
      </c>
      <c r="BC513" s="636"/>
      <c r="BD513" s="417"/>
      <c r="BE513" s="612"/>
      <c r="BF513" s="613"/>
      <c r="BG513" s="614"/>
      <c r="BH513" s="682"/>
      <c r="BI513" s="417"/>
      <c r="BJ513" s="417">
        <v>1</v>
      </c>
      <c r="BK513" s="682" t="str">
        <f>Техкарта[[#This Row],[Кв-л]]&amp;" кв ("&amp;Substring(Техкарта[[#This Row],[Виділ]],"_",1)&amp;" вид) "&amp;Substring(Техкарта[[#This Row],[Виділ]],"_",2)&amp;" діл."</f>
        <v>97 кв (10 вид) 0 діл.</v>
      </c>
      <c r="BL513" s="682" t="str">
        <f>Техкарта[[#This Row],[ПолнаяДіл]] &amp;" "&amp;Техкарта[[#This Row],[ЛК]]&amp;" "&amp;Техкарта[[#This Row],[Вид рубки]]</f>
        <v>97 кв (10 вид) 0 діл. 556674 ПРХ</v>
      </c>
      <c r="BM513" s="682"/>
      <c r="BN513" s="636"/>
      <c r="BO513" s="636"/>
      <c r="BP513" s="636"/>
      <c r="BQ513" s="636" t="s">
        <v>105</v>
      </c>
      <c r="BR513" s="636">
        <v>2</v>
      </c>
      <c r="BS513" s="636"/>
      <c r="BT513" s="636"/>
      <c r="BU513" s="636"/>
      <c r="BV513" s="636"/>
      <c r="BW513" s="636" t="s">
        <v>4428</v>
      </c>
      <c r="BX513" s="636"/>
      <c r="BY513" s="972"/>
    </row>
    <row r="514" spans="1:77">
      <c r="A514" s="636" t="s">
        <v>105</v>
      </c>
      <c r="B514" s="675" t="s">
        <v>112</v>
      </c>
      <c r="C514" s="687" t="s">
        <v>126</v>
      </c>
      <c r="D514" s="675">
        <v>0</v>
      </c>
      <c r="E514" s="675" t="s">
        <v>2311</v>
      </c>
      <c r="F514" s="675">
        <v>3</v>
      </c>
      <c r="G514" s="675" t="s">
        <v>79</v>
      </c>
      <c r="H514" s="675">
        <v>17</v>
      </c>
      <c r="I514" s="676" t="s">
        <v>3790</v>
      </c>
      <c r="J514" s="677">
        <v>5.5</v>
      </c>
      <c r="K514" s="683">
        <v>189</v>
      </c>
      <c r="L514" s="677"/>
      <c r="M514" s="677">
        <v>0</v>
      </c>
      <c r="N514" s="677">
        <v>8</v>
      </c>
      <c r="O514" s="677"/>
      <c r="P514" s="677"/>
      <c r="Q514" s="677">
        <v>0</v>
      </c>
      <c r="R514" s="677">
        <v>0</v>
      </c>
      <c r="S514" s="677">
        <v>0</v>
      </c>
      <c r="T514" s="677">
        <v>0</v>
      </c>
      <c r="U514" s="677">
        <v>0</v>
      </c>
      <c r="V514" s="677">
        <v>0</v>
      </c>
      <c r="W514" s="677">
        <v>59</v>
      </c>
      <c r="X514" s="678"/>
      <c r="Y514" s="682"/>
      <c r="Z514" s="680"/>
      <c r="AA514" s="681">
        <v>95.158000000000001</v>
      </c>
      <c r="AB514" s="681"/>
      <c r="AC514" s="417">
        <v>5</v>
      </c>
      <c r="AD514" s="417"/>
      <c r="AE514" s="682" t="s">
        <v>4440</v>
      </c>
      <c r="AF514">
        <v>1</v>
      </c>
      <c r="AG514" s="749">
        <v>43101</v>
      </c>
      <c r="AH514" s="417"/>
      <c r="AI514" s="417"/>
      <c r="AJ514" s="750">
        <v>43333</v>
      </c>
      <c r="AK514" s="417"/>
      <c r="AL514" s="637" t="s">
        <v>3434</v>
      </c>
      <c r="AM514" s="417"/>
      <c r="AN514" s="417"/>
      <c r="AO514" s="636"/>
      <c r="AP514">
        <v>556679</v>
      </c>
      <c r="AQ514" s="751">
        <v>43333</v>
      </c>
      <c r="AR514" s="417">
        <v>0.3</v>
      </c>
      <c r="AS514" s="417"/>
      <c r="AT514" s="417"/>
      <c r="AU514" s="417"/>
      <c r="AV514" s="417"/>
      <c r="AW514" s="417"/>
      <c r="AX514" s="417"/>
      <c r="AY514" s="183" t="s">
        <v>4245</v>
      </c>
      <c r="AZ514" s="417"/>
      <c r="BA514" s="417"/>
      <c r="BB514" t="s">
        <v>4238</v>
      </c>
      <c r="BC514" s="636"/>
      <c r="BD514" s="417"/>
      <c r="BE514" s="612"/>
      <c r="BF514" s="613"/>
      <c r="BG514" s="614"/>
      <c r="BH514" s="682"/>
      <c r="BI514" s="417"/>
      <c r="BJ514" s="417">
        <v>5</v>
      </c>
      <c r="BK51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14" s="682" t="str">
        <f>Техкарта[[#This Row],[ПолнаяДіл]] &amp;" "&amp;Техкарта[[#This Row],[ЛК]]&amp;" "&amp;Техкарта[[#This Row],[Вид рубки]]</f>
        <v>17 кв (2 вид) 0 діл. 556679 СРВ</v>
      </c>
      <c r="BM514" s="682"/>
      <c r="BN514" s="636"/>
      <c r="BO514" s="636"/>
      <c r="BP514" s="636"/>
      <c r="BQ514" s="636" t="s">
        <v>105</v>
      </c>
      <c r="BR514" s="636">
        <v>2</v>
      </c>
      <c r="BS514" s="636"/>
      <c r="BT514" s="636"/>
      <c r="BU514" s="636"/>
      <c r="BV514" s="636"/>
      <c r="BW514" s="636" t="s">
        <v>4428</v>
      </c>
      <c r="BX514" s="636"/>
      <c r="BY514" s="972"/>
    </row>
    <row r="515" spans="1:77">
      <c r="A515" s="636" t="s">
        <v>105</v>
      </c>
      <c r="B515" s="675" t="s">
        <v>115</v>
      </c>
      <c r="C515" s="687" t="s">
        <v>140</v>
      </c>
      <c r="D515" s="675">
        <v>0</v>
      </c>
      <c r="E515" s="675" t="s">
        <v>2311</v>
      </c>
      <c r="F515" s="675">
        <v>3</v>
      </c>
      <c r="G515" s="675" t="s">
        <v>79</v>
      </c>
      <c r="H515" s="675">
        <v>123</v>
      </c>
      <c r="I515" s="676" t="s">
        <v>3806</v>
      </c>
      <c r="J515" s="677">
        <v>0.1</v>
      </c>
      <c r="K515" s="683">
        <v>179</v>
      </c>
      <c r="L515" s="677"/>
      <c r="M515" s="677">
        <v>0</v>
      </c>
      <c r="N515" s="677">
        <v>4</v>
      </c>
      <c r="O515" s="677"/>
      <c r="P515" s="677"/>
      <c r="Q515" s="677">
        <v>0</v>
      </c>
      <c r="R515" s="677">
        <v>0</v>
      </c>
      <c r="S515" s="677">
        <v>0</v>
      </c>
      <c r="T515" s="677">
        <v>0</v>
      </c>
      <c r="U515" s="677">
        <v>1</v>
      </c>
      <c r="V515" s="677">
        <v>1</v>
      </c>
      <c r="W515" s="677">
        <v>62</v>
      </c>
      <c r="X515" s="678"/>
      <c r="Y515" s="682"/>
      <c r="Z515" s="680"/>
      <c r="AA515" s="681">
        <v>82.11</v>
      </c>
      <c r="AB515" s="681"/>
      <c r="AC515" s="417">
        <v>5</v>
      </c>
      <c r="AD515" s="417"/>
      <c r="AE515" s="682" t="s">
        <v>4441</v>
      </c>
      <c r="AF515">
        <v>1</v>
      </c>
      <c r="AG515" s="749">
        <v>43101</v>
      </c>
      <c r="AH515" s="417"/>
      <c r="AI515" s="417"/>
      <c r="AJ515" s="750">
        <v>43333</v>
      </c>
      <c r="AK515" s="417"/>
      <c r="AL515" s="637" t="s">
        <v>3483</v>
      </c>
      <c r="AM515" s="417"/>
      <c r="AN515" s="417"/>
      <c r="AO515" s="636"/>
      <c r="AP515">
        <v>556677</v>
      </c>
      <c r="AQ515" s="751">
        <v>43333</v>
      </c>
      <c r="AR515" s="417">
        <v>0.3</v>
      </c>
      <c r="AS515" s="417"/>
      <c r="AT515" s="417"/>
      <c r="AU515" s="417"/>
      <c r="AV515" s="417"/>
      <c r="AW515" s="417"/>
      <c r="AX515" s="417"/>
      <c r="AY515" s="183" t="s">
        <v>3362</v>
      </c>
      <c r="AZ515" s="417"/>
      <c r="BA515" s="417"/>
      <c r="BB515" t="s">
        <v>3585</v>
      </c>
      <c r="BC515" s="636"/>
      <c r="BD515" s="417"/>
      <c r="BE515" s="612"/>
      <c r="BF515" s="613"/>
      <c r="BG515" s="614"/>
      <c r="BH515" s="682"/>
      <c r="BI515" s="417"/>
      <c r="BJ515" s="417">
        <v>1</v>
      </c>
      <c r="BK515" s="682" t="str">
        <f>Техкарта[[#This Row],[Кв-л]]&amp;" кв ("&amp;Substring(Техкарта[[#This Row],[Виділ]],"_",1)&amp;" вид) "&amp;Substring(Техкарта[[#This Row],[Виділ]],"_",2)&amp;" діл."</f>
        <v>123 кв (1 вид) 1 діл.</v>
      </c>
      <c r="BL515" s="682" t="str">
        <f>Техкарта[[#This Row],[ПолнаяДіл]] &amp;" "&amp;Техкарта[[#This Row],[ЛК]]&amp;" "&amp;Техкарта[[#This Row],[Вид рубки]]</f>
        <v>123 кв (1 вид) 1 діл. 556677 ПРХ</v>
      </c>
      <c r="BM515" s="682"/>
      <c r="BN515" s="636"/>
      <c r="BO515" s="636"/>
      <c r="BP515" s="636"/>
      <c r="BQ515" s="636" t="s">
        <v>105</v>
      </c>
      <c r="BR515" s="636">
        <v>2</v>
      </c>
      <c r="BS515" s="636"/>
      <c r="BT515" s="636"/>
      <c r="BU515" s="636"/>
      <c r="BV515" s="636"/>
      <c r="BW515" s="636" t="s">
        <v>4428</v>
      </c>
      <c r="BX515" s="636"/>
      <c r="BY515" s="972"/>
    </row>
    <row r="516" spans="1:77">
      <c r="A516" s="636" t="s">
        <v>105</v>
      </c>
      <c r="B516" s="675" t="s">
        <v>115</v>
      </c>
      <c r="C516" s="687" t="s">
        <v>126</v>
      </c>
      <c r="D516" s="675">
        <v>0</v>
      </c>
      <c r="E516" s="675" t="s">
        <v>2311</v>
      </c>
      <c r="F516" s="675">
        <v>3</v>
      </c>
      <c r="G516" s="675" t="s">
        <v>79</v>
      </c>
      <c r="H516" s="675">
        <v>124</v>
      </c>
      <c r="I516" s="676" t="s">
        <v>3799</v>
      </c>
      <c r="J516" s="677">
        <v>20</v>
      </c>
      <c r="K516" s="683">
        <v>1401</v>
      </c>
      <c r="L516" s="677"/>
      <c r="M516" s="677">
        <v>0</v>
      </c>
      <c r="N516" s="677">
        <v>54</v>
      </c>
      <c r="O516" s="677"/>
      <c r="P516" s="677"/>
      <c r="Q516" s="677">
        <v>0</v>
      </c>
      <c r="R516" s="677">
        <v>0</v>
      </c>
      <c r="S516" s="677">
        <v>0</v>
      </c>
      <c r="T516" s="677">
        <v>0</v>
      </c>
      <c r="U516" s="677">
        <v>93</v>
      </c>
      <c r="V516" s="677">
        <v>4</v>
      </c>
      <c r="W516" s="677">
        <v>488</v>
      </c>
      <c r="X516" s="678"/>
      <c r="Y516" s="682"/>
      <c r="Z516" s="680"/>
      <c r="AA516" s="681">
        <v>78.290000000000006</v>
      </c>
      <c r="AB516" s="681"/>
      <c r="AC516" s="417">
        <v>54</v>
      </c>
      <c r="AD516" s="417"/>
      <c r="AE516" s="682" t="s">
        <v>4441</v>
      </c>
      <c r="AF516">
        <v>1</v>
      </c>
      <c r="AG516" s="749">
        <v>43101</v>
      </c>
      <c r="AH516" s="417"/>
      <c r="AI516" s="417"/>
      <c r="AJ516" s="750">
        <v>43333</v>
      </c>
      <c r="AK516" s="417"/>
      <c r="AL516" s="637" t="s">
        <v>3834</v>
      </c>
      <c r="AM516" s="417"/>
      <c r="AN516" s="417"/>
      <c r="AO516" s="636"/>
      <c r="AP516">
        <v>556678</v>
      </c>
      <c r="AQ516" s="751">
        <v>43333</v>
      </c>
      <c r="AR516" s="417">
        <v>0.3</v>
      </c>
      <c r="AS516" s="417"/>
      <c r="AT516" s="417"/>
      <c r="AU516" s="417"/>
      <c r="AV516" s="417"/>
      <c r="AW516" s="417"/>
      <c r="AX516" s="417"/>
      <c r="AY516" s="183" t="s">
        <v>3362</v>
      </c>
      <c r="AZ516" s="417"/>
      <c r="BA516" s="417"/>
      <c r="BB516" t="s">
        <v>3585</v>
      </c>
      <c r="BC516" s="636"/>
      <c r="BD516" s="417"/>
      <c r="BE516" s="612"/>
      <c r="BF516" s="613"/>
      <c r="BG516" s="614"/>
      <c r="BH516" s="682"/>
      <c r="BI516" s="417"/>
      <c r="BJ516" s="417">
        <v>2</v>
      </c>
      <c r="BK516" s="682" t="str">
        <f>Техкарта[[#This Row],[Кв-л]]&amp;" кв ("&amp;Substring(Техкарта[[#This Row],[Виділ]],"_",1)&amp;" вид) "&amp;Substring(Техкарта[[#This Row],[Виділ]],"_",2)&amp;" діл."</f>
        <v>124 кв (1 вид) 2 діл.</v>
      </c>
      <c r="BL516" s="682" t="str">
        <f>Техкарта[[#This Row],[ПолнаяДіл]] &amp;" "&amp;Техкарта[[#This Row],[ЛК]]&amp;" "&amp;Техкарта[[#This Row],[Вид рубки]]</f>
        <v>124 кв (1 вид) 2 діл. 556678 СРВ</v>
      </c>
      <c r="BM516" s="682"/>
      <c r="BN516" s="636"/>
      <c r="BO516" s="636"/>
      <c r="BP516" s="636"/>
      <c r="BQ516" s="636" t="s">
        <v>105</v>
      </c>
      <c r="BR516" s="636">
        <v>2</v>
      </c>
      <c r="BS516" s="636"/>
      <c r="BT516" s="636"/>
      <c r="BU516" s="636"/>
      <c r="BV516" s="636"/>
      <c r="BW516" s="636" t="s">
        <v>4428</v>
      </c>
      <c r="BX516" s="636"/>
      <c r="BY516" s="972"/>
    </row>
    <row r="517" spans="1:77">
      <c r="A517" s="636" t="s">
        <v>105</v>
      </c>
      <c r="B517" s="675" t="s">
        <v>115</v>
      </c>
      <c r="C517" s="687" t="s">
        <v>126</v>
      </c>
      <c r="D517" s="675">
        <v>0</v>
      </c>
      <c r="E517" s="675" t="s">
        <v>2311</v>
      </c>
      <c r="F517" s="675">
        <v>3</v>
      </c>
      <c r="G517" s="675" t="s">
        <v>79</v>
      </c>
      <c r="H517" s="675">
        <v>152</v>
      </c>
      <c r="I517" s="676" t="s">
        <v>4013</v>
      </c>
      <c r="J517" s="677">
        <v>0.1</v>
      </c>
      <c r="K517" s="683">
        <v>82</v>
      </c>
      <c r="L517" s="677"/>
      <c r="M517" s="677">
        <v>0</v>
      </c>
      <c r="N517" s="677">
        <v>0</v>
      </c>
      <c r="O517" s="677"/>
      <c r="P517" s="677"/>
      <c r="Q517" s="677">
        <v>0</v>
      </c>
      <c r="R517" s="677">
        <v>0</v>
      </c>
      <c r="S517" s="677">
        <v>0</v>
      </c>
      <c r="T517" s="677">
        <v>0</v>
      </c>
      <c r="U517" s="677">
        <v>0</v>
      </c>
      <c r="V517" s="677">
        <v>0</v>
      </c>
      <c r="W517" s="677">
        <v>27</v>
      </c>
      <c r="X517" s="678"/>
      <c r="Y517" s="682"/>
      <c r="Z517" s="680"/>
      <c r="AA517" s="681">
        <v>87.906999999999996</v>
      </c>
      <c r="AB517" s="681"/>
      <c r="AC517" s="417">
        <v>5</v>
      </c>
      <c r="AD517" s="417"/>
      <c r="AE517" s="682" t="s">
        <v>4442</v>
      </c>
      <c r="AF517">
        <v>1</v>
      </c>
      <c r="AG517" s="749">
        <v>43101</v>
      </c>
      <c r="AH517" s="417"/>
      <c r="AI517" s="417"/>
      <c r="AJ517" s="750">
        <v>43333</v>
      </c>
      <c r="AK517" s="417"/>
      <c r="AL517" s="637" t="s">
        <v>3482</v>
      </c>
      <c r="AM517" s="417"/>
      <c r="AN517" s="417"/>
      <c r="AO517" s="636"/>
      <c r="AP517">
        <v>556678</v>
      </c>
      <c r="AQ517" s="751">
        <v>43333</v>
      </c>
      <c r="AR517" s="417">
        <v>0.3</v>
      </c>
      <c r="AS517" s="417"/>
      <c r="AT517" s="417"/>
      <c r="AU517" s="417"/>
      <c r="AV517" s="417"/>
      <c r="AW517" s="417"/>
      <c r="AX517" s="417"/>
      <c r="AY517" s="183" t="s">
        <v>3362</v>
      </c>
      <c r="AZ517" s="417"/>
      <c r="BA517" s="417"/>
      <c r="BB517" t="s">
        <v>3585</v>
      </c>
      <c r="BC517" s="636"/>
      <c r="BD517" s="417"/>
      <c r="BE517" s="612"/>
      <c r="BF517" s="613"/>
      <c r="BG517" s="614"/>
      <c r="BH517" s="682"/>
      <c r="BI517" s="417"/>
      <c r="BJ517" s="417">
        <v>3</v>
      </c>
      <c r="BK517" s="682" t="str">
        <f>Техкарта[[#This Row],[Кв-л]]&amp;" кв ("&amp;Substring(Техкарта[[#This Row],[Виділ]],"_",1)&amp;" вид) "&amp;Substring(Техкарта[[#This Row],[Виділ]],"_",2)&amp;" діл."</f>
        <v>152 кв (9 вид) 1 діл.</v>
      </c>
      <c r="BL517" s="682" t="str">
        <f>Техкарта[[#This Row],[ПолнаяДіл]] &amp;" "&amp;Техкарта[[#This Row],[ЛК]]&amp;" "&amp;Техкарта[[#This Row],[Вид рубки]]</f>
        <v>152 кв (9 вид) 1 діл. 556678 СРВ</v>
      </c>
      <c r="BM517" s="682"/>
      <c r="BN517" s="636"/>
      <c r="BO517" s="636"/>
      <c r="BP517" s="636"/>
      <c r="BQ517" s="636" t="s">
        <v>105</v>
      </c>
      <c r="BR517" s="636">
        <v>2</v>
      </c>
      <c r="BS517" s="636"/>
      <c r="BT517" s="636"/>
      <c r="BU517" s="636"/>
      <c r="BV517" s="636"/>
      <c r="BW517" s="636" t="s">
        <v>4428</v>
      </c>
      <c r="BX517" s="636"/>
      <c r="BY517" s="972"/>
    </row>
    <row r="518" spans="1:77">
      <c r="A518" s="636" t="s">
        <v>105</v>
      </c>
      <c r="B518" s="675" t="s">
        <v>115</v>
      </c>
      <c r="C518" s="687" t="s">
        <v>126</v>
      </c>
      <c r="D518" s="675">
        <v>0</v>
      </c>
      <c r="E518" s="675" t="s">
        <v>2311</v>
      </c>
      <c r="F518" s="675">
        <v>3</v>
      </c>
      <c r="G518" s="675" t="s">
        <v>79</v>
      </c>
      <c r="H518" s="675">
        <v>152</v>
      </c>
      <c r="I518" s="676" t="s">
        <v>4035</v>
      </c>
      <c r="J518" s="677">
        <v>3.4</v>
      </c>
      <c r="K518" s="683">
        <v>165</v>
      </c>
      <c r="L518" s="677"/>
      <c r="M518" s="677">
        <v>0</v>
      </c>
      <c r="N518" s="677">
        <v>0</v>
      </c>
      <c r="O518" s="677"/>
      <c r="P518" s="677"/>
      <c r="Q518" s="677">
        <v>0</v>
      </c>
      <c r="R518" s="677">
        <v>0</v>
      </c>
      <c r="S518" s="677">
        <v>0</v>
      </c>
      <c r="T518" s="677">
        <v>0</v>
      </c>
      <c r="U518" s="677">
        <v>0</v>
      </c>
      <c r="V518" s="677">
        <v>0</v>
      </c>
      <c r="W518" s="677">
        <v>41</v>
      </c>
      <c r="X518" s="678"/>
      <c r="Y518" s="682"/>
      <c r="Z518" s="680"/>
      <c r="AA518" s="681">
        <v>110.593</v>
      </c>
      <c r="AB518" s="681"/>
      <c r="AC518" s="417">
        <v>5</v>
      </c>
      <c r="AD518" s="417"/>
      <c r="AE518" s="682" t="s">
        <v>4443</v>
      </c>
      <c r="AF518">
        <v>1</v>
      </c>
      <c r="AG518" s="749">
        <v>43101</v>
      </c>
      <c r="AH518" s="417"/>
      <c r="AI518" s="417"/>
      <c r="AJ518" s="750">
        <v>43333</v>
      </c>
      <c r="AK518" s="417"/>
      <c r="AL518" s="637" t="s">
        <v>3482</v>
      </c>
      <c r="AM518" s="417"/>
      <c r="AN518" s="417"/>
      <c r="AO518" s="636"/>
      <c r="AP518">
        <v>556678</v>
      </c>
      <c r="AQ518" s="751">
        <v>43333</v>
      </c>
      <c r="AR518" s="417">
        <v>0.3</v>
      </c>
      <c r="AS518" s="417"/>
      <c r="AT518" s="417"/>
      <c r="AU518" s="417"/>
      <c r="AV518" s="417"/>
      <c r="AW518" s="417"/>
      <c r="AX518" s="417"/>
      <c r="AY518" s="183" t="s">
        <v>3362</v>
      </c>
      <c r="AZ518" s="417"/>
      <c r="BA518" s="417"/>
      <c r="BB518" t="s">
        <v>3585</v>
      </c>
      <c r="BC518" s="636"/>
      <c r="BD518" s="417"/>
      <c r="BE518" s="612"/>
      <c r="BF518" s="613"/>
      <c r="BG518" s="614"/>
      <c r="BH518" s="682"/>
      <c r="BI518" s="417"/>
      <c r="BJ518" s="417">
        <v>4</v>
      </c>
      <c r="BK518" s="682" t="str">
        <f>Техкарта[[#This Row],[Кв-л]]&amp;" кв ("&amp;Substring(Техкарта[[#This Row],[Виділ]],"_",1)&amp;" вид) "&amp;Substring(Техкарта[[#This Row],[Виділ]],"_",2)&amp;" діл."</f>
        <v>152 кв (11 вид) 1 діл.</v>
      </c>
      <c r="BL518" s="682" t="str">
        <f>Техкарта[[#This Row],[ПолнаяДіл]] &amp;" "&amp;Техкарта[[#This Row],[ЛК]]&amp;" "&amp;Техкарта[[#This Row],[Вид рубки]]</f>
        <v>152 кв (11 вид) 1 діл. 556678 СРВ</v>
      </c>
      <c r="BM518" s="682"/>
      <c r="BN518" s="636"/>
      <c r="BO518" s="636"/>
      <c r="BP518" s="636"/>
      <c r="BQ518" s="636" t="s">
        <v>105</v>
      </c>
      <c r="BR518" s="636">
        <v>2</v>
      </c>
      <c r="BS518" s="636"/>
      <c r="BT518" s="636"/>
      <c r="BU518" s="636"/>
      <c r="BV518" s="636"/>
      <c r="BW518" s="636" t="s">
        <v>4428</v>
      </c>
      <c r="BX518" s="636"/>
      <c r="BY518" s="972"/>
    </row>
    <row r="519" spans="1:77">
      <c r="A519" s="636" t="s">
        <v>105</v>
      </c>
      <c r="B519" s="675" t="s">
        <v>115</v>
      </c>
      <c r="C519" s="687" t="s">
        <v>126</v>
      </c>
      <c r="D519" s="675">
        <v>0</v>
      </c>
      <c r="E519" s="675" t="s">
        <v>2311</v>
      </c>
      <c r="F519" s="675">
        <v>3</v>
      </c>
      <c r="G519" s="675" t="s">
        <v>79</v>
      </c>
      <c r="H519" s="675">
        <v>172</v>
      </c>
      <c r="I519" s="676" t="s">
        <v>3830</v>
      </c>
      <c r="J519" s="677">
        <v>7.8</v>
      </c>
      <c r="K519" s="683">
        <v>1005</v>
      </c>
      <c r="L519" s="677"/>
      <c r="M519" s="677">
        <v>0</v>
      </c>
      <c r="N519" s="677">
        <v>2</v>
      </c>
      <c r="O519" s="677"/>
      <c r="P519" s="677"/>
      <c r="Q519" s="677">
        <v>0</v>
      </c>
      <c r="R519" s="677">
        <v>0</v>
      </c>
      <c r="S519" s="677">
        <v>0</v>
      </c>
      <c r="T519" s="677">
        <v>0</v>
      </c>
      <c r="U519" s="677">
        <v>0</v>
      </c>
      <c r="V519" s="677">
        <v>6</v>
      </c>
      <c r="W519" s="677">
        <v>276</v>
      </c>
      <c r="X519" s="678"/>
      <c r="Y519" s="682"/>
      <c r="Z519" s="680"/>
      <c r="AA519" s="681">
        <v>92.108999999999995</v>
      </c>
      <c r="AB519" s="681"/>
      <c r="AC519" s="417">
        <v>39</v>
      </c>
      <c r="AD519" s="417"/>
      <c r="AE519" s="682" t="s">
        <v>4444</v>
      </c>
      <c r="AF519">
        <v>1</v>
      </c>
      <c r="AG519" s="749">
        <v>43101</v>
      </c>
      <c r="AH519" s="417"/>
      <c r="AI519" s="417"/>
      <c r="AJ519" s="750">
        <v>43333</v>
      </c>
      <c r="AK519" s="417"/>
      <c r="AL519" s="637" t="s">
        <v>3444</v>
      </c>
      <c r="AM519" s="417"/>
      <c r="AN519" s="417"/>
      <c r="AO519" s="636"/>
      <c r="AP519">
        <v>556678</v>
      </c>
      <c r="AQ519" s="751">
        <v>43333</v>
      </c>
      <c r="AR519" s="417">
        <v>0.3</v>
      </c>
      <c r="AS519" s="417"/>
      <c r="AT519" s="417"/>
      <c r="AU519" s="417"/>
      <c r="AV519" s="417"/>
      <c r="AW519" s="417"/>
      <c r="AX519" s="417"/>
      <c r="AY519" s="183" t="s">
        <v>3362</v>
      </c>
      <c r="AZ519" s="417"/>
      <c r="BA519" s="417"/>
      <c r="BB519" t="s">
        <v>3585</v>
      </c>
      <c r="BC519" s="636"/>
      <c r="BD519" s="417"/>
      <c r="BE519" s="612"/>
      <c r="BF519" s="613"/>
      <c r="BG519" s="614"/>
      <c r="BH519" s="682"/>
      <c r="BI519" s="417"/>
      <c r="BJ519" s="417">
        <v>5</v>
      </c>
      <c r="BK519" s="682" t="str">
        <f>Техкарта[[#This Row],[Кв-л]]&amp;" кв ("&amp;Substring(Техкарта[[#This Row],[Виділ]],"_",1)&amp;" вид) "&amp;Substring(Техкарта[[#This Row],[Виділ]],"_",2)&amp;" діл."</f>
        <v>172 кв (1 вид) 0 діл.</v>
      </c>
      <c r="BL519" s="682" t="str">
        <f>Техкарта[[#This Row],[ПолнаяДіл]] &amp;" "&amp;Техкарта[[#This Row],[ЛК]]&amp;" "&amp;Техкарта[[#This Row],[Вид рубки]]</f>
        <v>172 кв (1 вид) 0 діл. 556678 СРВ</v>
      </c>
      <c r="BM519" s="682"/>
      <c r="BN519" s="636"/>
      <c r="BO519" s="636"/>
      <c r="BP519" s="636"/>
      <c r="BQ519" s="636" t="s">
        <v>105</v>
      </c>
      <c r="BR519" s="636">
        <v>2</v>
      </c>
      <c r="BS519" s="636"/>
      <c r="BT519" s="636"/>
      <c r="BU519" s="636"/>
      <c r="BV519" s="636"/>
      <c r="BW519" s="636" t="s">
        <v>4428</v>
      </c>
      <c r="BX519" s="636"/>
      <c r="BY519" s="972"/>
    </row>
    <row r="520" spans="1:77">
      <c r="A520" s="636" t="s">
        <v>3896</v>
      </c>
      <c r="B520" s="675" t="s">
        <v>115</v>
      </c>
      <c r="C520" s="687" t="s">
        <v>3844</v>
      </c>
      <c r="D520" s="675">
        <v>0</v>
      </c>
      <c r="E520" s="675" t="s">
        <v>2311</v>
      </c>
      <c r="F520" s="675">
        <v>3</v>
      </c>
      <c r="G520" s="675" t="s">
        <v>79</v>
      </c>
      <c r="H520" s="675">
        <v>32</v>
      </c>
      <c r="I520" s="676" t="s">
        <v>4445</v>
      </c>
      <c r="J520" s="677">
        <v>0.5</v>
      </c>
      <c r="K520" s="683">
        <v>0</v>
      </c>
      <c r="L520" s="677"/>
      <c r="M520" s="677">
        <v>0</v>
      </c>
      <c r="N520" s="677">
        <v>30</v>
      </c>
      <c r="O520" s="677"/>
      <c r="P520" s="677"/>
      <c r="Q520" s="677">
        <v>0</v>
      </c>
      <c r="R520" s="677"/>
      <c r="S520" s="677">
        <v>0</v>
      </c>
      <c r="T520" s="677">
        <v>0</v>
      </c>
      <c r="U520" s="677"/>
      <c r="V520" s="677">
        <v>0</v>
      </c>
      <c r="W520" s="677">
        <v>0</v>
      </c>
      <c r="X520" s="678"/>
      <c r="Y520" s="682"/>
      <c r="Z520" s="680"/>
      <c r="AA520" s="681">
        <v>229.39</v>
      </c>
      <c r="AB520" s="681"/>
      <c r="AC520" s="417">
        <v>23</v>
      </c>
      <c r="AD520" s="417"/>
      <c r="AE520" s="682" t="s">
        <v>4446</v>
      </c>
      <c r="AF520">
        <v>1</v>
      </c>
      <c r="AG520" s="749">
        <v>43101</v>
      </c>
      <c r="AH520" s="417"/>
      <c r="AI520" s="417"/>
      <c r="AJ520" s="750">
        <v>43321</v>
      </c>
      <c r="AK520" s="417"/>
      <c r="AL520" s="637" t="s">
        <v>3450</v>
      </c>
      <c r="AM520" s="417"/>
      <c r="AN520" s="417"/>
      <c r="AO520" s="636"/>
      <c r="AP520">
        <v>556717</v>
      </c>
      <c r="AQ520" s="751">
        <v>43321</v>
      </c>
      <c r="AR520" s="417">
        <v>0.3</v>
      </c>
      <c r="AS520" s="417"/>
      <c r="AT520" s="417"/>
      <c r="AU520" s="417"/>
      <c r="AV520" s="417"/>
      <c r="AW520" s="417"/>
      <c r="AX520" s="417"/>
      <c r="AY520" s="183" t="s">
        <v>3362</v>
      </c>
      <c r="AZ520" s="417"/>
      <c r="BA520" s="417"/>
      <c r="BB520" t="s">
        <v>3585</v>
      </c>
      <c r="BC520" s="636"/>
      <c r="BD520" s="417"/>
      <c r="BE520" s="612"/>
      <c r="BF520" s="613"/>
      <c r="BG520" s="614"/>
      <c r="BH520" s="682"/>
      <c r="BI520" s="417"/>
      <c r="BJ520" s="417">
        <v>6</v>
      </c>
      <c r="BK520" s="682" t="str">
        <f>Техкарта[[#This Row],[Кв-л]]&amp;" кв ("&amp;Substring(Техкарта[[#This Row],[Виділ]],"_",1)&amp;" вид) "&amp;Substring(Техкарта[[#This Row],[Виділ]],"_",2)&amp;" діл."</f>
        <v>32 кв (30 вид) 0 діл.</v>
      </c>
      <c r="BL520" s="682" t="str">
        <f>Техкарта[[#This Row],[ПолнаяДіл]] &amp;" "&amp;Техкарта[[#This Row],[ЛК]]&amp;" "&amp;Техкарта[[#This Row],[Вид рубки]]</f>
        <v>32 кв (30 вид) 0 діл. 556717 ЛД</v>
      </c>
      <c r="BM520" s="682"/>
      <c r="BN520" s="636"/>
      <c r="BO520" s="636"/>
      <c r="BP520" s="636"/>
      <c r="BQ520" s="636" t="s">
        <v>3896</v>
      </c>
      <c r="BR520" s="636">
        <v>2</v>
      </c>
      <c r="BS520" s="636"/>
      <c r="BT520" s="636"/>
      <c r="BU520" s="636"/>
      <c r="BV520" s="636"/>
      <c r="BW520" s="636" t="s">
        <v>4428</v>
      </c>
      <c r="BX520" s="636"/>
      <c r="BY520" s="972"/>
    </row>
    <row r="521" spans="1:77">
      <c r="A521" s="636" t="s">
        <v>3896</v>
      </c>
      <c r="B521" s="675" t="s">
        <v>115</v>
      </c>
      <c r="C521" s="687" t="s">
        <v>3844</v>
      </c>
      <c r="D521" s="675">
        <v>0</v>
      </c>
      <c r="E521" s="675" t="s">
        <v>2311</v>
      </c>
      <c r="F521" s="675">
        <v>3</v>
      </c>
      <c r="G521" s="675" t="s">
        <v>79</v>
      </c>
      <c r="H521" s="675">
        <v>32</v>
      </c>
      <c r="I521" s="676" t="s">
        <v>4447</v>
      </c>
      <c r="J521" s="677">
        <v>0.9</v>
      </c>
      <c r="K521" s="683">
        <v>0</v>
      </c>
      <c r="L521" s="677"/>
      <c r="M521" s="677">
        <v>0</v>
      </c>
      <c r="N521" s="677">
        <v>30</v>
      </c>
      <c r="O521" s="677"/>
      <c r="P521" s="677"/>
      <c r="Q521" s="677">
        <v>0</v>
      </c>
      <c r="R521" s="677"/>
      <c r="S521" s="677">
        <v>0</v>
      </c>
      <c r="T521" s="677">
        <v>0</v>
      </c>
      <c r="U521" s="677"/>
      <c r="V521" s="677">
        <v>0</v>
      </c>
      <c r="W521" s="677">
        <v>0</v>
      </c>
      <c r="X521" s="678"/>
      <c r="Y521" s="682"/>
      <c r="Z521" s="680"/>
      <c r="AA521" s="681">
        <v>261.79000000000002</v>
      </c>
      <c r="AB521" s="681"/>
      <c r="AC521" s="417">
        <v>23</v>
      </c>
      <c r="AD521" s="417"/>
      <c r="AE521" s="682" t="s">
        <v>4448</v>
      </c>
      <c r="AF521">
        <v>1</v>
      </c>
      <c r="AG521" s="749">
        <v>43101</v>
      </c>
      <c r="AH521" s="417"/>
      <c r="AI521" s="417"/>
      <c r="AJ521" s="750">
        <v>43321</v>
      </c>
      <c r="AK521" s="417"/>
      <c r="AL521" s="637" t="s">
        <v>3450</v>
      </c>
      <c r="AM521" s="417"/>
      <c r="AN521" s="417"/>
      <c r="AO521" s="636"/>
      <c r="AP521">
        <v>556717</v>
      </c>
      <c r="AQ521" s="751">
        <v>43321</v>
      </c>
      <c r="AR521" s="417">
        <v>0.3</v>
      </c>
      <c r="AS521" s="417"/>
      <c r="AT521" s="417"/>
      <c r="AU521" s="417"/>
      <c r="AV521" s="417"/>
      <c r="AW521" s="417"/>
      <c r="AX521" s="417"/>
      <c r="AY521" s="183" t="s">
        <v>3362</v>
      </c>
      <c r="AZ521" s="417"/>
      <c r="BA521" s="417"/>
      <c r="BB521" t="s">
        <v>3585</v>
      </c>
      <c r="BC521" s="636"/>
      <c r="BD521" s="417"/>
      <c r="BE521" s="612"/>
      <c r="BF521" s="613"/>
      <c r="BG521" s="614"/>
      <c r="BH521" s="682"/>
      <c r="BI521" s="417"/>
      <c r="BJ521" s="417">
        <v>7</v>
      </c>
      <c r="BK521" s="682" t="str">
        <f>Техкарта[[#This Row],[Кв-л]]&amp;" кв ("&amp;Substring(Техкарта[[#This Row],[Виділ]],"_",1)&amp;" вид) "&amp;Substring(Техкарта[[#This Row],[Виділ]],"_",2)&amp;" діл."</f>
        <v>32 кв (25 вид) 0 діл.</v>
      </c>
      <c r="BL521" s="682" t="str">
        <f>Техкарта[[#This Row],[ПолнаяДіл]] &amp;" "&amp;Техкарта[[#This Row],[ЛК]]&amp;" "&amp;Техкарта[[#This Row],[Вид рубки]]</f>
        <v>32 кв (25 вид) 0 діл. 556717 ЛД</v>
      </c>
      <c r="BM521" s="682"/>
      <c r="BN521" s="636"/>
      <c r="BO521" s="636"/>
      <c r="BP521" s="636"/>
      <c r="BQ521" s="636" t="s">
        <v>3896</v>
      </c>
      <c r="BR521" s="636">
        <v>2</v>
      </c>
      <c r="BS521" s="636"/>
      <c r="BT521" s="636"/>
      <c r="BU521" s="636"/>
      <c r="BV521" s="636"/>
      <c r="BW521" s="636" t="s">
        <v>4428</v>
      </c>
      <c r="BX521" s="636"/>
      <c r="BY521" s="972"/>
    </row>
    <row r="522" spans="1:77">
      <c r="A522" s="636" t="s">
        <v>3896</v>
      </c>
      <c r="B522" s="675" t="s">
        <v>115</v>
      </c>
      <c r="C522" s="687" t="s">
        <v>3844</v>
      </c>
      <c r="D522" s="675">
        <v>0</v>
      </c>
      <c r="E522" s="675" t="s">
        <v>2311</v>
      </c>
      <c r="F522" s="675">
        <v>3</v>
      </c>
      <c r="G522" s="675" t="s">
        <v>79</v>
      </c>
      <c r="H522" s="675">
        <v>10</v>
      </c>
      <c r="I522" s="676" t="s">
        <v>3829</v>
      </c>
      <c r="J522" s="677">
        <v>3.5</v>
      </c>
      <c r="K522" s="683">
        <v>0</v>
      </c>
      <c r="L522" s="677"/>
      <c r="M522" s="677">
        <v>0</v>
      </c>
      <c r="N522" s="677">
        <v>110</v>
      </c>
      <c r="O522" s="677"/>
      <c r="P522" s="677"/>
      <c r="Q522" s="677">
        <v>0</v>
      </c>
      <c r="R522" s="677"/>
      <c r="S522" s="677">
        <v>0</v>
      </c>
      <c r="T522" s="677">
        <v>0</v>
      </c>
      <c r="U522" s="677"/>
      <c r="V522" s="677">
        <v>0</v>
      </c>
      <c r="W522" s="677">
        <v>0</v>
      </c>
      <c r="X522" s="678"/>
      <c r="Y522" s="682"/>
      <c r="Z522" s="680"/>
      <c r="AA522" s="681">
        <v>261.73</v>
      </c>
      <c r="AB522" s="681"/>
      <c r="AC522" s="417">
        <v>23</v>
      </c>
      <c r="AD522" s="417"/>
      <c r="AE522" s="682" t="s">
        <v>4449</v>
      </c>
      <c r="AF522">
        <v>1</v>
      </c>
      <c r="AG522" s="749">
        <v>43101</v>
      </c>
      <c r="AH522" s="417"/>
      <c r="AI522" s="417"/>
      <c r="AJ522" s="750">
        <v>43321</v>
      </c>
      <c r="AK522" s="417"/>
      <c r="AL522" s="637" t="s">
        <v>3471</v>
      </c>
      <c r="AM522" s="417"/>
      <c r="AN522" s="417"/>
      <c r="AO522" s="636"/>
      <c r="AP522">
        <v>556717</v>
      </c>
      <c r="AQ522" s="751">
        <v>43321</v>
      </c>
      <c r="AR522" s="417">
        <v>0.3</v>
      </c>
      <c r="AS522" s="417"/>
      <c r="AT522" s="417"/>
      <c r="AU522" s="417"/>
      <c r="AV522" s="417"/>
      <c r="AW522" s="417"/>
      <c r="AX522" s="417"/>
      <c r="AY522" s="183" t="s">
        <v>3362</v>
      </c>
      <c r="AZ522" s="417"/>
      <c r="BA522" s="417"/>
      <c r="BB522" t="s">
        <v>3585</v>
      </c>
      <c r="BC522" s="636"/>
      <c r="BD522" s="417"/>
      <c r="BE522" s="612"/>
      <c r="BF522" s="613"/>
      <c r="BG522" s="614"/>
      <c r="BH522" s="682"/>
      <c r="BI522" s="417"/>
      <c r="BJ522" s="417">
        <v>8</v>
      </c>
      <c r="BK522" s="682" t="str">
        <f>Техкарта[[#This Row],[Кв-л]]&amp;" кв ("&amp;Substring(Техкарта[[#This Row],[Виділ]],"_",1)&amp;" вид) "&amp;Substring(Техкарта[[#This Row],[Виділ]],"_",2)&amp;" діл."</f>
        <v>10 кв (3 вид) 0 діл.</v>
      </c>
      <c r="BL522" s="682" t="str">
        <f>Техкарта[[#This Row],[ПолнаяДіл]] &amp;" "&amp;Техкарта[[#This Row],[ЛК]]&amp;" "&amp;Техкарта[[#This Row],[Вид рубки]]</f>
        <v>10 кв (3 вид) 0 діл. 556717 ЛД</v>
      </c>
      <c r="BM522" s="682"/>
      <c r="BN522" s="636"/>
      <c r="BO522" s="636"/>
      <c r="BP522" s="636"/>
      <c r="BQ522" s="636" t="s">
        <v>3896</v>
      </c>
      <c r="BR522" s="636">
        <v>2</v>
      </c>
      <c r="BS522" s="636"/>
      <c r="BT522" s="636"/>
      <c r="BU522" s="636"/>
      <c r="BV522" s="636"/>
      <c r="BW522" s="636" t="s">
        <v>4428</v>
      </c>
      <c r="BX522" s="636"/>
      <c r="BY522" s="972"/>
    </row>
    <row r="523" spans="1:77">
      <c r="A523" s="636" t="s">
        <v>3896</v>
      </c>
      <c r="B523" s="675" t="s">
        <v>115</v>
      </c>
      <c r="C523" s="687" t="s">
        <v>3844</v>
      </c>
      <c r="D523" s="675">
        <v>0</v>
      </c>
      <c r="E523" s="675" t="s">
        <v>2311</v>
      </c>
      <c r="F523" s="675">
        <v>3</v>
      </c>
      <c r="G523" s="675" t="s">
        <v>79</v>
      </c>
      <c r="H523" s="675">
        <v>157</v>
      </c>
      <c r="I523" s="676" t="s">
        <v>4450</v>
      </c>
      <c r="J523" s="677">
        <v>1.6</v>
      </c>
      <c r="K523" s="683">
        <v>0</v>
      </c>
      <c r="L523" s="677"/>
      <c r="M523" s="677">
        <v>0</v>
      </c>
      <c r="N523" s="677">
        <v>70</v>
      </c>
      <c r="O523" s="677"/>
      <c r="P523" s="677"/>
      <c r="Q523" s="677">
        <v>0</v>
      </c>
      <c r="R523" s="677"/>
      <c r="S523" s="677">
        <v>0</v>
      </c>
      <c r="T523" s="677">
        <v>0</v>
      </c>
      <c r="U523" s="677"/>
      <c r="V523" s="677">
        <v>0</v>
      </c>
      <c r="W523" s="677">
        <v>0</v>
      </c>
      <c r="X523" s="678"/>
      <c r="Y523" s="682"/>
      <c r="Z523" s="680"/>
      <c r="AA523" s="681">
        <v>261.72000000000003</v>
      </c>
      <c r="AB523" s="681"/>
      <c r="AC523" s="417">
        <v>23</v>
      </c>
      <c r="AD523" s="417"/>
      <c r="AE523" s="682" t="s">
        <v>4451</v>
      </c>
      <c r="AF523">
        <v>1</v>
      </c>
      <c r="AG523" s="749">
        <v>43101</v>
      </c>
      <c r="AH523" s="417"/>
      <c r="AI523" s="417"/>
      <c r="AJ523" s="750">
        <v>43321</v>
      </c>
      <c r="AK523" s="417"/>
      <c r="AL523" s="637" t="s">
        <v>3482</v>
      </c>
      <c r="AM523" s="417"/>
      <c r="AN523" s="417"/>
      <c r="AO523" s="636"/>
      <c r="AP523">
        <v>556717</v>
      </c>
      <c r="AQ523" s="751">
        <v>43321</v>
      </c>
      <c r="AR523" s="417">
        <v>0.3</v>
      </c>
      <c r="AS523" s="417"/>
      <c r="AT523" s="417"/>
      <c r="AU523" s="417"/>
      <c r="AV523" s="417"/>
      <c r="AW523" s="417"/>
      <c r="AX523" s="417"/>
      <c r="AY523" s="183" t="s">
        <v>3362</v>
      </c>
      <c r="AZ523" s="417"/>
      <c r="BA523" s="417"/>
      <c r="BB523" t="s">
        <v>3585</v>
      </c>
      <c r="BC523" s="636"/>
      <c r="BD523" s="417"/>
      <c r="BE523" s="612"/>
      <c r="BF523" s="613"/>
      <c r="BG523" s="614"/>
      <c r="BH523" s="682"/>
      <c r="BI523" s="417"/>
      <c r="BJ523" s="417">
        <v>9</v>
      </c>
      <c r="BK523" s="682" t="str">
        <f>Техкарта[[#This Row],[Кв-л]]&amp;" кв ("&amp;Substring(Техкарта[[#This Row],[Виділ]],"_",1)&amp;" вид) "&amp;Substring(Техкарта[[#This Row],[Виділ]],"_",2)&amp;" діл."</f>
        <v>157 кв (34 вид) 0 діл.</v>
      </c>
      <c r="BL523" s="682" t="str">
        <f>Техкарта[[#This Row],[ПолнаяДіл]] &amp;" "&amp;Техкарта[[#This Row],[ЛК]]&amp;" "&amp;Техкарта[[#This Row],[Вид рубки]]</f>
        <v>157 кв (34 вид) 0 діл. 556717 ЛД</v>
      </c>
      <c r="BM523" s="682"/>
      <c r="BN523" s="636"/>
      <c r="BO523" s="636"/>
      <c r="BP523" s="636"/>
      <c r="BQ523" s="636" t="s">
        <v>3896</v>
      </c>
      <c r="BR523" s="636">
        <v>2</v>
      </c>
      <c r="BS523" s="636"/>
      <c r="BT523" s="636"/>
      <c r="BU523" s="636"/>
      <c r="BV523" s="636"/>
      <c r="BW523" s="636" t="s">
        <v>4428</v>
      </c>
      <c r="BX523" s="636"/>
      <c r="BY523" s="972"/>
    </row>
    <row r="524" spans="1:77">
      <c r="A524" s="636" t="s">
        <v>105</v>
      </c>
      <c r="B524" s="675" t="s">
        <v>113</v>
      </c>
      <c r="C524" s="687" t="s">
        <v>126</v>
      </c>
      <c r="D524" s="675">
        <v>0</v>
      </c>
      <c r="E524" s="675" t="s">
        <v>2311</v>
      </c>
      <c r="F524" s="675">
        <v>3</v>
      </c>
      <c r="G524" s="675" t="s">
        <v>79</v>
      </c>
      <c r="H524" s="675">
        <v>85</v>
      </c>
      <c r="I524" s="676" t="s">
        <v>3792</v>
      </c>
      <c r="J524" s="677">
        <v>0.9</v>
      </c>
      <c r="K524" s="683">
        <v>33</v>
      </c>
      <c r="L524" s="677"/>
      <c r="M524" s="677">
        <v>0</v>
      </c>
      <c r="N524" s="677">
        <v>3</v>
      </c>
      <c r="O524" s="677"/>
      <c r="P524" s="677"/>
      <c r="Q524" s="677">
        <v>0</v>
      </c>
      <c r="R524" s="677">
        <v>0</v>
      </c>
      <c r="S524" s="677">
        <v>0</v>
      </c>
      <c r="T524" s="677">
        <v>0</v>
      </c>
      <c r="U524" s="677">
        <v>0</v>
      </c>
      <c r="V524" s="677">
        <v>0</v>
      </c>
      <c r="W524" s="677">
        <v>28</v>
      </c>
      <c r="X524" s="678"/>
      <c r="Y524" s="682"/>
      <c r="Z524" s="680"/>
      <c r="AA524" s="681">
        <v>67.497</v>
      </c>
      <c r="AB524" s="681"/>
      <c r="AC524" s="417">
        <v>18</v>
      </c>
      <c r="AD524" s="417"/>
      <c r="AE524" s="682" t="s">
        <v>4453</v>
      </c>
      <c r="AF524">
        <v>1</v>
      </c>
      <c r="AG524" s="749">
        <v>43101</v>
      </c>
      <c r="AH524" s="417"/>
      <c r="AI524" s="417"/>
      <c r="AJ524" s="750">
        <v>43325</v>
      </c>
      <c r="AK524" s="417"/>
      <c r="AL524" s="637" t="s">
        <v>3447</v>
      </c>
      <c r="AM524" s="417"/>
      <c r="AN524" s="417"/>
      <c r="AO524" s="636"/>
      <c r="AP524">
        <v>556718</v>
      </c>
      <c r="AQ524" s="751">
        <v>43325</v>
      </c>
      <c r="AR524" s="417">
        <v>0.3</v>
      </c>
      <c r="AS524" s="417"/>
      <c r="AT524" s="417"/>
      <c r="AU524" s="417"/>
      <c r="AV524" s="417"/>
      <c r="AW524" s="417"/>
      <c r="AX524" s="417"/>
      <c r="AY524" s="183" t="s">
        <v>4245</v>
      </c>
      <c r="AZ524" s="417"/>
      <c r="BA524" s="417"/>
      <c r="BB524" t="s">
        <v>4238</v>
      </c>
      <c r="BC524" s="636"/>
      <c r="BD524" s="417"/>
      <c r="BE524" s="612"/>
      <c r="BF524" s="613"/>
      <c r="BG524" s="614"/>
      <c r="BH524" s="682"/>
      <c r="BI524" s="417"/>
      <c r="BJ524" s="417">
        <v>6</v>
      </c>
      <c r="BK52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24" s="682" t="str">
        <f>Техкарта[[#This Row],[ПолнаяДіл]] &amp;" "&amp;Техкарта[[#This Row],[ЛК]]&amp;" "&amp;Техкарта[[#This Row],[Вид рубки]]</f>
        <v>85 кв (13 вид) 0 діл. 556718 СРВ</v>
      </c>
      <c r="BM524" s="682"/>
      <c r="BN524" s="636"/>
      <c r="BO524" s="636"/>
      <c r="BP524" s="636"/>
      <c r="BQ524" s="636" t="s">
        <v>105</v>
      </c>
      <c r="BR524" s="636">
        <v>2</v>
      </c>
      <c r="BS524" s="636"/>
      <c r="BT524" s="636"/>
      <c r="BU524" s="636"/>
      <c r="BV524" s="636"/>
      <c r="BW524" s="636" t="s">
        <v>4428</v>
      </c>
      <c r="BX524" s="636"/>
      <c r="BY524" s="972"/>
    </row>
    <row r="525" spans="1:77">
      <c r="A525" s="636" t="s">
        <v>105</v>
      </c>
      <c r="B525" s="675" t="s">
        <v>113</v>
      </c>
      <c r="C525" s="687" t="s">
        <v>126</v>
      </c>
      <c r="D525" s="675">
        <v>0</v>
      </c>
      <c r="E525" s="675" t="s">
        <v>2311</v>
      </c>
      <c r="F525" s="675">
        <v>3</v>
      </c>
      <c r="G525" s="675" t="s">
        <v>79</v>
      </c>
      <c r="H525" s="675">
        <v>50</v>
      </c>
      <c r="I525" s="676" t="s">
        <v>3830</v>
      </c>
      <c r="J525" s="677">
        <v>2.5</v>
      </c>
      <c r="K525" s="683">
        <v>353</v>
      </c>
      <c r="L525" s="677"/>
      <c r="M525" s="677">
        <v>0</v>
      </c>
      <c r="N525" s="677">
        <v>5</v>
      </c>
      <c r="O525" s="677"/>
      <c r="P525" s="677"/>
      <c r="Q525" s="677">
        <v>0</v>
      </c>
      <c r="R525" s="677">
        <v>0</v>
      </c>
      <c r="S525" s="677">
        <v>0</v>
      </c>
      <c r="T525" s="677">
        <v>0</v>
      </c>
      <c r="U525" s="677">
        <v>0</v>
      </c>
      <c r="V525" s="677">
        <v>0</v>
      </c>
      <c r="W525" s="677">
        <v>75</v>
      </c>
      <c r="X525" s="678"/>
      <c r="Y525" s="682"/>
      <c r="Z525" s="680"/>
      <c r="AA525" s="681">
        <v>97.108999999999995</v>
      </c>
      <c r="AB525" s="681"/>
      <c r="AC525" s="417">
        <v>18</v>
      </c>
      <c r="AD525" s="417"/>
      <c r="AE525" s="682" t="s">
        <v>4452</v>
      </c>
      <c r="AF525">
        <v>1</v>
      </c>
      <c r="AG525" s="749">
        <v>43101</v>
      </c>
      <c r="AH525" s="417"/>
      <c r="AI525" s="417"/>
      <c r="AJ525" s="750">
        <v>43325</v>
      </c>
      <c r="AK525" s="417"/>
      <c r="AL525" s="637" t="s">
        <v>3453</v>
      </c>
      <c r="AM525" s="417"/>
      <c r="AN525" s="417"/>
      <c r="AO525" s="636"/>
      <c r="AP525">
        <v>556718</v>
      </c>
      <c r="AQ525" s="751">
        <v>43325</v>
      </c>
      <c r="AR525" s="417">
        <v>0.3</v>
      </c>
      <c r="AS525" s="417"/>
      <c r="AT525" s="417"/>
      <c r="AU525" s="417"/>
      <c r="AV525" s="417"/>
      <c r="AW525" s="417"/>
      <c r="AX525" s="417"/>
      <c r="AY525" s="183" t="s">
        <v>4245</v>
      </c>
      <c r="AZ525" s="417"/>
      <c r="BA525" s="417"/>
      <c r="BB525" t="s">
        <v>4238</v>
      </c>
      <c r="BC525" s="636"/>
      <c r="BD525" s="417"/>
      <c r="BE525" s="612"/>
      <c r="BF525" s="613"/>
      <c r="BG525" s="614"/>
      <c r="BH525" s="682"/>
      <c r="BI525" s="417"/>
      <c r="BJ525" s="417">
        <v>5</v>
      </c>
      <c r="BK525" s="682" t="str">
        <f>Техкарта[[#This Row],[Кв-л]]&amp;" кв ("&amp;Substring(Техкарта[[#This Row],[Виділ]],"_",1)&amp;" вид) "&amp;Substring(Техкарта[[#This Row],[Виділ]],"_",2)&amp;" діл."</f>
        <v>50 кв (1 вид) 0 діл.</v>
      </c>
      <c r="BL525" s="682" t="str">
        <f>Техкарта[[#This Row],[ПолнаяДіл]] &amp;" "&amp;Техкарта[[#This Row],[ЛК]]&amp;" "&amp;Техкарта[[#This Row],[Вид рубки]]</f>
        <v>50 кв (1 вид) 0 діл. 556718 СРВ</v>
      </c>
      <c r="BM525" s="682"/>
      <c r="BN525" s="636"/>
      <c r="BO525" s="636"/>
      <c r="BP525" s="636"/>
      <c r="BQ525" s="636" t="s">
        <v>105</v>
      </c>
      <c r="BR525" s="636">
        <v>2</v>
      </c>
      <c r="BS525" s="636"/>
      <c r="BT525" s="636"/>
      <c r="BU525" s="636"/>
      <c r="BV525" s="636"/>
      <c r="BW525" s="636" t="s">
        <v>4428</v>
      </c>
      <c r="BX525" s="636"/>
      <c r="BY525" s="972"/>
    </row>
    <row r="526" spans="1:77">
      <c r="A526" s="636" t="s">
        <v>105</v>
      </c>
      <c r="B526" s="675" t="s">
        <v>113</v>
      </c>
      <c r="C526" s="687" t="s">
        <v>126</v>
      </c>
      <c r="D526" s="675">
        <v>0</v>
      </c>
      <c r="E526" s="675" t="s">
        <v>2311</v>
      </c>
      <c r="F526" s="675">
        <v>3</v>
      </c>
      <c r="G526" s="675" t="s">
        <v>79</v>
      </c>
      <c r="H526" s="675">
        <v>86</v>
      </c>
      <c r="I526" s="676" t="s">
        <v>3831</v>
      </c>
      <c r="J526" s="677">
        <v>3.4</v>
      </c>
      <c r="K526" s="683">
        <v>439</v>
      </c>
      <c r="L526" s="677"/>
      <c r="M526" s="677">
        <v>0</v>
      </c>
      <c r="N526" s="677">
        <v>6</v>
      </c>
      <c r="O526" s="677"/>
      <c r="P526" s="677"/>
      <c r="Q526" s="677">
        <v>0</v>
      </c>
      <c r="R526" s="677">
        <v>0</v>
      </c>
      <c r="S526" s="677">
        <v>0</v>
      </c>
      <c r="T526" s="677">
        <v>0</v>
      </c>
      <c r="U526" s="677">
        <v>0</v>
      </c>
      <c r="V526" s="677">
        <v>0</v>
      </c>
      <c r="W526" s="677">
        <v>67</v>
      </c>
      <c r="X526" s="678"/>
      <c r="Y526" s="682"/>
      <c r="Z526" s="680"/>
      <c r="AA526" s="681">
        <v>105.294</v>
      </c>
      <c r="AB526" s="681"/>
      <c r="AC526" s="417">
        <v>11</v>
      </c>
      <c r="AD526" s="417"/>
      <c r="AE526" s="682" t="s">
        <v>4454</v>
      </c>
      <c r="AF526">
        <v>1</v>
      </c>
      <c r="AG526" s="749">
        <v>43101</v>
      </c>
      <c r="AH526" s="417"/>
      <c r="AI526" s="417"/>
      <c r="AJ526" s="750">
        <v>43325</v>
      </c>
      <c r="AK526" s="417"/>
      <c r="AL526" s="637" t="s">
        <v>3447</v>
      </c>
      <c r="AM526" s="417"/>
      <c r="AN526" s="417"/>
      <c r="AO526" s="636"/>
      <c r="AP526">
        <v>556718</v>
      </c>
      <c r="AQ526" s="751">
        <v>43325</v>
      </c>
      <c r="AR526" s="417">
        <v>0.3</v>
      </c>
      <c r="AS526" s="417"/>
      <c r="AT526" s="417"/>
      <c r="AU526" s="417"/>
      <c r="AV526" s="417"/>
      <c r="AW526" s="417"/>
      <c r="AX526" s="417"/>
      <c r="AY526" s="183" t="s">
        <v>4245</v>
      </c>
      <c r="AZ526" s="417"/>
      <c r="BA526" s="417"/>
      <c r="BB526" t="s">
        <v>4238</v>
      </c>
      <c r="BC526" s="636"/>
      <c r="BD526" s="417"/>
      <c r="BE526" s="612"/>
      <c r="BF526" s="613"/>
      <c r="BG526" s="614"/>
      <c r="BH526" s="682"/>
      <c r="BI526" s="417"/>
      <c r="BJ526" s="417">
        <v>7</v>
      </c>
      <c r="BK526" s="682" t="str">
        <f>Техкарта[[#This Row],[Кв-л]]&amp;" кв ("&amp;Substring(Техкарта[[#This Row],[Виділ]],"_",1)&amp;" вид) "&amp;Substring(Техкарта[[#This Row],[Виділ]],"_",2)&amp;" діл."</f>
        <v>86 кв (4 вид) 0 діл.</v>
      </c>
      <c r="BL526" s="682" t="str">
        <f>Техкарта[[#This Row],[ПолнаяДіл]] &amp;" "&amp;Техкарта[[#This Row],[ЛК]]&amp;" "&amp;Техкарта[[#This Row],[Вид рубки]]</f>
        <v>86 кв (4 вид) 0 діл. 556718 СРВ</v>
      </c>
      <c r="BM526" s="682"/>
      <c r="BN526" s="636"/>
      <c r="BO526" s="636"/>
      <c r="BP526" s="636"/>
      <c r="BQ526" s="636" t="s">
        <v>105</v>
      </c>
      <c r="BR526" s="636">
        <v>2</v>
      </c>
      <c r="BS526" s="636"/>
      <c r="BT526" s="636"/>
      <c r="BU526" s="636"/>
      <c r="BV526" s="636"/>
      <c r="BW526" s="636" t="s">
        <v>4428</v>
      </c>
      <c r="BX526" s="636"/>
      <c r="BY526" s="972"/>
    </row>
    <row r="527" spans="1:77">
      <c r="A527" s="636" t="s">
        <v>105</v>
      </c>
      <c r="B527" s="675" t="s">
        <v>113</v>
      </c>
      <c r="C527" s="687" t="s">
        <v>126</v>
      </c>
      <c r="D527" s="675">
        <v>0</v>
      </c>
      <c r="E527" s="675" t="s">
        <v>2311</v>
      </c>
      <c r="F527" s="675">
        <v>3</v>
      </c>
      <c r="G527" s="675" t="s">
        <v>79</v>
      </c>
      <c r="H527" s="675">
        <v>110</v>
      </c>
      <c r="I527" s="676" t="s">
        <v>3850</v>
      </c>
      <c r="J527" s="677">
        <v>1.4</v>
      </c>
      <c r="K527" s="683">
        <v>103</v>
      </c>
      <c r="L527" s="677"/>
      <c r="M527" s="677">
        <v>0</v>
      </c>
      <c r="N527" s="677">
        <v>3</v>
      </c>
      <c r="O527" s="677"/>
      <c r="P527" s="677"/>
      <c r="Q527" s="677">
        <v>0</v>
      </c>
      <c r="R527" s="677">
        <v>0</v>
      </c>
      <c r="S527" s="677">
        <v>0</v>
      </c>
      <c r="T527" s="677">
        <v>0</v>
      </c>
      <c r="U527" s="677">
        <v>0</v>
      </c>
      <c r="V527" s="677">
        <v>0</v>
      </c>
      <c r="W527" s="677">
        <v>29</v>
      </c>
      <c r="X527" s="678"/>
      <c r="Y527" s="682"/>
      <c r="Z527" s="680"/>
      <c r="AA527" s="681">
        <v>84.754000000000005</v>
      </c>
      <c r="AB527" s="681"/>
      <c r="AC527" s="417">
        <v>6</v>
      </c>
      <c r="AD527" s="417"/>
      <c r="AE527" s="682" t="s">
        <v>4455</v>
      </c>
      <c r="AF527">
        <v>1</v>
      </c>
      <c r="AG527" s="749">
        <v>43101</v>
      </c>
      <c r="AH527" s="417"/>
      <c r="AI527" s="417"/>
      <c r="AJ527" s="750">
        <v>43325</v>
      </c>
      <c r="AK527" s="417"/>
      <c r="AL527" s="637" t="s">
        <v>3441</v>
      </c>
      <c r="AM527" s="417"/>
      <c r="AN527" s="417"/>
      <c r="AO527" s="636"/>
      <c r="AP527">
        <v>556718</v>
      </c>
      <c r="AQ527" s="751">
        <v>43325</v>
      </c>
      <c r="AR527" s="417">
        <v>0.3</v>
      </c>
      <c r="AS527" s="417"/>
      <c r="AT527" s="417"/>
      <c r="AU527" s="417"/>
      <c r="AV527" s="417"/>
      <c r="AW527" s="417"/>
      <c r="AX527" s="417"/>
      <c r="AY527" s="183" t="s">
        <v>4245</v>
      </c>
      <c r="AZ527" s="417"/>
      <c r="BA527" s="417"/>
      <c r="BB527" t="s">
        <v>4238</v>
      </c>
      <c r="BC527" s="636"/>
      <c r="BD527" s="417"/>
      <c r="BE527" s="612"/>
      <c r="BF527" s="613"/>
      <c r="BG527" s="614"/>
      <c r="BH527" s="682"/>
      <c r="BI527" s="417"/>
      <c r="BJ527" s="417">
        <v>8</v>
      </c>
      <c r="BK527" s="682" t="str">
        <f>Техкарта[[#This Row],[Кв-л]]&amp;" кв ("&amp;Substring(Техкарта[[#This Row],[Виділ]],"_",1)&amp;" вид) "&amp;Substring(Техкарта[[#This Row],[Виділ]],"_",2)&amp;" діл."</f>
        <v>110 кв (6 вид) 0 діл.</v>
      </c>
      <c r="BL527" s="682" t="str">
        <f>Техкарта[[#This Row],[ПолнаяДіл]] &amp;" "&amp;Техкарта[[#This Row],[ЛК]]&amp;" "&amp;Техкарта[[#This Row],[Вид рубки]]</f>
        <v>110 кв (6 вид) 0 діл. 556718 СРВ</v>
      </c>
      <c r="BM527" s="682"/>
      <c r="BN527" s="636"/>
      <c r="BO527" s="636"/>
      <c r="BP527" s="636"/>
      <c r="BQ527" s="636" t="s">
        <v>105</v>
      </c>
      <c r="BR527" s="636">
        <v>2</v>
      </c>
      <c r="BS527" s="636"/>
      <c r="BT527" s="636"/>
      <c r="BU527" s="636"/>
      <c r="BV527" s="636"/>
      <c r="BW527" s="636" t="s">
        <v>4428</v>
      </c>
      <c r="BX527" s="636"/>
      <c r="BY527" s="972"/>
    </row>
    <row r="528" spans="1:77">
      <c r="A528" s="636" t="s">
        <v>105</v>
      </c>
      <c r="B528" s="675" t="s">
        <v>113</v>
      </c>
      <c r="C528" s="687" t="s">
        <v>126</v>
      </c>
      <c r="D528" s="675">
        <v>0</v>
      </c>
      <c r="E528" s="675" t="s">
        <v>2311</v>
      </c>
      <c r="F528" s="675">
        <v>3</v>
      </c>
      <c r="G528" s="675" t="s">
        <v>79</v>
      </c>
      <c r="H528" s="675">
        <v>123</v>
      </c>
      <c r="I528" s="676" t="s">
        <v>3832</v>
      </c>
      <c r="J528" s="677">
        <v>1.9</v>
      </c>
      <c r="K528" s="683">
        <v>245</v>
      </c>
      <c r="L528" s="677"/>
      <c r="M528" s="677">
        <v>0</v>
      </c>
      <c r="N528" s="677">
        <v>0</v>
      </c>
      <c r="O528" s="677"/>
      <c r="P528" s="677"/>
      <c r="Q528" s="677">
        <v>0</v>
      </c>
      <c r="R528" s="677">
        <v>0</v>
      </c>
      <c r="S528" s="677">
        <v>0</v>
      </c>
      <c r="T528" s="677">
        <v>0</v>
      </c>
      <c r="U528" s="677">
        <v>0</v>
      </c>
      <c r="V528" s="677">
        <v>0</v>
      </c>
      <c r="W528" s="677">
        <v>32</v>
      </c>
      <c r="X528" s="678"/>
      <c r="Y528" s="682"/>
      <c r="Z528" s="680"/>
      <c r="AA528" s="681">
        <v>130.203</v>
      </c>
      <c r="AB528" s="681"/>
      <c r="AC528" s="417">
        <v>5</v>
      </c>
      <c r="AD528" s="417"/>
      <c r="AE528" s="682" t="s">
        <v>4456</v>
      </c>
      <c r="AF528">
        <v>1</v>
      </c>
      <c r="AG528" s="749">
        <v>43101</v>
      </c>
      <c r="AH528" s="417"/>
      <c r="AI528" s="417"/>
      <c r="AJ528" s="750">
        <v>43325</v>
      </c>
      <c r="AK528" s="417"/>
      <c r="AL528" s="637" t="s">
        <v>3441</v>
      </c>
      <c r="AM528" s="417"/>
      <c r="AN528" s="417"/>
      <c r="AO528" s="636"/>
      <c r="AP528">
        <v>556718</v>
      </c>
      <c r="AQ528" s="751">
        <v>43325</v>
      </c>
      <c r="AR528" s="417">
        <v>0.3</v>
      </c>
      <c r="AS528" s="417"/>
      <c r="AT528" s="417"/>
      <c r="AU528" s="417"/>
      <c r="AV528" s="417"/>
      <c r="AW528" s="417"/>
      <c r="AX528" s="417"/>
      <c r="AY528" s="183" t="s">
        <v>4245</v>
      </c>
      <c r="AZ528" s="417"/>
      <c r="BA528" s="417"/>
      <c r="BB528" t="s">
        <v>4238</v>
      </c>
      <c r="BC528" s="636"/>
      <c r="BD528" s="417"/>
      <c r="BE528" s="612"/>
      <c r="BF528" s="613"/>
      <c r="BG528" s="614"/>
      <c r="BH528" s="682"/>
      <c r="BI528" s="417"/>
      <c r="BJ528" s="417">
        <v>9</v>
      </c>
      <c r="BK528" s="682" t="str">
        <f>Техкарта[[#This Row],[Кв-л]]&amp;" кв ("&amp;Substring(Техкарта[[#This Row],[Виділ]],"_",1)&amp;" вид) "&amp;Substring(Техкарта[[#This Row],[Виділ]],"_",2)&amp;" діл."</f>
        <v>123 кв (5 вид) 0 діл.</v>
      </c>
      <c r="BL528" s="682" t="str">
        <f>Техкарта[[#This Row],[ПолнаяДіл]] &amp;" "&amp;Техкарта[[#This Row],[ЛК]]&amp;" "&amp;Техкарта[[#This Row],[Вид рубки]]</f>
        <v>123 кв (5 вид) 0 діл. 556718 СРВ</v>
      </c>
      <c r="BM528" s="682"/>
      <c r="BN528" s="636"/>
      <c r="BO528" s="636"/>
      <c r="BP528" s="636"/>
      <c r="BQ528" s="636" t="s">
        <v>105</v>
      </c>
      <c r="BR528" s="636">
        <v>2</v>
      </c>
      <c r="BS528" s="636"/>
      <c r="BT528" s="636"/>
      <c r="BU528" s="636"/>
      <c r="BV528" s="636"/>
      <c r="BW528" s="636" t="s">
        <v>4428</v>
      </c>
      <c r="BX528" s="636"/>
      <c r="BY528" s="972"/>
    </row>
    <row r="529" spans="1:77">
      <c r="A529" s="636" t="s">
        <v>105</v>
      </c>
      <c r="B529" s="675" t="s">
        <v>116</v>
      </c>
      <c r="C529" s="687" t="s">
        <v>3588</v>
      </c>
      <c r="D529" s="675">
        <v>0</v>
      </c>
      <c r="E529" s="675" t="s">
        <v>2305</v>
      </c>
      <c r="F529" s="675">
        <v>3</v>
      </c>
      <c r="G529" s="675" t="s">
        <v>2238</v>
      </c>
      <c r="H529" s="675">
        <v>54</v>
      </c>
      <c r="I529" s="676" t="s">
        <v>3847</v>
      </c>
      <c r="J529" s="677">
        <v>1</v>
      </c>
      <c r="K529" s="683">
        <v>55</v>
      </c>
      <c r="L529" s="677">
        <v>0</v>
      </c>
      <c r="M529" s="677">
        <v>0</v>
      </c>
      <c r="N529" s="677">
        <v>3</v>
      </c>
      <c r="O529" s="677">
        <v>0</v>
      </c>
      <c r="P529" s="677">
        <v>0</v>
      </c>
      <c r="Q529" s="677">
        <v>0</v>
      </c>
      <c r="R529" s="677">
        <v>0</v>
      </c>
      <c r="S529" s="677">
        <v>1</v>
      </c>
      <c r="T529" s="677">
        <v>27</v>
      </c>
      <c r="U529" s="677">
        <v>0</v>
      </c>
      <c r="V529" s="677">
        <v>0</v>
      </c>
      <c r="W529" s="677">
        <v>0</v>
      </c>
      <c r="X529" s="678"/>
      <c r="Y529" s="682"/>
      <c r="Z529" s="680"/>
      <c r="AA529" s="681">
        <v>73.584999999999994</v>
      </c>
      <c r="AB529" s="681">
        <v>29.978000000000002</v>
      </c>
      <c r="AC529" s="417">
        <v>2</v>
      </c>
      <c r="AD529" s="417"/>
      <c r="AE529" s="682" t="s">
        <v>4457</v>
      </c>
      <c r="AF529">
        <v>1</v>
      </c>
      <c r="AG529" s="752">
        <v>43101</v>
      </c>
      <c r="AH529" s="417"/>
      <c r="AI529" s="417"/>
      <c r="AJ529" s="753">
        <v>43313</v>
      </c>
      <c r="AK529" s="417"/>
      <c r="AL529" s="637" t="s">
        <v>3470</v>
      </c>
      <c r="AM529" s="417"/>
      <c r="AN529" s="417"/>
      <c r="AO529" s="636"/>
      <c r="AP529">
        <v>556702</v>
      </c>
      <c r="AQ529" s="754">
        <v>43234</v>
      </c>
      <c r="AR529" s="417"/>
      <c r="AS529" s="417"/>
      <c r="AT529" s="417"/>
      <c r="AU529" s="417"/>
      <c r="AV529" s="417"/>
      <c r="AW529" s="417"/>
      <c r="AX529" s="417"/>
      <c r="AY529" s="183" t="s">
        <v>4245</v>
      </c>
      <c r="AZ529" s="417"/>
      <c r="BA529" s="417"/>
      <c r="BB529" t="s">
        <v>4238</v>
      </c>
      <c r="BC529" s="636"/>
      <c r="BD529" s="417"/>
      <c r="BE529" s="612">
        <v>0</v>
      </c>
      <c r="BF529" s="613">
        <v>0</v>
      </c>
      <c r="BG529" s="614" t="s">
        <v>78</v>
      </c>
      <c r="BH529" s="682"/>
      <c r="BI529" s="417"/>
      <c r="BJ529" s="417">
        <v>9</v>
      </c>
      <c r="BK529" s="682" t="str">
        <f>Техкарта[[#This Row],[Кв-л]]&amp;" кв ("&amp;Substring(Техкарта[[#This Row],[Виділ]],"_",1)&amp;" вид) "&amp;Substring(Техкарта[[#This Row],[Виділ]],"_",2)&amp;" діл."</f>
        <v>54 кв (4 вид) 1 діл.</v>
      </c>
      <c r="BL529" s="682" t="str">
        <f>Техкарта[[#This Row],[ПолнаяДіл]] &amp;" "&amp;Техкарта[[#This Row],[ЛК]]&amp;" "&amp;Техкарта[[#This Row],[Вид рубки]]</f>
        <v>54 кв (4 вид) 1 діл. 556702 рубка в охоронній зоні ЛЕП</v>
      </c>
      <c r="BM529" s="682"/>
      <c r="BN529" s="636" t="s">
        <v>3784</v>
      </c>
      <c r="BO529" s="636" t="s">
        <v>3784</v>
      </c>
      <c r="BP529" s="636" t="s">
        <v>3784</v>
      </c>
      <c r="BQ529" s="636" t="s">
        <v>105</v>
      </c>
      <c r="BR529" s="636"/>
      <c r="BS529" s="636"/>
      <c r="BT529" s="636"/>
      <c r="BU529" s="636"/>
      <c r="BV529" s="636"/>
      <c r="BW529" s="636" t="s">
        <v>4428</v>
      </c>
      <c r="BX529" s="636"/>
      <c r="BY529" s="972"/>
    </row>
    <row r="530" spans="1:77">
      <c r="A530" s="636" t="s">
        <v>105</v>
      </c>
      <c r="B530" s="675" t="s">
        <v>116</v>
      </c>
      <c r="C530" s="687" t="s">
        <v>3588</v>
      </c>
      <c r="D530" s="675">
        <v>0</v>
      </c>
      <c r="E530" s="675" t="s">
        <v>2305</v>
      </c>
      <c r="F530" s="675">
        <v>3</v>
      </c>
      <c r="G530" s="675" t="s">
        <v>2238</v>
      </c>
      <c r="H530" s="675">
        <v>126</v>
      </c>
      <c r="I530" s="676" t="s">
        <v>3796</v>
      </c>
      <c r="J530" s="677">
        <v>1</v>
      </c>
      <c r="K530" s="683">
        <v>86</v>
      </c>
      <c r="L530" s="677">
        <v>0</v>
      </c>
      <c r="M530" s="677">
        <v>0</v>
      </c>
      <c r="N530" s="677">
        <v>2</v>
      </c>
      <c r="O530" s="677">
        <v>0</v>
      </c>
      <c r="P530" s="677">
        <v>0</v>
      </c>
      <c r="Q530" s="677">
        <v>0</v>
      </c>
      <c r="R530" s="677">
        <v>0</v>
      </c>
      <c r="S530" s="677">
        <v>9</v>
      </c>
      <c r="T530" s="677">
        <v>4</v>
      </c>
      <c r="U530" s="677">
        <v>0</v>
      </c>
      <c r="V530" s="677">
        <v>0</v>
      </c>
      <c r="W530" s="677">
        <v>0</v>
      </c>
      <c r="X530" s="678"/>
      <c r="Y530" s="682"/>
      <c r="Z530" s="680"/>
      <c r="AA530" s="681">
        <v>104.471</v>
      </c>
      <c r="AB530" s="681">
        <v>29.978000000000002</v>
      </c>
      <c r="AC530" s="417">
        <v>2</v>
      </c>
      <c r="AD530" s="417"/>
      <c r="AE530" s="682" t="s">
        <v>4458</v>
      </c>
      <c r="AF530">
        <v>1</v>
      </c>
      <c r="AG530" s="752">
        <v>43101</v>
      </c>
      <c r="AH530" s="417"/>
      <c r="AI530" s="417"/>
      <c r="AJ530" s="753">
        <v>43313</v>
      </c>
      <c r="AK530" s="417"/>
      <c r="AL530" s="637" t="s">
        <v>3470</v>
      </c>
      <c r="AM530" s="417"/>
      <c r="AN530" s="417"/>
      <c r="AO530" s="636"/>
      <c r="AP530">
        <v>556702</v>
      </c>
      <c r="AQ530" s="754">
        <v>43234</v>
      </c>
      <c r="AR530" s="417"/>
      <c r="AS530" s="417"/>
      <c r="AT530" s="417"/>
      <c r="AU530" s="417"/>
      <c r="AV530" s="417"/>
      <c r="AW530" s="417"/>
      <c r="AX530" s="417"/>
      <c r="AY530" s="183" t="s">
        <v>4245</v>
      </c>
      <c r="AZ530" s="417"/>
      <c r="BA530" s="417"/>
      <c r="BB530" t="s">
        <v>4238</v>
      </c>
      <c r="BC530" s="636"/>
      <c r="BD530" s="417"/>
      <c r="BE530" s="612">
        <v>0</v>
      </c>
      <c r="BF530" s="613">
        <v>0</v>
      </c>
      <c r="BG530" s="614" t="s">
        <v>78</v>
      </c>
      <c r="BH530" s="682"/>
      <c r="BI530" s="417"/>
      <c r="BJ530" s="417">
        <v>3</v>
      </c>
      <c r="BK530" s="682" t="str">
        <f>Техкарта[[#This Row],[Кв-л]]&amp;" кв ("&amp;Substring(Техкарта[[#This Row],[Виділ]],"_",1)&amp;" вид) "&amp;Substring(Техкарта[[#This Row],[Виділ]],"_",2)&amp;" діл."</f>
        <v>126 кв (5 вид) 1 діл.</v>
      </c>
      <c r="BL530" s="682" t="str">
        <f>Техкарта[[#This Row],[ПолнаяДіл]] &amp;" "&amp;Техкарта[[#This Row],[ЛК]]&amp;" "&amp;Техкарта[[#This Row],[Вид рубки]]</f>
        <v>126 кв (5 вид) 1 діл. 556702 рубка в охоронній зоні ЛЕП</v>
      </c>
      <c r="BM530" s="682"/>
      <c r="BN530" s="636" t="s">
        <v>3784</v>
      </c>
      <c r="BO530" s="636" t="s">
        <v>3784</v>
      </c>
      <c r="BP530" s="636" t="s">
        <v>3784</v>
      </c>
      <c r="BQ530" s="636" t="s">
        <v>105</v>
      </c>
      <c r="BR530" s="636"/>
      <c r="BS530" s="636"/>
      <c r="BT530" s="636"/>
      <c r="BU530" s="636"/>
      <c r="BV530" s="636"/>
      <c r="BW530" s="636" t="s">
        <v>4428</v>
      </c>
      <c r="BX530" s="636"/>
      <c r="BY530" s="972"/>
    </row>
    <row r="531" spans="1:77">
      <c r="A531" s="636" t="s">
        <v>104</v>
      </c>
      <c r="B531" s="675" t="s">
        <v>116</v>
      </c>
      <c r="C531" s="687" t="s">
        <v>104</v>
      </c>
      <c r="D531" s="675">
        <v>0</v>
      </c>
      <c r="E531" s="675" t="s">
        <v>2305</v>
      </c>
      <c r="F531" s="675">
        <v>2</v>
      </c>
      <c r="G531" s="675" t="s">
        <v>2238</v>
      </c>
      <c r="H531" s="675">
        <v>16</v>
      </c>
      <c r="I531" s="676" t="s">
        <v>4032</v>
      </c>
      <c r="J531" s="677">
        <v>1.8</v>
      </c>
      <c r="K531" s="683">
        <v>647</v>
      </c>
      <c r="L531" s="677">
        <v>0</v>
      </c>
      <c r="M531" s="677">
        <v>44</v>
      </c>
      <c r="N531" s="677">
        <v>162</v>
      </c>
      <c r="O531" s="677">
        <v>0</v>
      </c>
      <c r="P531" s="677">
        <v>0</v>
      </c>
      <c r="Q531" s="677">
        <v>30</v>
      </c>
      <c r="R531" s="677">
        <v>52</v>
      </c>
      <c r="S531" s="677">
        <v>36</v>
      </c>
      <c r="T531" s="677">
        <v>128</v>
      </c>
      <c r="U531" s="677">
        <v>18</v>
      </c>
      <c r="V531" s="677">
        <v>30</v>
      </c>
      <c r="W531" s="677">
        <v>86</v>
      </c>
      <c r="X531" s="678"/>
      <c r="Y531" s="682"/>
      <c r="Z531" s="680"/>
      <c r="AA531" s="681">
        <v>67.718999999999994</v>
      </c>
      <c r="AB531" s="681">
        <v>28.788</v>
      </c>
      <c r="AC531" s="417">
        <v>44</v>
      </c>
      <c r="AD531" s="417"/>
      <c r="AE531" s="682" t="s">
        <v>4459</v>
      </c>
      <c r="AF531">
        <v>1</v>
      </c>
      <c r="AG531" s="752">
        <v>43101</v>
      </c>
      <c r="AH531" s="417"/>
      <c r="AI531" s="417"/>
      <c r="AJ531" s="753">
        <v>43325</v>
      </c>
      <c r="AK531" s="417"/>
      <c r="AL531" s="637" t="s">
        <v>3477</v>
      </c>
      <c r="AM531" s="417"/>
      <c r="AN531" s="417"/>
      <c r="AO531" s="636"/>
      <c r="AP531">
        <v>556618</v>
      </c>
      <c r="AQ531" s="754">
        <v>43077</v>
      </c>
      <c r="AR531" s="417"/>
      <c r="AS531" s="417"/>
      <c r="AT531" s="417"/>
      <c r="AU531" s="417"/>
      <c r="AV531" s="417"/>
      <c r="AW531" s="417"/>
      <c r="AX531" s="417"/>
      <c r="AY531" s="183" t="s">
        <v>4245</v>
      </c>
      <c r="AZ531" s="417"/>
      <c r="BA531" s="417"/>
      <c r="BB531" t="s">
        <v>4238</v>
      </c>
      <c r="BC531" s="636"/>
      <c r="BD531" s="417"/>
      <c r="BE531" s="612">
        <v>5</v>
      </c>
      <c r="BF531" s="613">
        <v>40</v>
      </c>
      <c r="BG531" s="614" t="s">
        <v>78</v>
      </c>
      <c r="BH531" s="682"/>
      <c r="BI531" s="417"/>
      <c r="BJ531" s="417">
        <v>1</v>
      </c>
      <c r="BK531" s="682" t="str">
        <f>Техкарта[[#This Row],[Кв-л]]&amp;" кв ("&amp;Substring(Техкарта[[#This Row],[Виділ]],"_",1)&amp;" вид) "&amp;Substring(Техкарта[[#This Row],[Виділ]],"_",2)&amp;" діл."</f>
        <v>16 кв (3 вид) 1 діл.</v>
      </c>
      <c r="BL531" s="682" t="str">
        <f>Техкарта[[#This Row],[ПолнаяДіл]] &amp;" "&amp;Техкарта[[#This Row],[ЛК]]&amp;" "&amp;Техкарта[[#This Row],[Вид рубки]]</f>
        <v>16 кв (3 вид) 1 діл. 556618 РГК</v>
      </c>
      <c r="BM531" s="682"/>
      <c r="BN531" s="636" t="s">
        <v>3784</v>
      </c>
      <c r="BO531" s="636" t="s">
        <v>3784</v>
      </c>
      <c r="BP531" s="636" t="s">
        <v>3784</v>
      </c>
      <c r="BQ531" s="636" t="s">
        <v>104</v>
      </c>
      <c r="BR531" s="636"/>
      <c r="BS531" s="636"/>
      <c r="BT531" s="636"/>
      <c r="BU531" s="636"/>
      <c r="BV531" s="636"/>
      <c r="BW531" s="636" t="s">
        <v>4460</v>
      </c>
      <c r="BX531" s="636"/>
      <c r="BY531" s="972"/>
    </row>
    <row r="532" spans="1:77">
      <c r="A532" s="636" t="s">
        <v>105</v>
      </c>
      <c r="B532" s="675" t="s">
        <v>116</v>
      </c>
      <c r="C532" s="687" t="s">
        <v>126</v>
      </c>
      <c r="D532" s="675">
        <v>0</v>
      </c>
      <c r="E532" s="675" t="s">
        <v>2311</v>
      </c>
      <c r="F532" s="675">
        <v>5</v>
      </c>
      <c r="G532" s="675" t="s">
        <v>79</v>
      </c>
      <c r="H532" s="675">
        <v>67</v>
      </c>
      <c r="I532" s="676" t="s">
        <v>3847</v>
      </c>
      <c r="J532" s="677">
        <v>8.6</v>
      </c>
      <c r="K532" s="683">
        <v>425</v>
      </c>
      <c r="L532" s="677"/>
      <c r="M532" s="677">
        <v>25</v>
      </c>
      <c r="N532" s="677">
        <v>1</v>
      </c>
      <c r="O532" s="677"/>
      <c r="P532" s="677"/>
      <c r="Q532" s="677">
        <v>0</v>
      </c>
      <c r="R532" s="677"/>
      <c r="S532" s="677">
        <v>0</v>
      </c>
      <c r="T532" s="677">
        <v>0</v>
      </c>
      <c r="U532" s="677">
        <v>4</v>
      </c>
      <c r="V532" s="677">
        <v>174</v>
      </c>
      <c r="W532" s="677">
        <v>30</v>
      </c>
      <c r="X532" s="678"/>
      <c r="Y532" s="682"/>
      <c r="Z532" s="680"/>
      <c r="AA532" s="681">
        <v>85.44</v>
      </c>
      <c r="AB532" s="681"/>
      <c r="AC532" s="417">
        <v>26</v>
      </c>
      <c r="AD532" s="417"/>
      <c r="AE532" s="682" t="s">
        <v>4392</v>
      </c>
      <c r="AF532">
        <v>1</v>
      </c>
      <c r="AG532" s="755">
        <v>43101</v>
      </c>
      <c r="AH532" s="417"/>
      <c r="AI532" s="417"/>
      <c r="AJ532" s="756">
        <v>43297</v>
      </c>
      <c r="AK532" s="417"/>
      <c r="AL532" s="637" t="s">
        <v>3475</v>
      </c>
      <c r="AM532" s="417"/>
      <c r="AN532" s="417"/>
      <c r="AO532" s="636"/>
      <c r="AP532">
        <v>556715</v>
      </c>
      <c r="AQ532" s="757">
        <v>43297</v>
      </c>
      <c r="AR532" s="417">
        <v>0.3</v>
      </c>
      <c r="AS532" s="417"/>
      <c r="AT532" s="417"/>
      <c r="AU532" s="417"/>
      <c r="AV532" s="417"/>
      <c r="AW532" s="417"/>
      <c r="AX532" s="417"/>
      <c r="AY532" s="183" t="s">
        <v>4245</v>
      </c>
      <c r="AZ532" s="417"/>
      <c r="BA532" s="417"/>
      <c r="BB532" t="s">
        <v>4238</v>
      </c>
      <c r="BC532" s="636"/>
      <c r="BD532" s="417"/>
      <c r="BE532" s="612"/>
      <c r="BF532" s="613"/>
      <c r="BG532" s="614"/>
      <c r="BH532" s="682"/>
      <c r="BI532" s="417"/>
      <c r="BJ532" s="417">
        <v>10</v>
      </c>
      <c r="BK532" s="682" t="str">
        <f>Техкарта[[#This Row],[Кв-л]]&amp;" кв ("&amp;Substring(Техкарта[[#This Row],[Виділ]],"_",1)&amp;" вид) "&amp;Substring(Техкарта[[#This Row],[Виділ]],"_",2)&amp;" діл."</f>
        <v>67 кв (4 вид) 1 діл.</v>
      </c>
      <c r="BL532" s="682" t="str">
        <f>Техкарта[[#This Row],[ПолнаяДіл]] &amp;" "&amp;Техкарта[[#This Row],[ЛК]]&amp;" "&amp;Техкарта[[#This Row],[Вид рубки]]</f>
        <v>67 кв (4 вид) 1 діл. 556715 СРВ</v>
      </c>
      <c r="BM532" s="682"/>
      <c r="BN532" s="636"/>
      <c r="BO532" s="636"/>
      <c r="BP532" s="636"/>
      <c r="BQ532" s="636" t="s">
        <v>105</v>
      </c>
      <c r="BR532" s="636">
        <v>2</v>
      </c>
      <c r="BS532" s="636"/>
      <c r="BT532" s="636"/>
      <c r="BU532" s="636"/>
      <c r="BV532" s="636"/>
      <c r="BW532" s="636" t="s">
        <v>4460</v>
      </c>
      <c r="BX532" s="636"/>
      <c r="BY532" s="972"/>
    </row>
    <row r="533" spans="1:77">
      <c r="A533" s="636" t="s">
        <v>105</v>
      </c>
      <c r="B533" s="675" t="s">
        <v>114</v>
      </c>
      <c r="C533" s="687" t="s">
        <v>126</v>
      </c>
      <c r="D533" s="675">
        <v>0</v>
      </c>
      <c r="E533" s="675" t="s">
        <v>2311</v>
      </c>
      <c r="F533" s="675">
        <v>3</v>
      </c>
      <c r="G533" s="675" t="s">
        <v>79</v>
      </c>
      <c r="H533" s="675">
        <v>31</v>
      </c>
      <c r="I533" s="676" t="s">
        <v>3831</v>
      </c>
      <c r="J533" s="677">
        <v>16</v>
      </c>
      <c r="K533" s="683">
        <v>307</v>
      </c>
      <c r="L533" s="677"/>
      <c r="M533" s="677">
        <v>0</v>
      </c>
      <c r="N533" s="677">
        <v>79</v>
      </c>
      <c r="O533" s="677"/>
      <c r="P533" s="677"/>
      <c r="Q533" s="677">
        <v>0</v>
      </c>
      <c r="R533" s="677"/>
      <c r="S533" s="677">
        <v>0</v>
      </c>
      <c r="T533" s="677">
        <v>0</v>
      </c>
      <c r="U533" s="677">
        <v>0</v>
      </c>
      <c r="V533" s="677">
        <v>0</v>
      </c>
      <c r="W533" s="677">
        <v>176</v>
      </c>
      <c r="X533" s="678"/>
      <c r="Y533" s="682"/>
      <c r="Z533" s="680"/>
      <c r="AA533" s="681">
        <v>63.709000000000003</v>
      </c>
      <c r="AB533" s="681"/>
      <c r="AC533" s="417">
        <v>15</v>
      </c>
      <c r="AD533" s="417"/>
      <c r="AE533" s="682" t="s">
        <v>4461</v>
      </c>
      <c r="AF533">
        <v>1</v>
      </c>
      <c r="AG533" s="758">
        <v>43101</v>
      </c>
      <c r="AH533" s="417"/>
      <c r="AI533" s="417"/>
      <c r="AJ533" s="759">
        <v>43361</v>
      </c>
      <c r="AK533" s="417"/>
      <c r="AL533" s="637" t="s">
        <v>3448</v>
      </c>
      <c r="AM533" s="417"/>
      <c r="AN533" s="417"/>
      <c r="AO533" s="636"/>
      <c r="AP533">
        <v>556684</v>
      </c>
      <c r="AQ533" s="760">
        <v>43361</v>
      </c>
      <c r="AR533" s="417">
        <v>0.3</v>
      </c>
      <c r="AS533" s="417"/>
      <c r="AT533" s="417"/>
      <c r="AU533" s="417"/>
      <c r="AV533" s="417"/>
      <c r="AW533" s="417"/>
      <c r="AX533" s="417"/>
      <c r="AY533" s="183" t="s">
        <v>3424</v>
      </c>
      <c r="AZ533" s="417"/>
      <c r="BA533" s="417"/>
      <c r="BB533" t="s">
        <v>3583</v>
      </c>
      <c r="BC533" s="636"/>
      <c r="BD533" s="417"/>
      <c r="BE533" s="612"/>
      <c r="BF533" s="613"/>
      <c r="BG533" s="614"/>
      <c r="BH533" s="682"/>
      <c r="BI533" s="417"/>
      <c r="BJ533" s="417">
        <v>1</v>
      </c>
      <c r="BK533" s="682" t="str">
        <f>Техкарта[[#This Row],[Кв-л]]&amp;" кв ("&amp;Substring(Техкарта[[#This Row],[Виділ]],"_",1)&amp;" вид) "&amp;Substring(Техкарта[[#This Row],[Виділ]],"_",2)&amp;" діл."</f>
        <v>31 кв (4 вид) 0 діл.</v>
      </c>
      <c r="BL533" s="682" t="str">
        <f>Техкарта[[#This Row],[ПолнаяДіл]] &amp;" "&amp;Техкарта[[#This Row],[ЛК]]&amp;" "&amp;Техкарта[[#This Row],[Вид рубки]]</f>
        <v>31 кв (4 вид) 0 діл. 556684 СРВ</v>
      </c>
      <c r="BM533" s="682"/>
      <c r="BN533" s="636"/>
      <c r="BO533" s="636"/>
      <c r="BP533" s="636"/>
      <c r="BQ533" s="636" t="s">
        <v>105</v>
      </c>
      <c r="BR533" s="636">
        <v>2</v>
      </c>
      <c r="BS533" s="636"/>
      <c r="BT533" s="636"/>
      <c r="BU533" s="636"/>
      <c r="BV533" s="636"/>
      <c r="BW533" s="636" t="s">
        <v>4460</v>
      </c>
      <c r="BX533" s="636"/>
      <c r="BY533" s="972"/>
    </row>
    <row r="534" spans="1:77">
      <c r="A534" s="636" t="s">
        <v>105</v>
      </c>
      <c r="B534" s="675" t="s">
        <v>114</v>
      </c>
      <c r="C534" s="687" t="s">
        <v>126</v>
      </c>
      <c r="D534" s="675">
        <v>0</v>
      </c>
      <c r="E534" s="675" t="s">
        <v>2311</v>
      </c>
      <c r="F534" s="675">
        <v>3</v>
      </c>
      <c r="G534" s="675" t="s">
        <v>79</v>
      </c>
      <c r="H534" s="675">
        <v>79</v>
      </c>
      <c r="I534" s="676" t="s">
        <v>3794</v>
      </c>
      <c r="J534" s="677">
        <v>1</v>
      </c>
      <c r="K534" s="683">
        <v>82</v>
      </c>
      <c r="L534" s="677"/>
      <c r="M534" s="677">
        <v>0</v>
      </c>
      <c r="N534" s="677">
        <v>2</v>
      </c>
      <c r="O534" s="677"/>
      <c r="P534" s="677"/>
      <c r="Q534" s="677">
        <v>0</v>
      </c>
      <c r="R534" s="677"/>
      <c r="S534" s="677">
        <v>0</v>
      </c>
      <c r="T534" s="677">
        <v>0</v>
      </c>
      <c r="U534" s="677">
        <v>0</v>
      </c>
      <c r="V534" s="677">
        <v>0</v>
      </c>
      <c r="W534" s="677">
        <v>36</v>
      </c>
      <c r="X534" s="678"/>
      <c r="Y534" s="682"/>
      <c r="Z534" s="680"/>
      <c r="AA534" s="681">
        <v>78.510999999999996</v>
      </c>
      <c r="AB534" s="681"/>
      <c r="AC534" s="417">
        <v>3</v>
      </c>
      <c r="AD534" s="417"/>
      <c r="AE534" s="682" t="s">
        <v>4462</v>
      </c>
      <c r="AF534">
        <v>1</v>
      </c>
      <c r="AG534" s="758">
        <v>43101</v>
      </c>
      <c r="AH534" s="417"/>
      <c r="AI534" s="417"/>
      <c r="AJ534" s="759">
        <v>43361</v>
      </c>
      <c r="AK534" s="417"/>
      <c r="AL534" s="637" t="s">
        <v>3448</v>
      </c>
      <c r="AM534" s="417"/>
      <c r="AN534" s="417"/>
      <c r="AO534" s="636"/>
      <c r="AP534">
        <v>556684</v>
      </c>
      <c r="AQ534" s="760">
        <v>43361</v>
      </c>
      <c r="AR534" s="417">
        <v>0.3</v>
      </c>
      <c r="AS534" s="417"/>
      <c r="AT534" s="417"/>
      <c r="AU534" s="417"/>
      <c r="AV534" s="417"/>
      <c r="AW534" s="417"/>
      <c r="AX534" s="417"/>
      <c r="AY534" s="183" t="s">
        <v>3424</v>
      </c>
      <c r="AZ534" s="417"/>
      <c r="BA534" s="417"/>
      <c r="BB534" t="s">
        <v>3583</v>
      </c>
      <c r="BC534" s="636"/>
      <c r="BD534" s="417"/>
      <c r="BE534" s="612"/>
      <c r="BF534" s="613"/>
      <c r="BG534" s="614"/>
      <c r="BH534" s="682"/>
      <c r="BI534" s="417"/>
      <c r="BJ534" s="417">
        <v>2</v>
      </c>
      <c r="BK534" s="682" t="str">
        <f>Техкарта[[#This Row],[Кв-л]]&amp;" кв ("&amp;Substring(Техкарта[[#This Row],[Виділ]],"_",1)&amp;" вид) "&amp;Substring(Техкарта[[#This Row],[Виділ]],"_",2)&amp;" діл."</f>
        <v>79 кв (11 вид) 0 діл.</v>
      </c>
      <c r="BL534" s="682" t="str">
        <f>Техкарта[[#This Row],[ПолнаяДіл]] &amp;" "&amp;Техкарта[[#This Row],[ЛК]]&amp;" "&amp;Техкарта[[#This Row],[Вид рубки]]</f>
        <v>79 кв (11 вид) 0 діл. 556684 СРВ</v>
      </c>
      <c r="BM534" s="682"/>
      <c r="BN534" s="636"/>
      <c r="BO534" s="636"/>
      <c r="BP534" s="636"/>
      <c r="BQ534" s="636" t="s">
        <v>105</v>
      </c>
      <c r="BR534" s="636">
        <v>2</v>
      </c>
      <c r="BS534" s="636"/>
      <c r="BT534" s="636"/>
      <c r="BU534" s="636"/>
      <c r="BV534" s="636"/>
      <c r="BW534" s="636" t="s">
        <v>4460</v>
      </c>
      <c r="BX534" s="636"/>
      <c r="BY534" s="972"/>
    </row>
    <row r="535" spans="1:77">
      <c r="A535" s="636" t="s">
        <v>105</v>
      </c>
      <c r="B535" s="675" t="s">
        <v>116</v>
      </c>
      <c r="C535" s="687" t="s">
        <v>126</v>
      </c>
      <c r="D535" s="675">
        <v>0</v>
      </c>
      <c r="E535" s="675" t="s">
        <v>2311</v>
      </c>
      <c r="F535" s="675">
        <v>3</v>
      </c>
      <c r="G535" s="675" t="s">
        <v>79</v>
      </c>
      <c r="H535" s="675">
        <v>65</v>
      </c>
      <c r="I535" s="676" t="s">
        <v>3829</v>
      </c>
      <c r="J535" s="677">
        <v>11.5</v>
      </c>
      <c r="K535" s="683">
        <v>817</v>
      </c>
      <c r="L535" s="677"/>
      <c r="M535" s="677">
        <v>49</v>
      </c>
      <c r="N535" s="677">
        <v>0</v>
      </c>
      <c r="O535" s="677"/>
      <c r="P535" s="677"/>
      <c r="Q535" s="677">
        <v>0</v>
      </c>
      <c r="R535" s="677"/>
      <c r="S535" s="677">
        <v>371</v>
      </c>
      <c r="T535" s="677">
        <v>0</v>
      </c>
      <c r="U535" s="677">
        <v>0</v>
      </c>
      <c r="V535" s="677">
        <v>0</v>
      </c>
      <c r="W535" s="677">
        <v>0</v>
      </c>
      <c r="X535" s="678"/>
      <c r="Y535" s="682"/>
      <c r="Z535" s="680"/>
      <c r="AA535" s="681">
        <v>66.614000000000004</v>
      </c>
      <c r="AB535" s="681"/>
      <c r="AC535" s="417">
        <v>51</v>
      </c>
      <c r="AD535" s="417"/>
      <c r="AE535" s="682" t="s">
        <v>4463</v>
      </c>
      <c r="AF535">
        <v>1</v>
      </c>
      <c r="AG535" s="758">
        <v>43101</v>
      </c>
      <c r="AH535" s="417"/>
      <c r="AI535" s="417"/>
      <c r="AJ535" s="759">
        <v>43353</v>
      </c>
      <c r="AK535" s="417"/>
      <c r="AL535" s="637" t="s">
        <v>3470</v>
      </c>
      <c r="AM535" s="417"/>
      <c r="AN535" s="417"/>
      <c r="AO535" s="636"/>
      <c r="AP535">
        <v>556683</v>
      </c>
      <c r="AQ535" s="760">
        <v>43353</v>
      </c>
      <c r="AR535" s="417">
        <v>0.3</v>
      </c>
      <c r="AS535" s="417"/>
      <c r="AT535" s="417"/>
      <c r="AU535" s="417"/>
      <c r="AV535" s="417"/>
      <c r="AW535" s="417"/>
      <c r="AX535" s="417"/>
      <c r="AY535" s="183" t="s">
        <v>4245</v>
      </c>
      <c r="AZ535" s="417"/>
      <c r="BA535" s="417"/>
      <c r="BB535" t="s">
        <v>4238</v>
      </c>
      <c r="BC535" s="636"/>
      <c r="BD535" s="417"/>
      <c r="BE535" s="612"/>
      <c r="BF535" s="613"/>
      <c r="BG535" s="614"/>
      <c r="BH535" s="682"/>
      <c r="BI535" s="417"/>
      <c r="BJ535" s="417">
        <v>21</v>
      </c>
      <c r="BK535" s="682" t="str">
        <f>Техкарта[[#This Row],[Кв-л]]&amp;" кв ("&amp;Substring(Техкарта[[#This Row],[Виділ]],"_",1)&amp;" вид) "&amp;Substring(Техкарта[[#This Row],[Виділ]],"_",2)&amp;" діл."</f>
        <v>65 кв (3 вид) 0 діл.</v>
      </c>
      <c r="BL535" s="682" t="str">
        <f>Техкарта[[#This Row],[ПолнаяДіл]] &amp;" "&amp;Техкарта[[#This Row],[ЛК]]&amp;" "&amp;Техкарта[[#This Row],[Вид рубки]]</f>
        <v>65 кв (3 вид) 0 діл. 556683 СРВ</v>
      </c>
      <c r="BM535" s="682"/>
      <c r="BN535" s="636"/>
      <c r="BO535" s="636"/>
      <c r="BP535" s="636"/>
      <c r="BQ535" s="636" t="s">
        <v>105</v>
      </c>
      <c r="BR535" s="636">
        <v>2</v>
      </c>
      <c r="BS535" s="636"/>
      <c r="BT535" s="636"/>
      <c r="BU535" s="636"/>
      <c r="BV535" s="636"/>
      <c r="BW535" s="636" t="s">
        <v>4460</v>
      </c>
      <c r="BX535" s="636"/>
      <c r="BY535" s="972"/>
    </row>
    <row r="536" spans="1:77">
      <c r="A536" s="636" t="s">
        <v>105</v>
      </c>
      <c r="B536" s="675" t="s">
        <v>116</v>
      </c>
      <c r="C536" s="687" t="s">
        <v>126</v>
      </c>
      <c r="D536" s="675">
        <v>0</v>
      </c>
      <c r="E536" s="675" t="s">
        <v>2311</v>
      </c>
      <c r="F536" s="675">
        <v>3</v>
      </c>
      <c r="G536" s="675" t="s">
        <v>79</v>
      </c>
      <c r="H536" s="675">
        <v>80</v>
      </c>
      <c r="I536" s="676" t="s">
        <v>3789</v>
      </c>
      <c r="J536" s="677">
        <v>0.3</v>
      </c>
      <c r="K536" s="683">
        <v>23</v>
      </c>
      <c r="L536" s="677"/>
      <c r="M536" s="677">
        <v>1</v>
      </c>
      <c r="N536" s="677">
        <v>0</v>
      </c>
      <c r="O536" s="677"/>
      <c r="P536" s="677"/>
      <c r="Q536" s="677">
        <v>0</v>
      </c>
      <c r="R536" s="677"/>
      <c r="S536" s="677">
        <v>4</v>
      </c>
      <c r="T536" s="677">
        <v>0</v>
      </c>
      <c r="U536" s="677">
        <v>0</v>
      </c>
      <c r="V536" s="677">
        <v>0</v>
      </c>
      <c r="W536" s="677">
        <v>0</v>
      </c>
      <c r="X536" s="678"/>
      <c r="Y536" s="682"/>
      <c r="Z536" s="680"/>
      <c r="AA536" s="681">
        <v>90.1</v>
      </c>
      <c r="AB536" s="681"/>
      <c r="AC536" s="417">
        <v>1</v>
      </c>
      <c r="AD536" s="417"/>
      <c r="AE536" s="682" t="s">
        <v>4464</v>
      </c>
      <c r="AF536">
        <v>1</v>
      </c>
      <c r="AG536" s="758">
        <v>43101</v>
      </c>
      <c r="AH536" s="417"/>
      <c r="AI536" s="417"/>
      <c r="AJ536" s="759">
        <v>43353</v>
      </c>
      <c r="AK536" s="417"/>
      <c r="AL536" s="637" t="s">
        <v>3455</v>
      </c>
      <c r="AM536" s="417"/>
      <c r="AN536" s="417"/>
      <c r="AO536" s="636"/>
      <c r="AP536">
        <v>556683</v>
      </c>
      <c r="AQ536" s="760">
        <v>43353</v>
      </c>
      <c r="AR536" s="417">
        <v>0.3</v>
      </c>
      <c r="AS536" s="417"/>
      <c r="AT536" s="417"/>
      <c r="AU536" s="417"/>
      <c r="AV536" s="417"/>
      <c r="AW536" s="417"/>
      <c r="AX536" s="417"/>
      <c r="AY536" s="183" t="s">
        <v>4245</v>
      </c>
      <c r="AZ536" s="417"/>
      <c r="BA536" s="417"/>
      <c r="BB536" t="s">
        <v>4238</v>
      </c>
      <c r="BC536" s="636"/>
      <c r="BD536" s="417"/>
      <c r="BE536" s="612"/>
      <c r="BF536" s="613"/>
      <c r="BG536" s="614"/>
      <c r="BH536" s="682"/>
      <c r="BI536" s="417"/>
      <c r="BJ536" s="417">
        <v>22</v>
      </c>
      <c r="BK536" s="682" t="str">
        <f>Техкарта[[#This Row],[Кв-л]]&amp;" кв ("&amp;Substring(Техкарта[[#This Row],[Виділ]],"_",1)&amp;" вид) "&amp;Substring(Техкарта[[#This Row],[Виділ]],"_",2)&amp;" діл."</f>
        <v>80 кв (10 вид) 0 діл.</v>
      </c>
      <c r="BL536" s="682" t="str">
        <f>Техкарта[[#This Row],[ПолнаяДіл]] &amp;" "&amp;Техкарта[[#This Row],[ЛК]]&amp;" "&amp;Техкарта[[#This Row],[Вид рубки]]</f>
        <v>80 кв (10 вид) 0 діл. 556683 СРВ</v>
      </c>
      <c r="BM536" s="682"/>
      <c r="BN536" s="636"/>
      <c r="BO536" s="636"/>
      <c r="BP536" s="636"/>
      <c r="BQ536" s="636" t="s">
        <v>105</v>
      </c>
      <c r="BR536" s="636">
        <v>2</v>
      </c>
      <c r="BS536" s="636"/>
      <c r="BT536" s="636"/>
      <c r="BU536" s="636"/>
      <c r="BV536" s="636"/>
      <c r="BW536" s="636" t="s">
        <v>4460</v>
      </c>
      <c r="BX536" s="636"/>
      <c r="BY536" s="972"/>
    </row>
    <row r="537" spans="1:77">
      <c r="A537" s="636" t="s">
        <v>105</v>
      </c>
      <c r="B537" s="675" t="s">
        <v>116</v>
      </c>
      <c r="C537" s="687" t="s">
        <v>126</v>
      </c>
      <c r="D537" s="675">
        <v>0</v>
      </c>
      <c r="E537" s="675" t="s">
        <v>2311</v>
      </c>
      <c r="F537" s="675">
        <v>3</v>
      </c>
      <c r="G537" s="675" t="s">
        <v>79</v>
      </c>
      <c r="H537" s="675">
        <v>80</v>
      </c>
      <c r="I537" s="676" t="s">
        <v>3832</v>
      </c>
      <c r="J537" s="677">
        <v>3</v>
      </c>
      <c r="K537" s="683">
        <v>308</v>
      </c>
      <c r="L537" s="677"/>
      <c r="M537" s="677">
        <v>15</v>
      </c>
      <c r="N537" s="677">
        <v>0</v>
      </c>
      <c r="O537" s="677"/>
      <c r="P537" s="677"/>
      <c r="Q537" s="677">
        <v>0</v>
      </c>
      <c r="R537" s="677"/>
      <c r="S537" s="677">
        <v>83</v>
      </c>
      <c r="T537" s="677">
        <v>0</v>
      </c>
      <c r="U537" s="677">
        <v>0</v>
      </c>
      <c r="V537" s="677">
        <v>0</v>
      </c>
      <c r="W537" s="677">
        <v>0</v>
      </c>
      <c r="X537" s="678"/>
      <c r="Y537" s="682"/>
      <c r="Z537" s="680"/>
      <c r="AA537" s="681">
        <v>74.350999999999999</v>
      </c>
      <c r="AB537" s="681"/>
      <c r="AC537" s="417">
        <v>14</v>
      </c>
      <c r="AD537" s="417"/>
      <c r="AE537" s="682" t="s">
        <v>4465</v>
      </c>
      <c r="AF537">
        <v>1</v>
      </c>
      <c r="AG537" s="758">
        <v>43101</v>
      </c>
      <c r="AH537" s="417"/>
      <c r="AI537" s="417"/>
      <c r="AJ537" s="759">
        <v>43353</v>
      </c>
      <c r="AK537" s="417"/>
      <c r="AL537" s="637" t="s">
        <v>3455</v>
      </c>
      <c r="AM537" s="417"/>
      <c r="AN537" s="417"/>
      <c r="AO537" s="636"/>
      <c r="AP537">
        <v>556683</v>
      </c>
      <c r="AQ537" s="760">
        <v>43353</v>
      </c>
      <c r="AR537" s="417">
        <v>0.3</v>
      </c>
      <c r="AS537" s="417"/>
      <c r="AT537" s="417"/>
      <c r="AU537" s="417"/>
      <c r="AV537" s="417"/>
      <c r="AW537" s="417"/>
      <c r="AX537" s="417"/>
      <c r="AY537" s="183" t="s">
        <v>4245</v>
      </c>
      <c r="AZ537" s="417"/>
      <c r="BA537" s="417"/>
      <c r="BB537" t="s">
        <v>4238</v>
      </c>
      <c r="BC537" s="636"/>
      <c r="BD537" s="417"/>
      <c r="BE537" s="612"/>
      <c r="BF537" s="613"/>
      <c r="BG537" s="614"/>
      <c r="BH537" s="682"/>
      <c r="BI537" s="417"/>
      <c r="BJ537" s="417">
        <v>23</v>
      </c>
      <c r="BK537" s="682" t="str">
        <f>Техкарта[[#This Row],[Кв-л]]&amp;" кв ("&amp;Substring(Техкарта[[#This Row],[Виділ]],"_",1)&amp;" вид) "&amp;Substring(Техкарта[[#This Row],[Виділ]],"_",2)&amp;" діл."</f>
        <v>80 кв (5 вид) 0 діл.</v>
      </c>
      <c r="BL537" s="682" t="str">
        <f>Техкарта[[#This Row],[ПолнаяДіл]] &amp;" "&amp;Техкарта[[#This Row],[ЛК]]&amp;" "&amp;Техкарта[[#This Row],[Вид рубки]]</f>
        <v>80 кв (5 вид) 0 діл. 556683 СРВ</v>
      </c>
      <c r="BM537" s="682"/>
      <c r="BN537" s="636"/>
      <c r="BO537" s="636"/>
      <c r="BP537" s="636"/>
      <c r="BQ537" s="636" t="s">
        <v>105</v>
      </c>
      <c r="BR537" s="636">
        <v>2</v>
      </c>
      <c r="BS537" s="636"/>
      <c r="BT537" s="636"/>
      <c r="BU537" s="636"/>
      <c r="BV537" s="636"/>
      <c r="BW537" s="636" t="s">
        <v>4460</v>
      </c>
      <c r="BX537" s="636"/>
      <c r="BY537" s="972"/>
    </row>
    <row r="538" spans="1:77">
      <c r="A538" s="636" t="s">
        <v>105</v>
      </c>
      <c r="B538" s="675" t="s">
        <v>116</v>
      </c>
      <c r="C538" s="687" t="s">
        <v>126</v>
      </c>
      <c r="D538" s="675">
        <v>0</v>
      </c>
      <c r="E538" s="675" t="s">
        <v>2311</v>
      </c>
      <c r="F538" s="675">
        <v>3</v>
      </c>
      <c r="G538" s="675" t="s">
        <v>79</v>
      </c>
      <c r="H538" s="675">
        <v>131</v>
      </c>
      <c r="I538" s="676" t="s">
        <v>4182</v>
      </c>
      <c r="J538" s="677">
        <v>0.6</v>
      </c>
      <c r="K538" s="683">
        <v>195</v>
      </c>
      <c r="L538" s="677"/>
      <c r="M538" s="677">
        <v>1</v>
      </c>
      <c r="N538" s="677">
        <v>0</v>
      </c>
      <c r="O538" s="677"/>
      <c r="P538" s="677"/>
      <c r="Q538" s="677">
        <v>0</v>
      </c>
      <c r="R538" s="677"/>
      <c r="S538" s="677">
        <v>35</v>
      </c>
      <c r="T538" s="677">
        <v>1</v>
      </c>
      <c r="U538" s="677">
        <v>0</v>
      </c>
      <c r="V538" s="677">
        <v>0</v>
      </c>
      <c r="W538" s="677">
        <v>0</v>
      </c>
      <c r="X538" s="678"/>
      <c r="Y538" s="682"/>
      <c r="Z538" s="680"/>
      <c r="AA538" s="681">
        <v>96.36</v>
      </c>
      <c r="AB538" s="681"/>
      <c r="AC538" s="417">
        <v>7</v>
      </c>
      <c r="AD538" s="417"/>
      <c r="AE538" s="682" t="s">
        <v>4466</v>
      </c>
      <c r="AF538">
        <v>1</v>
      </c>
      <c r="AG538" s="758">
        <v>43101</v>
      </c>
      <c r="AH538" s="417"/>
      <c r="AI538" s="417"/>
      <c r="AJ538" s="759">
        <v>43353</v>
      </c>
      <c r="AK538" s="417"/>
      <c r="AL538" s="637" t="s">
        <v>3437</v>
      </c>
      <c r="AM538" s="417"/>
      <c r="AN538" s="417"/>
      <c r="AO538" s="636"/>
      <c r="AP538">
        <v>556683</v>
      </c>
      <c r="AQ538" s="760">
        <v>43353</v>
      </c>
      <c r="AR538" s="417">
        <v>0.3</v>
      </c>
      <c r="AS538" s="417"/>
      <c r="AT538" s="417"/>
      <c r="AU538" s="417"/>
      <c r="AV538" s="417"/>
      <c r="AW538" s="417"/>
      <c r="AX538" s="417"/>
      <c r="AY538" s="183" t="s">
        <v>4245</v>
      </c>
      <c r="AZ538" s="417"/>
      <c r="BA538" s="417"/>
      <c r="BB538" t="s">
        <v>4238</v>
      </c>
      <c r="BC538" s="636"/>
      <c r="BD538" s="417"/>
      <c r="BE538" s="612"/>
      <c r="BF538" s="613"/>
      <c r="BG538" s="614"/>
      <c r="BH538" s="682"/>
      <c r="BI538" s="417"/>
      <c r="BJ538" s="417">
        <v>24</v>
      </c>
      <c r="BK538" s="682" t="str">
        <f>Техкарта[[#This Row],[Кв-л]]&amp;" кв ("&amp;Substring(Техкарта[[#This Row],[Виділ]],"_",1)&amp;" вид) "&amp;Substring(Техкарта[[#This Row],[Виділ]],"_",2)&amp;" діл."</f>
        <v>131 кв (18 вид) 0 діл.</v>
      </c>
      <c r="BL538" s="682" t="str">
        <f>Техкарта[[#This Row],[ПолнаяДіл]] &amp;" "&amp;Техкарта[[#This Row],[ЛК]]&amp;" "&amp;Техкарта[[#This Row],[Вид рубки]]</f>
        <v>131 кв (18 вид) 0 діл. 556683 СРВ</v>
      </c>
      <c r="BM538" s="682"/>
      <c r="BN538" s="636"/>
      <c r="BO538" s="636"/>
      <c r="BP538" s="636"/>
      <c r="BQ538" s="636" t="s">
        <v>105</v>
      </c>
      <c r="BR538" s="636">
        <v>2</v>
      </c>
      <c r="BS538" s="636"/>
      <c r="BT538" s="636"/>
      <c r="BU538" s="636"/>
      <c r="BV538" s="636"/>
      <c r="BW538" s="636" t="s">
        <v>4460</v>
      </c>
      <c r="BX538" s="636"/>
      <c r="BY538" s="972"/>
    </row>
    <row r="539" spans="1:77">
      <c r="A539" s="636" t="s">
        <v>105</v>
      </c>
      <c r="B539" s="675" t="s">
        <v>116</v>
      </c>
      <c r="C539" s="687" t="s">
        <v>126</v>
      </c>
      <c r="D539" s="675">
        <v>0</v>
      </c>
      <c r="E539" s="675" t="s">
        <v>2311</v>
      </c>
      <c r="F539" s="675">
        <v>3</v>
      </c>
      <c r="G539" s="675" t="s">
        <v>79</v>
      </c>
      <c r="H539" s="675">
        <v>65</v>
      </c>
      <c r="I539" s="676" t="s">
        <v>3833</v>
      </c>
      <c r="J539" s="677">
        <v>0.9</v>
      </c>
      <c r="K539" s="683">
        <v>93</v>
      </c>
      <c r="L539" s="677"/>
      <c r="M539" s="677">
        <v>2</v>
      </c>
      <c r="N539" s="677">
        <v>0</v>
      </c>
      <c r="O539" s="677"/>
      <c r="P539" s="677"/>
      <c r="Q539" s="677">
        <v>0</v>
      </c>
      <c r="R539" s="677"/>
      <c r="S539" s="677">
        <v>42</v>
      </c>
      <c r="T539" s="677">
        <v>1</v>
      </c>
      <c r="U539" s="677">
        <v>0</v>
      </c>
      <c r="V539" s="677">
        <v>0</v>
      </c>
      <c r="W539" s="677">
        <v>0</v>
      </c>
      <c r="X539" s="678"/>
      <c r="Y539" s="682"/>
      <c r="Z539" s="680"/>
      <c r="AA539" s="681">
        <v>72.328000000000003</v>
      </c>
      <c r="AB539" s="681"/>
      <c r="AC539" s="417">
        <v>3</v>
      </c>
      <c r="AD539" s="417"/>
      <c r="AE539" s="682" t="s">
        <v>4467</v>
      </c>
      <c r="AF539">
        <v>1</v>
      </c>
      <c r="AG539" s="758">
        <v>43101</v>
      </c>
      <c r="AH539" s="417"/>
      <c r="AI539" s="417"/>
      <c r="AJ539" s="759">
        <v>43353</v>
      </c>
      <c r="AK539" s="417"/>
      <c r="AL539" s="637" t="s">
        <v>3470</v>
      </c>
      <c r="AM539" s="417"/>
      <c r="AN539" s="417"/>
      <c r="AO539" s="636"/>
      <c r="AP539">
        <v>556683</v>
      </c>
      <c r="AQ539" s="760">
        <v>43353</v>
      </c>
      <c r="AR539" s="417">
        <v>0.3</v>
      </c>
      <c r="AS539" s="417"/>
      <c r="AT539" s="417"/>
      <c r="AU539" s="417"/>
      <c r="AV539" s="417"/>
      <c r="AW539" s="417"/>
      <c r="AX539" s="417"/>
      <c r="AY539" s="183" t="s">
        <v>4245</v>
      </c>
      <c r="AZ539" s="417"/>
      <c r="BA539" s="417"/>
      <c r="BB539" t="s">
        <v>4238</v>
      </c>
      <c r="BC539" s="636"/>
      <c r="BD539" s="417"/>
      <c r="BE539" s="612"/>
      <c r="BF539" s="613"/>
      <c r="BG539" s="614"/>
      <c r="BH539" s="682"/>
      <c r="BI539" s="417"/>
      <c r="BJ539" s="417">
        <v>25</v>
      </c>
      <c r="BK539" s="682" t="str">
        <f>Техкарта[[#This Row],[Кв-л]]&amp;" кв ("&amp;Substring(Техкарта[[#This Row],[Виділ]],"_",1)&amp;" вид) "&amp;Substring(Техкарта[[#This Row],[Виділ]],"_",2)&amp;" діл."</f>
        <v>65 кв (8 вид) 0 діл.</v>
      </c>
      <c r="BL539" s="682" t="str">
        <f>Техкарта[[#This Row],[ПолнаяДіл]] &amp;" "&amp;Техкарта[[#This Row],[ЛК]]&amp;" "&amp;Техкарта[[#This Row],[Вид рубки]]</f>
        <v>65 кв (8 вид) 0 діл. 556683 СРВ</v>
      </c>
      <c r="BM539" s="682"/>
      <c r="BN539" s="636"/>
      <c r="BO539" s="636"/>
      <c r="BP539" s="636"/>
      <c r="BQ539" s="636" t="s">
        <v>105</v>
      </c>
      <c r="BR539" s="636">
        <v>2</v>
      </c>
      <c r="BS539" s="636"/>
      <c r="BT539" s="636"/>
      <c r="BU539" s="636"/>
      <c r="BV539" s="636"/>
      <c r="BW539" s="636" t="s">
        <v>4460</v>
      </c>
      <c r="BX539" s="636"/>
      <c r="BY539" s="972"/>
    </row>
    <row r="540" spans="1:77">
      <c r="A540" s="636" t="s">
        <v>105</v>
      </c>
      <c r="B540" s="675" t="s">
        <v>116</v>
      </c>
      <c r="C540" s="687" t="s">
        <v>126</v>
      </c>
      <c r="D540" s="675">
        <v>0</v>
      </c>
      <c r="E540" s="675" t="s">
        <v>2311</v>
      </c>
      <c r="F540" s="675">
        <v>3</v>
      </c>
      <c r="G540" s="675" t="s">
        <v>79</v>
      </c>
      <c r="H540" s="675">
        <v>66</v>
      </c>
      <c r="I540" s="676" t="s">
        <v>3831</v>
      </c>
      <c r="J540" s="677">
        <v>1</v>
      </c>
      <c r="K540" s="683">
        <v>135</v>
      </c>
      <c r="L540" s="677"/>
      <c r="M540" s="677">
        <v>3</v>
      </c>
      <c r="N540" s="677">
        <v>0</v>
      </c>
      <c r="O540" s="677"/>
      <c r="P540" s="677"/>
      <c r="Q540" s="677">
        <v>0</v>
      </c>
      <c r="R540" s="677"/>
      <c r="S540" s="677">
        <v>29</v>
      </c>
      <c r="T540" s="677">
        <v>0</v>
      </c>
      <c r="U540" s="677">
        <v>0</v>
      </c>
      <c r="V540" s="677">
        <v>0</v>
      </c>
      <c r="W540" s="677">
        <v>0</v>
      </c>
      <c r="X540" s="678"/>
      <c r="Y540" s="682"/>
      <c r="Z540" s="680"/>
      <c r="AA540" s="681">
        <v>84.456999999999994</v>
      </c>
      <c r="AB540" s="681"/>
      <c r="AC540" s="417">
        <v>5</v>
      </c>
      <c r="AD540" s="417"/>
      <c r="AE540" s="682" t="s">
        <v>4468</v>
      </c>
      <c r="AF540">
        <v>1</v>
      </c>
      <c r="AG540" s="758">
        <v>43101</v>
      </c>
      <c r="AH540" s="417"/>
      <c r="AI540" s="417"/>
      <c r="AJ540" s="759">
        <v>43353</v>
      </c>
      <c r="AK540" s="417"/>
      <c r="AL540" s="637" t="s">
        <v>3470</v>
      </c>
      <c r="AM540" s="417"/>
      <c r="AN540" s="417"/>
      <c r="AO540" s="636"/>
      <c r="AP540">
        <v>556683</v>
      </c>
      <c r="AQ540" s="760">
        <v>43353</v>
      </c>
      <c r="AR540" s="417">
        <v>0.3</v>
      </c>
      <c r="AS540" s="417"/>
      <c r="AT540" s="417"/>
      <c r="AU540" s="417"/>
      <c r="AV540" s="417"/>
      <c r="AW540" s="417"/>
      <c r="AX540" s="417"/>
      <c r="AY540" s="183" t="s">
        <v>4245</v>
      </c>
      <c r="AZ540" s="417"/>
      <c r="BA540" s="417"/>
      <c r="BB540" t="s">
        <v>4238</v>
      </c>
      <c r="BC540" s="636"/>
      <c r="BD540" s="417"/>
      <c r="BE540" s="612"/>
      <c r="BF540" s="613"/>
      <c r="BG540" s="614"/>
      <c r="BH540" s="682"/>
      <c r="BI540" s="417"/>
      <c r="BJ540" s="417">
        <v>26</v>
      </c>
      <c r="BK540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40" s="682" t="str">
        <f>Техкарта[[#This Row],[ПолнаяДіл]] &amp;" "&amp;Техкарта[[#This Row],[ЛК]]&amp;" "&amp;Техкарта[[#This Row],[Вид рубки]]</f>
        <v>66 кв (4 вид) 0 діл. 556683 СРВ</v>
      </c>
      <c r="BM540" s="682"/>
      <c r="BN540" s="636"/>
      <c r="BO540" s="636"/>
      <c r="BP540" s="636"/>
      <c r="BQ540" s="636" t="s">
        <v>105</v>
      </c>
      <c r="BR540" s="636">
        <v>2</v>
      </c>
      <c r="BS540" s="636"/>
      <c r="BT540" s="636"/>
      <c r="BU540" s="636"/>
      <c r="BV540" s="636"/>
      <c r="BW540" s="636" t="s">
        <v>4460</v>
      </c>
      <c r="BX540" s="636"/>
      <c r="BY540" s="972"/>
    </row>
    <row r="541" spans="1:77">
      <c r="A541" s="636" t="s">
        <v>105</v>
      </c>
      <c r="B541" s="675" t="s">
        <v>116</v>
      </c>
      <c r="C541" s="687" t="s">
        <v>126</v>
      </c>
      <c r="D541" s="675">
        <v>0</v>
      </c>
      <c r="E541" s="675" t="s">
        <v>2311</v>
      </c>
      <c r="F541" s="675">
        <v>3</v>
      </c>
      <c r="G541" s="675" t="s">
        <v>79</v>
      </c>
      <c r="H541" s="675">
        <v>131</v>
      </c>
      <c r="I541" s="676" t="s">
        <v>3792</v>
      </c>
      <c r="J541" s="677">
        <v>0.7</v>
      </c>
      <c r="K541" s="683">
        <v>126</v>
      </c>
      <c r="L541" s="677"/>
      <c r="M541" s="677">
        <v>0</v>
      </c>
      <c r="N541" s="677">
        <v>0</v>
      </c>
      <c r="O541" s="677"/>
      <c r="P541" s="677"/>
      <c r="Q541" s="677">
        <v>0</v>
      </c>
      <c r="R541" s="677"/>
      <c r="S541" s="677">
        <v>21</v>
      </c>
      <c r="T541" s="677">
        <v>0</v>
      </c>
      <c r="U541" s="677">
        <v>0</v>
      </c>
      <c r="V541" s="677">
        <v>0</v>
      </c>
      <c r="W541" s="677">
        <v>0</v>
      </c>
      <c r="X541" s="678"/>
      <c r="Y541" s="682"/>
      <c r="Z541" s="680"/>
      <c r="AA541" s="681">
        <v>97.019000000000005</v>
      </c>
      <c r="AB541" s="681"/>
      <c r="AC541" s="417">
        <v>3</v>
      </c>
      <c r="AD541" s="417"/>
      <c r="AE541" s="682" t="s">
        <v>4469</v>
      </c>
      <c r="AF541">
        <v>1</v>
      </c>
      <c r="AG541" s="758">
        <v>43101</v>
      </c>
      <c r="AH541" s="417"/>
      <c r="AI541" s="417"/>
      <c r="AJ541" s="759">
        <v>43353</v>
      </c>
      <c r="AK541" s="417"/>
      <c r="AL541" s="637" t="s">
        <v>3437</v>
      </c>
      <c r="AM541" s="417"/>
      <c r="AN541" s="417"/>
      <c r="AO541" s="636"/>
      <c r="AP541">
        <v>556683</v>
      </c>
      <c r="AQ541" s="760">
        <v>43353</v>
      </c>
      <c r="AR541" s="417">
        <v>0.3</v>
      </c>
      <c r="AS541" s="417"/>
      <c r="AT541" s="417"/>
      <c r="AU541" s="417"/>
      <c r="AV541" s="417"/>
      <c r="AW541" s="417"/>
      <c r="AX541" s="417"/>
      <c r="AY541" s="183" t="s">
        <v>4245</v>
      </c>
      <c r="AZ541" s="417"/>
      <c r="BA541" s="417"/>
      <c r="BB541" t="s">
        <v>4238</v>
      </c>
      <c r="BC541" s="636"/>
      <c r="BD541" s="417"/>
      <c r="BE541" s="612"/>
      <c r="BF541" s="613"/>
      <c r="BG541" s="614"/>
      <c r="BH541" s="682"/>
      <c r="BI541" s="417"/>
      <c r="BJ541" s="417">
        <v>27</v>
      </c>
      <c r="BK541" s="682" t="str">
        <f>Техкарта[[#This Row],[Кв-л]]&amp;" кв ("&amp;Substring(Техкарта[[#This Row],[Виділ]],"_",1)&amp;" вид) "&amp;Substring(Техкарта[[#This Row],[Виділ]],"_",2)&amp;" діл."</f>
        <v>131 кв (13 вид) 0 діл.</v>
      </c>
      <c r="BL541" s="682" t="str">
        <f>Техкарта[[#This Row],[ПолнаяДіл]] &amp;" "&amp;Техкарта[[#This Row],[ЛК]]&amp;" "&amp;Техкарта[[#This Row],[Вид рубки]]</f>
        <v>131 кв (13 вид) 0 діл. 556683 СРВ</v>
      </c>
      <c r="BM541" s="682"/>
      <c r="BN541" s="636"/>
      <c r="BO541" s="636"/>
      <c r="BP541" s="636"/>
      <c r="BQ541" s="636" t="s">
        <v>105</v>
      </c>
      <c r="BR541" s="636">
        <v>2</v>
      </c>
      <c r="BS541" s="636"/>
      <c r="BT541" s="636"/>
      <c r="BU541" s="636"/>
      <c r="BV541" s="636"/>
      <c r="BW541" s="636" t="s">
        <v>4460</v>
      </c>
      <c r="BX541" s="636"/>
      <c r="BY541" s="972"/>
    </row>
    <row r="542" spans="1:77">
      <c r="A542" s="636" t="s">
        <v>105</v>
      </c>
      <c r="B542" s="675" t="s">
        <v>116</v>
      </c>
      <c r="C542" s="687" t="s">
        <v>126</v>
      </c>
      <c r="D542" s="675">
        <v>0</v>
      </c>
      <c r="E542" s="675" t="s">
        <v>2311</v>
      </c>
      <c r="F542" s="675">
        <v>3</v>
      </c>
      <c r="G542" s="675" t="s">
        <v>79</v>
      </c>
      <c r="H542" s="675">
        <v>131</v>
      </c>
      <c r="I542" s="676" t="s">
        <v>3852</v>
      </c>
      <c r="J542" s="677">
        <v>0.6</v>
      </c>
      <c r="K542" s="683">
        <v>75</v>
      </c>
      <c r="L542" s="677"/>
      <c r="M542" s="677">
        <v>0</v>
      </c>
      <c r="N542" s="677">
        <v>0</v>
      </c>
      <c r="O542" s="677"/>
      <c r="P542" s="677"/>
      <c r="Q542" s="677">
        <v>0</v>
      </c>
      <c r="R542" s="677"/>
      <c r="S542" s="677">
        <v>14</v>
      </c>
      <c r="T542" s="677">
        <v>0</v>
      </c>
      <c r="U542" s="677">
        <v>0</v>
      </c>
      <c r="V542" s="677">
        <v>0</v>
      </c>
      <c r="W542" s="677">
        <v>0</v>
      </c>
      <c r="X542" s="678"/>
      <c r="Y542" s="682"/>
      <c r="Z542" s="680"/>
      <c r="AA542" s="681">
        <v>97.02</v>
      </c>
      <c r="AB542" s="681"/>
      <c r="AC542" s="417">
        <v>2</v>
      </c>
      <c r="AD542" s="417"/>
      <c r="AE542" s="682" t="s">
        <v>4470</v>
      </c>
      <c r="AF542">
        <v>1</v>
      </c>
      <c r="AG542" s="758">
        <v>43101</v>
      </c>
      <c r="AH542" s="417"/>
      <c r="AI542" s="417"/>
      <c r="AJ542" s="759">
        <v>43353</v>
      </c>
      <c r="AK542" s="417"/>
      <c r="AL542" s="637" t="s">
        <v>3437</v>
      </c>
      <c r="AM542" s="417"/>
      <c r="AN542" s="417"/>
      <c r="AO542" s="636"/>
      <c r="AP542">
        <v>556683</v>
      </c>
      <c r="AQ542" s="760">
        <v>43353</v>
      </c>
      <c r="AR542" s="417">
        <v>0.3</v>
      </c>
      <c r="AS542" s="417"/>
      <c r="AT542" s="417"/>
      <c r="AU542" s="417"/>
      <c r="AV542" s="417"/>
      <c r="AW542" s="417"/>
      <c r="AX542" s="417"/>
      <c r="AY542" s="183" t="s">
        <v>4245</v>
      </c>
      <c r="AZ542" s="417"/>
      <c r="BA542" s="417"/>
      <c r="BB542" t="s">
        <v>4238</v>
      </c>
      <c r="BC542" s="636"/>
      <c r="BD542" s="417"/>
      <c r="BE542" s="612"/>
      <c r="BF542" s="613"/>
      <c r="BG542" s="614"/>
      <c r="BH542" s="682"/>
      <c r="BI542" s="417"/>
      <c r="BJ542" s="417">
        <v>28</v>
      </c>
      <c r="BK542" s="682" t="str">
        <f>Техкарта[[#This Row],[Кв-л]]&amp;" кв ("&amp;Substring(Техкарта[[#This Row],[Виділ]],"_",1)&amp;" вид) "&amp;Substring(Техкарта[[#This Row],[Виділ]],"_",2)&amp;" діл."</f>
        <v>131 кв (14 вид) 0 діл.</v>
      </c>
      <c r="BL542" s="682" t="str">
        <f>Техкарта[[#This Row],[ПолнаяДіл]] &amp;" "&amp;Техкарта[[#This Row],[ЛК]]&amp;" "&amp;Техкарта[[#This Row],[Вид рубки]]</f>
        <v>131 кв (14 вид) 0 діл. 556683 СРВ</v>
      </c>
      <c r="BM542" s="682"/>
      <c r="BN542" s="636"/>
      <c r="BO542" s="636"/>
      <c r="BP542" s="636"/>
      <c r="BQ542" s="636" t="s">
        <v>105</v>
      </c>
      <c r="BR542" s="636">
        <v>2</v>
      </c>
      <c r="BS542" s="636"/>
      <c r="BT542" s="636"/>
      <c r="BU542" s="636"/>
      <c r="BV542" s="636"/>
      <c r="BW542" s="636" t="s">
        <v>4460</v>
      </c>
      <c r="BX542" s="636"/>
      <c r="BY542" s="972"/>
    </row>
    <row r="543" spans="1:77">
      <c r="A543" s="636" t="s">
        <v>105</v>
      </c>
      <c r="B543" s="675" t="s">
        <v>116</v>
      </c>
      <c r="C543" s="687" t="s">
        <v>126</v>
      </c>
      <c r="D543" s="675">
        <v>0</v>
      </c>
      <c r="E543" s="675" t="s">
        <v>2311</v>
      </c>
      <c r="F543" s="675">
        <v>3</v>
      </c>
      <c r="G543" s="675" t="s">
        <v>79</v>
      </c>
      <c r="H543" s="675">
        <v>131</v>
      </c>
      <c r="I543" s="676" t="s">
        <v>4327</v>
      </c>
      <c r="J543" s="677">
        <v>0.5</v>
      </c>
      <c r="K543" s="683">
        <v>50</v>
      </c>
      <c r="L543" s="677"/>
      <c r="M543" s="677">
        <v>0</v>
      </c>
      <c r="N543" s="677">
        <v>0</v>
      </c>
      <c r="O543" s="677"/>
      <c r="P543" s="677"/>
      <c r="Q543" s="677">
        <v>0</v>
      </c>
      <c r="R543" s="677"/>
      <c r="S543" s="677">
        <v>7</v>
      </c>
      <c r="T543" s="677">
        <v>0</v>
      </c>
      <c r="U543" s="677">
        <v>0</v>
      </c>
      <c r="V543" s="677">
        <v>0</v>
      </c>
      <c r="W543" s="677">
        <v>0</v>
      </c>
      <c r="X543" s="678"/>
      <c r="Y543" s="682"/>
      <c r="Z543" s="680"/>
      <c r="AA543" s="681">
        <v>115.343</v>
      </c>
      <c r="AB543" s="681"/>
      <c r="AC543" s="417">
        <v>1</v>
      </c>
      <c r="AD543" s="417"/>
      <c r="AE543" s="682" t="s">
        <v>4471</v>
      </c>
      <c r="AF543">
        <v>1</v>
      </c>
      <c r="AG543" s="758">
        <v>43101</v>
      </c>
      <c r="AH543" s="417"/>
      <c r="AI543" s="417"/>
      <c r="AJ543" s="759">
        <v>43353</v>
      </c>
      <c r="AK543" s="417"/>
      <c r="AL543" s="637" t="s">
        <v>3437</v>
      </c>
      <c r="AM543" s="417"/>
      <c r="AN543" s="417"/>
      <c r="AO543" s="636"/>
      <c r="AP543">
        <v>556683</v>
      </c>
      <c r="AQ543" s="760">
        <v>43353</v>
      </c>
      <c r="AR543" s="417">
        <v>0.3</v>
      </c>
      <c r="AS543" s="417"/>
      <c r="AT543" s="417"/>
      <c r="AU543" s="417"/>
      <c r="AV543" s="417"/>
      <c r="AW543" s="417"/>
      <c r="AX543" s="417"/>
      <c r="AY543" s="183" t="s">
        <v>4245</v>
      </c>
      <c r="AZ543" s="417"/>
      <c r="BA543" s="417"/>
      <c r="BB543" t="s">
        <v>4238</v>
      </c>
      <c r="BC543" s="636"/>
      <c r="BD543" s="417"/>
      <c r="BE543" s="612"/>
      <c r="BF543" s="613"/>
      <c r="BG543" s="614"/>
      <c r="BH543" s="682"/>
      <c r="BI543" s="417"/>
      <c r="BJ543" s="417">
        <v>29</v>
      </c>
      <c r="BK543" s="682" t="str">
        <f>Техкарта[[#This Row],[Кв-л]]&amp;" кв ("&amp;Substring(Техкарта[[#This Row],[Виділ]],"_",1)&amp;" вид) "&amp;Substring(Техкарта[[#This Row],[Виділ]],"_",2)&amp;" діл."</f>
        <v>131 кв (23 вид) 0 діл.</v>
      </c>
      <c r="BL543" s="682" t="str">
        <f>Техкарта[[#This Row],[ПолнаяДіл]] &amp;" "&amp;Техкарта[[#This Row],[ЛК]]&amp;" "&amp;Техкарта[[#This Row],[Вид рубки]]</f>
        <v>131 кв (23 вид) 0 діл. 556683 СРВ</v>
      </c>
      <c r="BM543" s="682"/>
      <c r="BN543" s="636"/>
      <c r="BO543" s="636"/>
      <c r="BP543" s="636"/>
      <c r="BQ543" s="636" t="s">
        <v>105</v>
      </c>
      <c r="BR543" s="636">
        <v>2</v>
      </c>
      <c r="BS543" s="636"/>
      <c r="BT543" s="636"/>
      <c r="BU543" s="636"/>
      <c r="BV543" s="636"/>
      <c r="BW543" s="636" t="s">
        <v>4460</v>
      </c>
      <c r="BX543" s="636"/>
      <c r="BY543" s="972"/>
    </row>
    <row r="544" spans="1:77">
      <c r="A544" s="636" t="s">
        <v>105</v>
      </c>
      <c r="B544" s="675" t="s">
        <v>116</v>
      </c>
      <c r="C544" s="687" t="s">
        <v>3842</v>
      </c>
      <c r="D544" s="675">
        <v>0</v>
      </c>
      <c r="E544" s="675" t="s">
        <v>2311</v>
      </c>
      <c r="F544" s="675">
        <v>3</v>
      </c>
      <c r="G544" s="675" t="s">
        <v>79</v>
      </c>
      <c r="H544" s="675">
        <v>85</v>
      </c>
      <c r="I544" s="676" t="s">
        <v>3792</v>
      </c>
      <c r="J544" s="677">
        <v>0.3</v>
      </c>
      <c r="K544" s="683">
        <v>15</v>
      </c>
      <c r="L544" s="677"/>
      <c r="M544" s="677">
        <v>0</v>
      </c>
      <c r="N544" s="677">
        <v>0</v>
      </c>
      <c r="O544" s="677"/>
      <c r="P544" s="677"/>
      <c r="Q544" s="677">
        <v>0</v>
      </c>
      <c r="R544" s="677"/>
      <c r="S544" s="677">
        <v>10</v>
      </c>
      <c r="T544" s="677">
        <v>0</v>
      </c>
      <c r="U544" s="677">
        <v>0</v>
      </c>
      <c r="V544" s="677">
        <v>0</v>
      </c>
      <c r="W544" s="677">
        <v>0</v>
      </c>
      <c r="X544" s="678"/>
      <c r="Y544" s="682"/>
      <c r="Z544" s="680"/>
      <c r="AA544" s="681">
        <v>68.492999999999995</v>
      </c>
      <c r="AB544" s="681"/>
      <c r="AC544" s="417">
        <v>2</v>
      </c>
      <c r="AD544" s="417"/>
      <c r="AE544" s="682" t="s">
        <v>4472</v>
      </c>
      <c r="AF544">
        <v>1</v>
      </c>
      <c r="AG544" s="758">
        <v>43101</v>
      </c>
      <c r="AH544" s="417"/>
      <c r="AI544" s="417"/>
      <c r="AJ544" s="759">
        <v>43353</v>
      </c>
      <c r="AK544" s="417"/>
      <c r="AL544" s="637" t="s">
        <v>3443</v>
      </c>
      <c r="AM544" s="417"/>
      <c r="AN544" s="417"/>
      <c r="AO544" s="636"/>
      <c r="AP544">
        <v>556682</v>
      </c>
      <c r="AQ544" s="760">
        <v>43353</v>
      </c>
      <c r="AR544" s="417">
        <v>0.3</v>
      </c>
      <c r="AS544" s="417"/>
      <c r="AT544" s="417"/>
      <c r="AU544" s="417"/>
      <c r="AV544" s="417"/>
      <c r="AW544" s="417"/>
      <c r="AX544" s="417"/>
      <c r="AY544" s="183" t="s">
        <v>4245</v>
      </c>
      <c r="AZ544" s="417"/>
      <c r="BA544" s="417"/>
      <c r="BB544" t="s">
        <v>4238</v>
      </c>
      <c r="BC544" s="636"/>
      <c r="BD544" s="417"/>
      <c r="BE544" s="612"/>
      <c r="BF544" s="613"/>
      <c r="BG544" s="614"/>
      <c r="BH544" s="682"/>
      <c r="BI544" s="417"/>
      <c r="BJ544" s="417">
        <v>30</v>
      </c>
      <c r="BK544" s="682" t="str">
        <f>Техкарта[[#This Row],[Кв-л]]&amp;" кв ("&amp;Substring(Техкарта[[#This Row],[Виділ]],"_",1)&amp;" вид) "&amp;Substring(Техкарта[[#This Row],[Виділ]],"_",2)&amp;" діл."</f>
        <v>85 кв (13 вид) 0 діл.</v>
      </c>
      <c r="BL544" s="682" t="str">
        <f>Техкарта[[#This Row],[ПолнаяДіл]] &amp;" "&amp;Техкарта[[#This Row],[ЛК]]&amp;" "&amp;Техкарта[[#This Row],[Вид рубки]]</f>
        <v>85 кв (13 вид) 0 діл. 556682 РЛД</v>
      </c>
      <c r="BM544" s="682"/>
      <c r="BN544" s="636"/>
      <c r="BO544" s="636"/>
      <c r="BP544" s="636"/>
      <c r="BQ544" s="636" t="s">
        <v>105</v>
      </c>
      <c r="BR544" s="636">
        <v>2</v>
      </c>
      <c r="BS544" s="636"/>
      <c r="BT544" s="636"/>
      <c r="BU544" s="636"/>
      <c r="BV544" s="636"/>
      <c r="BW544" s="636" t="s">
        <v>4460</v>
      </c>
      <c r="BX544" s="636"/>
      <c r="BY544" s="972"/>
    </row>
    <row r="545" spans="1:77">
      <c r="A545" s="636" t="s">
        <v>105</v>
      </c>
      <c r="B545" s="675" t="s">
        <v>113</v>
      </c>
      <c r="C545" s="687" t="s">
        <v>126</v>
      </c>
      <c r="D545" s="675">
        <v>0</v>
      </c>
      <c r="E545" s="675" t="s">
        <v>2311</v>
      </c>
      <c r="F545" s="675">
        <v>3</v>
      </c>
      <c r="G545" s="675" t="s">
        <v>79</v>
      </c>
      <c r="H545" s="675">
        <v>17</v>
      </c>
      <c r="I545" s="676" t="s">
        <v>3790</v>
      </c>
      <c r="J545" s="677">
        <v>6.8</v>
      </c>
      <c r="K545" s="683">
        <v>1332</v>
      </c>
      <c r="L545" s="677"/>
      <c r="M545" s="677">
        <v>0</v>
      </c>
      <c r="N545" s="677">
        <v>9</v>
      </c>
      <c r="O545" s="677"/>
      <c r="P545" s="677"/>
      <c r="Q545" s="677">
        <v>0</v>
      </c>
      <c r="R545" s="677"/>
      <c r="S545" s="677">
        <v>0</v>
      </c>
      <c r="T545" s="677">
        <v>217</v>
      </c>
      <c r="U545" s="677">
        <v>0</v>
      </c>
      <c r="V545" s="677">
        <v>0</v>
      </c>
      <c r="W545" s="677">
        <v>0</v>
      </c>
      <c r="X545" s="678"/>
      <c r="Y545" s="682"/>
      <c r="Z545" s="680"/>
      <c r="AA545" s="681">
        <v>109.27200000000001</v>
      </c>
      <c r="AB545" s="681"/>
      <c r="AC545" s="417">
        <v>36</v>
      </c>
      <c r="AD545" s="417"/>
      <c r="AE545" s="682" t="s">
        <v>4473</v>
      </c>
      <c r="AF545">
        <v>1</v>
      </c>
      <c r="AG545" s="758">
        <v>43101</v>
      </c>
      <c r="AH545" s="417"/>
      <c r="AI545" s="417"/>
      <c r="AJ545" s="759">
        <v>43350</v>
      </c>
      <c r="AK545" s="417"/>
      <c r="AL545" s="637" t="s">
        <v>3435</v>
      </c>
      <c r="AM545" s="417"/>
      <c r="AN545" s="417"/>
      <c r="AO545" s="636"/>
      <c r="AP545">
        <v>556681</v>
      </c>
      <c r="AQ545" s="760">
        <v>43350</v>
      </c>
      <c r="AR545" s="417">
        <v>0.3</v>
      </c>
      <c r="AS545" s="417"/>
      <c r="AT545" s="417"/>
      <c r="AU545" s="417"/>
      <c r="AV545" s="417"/>
      <c r="AW545" s="417"/>
      <c r="AX545" s="417"/>
      <c r="AY545" s="183" t="s">
        <v>4245</v>
      </c>
      <c r="AZ545" s="417"/>
      <c r="BA545" s="417"/>
      <c r="BB545" t="s">
        <v>4238</v>
      </c>
      <c r="BC545" s="636"/>
      <c r="BD545" s="417"/>
      <c r="BE545" s="612"/>
      <c r="BF545" s="613"/>
      <c r="BG545" s="614"/>
      <c r="BH545" s="682"/>
      <c r="BI545" s="417"/>
      <c r="BJ545" s="417">
        <v>1</v>
      </c>
      <c r="BK545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45" s="682" t="str">
        <f>Техкарта[[#This Row],[ПолнаяДіл]] &amp;" "&amp;Техкарта[[#This Row],[ЛК]]&amp;" "&amp;Техкарта[[#This Row],[Вид рубки]]</f>
        <v>17 кв (2 вид) 0 діл. 556681 СРВ</v>
      </c>
      <c r="BM545" s="682"/>
      <c r="BN545" s="636"/>
      <c r="BO545" s="636"/>
      <c r="BP545" s="636"/>
      <c r="BQ545" s="636" t="s">
        <v>105</v>
      </c>
      <c r="BR545" s="636">
        <v>2</v>
      </c>
      <c r="BS545" s="636"/>
      <c r="BT545" s="636"/>
      <c r="BU545" s="636"/>
      <c r="BV545" s="636"/>
      <c r="BW545" s="636" t="s">
        <v>4460</v>
      </c>
      <c r="BX545" s="636"/>
      <c r="BY545" s="972"/>
    </row>
    <row r="546" spans="1:77">
      <c r="A546" s="636" t="s">
        <v>105</v>
      </c>
      <c r="B546" s="675" t="s">
        <v>113</v>
      </c>
      <c r="C546" s="687" t="s">
        <v>126</v>
      </c>
      <c r="D546" s="675">
        <v>0</v>
      </c>
      <c r="E546" s="675" t="s">
        <v>2311</v>
      </c>
      <c r="F546" s="675">
        <v>3</v>
      </c>
      <c r="G546" s="675" t="s">
        <v>79</v>
      </c>
      <c r="H546" s="675">
        <v>46</v>
      </c>
      <c r="I546" s="676" t="s">
        <v>3829</v>
      </c>
      <c r="J546" s="677">
        <v>11.3</v>
      </c>
      <c r="K546" s="683">
        <v>667</v>
      </c>
      <c r="L546" s="677"/>
      <c r="M546" s="677">
        <v>0</v>
      </c>
      <c r="N546" s="677">
        <v>20</v>
      </c>
      <c r="O546" s="677"/>
      <c r="P546" s="677"/>
      <c r="Q546" s="677">
        <v>0</v>
      </c>
      <c r="R546" s="677"/>
      <c r="S546" s="677">
        <v>0</v>
      </c>
      <c r="T546" s="677">
        <v>186</v>
      </c>
      <c r="U546" s="677">
        <v>0</v>
      </c>
      <c r="V546" s="677">
        <v>0</v>
      </c>
      <c r="W546" s="677">
        <v>0</v>
      </c>
      <c r="X546" s="678"/>
      <c r="Y546" s="682"/>
      <c r="Z546" s="680"/>
      <c r="AA546" s="681">
        <v>90.977999999999994</v>
      </c>
      <c r="AB546" s="681"/>
      <c r="AC546" s="417">
        <v>21</v>
      </c>
      <c r="AD546" s="417"/>
      <c r="AE546" s="682" t="s">
        <v>4474</v>
      </c>
      <c r="AF546">
        <v>1</v>
      </c>
      <c r="AG546" s="758">
        <v>43101</v>
      </c>
      <c r="AH546" s="417"/>
      <c r="AI546" s="417"/>
      <c r="AJ546" s="759">
        <v>43350</v>
      </c>
      <c r="AK546" s="417"/>
      <c r="AL546" s="637" t="s">
        <v>3474</v>
      </c>
      <c r="AM546" s="417"/>
      <c r="AN546" s="417"/>
      <c r="AO546" s="636"/>
      <c r="AP546">
        <v>556681</v>
      </c>
      <c r="AQ546" s="760">
        <v>43350</v>
      </c>
      <c r="AR546" s="417">
        <v>0.3</v>
      </c>
      <c r="AS546" s="417"/>
      <c r="AT546" s="417"/>
      <c r="AU546" s="417"/>
      <c r="AV546" s="417"/>
      <c r="AW546" s="417"/>
      <c r="AX546" s="417"/>
      <c r="AY546" s="183" t="s">
        <v>4245</v>
      </c>
      <c r="AZ546" s="417"/>
      <c r="BA546" s="417"/>
      <c r="BB546" t="s">
        <v>4238</v>
      </c>
      <c r="BC546" s="636"/>
      <c r="BD546" s="417"/>
      <c r="BE546" s="612"/>
      <c r="BF546" s="613"/>
      <c r="BG546" s="614"/>
      <c r="BH546" s="682"/>
      <c r="BI546" s="417"/>
      <c r="BJ546" s="417">
        <v>2</v>
      </c>
      <c r="BK546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46" s="682" t="str">
        <f>Техкарта[[#This Row],[ПолнаяДіл]] &amp;" "&amp;Техкарта[[#This Row],[ЛК]]&amp;" "&amp;Техкарта[[#This Row],[Вид рубки]]</f>
        <v>46 кв (3 вид) 0 діл. 556681 СРВ</v>
      </c>
      <c r="BM546" s="682"/>
      <c r="BN546" s="636"/>
      <c r="BO546" s="636"/>
      <c r="BP546" s="636"/>
      <c r="BQ546" s="636" t="s">
        <v>105</v>
      </c>
      <c r="BR546" s="636">
        <v>2</v>
      </c>
      <c r="BS546" s="636"/>
      <c r="BT546" s="636"/>
      <c r="BU546" s="636"/>
      <c r="BV546" s="636"/>
      <c r="BW546" s="636" t="s">
        <v>4460</v>
      </c>
      <c r="BX546" s="636"/>
      <c r="BY546" s="972"/>
    </row>
    <row r="547" spans="1:77">
      <c r="A547" s="636" t="s">
        <v>105</v>
      </c>
      <c r="B547" s="675" t="s">
        <v>113</v>
      </c>
      <c r="C547" s="687" t="s">
        <v>126</v>
      </c>
      <c r="D547" s="675">
        <v>0</v>
      </c>
      <c r="E547" s="675" t="s">
        <v>2311</v>
      </c>
      <c r="F547" s="675">
        <v>3</v>
      </c>
      <c r="G547" s="675" t="s">
        <v>79</v>
      </c>
      <c r="H547" s="675">
        <v>79</v>
      </c>
      <c r="I547" s="676" t="s">
        <v>3789</v>
      </c>
      <c r="J547" s="677">
        <v>2.5</v>
      </c>
      <c r="K547" s="683">
        <v>220</v>
      </c>
      <c r="L547" s="677"/>
      <c r="M547" s="677">
        <v>0</v>
      </c>
      <c r="N547" s="677">
        <v>2</v>
      </c>
      <c r="O547" s="677"/>
      <c r="P547" s="677"/>
      <c r="Q547" s="677">
        <v>0</v>
      </c>
      <c r="R547" s="677"/>
      <c r="S547" s="677">
        <v>0</v>
      </c>
      <c r="T547" s="677">
        <v>80</v>
      </c>
      <c r="U547" s="677">
        <v>0</v>
      </c>
      <c r="V547" s="677">
        <v>0</v>
      </c>
      <c r="W547" s="677">
        <v>0</v>
      </c>
      <c r="X547" s="678"/>
      <c r="Y547" s="682"/>
      <c r="Z547" s="680"/>
      <c r="AA547" s="681">
        <v>83.980999999999995</v>
      </c>
      <c r="AB547" s="681"/>
      <c r="AC547" s="417">
        <v>10</v>
      </c>
      <c r="AD547" s="417"/>
      <c r="AE547" s="682" t="s">
        <v>4475</v>
      </c>
      <c r="AF547">
        <v>1</v>
      </c>
      <c r="AG547" s="758">
        <v>43101</v>
      </c>
      <c r="AH547" s="417"/>
      <c r="AI547" s="417"/>
      <c r="AJ547" s="759">
        <v>43350</v>
      </c>
      <c r="AK547" s="417"/>
      <c r="AL547" s="637" t="s">
        <v>3459</v>
      </c>
      <c r="AM547" s="417"/>
      <c r="AN547" s="417"/>
      <c r="AO547" s="636"/>
      <c r="AP547">
        <v>556681</v>
      </c>
      <c r="AQ547" s="760">
        <v>43350</v>
      </c>
      <c r="AR547" s="417">
        <v>0.3</v>
      </c>
      <c r="AS547" s="417"/>
      <c r="AT547" s="417"/>
      <c r="AU547" s="417"/>
      <c r="AV547" s="417"/>
      <c r="AW547" s="417"/>
      <c r="AX547" s="417"/>
      <c r="AY547" s="183" t="s">
        <v>4245</v>
      </c>
      <c r="AZ547" s="417"/>
      <c r="BA547" s="417"/>
      <c r="BB547" t="s">
        <v>4238</v>
      </c>
      <c r="BC547" s="636"/>
      <c r="BD547" s="417"/>
      <c r="BE547" s="612"/>
      <c r="BF547" s="613"/>
      <c r="BG547" s="614"/>
      <c r="BH547" s="682"/>
      <c r="BI547" s="417"/>
      <c r="BJ547" s="417">
        <v>3</v>
      </c>
      <c r="BK547" s="682" t="str">
        <f>Техкарта[[#This Row],[Кв-л]]&amp;" кв ("&amp;Substring(Техкарта[[#This Row],[Виділ]],"_",1)&amp;" вид) "&amp;Substring(Техкарта[[#This Row],[Виділ]],"_",2)&amp;" діл."</f>
        <v>79 кв (10 вид) 0 діл.</v>
      </c>
      <c r="BL547" s="682" t="str">
        <f>Техкарта[[#This Row],[ПолнаяДіл]] &amp;" "&amp;Техкарта[[#This Row],[ЛК]]&amp;" "&amp;Техкарта[[#This Row],[Вид рубки]]</f>
        <v>79 кв (10 вид) 0 діл. 556681 СРВ</v>
      </c>
      <c r="BM547" s="682"/>
      <c r="BN547" s="636"/>
      <c r="BO547" s="636"/>
      <c r="BP547" s="636"/>
      <c r="BQ547" s="636" t="s">
        <v>105</v>
      </c>
      <c r="BR547" s="636">
        <v>2</v>
      </c>
      <c r="BS547" s="636"/>
      <c r="BT547" s="636"/>
      <c r="BU547" s="636"/>
      <c r="BV547" s="636"/>
      <c r="BW547" s="636" t="s">
        <v>4460</v>
      </c>
      <c r="BX547" s="636"/>
      <c r="BY547" s="972"/>
    </row>
    <row r="548" spans="1:77">
      <c r="A548" s="636" t="s">
        <v>105</v>
      </c>
      <c r="B548" s="675" t="s">
        <v>113</v>
      </c>
      <c r="C548" s="687" t="s">
        <v>126</v>
      </c>
      <c r="D548" s="675">
        <v>0</v>
      </c>
      <c r="E548" s="675" t="s">
        <v>2311</v>
      </c>
      <c r="F548" s="675">
        <v>3</v>
      </c>
      <c r="G548" s="675" t="s">
        <v>79</v>
      </c>
      <c r="H548" s="675">
        <v>81</v>
      </c>
      <c r="I548" s="676" t="s">
        <v>3831</v>
      </c>
      <c r="J548" s="677">
        <v>4.4000000000000004</v>
      </c>
      <c r="K548" s="683">
        <v>207</v>
      </c>
      <c r="L548" s="677"/>
      <c r="M548" s="677">
        <v>0</v>
      </c>
      <c r="N548" s="677">
        <v>8</v>
      </c>
      <c r="O548" s="677"/>
      <c r="P548" s="677"/>
      <c r="Q548" s="677">
        <v>0</v>
      </c>
      <c r="R548" s="677"/>
      <c r="S548" s="677">
        <v>0</v>
      </c>
      <c r="T548" s="677">
        <v>88</v>
      </c>
      <c r="U548" s="677">
        <v>0</v>
      </c>
      <c r="V548" s="677">
        <v>0</v>
      </c>
      <c r="W548" s="677">
        <v>0</v>
      </c>
      <c r="X548" s="678"/>
      <c r="Y548" s="682"/>
      <c r="Z548" s="680"/>
      <c r="AA548" s="681">
        <v>82.436999999999998</v>
      </c>
      <c r="AB548" s="681"/>
      <c r="AC548" s="417">
        <v>11</v>
      </c>
      <c r="AD548" s="417"/>
      <c r="AE548" s="682" t="s">
        <v>4476</v>
      </c>
      <c r="AF548">
        <v>1</v>
      </c>
      <c r="AG548" s="758">
        <v>43101</v>
      </c>
      <c r="AH548" s="417"/>
      <c r="AI548" s="417"/>
      <c r="AJ548" s="759">
        <v>43350</v>
      </c>
      <c r="AK548" s="417"/>
      <c r="AL548" s="637" t="s">
        <v>3459</v>
      </c>
      <c r="AM548" s="417"/>
      <c r="AN548" s="417"/>
      <c r="AO548" s="636"/>
      <c r="AP548">
        <v>556681</v>
      </c>
      <c r="AQ548" s="760">
        <v>43350</v>
      </c>
      <c r="AR548" s="417">
        <v>0.3</v>
      </c>
      <c r="AS548" s="417"/>
      <c r="AT548" s="417"/>
      <c r="AU548" s="417"/>
      <c r="AV548" s="417"/>
      <c r="AW548" s="417"/>
      <c r="AX548" s="417"/>
      <c r="AY548" s="183" t="s">
        <v>4245</v>
      </c>
      <c r="AZ548" s="417"/>
      <c r="BA548" s="417"/>
      <c r="BB548" t="s">
        <v>4238</v>
      </c>
      <c r="BC548" s="636"/>
      <c r="BD548" s="417"/>
      <c r="BE548" s="612"/>
      <c r="BF548" s="613"/>
      <c r="BG548" s="614"/>
      <c r="BH548" s="682"/>
      <c r="BI548" s="417"/>
      <c r="BJ548" s="417">
        <v>4</v>
      </c>
      <c r="BK548" s="682" t="str">
        <f>Техкарта[[#This Row],[Кв-л]]&amp;" кв ("&amp;Substring(Техкарта[[#This Row],[Виділ]],"_",1)&amp;" вид) "&amp;Substring(Техкарта[[#This Row],[Виділ]],"_",2)&amp;" діл."</f>
        <v>81 кв (4 вид) 0 діл.</v>
      </c>
      <c r="BL548" s="682" t="str">
        <f>Техкарта[[#This Row],[ПолнаяДіл]] &amp;" "&amp;Техкарта[[#This Row],[ЛК]]&amp;" "&amp;Техкарта[[#This Row],[Вид рубки]]</f>
        <v>81 кв (4 вид) 0 діл. 556681 СРВ</v>
      </c>
      <c r="BM548" s="682"/>
      <c r="BN548" s="636"/>
      <c r="BO548" s="636"/>
      <c r="BP548" s="636"/>
      <c r="BQ548" s="636" t="s">
        <v>105</v>
      </c>
      <c r="BR548" s="636">
        <v>2</v>
      </c>
      <c r="BS548" s="636"/>
      <c r="BT548" s="636"/>
      <c r="BU548" s="636"/>
      <c r="BV548" s="636"/>
      <c r="BW548" s="636" t="s">
        <v>4460</v>
      </c>
      <c r="BX548" s="636"/>
      <c r="BY548" s="972"/>
    </row>
    <row r="549" spans="1:77">
      <c r="A549" s="636" t="s">
        <v>105</v>
      </c>
      <c r="B549" s="675" t="s">
        <v>114</v>
      </c>
      <c r="C549" s="687" t="s">
        <v>126</v>
      </c>
      <c r="D549" s="675">
        <v>0</v>
      </c>
      <c r="E549" s="675" t="s">
        <v>2311</v>
      </c>
      <c r="F549" s="675">
        <v>3</v>
      </c>
      <c r="G549" s="675" t="s">
        <v>79</v>
      </c>
      <c r="H549" s="675">
        <v>44</v>
      </c>
      <c r="I549" s="676" t="s">
        <v>3833</v>
      </c>
      <c r="J549" s="677">
        <v>3.5</v>
      </c>
      <c r="K549" s="683">
        <v>125</v>
      </c>
      <c r="L549" s="677"/>
      <c r="M549" s="677">
        <v>0</v>
      </c>
      <c r="N549" s="677">
        <v>7</v>
      </c>
      <c r="O549" s="677"/>
      <c r="P549" s="677"/>
      <c r="Q549" s="677">
        <v>0</v>
      </c>
      <c r="R549" s="677"/>
      <c r="S549" s="677">
        <v>0</v>
      </c>
      <c r="T549" s="677">
        <v>41</v>
      </c>
      <c r="U549" s="677">
        <v>0</v>
      </c>
      <c r="V549" s="677">
        <v>0</v>
      </c>
      <c r="W549" s="677">
        <v>3</v>
      </c>
      <c r="X549" s="678"/>
      <c r="Y549" s="682"/>
      <c r="Z549" s="680"/>
      <c r="AA549" s="681">
        <v>85.04</v>
      </c>
      <c r="AB549" s="681"/>
      <c r="AC549" s="417">
        <v>4</v>
      </c>
      <c r="AD549" s="417"/>
      <c r="AE549" s="682" t="s">
        <v>4477</v>
      </c>
      <c r="AF549">
        <v>1</v>
      </c>
      <c r="AG549" s="758">
        <v>43101</v>
      </c>
      <c r="AH549" s="417"/>
      <c r="AI549" s="417"/>
      <c r="AJ549" s="759">
        <v>43349</v>
      </c>
      <c r="AK549" s="417"/>
      <c r="AL549" s="637" t="s">
        <v>3442</v>
      </c>
      <c r="AM549" s="417"/>
      <c r="AN549" s="417"/>
      <c r="AO549" s="636"/>
      <c r="AP549">
        <v>556680</v>
      </c>
      <c r="AQ549" s="760">
        <v>43349</v>
      </c>
      <c r="AR549" s="417">
        <v>0.3</v>
      </c>
      <c r="AS549" s="417"/>
      <c r="AT549" s="417"/>
      <c r="AU549" s="417"/>
      <c r="AV549" s="417"/>
      <c r="AW549" s="417"/>
      <c r="AX549" s="417"/>
      <c r="AY549" s="183" t="s">
        <v>3424</v>
      </c>
      <c r="AZ549" s="417"/>
      <c r="BA549" s="417"/>
      <c r="BB549" t="s">
        <v>3583</v>
      </c>
      <c r="BC549" s="636"/>
      <c r="BD549" s="417"/>
      <c r="BE549" s="612"/>
      <c r="BF549" s="613"/>
      <c r="BG549" s="614"/>
      <c r="BH549" s="682"/>
      <c r="BI549" s="417"/>
      <c r="BJ549" s="417">
        <v>4</v>
      </c>
      <c r="BK549" s="682" t="str">
        <f>Техкарта[[#This Row],[Кв-л]]&amp;" кв ("&amp;Substring(Техкарта[[#This Row],[Виділ]],"_",1)&amp;" вид) "&amp;Substring(Техкарта[[#This Row],[Виділ]],"_",2)&amp;" діл."</f>
        <v>44 кв (8 вид) 0 діл.</v>
      </c>
      <c r="BL549" s="682" t="str">
        <f>Техкарта[[#This Row],[ПолнаяДіл]] &amp;" "&amp;Техкарта[[#This Row],[ЛК]]&amp;" "&amp;Техкарта[[#This Row],[Вид рубки]]</f>
        <v>44 кв (8 вид) 0 діл. 556680 СРВ</v>
      </c>
      <c r="BM549" s="682"/>
      <c r="BN549" s="636"/>
      <c r="BO549" s="636"/>
      <c r="BP549" s="636"/>
      <c r="BQ549" s="636" t="s">
        <v>105</v>
      </c>
      <c r="BR549" s="636">
        <v>2</v>
      </c>
      <c r="BS549" s="636"/>
      <c r="BT549" s="636"/>
      <c r="BU549" s="636"/>
      <c r="BV549" s="636"/>
      <c r="BW549" s="636" t="s">
        <v>4460</v>
      </c>
      <c r="BX549" s="636"/>
      <c r="BY549" s="972"/>
    </row>
    <row r="550" spans="1:77">
      <c r="A550" s="636" t="s">
        <v>105</v>
      </c>
      <c r="B550" s="675" t="s">
        <v>114</v>
      </c>
      <c r="C550" s="687" t="s">
        <v>126</v>
      </c>
      <c r="D550" s="675">
        <v>0</v>
      </c>
      <c r="E550" s="675" t="s">
        <v>2311</v>
      </c>
      <c r="F550" s="675">
        <v>3</v>
      </c>
      <c r="G550" s="675" t="s">
        <v>79</v>
      </c>
      <c r="H550" s="675">
        <v>44</v>
      </c>
      <c r="I550" s="676" t="s">
        <v>3794</v>
      </c>
      <c r="J550" s="677">
        <v>0.8</v>
      </c>
      <c r="K550" s="683">
        <v>107</v>
      </c>
      <c r="L550" s="677"/>
      <c r="M550" s="677">
        <v>0</v>
      </c>
      <c r="N550" s="677">
        <v>4</v>
      </c>
      <c r="O550" s="677"/>
      <c r="P550" s="677"/>
      <c r="Q550" s="677">
        <v>0</v>
      </c>
      <c r="R550" s="677"/>
      <c r="S550" s="677">
        <v>0</v>
      </c>
      <c r="T550" s="677">
        <v>31</v>
      </c>
      <c r="U550" s="677">
        <v>0</v>
      </c>
      <c r="V550" s="677">
        <v>0</v>
      </c>
      <c r="W550" s="677">
        <v>2</v>
      </c>
      <c r="X550" s="678"/>
      <c r="Y550" s="682"/>
      <c r="Z550" s="680"/>
      <c r="AA550" s="681">
        <v>85.138000000000005</v>
      </c>
      <c r="AB550" s="681"/>
      <c r="AC550" s="417">
        <v>4</v>
      </c>
      <c r="AD550" s="417"/>
      <c r="AE550" s="682" t="s">
        <v>4478</v>
      </c>
      <c r="AF550">
        <v>1</v>
      </c>
      <c r="AG550" s="758">
        <v>43101</v>
      </c>
      <c r="AH550" s="417"/>
      <c r="AI550" s="417"/>
      <c r="AJ550" s="759">
        <v>43349</v>
      </c>
      <c r="AK550" s="417"/>
      <c r="AL550" s="637" t="s">
        <v>3442</v>
      </c>
      <c r="AM550" s="417"/>
      <c r="AN550" s="417"/>
      <c r="AO550" s="636"/>
      <c r="AP550">
        <v>556680</v>
      </c>
      <c r="AQ550" s="760">
        <v>43349</v>
      </c>
      <c r="AR550" s="417">
        <v>0.3</v>
      </c>
      <c r="AS550" s="417"/>
      <c r="AT550" s="417"/>
      <c r="AU550" s="417"/>
      <c r="AV550" s="417"/>
      <c r="AW550" s="417"/>
      <c r="AX550" s="417"/>
      <c r="AY550" s="183" t="s">
        <v>3424</v>
      </c>
      <c r="AZ550" s="417"/>
      <c r="BA550" s="417"/>
      <c r="BB550" t="s">
        <v>3583</v>
      </c>
      <c r="BC550" s="636"/>
      <c r="BD550" s="417"/>
      <c r="BE550" s="612"/>
      <c r="BF550" s="613"/>
      <c r="BG550" s="614"/>
      <c r="BH550" s="682"/>
      <c r="BI550" s="417"/>
      <c r="BJ550" s="417">
        <v>3</v>
      </c>
      <c r="BK550" s="682" t="str">
        <f>Техкарта[[#This Row],[Кв-л]]&amp;" кв ("&amp;Substring(Техкарта[[#This Row],[Виділ]],"_",1)&amp;" вид) "&amp;Substring(Техкарта[[#This Row],[Виділ]],"_",2)&amp;" діл."</f>
        <v>44 кв (11 вид) 0 діл.</v>
      </c>
      <c r="BL550" s="682" t="str">
        <f>Техкарта[[#This Row],[ПолнаяДіл]] &amp;" "&amp;Техкарта[[#This Row],[ЛК]]&amp;" "&amp;Техкарта[[#This Row],[Вид рубки]]</f>
        <v>44 кв (11 вид) 0 діл. 556680 СРВ</v>
      </c>
      <c r="BM550" s="682"/>
      <c r="BN550" s="636"/>
      <c r="BO550" s="636"/>
      <c r="BP550" s="636"/>
      <c r="BQ550" s="636" t="s">
        <v>105</v>
      </c>
      <c r="BR550" s="636">
        <v>2</v>
      </c>
      <c r="BS550" s="636"/>
      <c r="BT550" s="636"/>
      <c r="BU550" s="636"/>
      <c r="BV550" s="636"/>
      <c r="BW550" s="636" t="s">
        <v>4460</v>
      </c>
      <c r="BX550" s="636"/>
      <c r="BY550" s="972"/>
    </row>
    <row r="551" spans="1:77">
      <c r="A551" s="636" t="s">
        <v>105</v>
      </c>
      <c r="B551" s="675" t="s">
        <v>114</v>
      </c>
      <c r="C551" s="687" t="s">
        <v>126</v>
      </c>
      <c r="D551" s="675">
        <v>0</v>
      </c>
      <c r="E551" s="675" t="s">
        <v>2311</v>
      </c>
      <c r="F551" s="675">
        <v>3</v>
      </c>
      <c r="G551" s="675" t="s">
        <v>79</v>
      </c>
      <c r="H551" s="675">
        <v>32</v>
      </c>
      <c r="I551" s="676" t="s">
        <v>3791</v>
      </c>
      <c r="J551" s="677">
        <v>0.5</v>
      </c>
      <c r="K551" s="683">
        <v>50</v>
      </c>
      <c r="L551" s="677"/>
      <c r="M551" s="677">
        <v>0</v>
      </c>
      <c r="N551" s="677">
        <v>0</v>
      </c>
      <c r="O551" s="677"/>
      <c r="P551" s="677"/>
      <c r="Q551" s="677">
        <v>0</v>
      </c>
      <c r="R551" s="677"/>
      <c r="S551" s="677">
        <v>0</v>
      </c>
      <c r="T551" s="677">
        <v>12</v>
      </c>
      <c r="U551" s="677">
        <v>0</v>
      </c>
      <c r="V551" s="677">
        <v>0</v>
      </c>
      <c r="W551" s="677">
        <v>0</v>
      </c>
      <c r="X551" s="678"/>
      <c r="Y551" s="682"/>
      <c r="Z551" s="680"/>
      <c r="AA551" s="681">
        <v>99.034000000000006</v>
      </c>
      <c r="AB551" s="681"/>
      <c r="AC551" s="417">
        <v>1</v>
      </c>
      <c r="AD551" s="417"/>
      <c r="AE551" s="682" t="s">
        <v>4479</v>
      </c>
      <c r="AF551">
        <v>1</v>
      </c>
      <c r="AG551" s="758">
        <v>43101</v>
      </c>
      <c r="AH551" s="417"/>
      <c r="AI551" s="417"/>
      <c r="AJ551" s="759">
        <v>43349</v>
      </c>
      <c r="AK551" s="417"/>
      <c r="AL551" s="637" t="s">
        <v>3448</v>
      </c>
      <c r="AM551" s="417"/>
      <c r="AN551" s="417"/>
      <c r="AO551" s="636"/>
      <c r="AP551">
        <v>556680</v>
      </c>
      <c r="AQ551" s="760">
        <v>43349</v>
      </c>
      <c r="AR551" s="417">
        <v>0.3</v>
      </c>
      <c r="AS551" s="417"/>
      <c r="AT551" s="417"/>
      <c r="AU551" s="417"/>
      <c r="AV551" s="417"/>
      <c r="AW551" s="417"/>
      <c r="AX551" s="417"/>
      <c r="AY551" s="183" t="s">
        <v>3424</v>
      </c>
      <c r="AZ551" s="417"/>
      <c r="BA551" s="417"/>
      <c r="BB551" t="s">
        <v>3583</v>
      </c>
      <c r="BC551" s="636"/>
      <c r="BD551" s="417"/>
      <c r="BE551" s="612"/>
      <c r="BF551" s="613"/>
      <c r="BG551" s="614"/>
      <c r="BH551" s="682"/>
      <c r="BI551" s="417"/>
      <c r="BJ551" s="417">
        <v>5</v>
      </c>
      <c r="BK551" s="682" t="str">
        <f>Техкарта[[#This Row],[Кв-л]]&amp;" кв ("&amp;Substring(Техкарта[[#This Row],[Виділ]],"_",1)&amp;" вид) "&amp;Substring(Техкарта[[#This Row],[Виділ]],"_",2)&amp;" діл."</f>
        <v>32 кв (7 вид) 0 діл.</v>
      </c>
      <c r="BL551" s="682" t="str">
        <f>Техкарта[[#This Row],[ПолнаяДіл]] &amp;" "&amp;Техкарта[[#This Row],[ЛК]]&amp;" "&amp;Техкарта[[#This Row],[Вид рубки]]</f>
        <v>32 кв (7 вид) 0 діл. 556680 СРВ</v>
      </c>
      <c r="BM551" s="682"/>
      <c r="BN551" s="636"/>
      <c r="BO551" s="636"/>
      <c r="BP551" s="636"/>
      <c r="BQ551" s="636" t="s">
        <v>105</v>
      </c>
      <c r="BR551" s="636">
        <v>2</v>
      </c>
      <c r="BS551" s="636"/>
      <c r="BT551" s="636"/>
      <c r="BU551" s="636"/>
      <c r="BV551" s="636"/>
      <c r="BW551" s="636" t="s">
        <v>4460</v>
      </c>
      <c r="BX551" s="636"/>
      <c r="BY551" s="972"/>
    </row>
    <row r="552" spans="1:77">
      <c r="A552" s="636" t="s">
        <v>105</v>
      </c>
      <c r="B552" s="675" t="s">
        <v>112</v>
      </c>
      <c r="C552" s="687" t="s">
        <v>126</v>
      </c>
      <c r="D552" s="675">
        <v>0</v>
      </c>
      <c r="E552" s="675" t="s">
        <v>2311</v>
      </c>
      <c r="F552" s="675">
        <v>3</v>
      </c>
      <c r="G552" s="675" t="s">
        <v>79</v>
      </c>
      <c r="H552" s="675">
        <v>88</v>
      </c>
      <c r="I552" s="676" t="s">
        <v>3830</v>
      </c>
      <c r="J552" s="677">
        <v>3</v>
      </c>
      <c r="K552" s="683">
        <v>170</v>
      </c>
      <c r="L552" s="677"/>
      <c r="M552" s="677">
        <v>0</v>
      </c>
      <c r="N552" s="677">
        <v>0</v>
      </c>
      <c r="O552" s="677"/>
      <c r="P552" s="677"/>
      <c r="Q552" s="677">
        <v>0</v>
      </c>
      <c r="R552" s="677"/>
      <c r="S552" s="677">
        <v>0</v>
      </c>
      <c r="T552" s="677">
        <v>70</v>
      </c>
      <c r="U552" s="677">
        <v>0</v>
      </c>
      <c r="V552" s="677">
        <v>0</v>
      </c>
      <c r="W552" s="677">
        <v>0</v>
      </c>
      <c r="X552" s="678"/>
      <c r="Y552" s="682"/>
      <c r="Z552" s="680"/>
      <c r="AA552" s="681">
        <v>89.841999999999999</v>
      </c>
      <c r="AB552" s="681"/>
      <c r="AC552" s="417">
        <v>1</v>
      </c>
      <c r="AD552" s="417"/>
      <c r="AE552" s="682" t="s">
        <v>4480</v>
      </c>
      <c r="AF552">
        <v>1</v>
      </c>
      <c r="AG552" s="758">
        <v>43101</v>
      </c>
      <c r="AH552" s="417"/>
      <c r="AI552" s="417"/>
      <c r="AJ552" s="759">
        <v>43346</v>
      </c>
      <c r="AK552" s="417"/>
      <c r="AL552" s="637" t="s">
        <v>3458</v>
      </c>
      <c r="AM552" s="417"/>
      <c r="AN552" s="417"/>
      <c r="AO552" s="636"/>
      <c r="AP552">
        <v>556679</v>
      </c>
      <c r="AQ552" s="760">
        <v>43333</v>
      </c>
      <c r="AR552" s="417">
        <v>0.3</v>
      </c>
      <c r="AS552" s="417"/>
      <c r="AT552" s="417"/>
      <c r="AU552" s="417"/>
      <c r="AV552" s="417"/>
      <c r="AW552" s="417"/>
      <c r="AX552" s="417"/>
      <c r="AY552" s="183" t="s">
        <v>4245</v>
      </c>
      <c r="AZ552" s="417"/>
      <c r="BA552" s="417"/>
      <c r="BB552" t="s">
        <v>4238</v>
      </c>
      <c r="BC552" s="636"/>
      <c r="BD552" s="417"/>
      <c r="BE552" s="612"/>
      <c r="BF552" s="613"/>
      <c r="BG552" s="614"/>
      <c r="BH552" s="682"/>
      <c r="BI552" s="417"/>
      <c r="BJ552" s="417">
        <v>1</v>
      </c>
      <c r="BK552" s="682" t="str">
        <f>Техкарта[[#This Row],[Кв-л]]&amp;" кв ("&amp;Substring(Техкарта[[#This Row],[Виділ]],"_",1)&amp;" вид) "&amp;Substring(Техкарта[[#This Row],[Виділ]],"_",2)&amp;" діл."</f>
        <v>88 кв (1 вид) 0 діл.</v>
      </c>
      <c r="BL552" s="682" t="str">
        <f>Техкарта[[#This Row],[ПолнаяДіл]] &amp;" "&amp;Техкарта[[#This Row],[ЛК]]&amp;" "&amp;Техкарта[[#This Row],[Вид рубки]]</f>
        <v>88 кв (1 вид) 0 діл. 556679 СРВ</v>
      </c>
      <c r="BM552" s="682"/>
      <c r="BN552" s="636"/>
      <c r="BO552" s="636"/>
      <c r="BP552" s="636"/>
      <c r="BQ552" s="636" t="s">
        <v>105</v>
      </c>
      <c r="BR552" s="636">
        <v>2</v>
      </c>
      <c r="BS552" s="636"/>
      <c r="BT552" s="636"/>
      <c r="BU552" s="636"/>
      <c r="BV552" s="636"/>
      <c r="BW552" s="636" t="s">
        <v>4460</v>
      </c>
      <c r="BX552" s="636"/>
      <c r="BY552" s="972"/>
    </row>
    <row r="553" spans="1:77">
      <c r="A553" s="636" t="s">
        <v>3896</v>
      </c>
      <c r="B553" s="675" t="s">
        <v>112</v>
      </c>
      <c r="C553" s="687" t="s">
        <v>3844</v>
      </c>
      <c r="D553" s="675">
        <v>0</v>
      </c>
      <c r="E553" s="675" t="s">
        <v>2311</v>
      </c>
      <c r="F553" s="675">
        <v>3</v>
      </c>
      <c r="G553" s="675" t="s">
        <v>79</v>
      </c>
      <c r="H553" s="675">
        <v>67</v>
      </c>
      <c r="I553" s="676" t="s">
        <v>3830</v>
      </c>
      <c r="J553" s="677">
        <v>4.7</v>
      </c>
      <c r="K553" s="683">
        <v>0</v>
      </c>
      <c r="L553" s="677"/>
      <c r="M553" s="677">
        <v>0</v>
      </c>
      <c r="N553" s="677">
        <v>0</v>
      </c>
      <c r="O553" s="677"/>
      <c r="P553" s="677"/>
      <c r="Q553" s="677">
        <v>375</v>
      </c>
      <c r="R553" s="677"/>
      <c r="S553" s="677">
        <v>0</v>
      </c>
      <c r="T553" s="677">
        <v>0</v>
      </c>
      <c r="U553" s="677"/>
      <c r="V553" s="677">
        <v>0</v>
      </c>
      <c r="W553" s="677">
        <v>0</v>
      </c>
      <c r="X553" s="678"/>
      <c r="Y553" s="682"/>
      <c r="Z553" s="680"/>
      <c r="AA553" s="681">
        <v>185.63</v>
      </c>
      <c r="AB553" s="681"/>
      <c r="AC553" s="417">
        <v>23</v>
      </c>
      <c r="AD553" s="417"/>
      <c r="AE553" s="682" t="s">
        <v>4481</v>
      </c>
      <c r="AF553">
        <v>1</v>
      </c>
      <c r="AG553" s="758">
        <v>43101</v>
      </c>
      <c r="AH553" s="417"/>
      <c r="AI553" s="417"/>
      <c r="AJ553" s="759">
        <v>43346</v>
      </c>
      <c r="AK553" s="417"/>
      <c r="AL553" s="637" t="s">
        <v>3440</v>
      </c>
      <c r="AM553" s="417"/>
      <c r="AN553" s="417"/>
      <c r="AO553" s="636"/>
      <c r="AP553">
        <v>556675</v>
      </c>
      <c r="AQ553" s="760">
        <v>43333</v>
      </c>
      <c r="AR553" s="417">
        <v>0.5</v>
      </c>
      <c r="AS553" s="417"/>
      <c r="AT553" s="417"/>
      <c r="AU553" s="417"/>
      <c r="AV553" s="417"/>
      <c r="AW553" s="417"/>
      <c r="AX553" s="417"/>
      <c r="AY553" s="183" t="s">
        <v>4245</v>
      </c>
      <c r="AZ553" s="417"/>
      <c r="BA553" s="417"/>
      <c r="BB553" t="s">
        <v>4238</v>
      </c>
      <c r="BC553" s="636"/>
      <c r="BD553" s="417"/>
      <c r="BE553" s="612"/>
      <c r="BF553" s="613"/>
      <c r="BG553" s="614"/>
      <c r="BH553" s="682"/>
      <c r="BI553" s="417"/>
      <c r="BJ553" s="417">
        <v>2</v>
      </c>
      <c r="BK553" s="682" t="str">
        <f>Техкарта[[#This Row],[Кв-л]]&amp;" кв ("&amp;Substring(Техкарта[[#This Row],[Виділ]],"_",1)&amp;" вид) "&amp;Substring(Техкарта[[#This Row],[Виділ]],"_",2)&amp;" діл."</f>
        <v>67 кв (1 вид) 0 діл.</v>
      </c>
      <c r="BL553" s="682" t="str">
        <f>Техкарта[[#This Row],[ПолнаяДіл]] &amp;" "&amp;Техкарта[[#This Row],[ЛК]]&amp;" "&amp;Техкарта[[#This Row],[Вид рубки]]</f>
        <v>67 кв (1 вид) 0 діл. 556675 ЛД</v>
      </c>
      <c r="BM553" s="682"/>
      <c r="BN553" s="636"/>
      <c r="BO553" s="636"/>
      <c r="BP553" s="636"/>
      <c r="BQ553" s="636" t="s">
        <v>3896</v>
      </c>
      <c r="BR553" s="636">
        <v>2</v>
      </c>
      <c r="BS553" s="636"/>
      <c r="BT553" s="636"/>
      <c r="BU553" s="636"/>
      <c r="BV553" s="636"/>
      <c r="BW553" s="636" t="s">
        <v>4460</v>
      </c>
      <c r="BX553" s="636"/>
      <c r="BY553" s="972"/>
    </row>
    <row r="554" spans="1:77">
      <c r="A554" s="636" t="s">
        <v>104</v>
      </c>
      <c r="B554" s="675" t="s">
        <v>111</v>
      </c>
      <c r="C554" s="687" t="s">
        <v>104</v>
      </c>
      <c r="D554" s="675">
        <v>0</v>
      </c>
      <c r="E554" s="675" t="s">
        <v>2305</v>
      </c>
      <c r="F554" s="675">
        <v>3</v>
      </c>
      <c r="G554" s="675" t="s">
        <v>2238</v>
      </c>
      <c r="H554" s="675">
        <v>150</v>
      </c>
      <c r="I554" s="676" t="s">
        <v>3799</v>
      </c>
      <c r="J554" s="677">
        <v>0.6</v>
      </c>
      <c r="K554" s="683">
        <v>336</v>
      </c>
      <c r="L554" s="677">
        <v>6</v>
      </c>
      <c r="M554" s="677">
        <v>5</v>
      </c>
      <c r="N554" s="677">
        <v>12</v>
      </c>
      <c r="O554" s="677">
        <v>0</v>
      </c>
      <c r="P554" s="677">
        <v>0</v>
      </c>
      <c r="Q554" s="677">
        <v>0</v>
      </c>
      <c r="R554" s="677">
        <v>63</v>
      </c>
      <c r="S554" s="677">
        <v>15</v>
      </c>
      <c r="T554" s="677">
        <v>23</v>
      </c>
      <c r="U554" s="677">
        <v>21</v>
      </c>
      <c r="V554" s="677">
        <v>13</v>
      </c>
      <c r="W554" s="677">
        <v>17</v>
      </c>
      <c r="X554" s="678"/>
      <c r="Y554" s="682"/>
      <c r="Z554" s="680"/>
      <c r="AA554" s="681">
        <v>162.363</v>
      </c>
      <c r="AB554" s="681">
        <v>139.23599999999999</v>
      </c>
      <c r="AC554" s="417">
        <v>95</v>
      </c>
      <c r="AD554" s="417"/>
      <c r="AE554" s="682" t="s">
        <v>4483</v>
      </c>
      <c r="AF554">
        <v>1</v>
      </c>
      <c r="AG554" s="758">
        <v>43101</v>
      </c>
      <c r="AH554" s="417"/>
      <c r="AI554" s="417"/>
      <c r="AJ554" s="759">
        <v>43346</v>
      </c>
      <c r="AK554" s="417"/>
      <c r="AL554" s="637" t="s">
        <v>3433</v>
      </c>
      <c r="AM554" s="417"/>
      <c r="AN554" s="417"/>
      <c r="AO554" s="636"/>
      <c r="AP554">
        <v>556621</v>
      </c>
      <c r="AQ554" s="760">
        <v>43077</v>
      </c>
      <c r="AR554" s="417"/>
      <c r="AS554" s="417"/>
      <c r="AT554" s="417"/>
      <c r="AU554" s="417"/>
      <c r="AV554" s="417"/>
      <c r="AW554" s="417"/>
      <c r="AX554" s="417"/>
      <c r="AY554" s="183" t="s">
        <v>3424</v>
      </c>
      <c r="AZ554" s="417"/>
      <c r="BA554" s="417"/>
      <c r="BB554" t="s">
        <v>3583</v>
      </c>
      <c r="BC554" s="636"/>
      <c r="BD554" s="417"/>
      <c r="BE554" s="612">
        <v>5</v>
      </c>
      <c r="BF554" s="613">
        <v>40</v>
      </c>
      <c r="BG554" s="614" t="s">
        <v>78</v>
      </c>
      <c r="BH554" s="682"/>
      <c r="BI554" s="417"/>
      <c r="BJ554" s="417">
        <v>1</v>
      </c>
      <c r="BK554" s="682" t="str">
        <f>Техкарта[[#This Row],[Кв-л]]&amp;" кв ("&amp;Substring(Техкарта[[#This Row],[Виділ]],"_",1)&amp;" вид) "&amp;Substring(Техкарта[[#This Row],[Виділ]],"_",2)&amp;" діл."</f>
        <v>150 кв (1 вид) 2 діл.</v>
      </c>
      <c r="BL554" s="682" t="str">
        <f>Техкарта[[#This Row],[ПолнаяДіл]] &amp;" "&amp;Техкарта[[#This Row],[ЛК]]&amp;" "&amp;Техкарта[[#This Row],[Вид рубки]]</f>
        <v>150 кв (1 вид) 2 діл. 556621 РГК</v>
      </c>
      <c r="BM554" s="682"/>
      <c r="BN554" s="636" t="s">
        <v>3784</v>
      </c>
      <c r="BO554" s="636" t="s">
        <v>3784</v>
      </c>
      <c r="BP554" s="636" t="s">
        <v>3784</v>
      </c>
      <c r="BQ554" s="636" t="s">
        <v>104</v>
      </c>
      <c r="BR554" s="636"/>
      <c r="BS554" s="636">
        <v>5</v>
      </c>
      <c r="BT554" s="636">
        <v>20</v>
      </c>
      <c r="BU554" s="636">
        <v>70</v>
      </c>
      <c r="BV554" s="636" t="s">
        <v>4994</v>
      </c>
      <c r="BW554" s="636" t="s">
        <v>4580</v>
      </c>
      <c r="BX554" s="636" t="s">
        <v>4992</v>
      </c>
      <c r="BY554" s="972"/>
    </row>
    <row r="555" spans="1:77">
      <c r="A555" s="636" t="s">
        <v>3896</v>
      </c>
      <c r="B555" s="675" t="s">
        <v>114</v>
      </c>
      <c r="C555" s="687" t="s">
        <v>3844</v>
      </c>
      <c r="D555" s="675">
        <v>0</v>
      </c>
      <c r="E555" s="675" t="s">
        <v>2311</v>
      </c>
      <c r="F555" s="675">
        <v>3</v>
      </c>
      <c r="G555" s="675" t="s">
        <v>79</v>
      </c>
      <c r="H555" s="675">
        <v>60</v>
      </c>
      <c r="I555" s="676" t="s">
        <v>3831</v>
      </c>
      <c r="J555" s="677">
        <v>7.4</v>
      </c>
      <c r="K555" s="683">
        <v>0</v>
      </c>
      <c r="L555" s="677"/>
      <c r="M555" s="677">
        <v>0</v>
      </c>
      <c r="N555" s="677">
        <v>1600</v>
      </c>
      <c r="O555" s="677"/>
      <c r="P555" s="677"/>
      <c r="Q555" s="677">
        <v>450</v>
      </c>
      <c r="R555" s="677"/>
      <c r="S555" s="677">
        <v>0</v>
      </c>
      <c r="T555" s="677">
        <v>0</v>
      </c>
      <c r="U555" s="677"/>
      <c r="V555" s="677">
        <v>0</v>
      </c>
      <c r="W555" s="677">
        <v>0</v>
      </c>
      <c r="X555" s="678"/>
      <c r="Y555" s="682"/>
      <c r="Z555" s="680"/>
      <c r="AA555" s="681">
        <v>145.57</v>
      </c>
      <c r="AB555" s="681"/>
      <c r="AC555" s="417">
        <v>23</v>
      </c>
      <c r="AD555" s="417"/>
      <c r="AE555" s="682" t="s">
        <v>4484</v>
      </c>
      <c r="AF555">
        <v>1</v>
      </c>
      <c r="AG555" s="758">
        <v>43101</v>
      </c>
      <c r="AH555" s="417"/>
      <c r="AI555" s="417"/>
      <c r="AJ555" s="759">
        <v>43346</v>
      </c>
      <c r="AK555" s="417"/>
      <c r="AL555" s="637" t="s">
        <v>3436</v>
      </c>
      <c r="AM555" s="417"/>
      <c r="AN555" s="417"/>
      <c r="AO555" s="636"/>
      <c r="AP555">
        <v>556636</v>
      </c>
      <c r="AQ555" s="760">
        <v>43102</v>
      </c>
      <c r="AR555" s="417">
        <v>0.2</v>
      </c>
      <c r="AS555" s="417"/>
      <c r="AT555" s="417"/>
      <c r="AU555" s="417"/>
      <c r="AV555" s="417"/>
      <c r="AW555" s="417"/>
      <c r="AX555" s="417"/>
      <c r="AY555" s="183" t="s">
        <v>3424</v>
      </c>
      <c r="AZ555" s="417"/>
      <c r="BA555" s="417"/>
      <c r="BB555" t="s">
        <v>3583</v>
      </c>
      <c r="BC555" s="636"/>
      <c r="BD555" s="417"/>
      <c r="BE555" s="612"/>
      <c r="BF555" s="613"/>
      <c r="BG555" s="614"/>
      <c r="BH555" s="682"/>
      <c r="BI555" s="417"/>
      <c r="BJ555" s="417">
        <v>7</v>
      </c>
      <c r="BK555" s="682" t="str">
        <f>Техкарта[[#This Row],[Кв-л]]&amp;" кв ("&amp;Substring(Техкарта[[#This Row],[Виділ]],"_",1)&amp;" вид) "&amp;Substring(Техкарта[[#This Row],[Виділ]],"_",2)&amp;" діл."</f>
        <v>60 кв (4 вид) 0 діл.</v>
      </c>
      <c r="BL555" s="682" t="str">
        <f>Техкарта[[#This Row],[ПолнаяДіл]] &amp;" "&amp;Техкарта[[#This Row],[ЛК]]&amp;" "&amp;Техкарта[[#This Row],[Вид рубки]]</f>
        <v>60 кв (4 вид) 0 діл. 556636 ЛД</v>
      </c>
      <c r="BM555" s="682"/>
      <c r="BN555" s="636"/>
      <c r="BO555" s="636"/>
      <c r="BP555" s="636"/>
      <c r="BQ555" s="636" t="s">
        <v>3896</v>
      </c>
      <c r="BR555" s="636">
        <v>2</v>
      </c>
      <c r="BS555" s="636"/>
      <c r="BT555" s="636"/>
      <c r="BU555" s="636"/>
      <c r="BV555" s="636"/>
      <c r="BW555" s="636" t="s">
        <v>4482</v>
      </c>
      <c r="BX555" s="636"/>
      <c r="BY555" s="972"/>
    </row>
    <row r="556" spans="1:77">
      <c r="A556" s="636" t="s">
        <v>3896</v>
      </c>
      <c r="B556" s="675" t="s">
        <v>114</v>
      </c>
      <c r="C556" s="687" t="s">
        <v>3843</v>
      </c>
      <c r="D556" s="675">
        <v>0</v>
      </c>
      <c r="E556" s="675" t="s">
        <v>2311</v>
      </c>
      <c r="F556" s="675">
        <v>3</v>
      </c>
      <c r="G556" s="675" t="s">
        <v>79</v>
      </c>
      <c r="H556" s="675">
        <v>41</v>
      </c>
      <c r="I556" s="676" t="s">
        <v>3832</v>
      </c>
      <c r="J556" s="677">
        <v>1.2</v>
      </c>
      <c r="K556" s="683">
        <v>0</v>
      </c>
      <c r="L556" s="677"/>
      <c r="M556" s="677">
        <v>0</v>
      </c>
      <c r="N556" s="677">
        <v>180</v>
      </c>
      <c r="O556" s="677"/>
      <c r="P556" s="677"/>
      <c r="Q556" s="677">
        <v>0</v>
      </c>
      <c r="R556" s="677"/>
      <c r="S556" s="677">
        <v>0</v>
      </c>
      <c r="T556" s="677">
        <v>0</v>
      </c>
      <c r="U556" s="677"/>
      <c r="V556" s="677">
        <v>0</v>
      </c>
      <c r="W556" s="677">
        <v>0</v>
      </c>
      <c r="X556" s="678"/>
      <c r="Y556" s="682"/>
      <c r="Z556" s="680"/>
      <c r="AA556" s="681">
        <v>185.61</v>
      </c>
      <c r="AB556" s="681"/>
      <c r="AC556" s="417">
        <v>23</v>
      </c>
      <c r="AD556" s="417"/>
      <c r="AE556" s="682" t="s">
        <v>4485</v>
      </c>
      <c r="AF556">
        <v>1</v>
      </c>
      <c r="AG556" s="758">
        <v>43101</v>
      </c>
      <c r="AH556" s="417"/>
      <c r="AI556" s="417"/>
      <c r="AJ556" s="759">
        <v>43368</v>
      </c>
      <c r="AK556" s="417"/>
      <c r="AL556" s="637" t="s">
        <v>3448</v>
      </c>
      <c r="AM556" s="417"/>
      <c r="AN556" s="417"/>
      <c r="AO556" s="636"/>
      <c r="AP556">
        <v>556686</v>
      </c>
      <c r="AQ556" s="760">
        <v>43368</v>
      </c>
      <c r="AR556" s="417">
        <v>0.3</v>
      </c>
      <c r="AS556" s="417"/>
      <c r="AT556" s="417"/>
      <c r="AU556" s="417"/>
      <c r="AV556" s="417"/>
      <c r="AW556" s="417"/>
      <c r="AX556" s="417"/>
      <c r="AY556" s="183" t="s">
        <v>3424</v>
      </c>
      <c r="AZ556" s="417"/>
      <c r="BA556" s="417"/>
      <c r="BB556" t="s">
        <v>3583</v>
      </c>
      <c r="BC556" s="636"/>
      <c r="BD556" s="417"/>
      <c r="BE556" s="612"/>
      <c r="BF556" s="613"/>
      <c r="BG556" s="614"/>
      <c r="BH556" s="682"/>
      <c r="BI556" s="417"/>
      <c r="BJ556" s="417">
        <v>8</v>
      </c>
      <c r="BK556" s="682" t="str">
        <f>Техкарта[[#This Row],[Кв-л]]&amp;" кв ("&amp;Substring(Техкарта[[#This Row],[Виділ]],"_",1)&amp;" вид) "&amp;Substring(Техкарта[[#This Row],[Виділ]],"_",2)&amp;" діл."</f>
        <v>41 кв (5 вид) 0 діл.</v>
      </c>
      <c r="BL556" s="682" t="str">
        <f>Техкарта[[#This Row],[ПолнаяДіл]] &amp;" "&amp;Техкарта[[#This Row],[ЛК]]&amp;" "&amp;Техкарта[[#This Row],[Вид рубки]]</f>
        <v>41 кв (5 вид) 0 діл. 556686 ОСВ</v>
      </c>
      <c r="BM556" s="682"/>
      <c r="BN556" s="636"/>
      <c r="BO556" s="636"/>
      <c r="BP556" s="636"/>
      <c r="BQ556" s="636" t="s">
        <v>3896</v>
      </c>
      <c r="BR556" s="636">
        <v>2</v>
      </c>
      <c r="BS556" s="636"/>
      <c r="BT556" s="636"/>
      <c r="BU556" s="636"/>
      <c r="BV556" s="636"/>
      <c r="BW556" s="636" t="s">
        <v>4482</v>
      </c>
      <c r="BX556" s="636"/>
      <c r="BY556" s="972"/>
    </row>
    <row r="557" spans="1:77">
      <c r="A557" s="636" t="s">
        <v>104</v>
      </c>
      <c r="B557" s="675" t="s">
        <v>115</v>
      </c>
      <c r="C557" s="687" t="s">
        <v>104</v>
      </c>
      <c r="D557" s="675">
        <v>0</v>
      </c>
      <c r="E557" s="675" t="s">
        <v>2305</v>
      </c>
      <c r="F557" s="675">
        <v>3</v>
      </c>
      <c r="G557" s="675" t="s">
        <v>2238</v>
      </c>
      <c r="H557" s="675">
        <v>7</v>
      </c>
      <c r="I557" s="676" t="s">
        <v>3851</v>
      </c>
      <c r="J557" s="677">
        <v>1.4</v>
      </c>
      <c r="K557" s="683">
        <v>768</v>
      </c>
      <c r="L557" s="677">
        <v>0</v>
      </c>
      <c r="M557" s="677">
        <v>0</v>
      </c>
      <c r="N557" s="677">
        <v>185</v>
      </c>
      <c r="O557" s="677">
        <v>0</v>
      </c>
      <c r="P557" s="677">
        <v>0</v>
      </c>
      <c r="Q557" s="677">
        <v>13</v>
      </c>
      <c r="R557" s="677">
        <v>50</v>
      </c>
      <c r="S557" s="677">
        <v>1</v>
      </c>
      <c r="T557" s="677">
        <v>94</v>
      </c>
      <c r="U557" s="677">
        <v>16</v>
      </c>
      <c r="V557" s="677">
        <v>1</v>
      </c>
      <c r="W557" s="677">
        <v>64</v>
      </c>
      <c r="X557" s="678"/>
      <c r="Y557" s="682"/>
      <c r="Z557" s="680"/>
      <c r="AA557" s="681">
        <v>85.475999999999999</v>
      </c>
      <c r="AB557" s="681">
        <v>42.247999999999998</v>
      </c>
      <c r="AC557" s="417">
        <v>0</v>
      </c>
      <c r="AD557" s="417"/>
      <c r="AE557" s="682" t="s">
        <v>4487</v>
      </c>
      <c r="AF557">
        <v>1</v>
      </c>
      <c r="AG557" s="758">
        <v>43101</v>
      </c>
      <c r="AH557" s="417"/>
      <c r="AI557" s="417"/>
      <c r="AJ557" s="759">
        <v>43346</v>
      </c>
      <c r="AK557" s="417"/>
      <c r="AL557" s="637" t="s">
        <v>3480</v>
      </c>
      <c r="AM557" s="417"/>
      <c r="AN557" s="417"/>
      <c r="AO557" s="636"/>
      <c r="AP557">
        <v>556622</v>
      </c>
      <c r="AQ557" s="760">
        <v>43077</v>
      </c>
      <c r="AR557" s="417"/>
      <c r="AS557" s="417"/>
      <c r="AT557" s="417"/>
      <c r="AU557" s="417"/>
      <c r="AV557" s="417"/>
      <c r="AW557" s="417"/>
      <c r="AX557" s="417"/>
      <c r="AY557" s="183" t="s">
        <v>3362</v>
      </c>
      <c r="AZ557" s="417"/>
      <c r="BA557" s="417"/>
      <c r="BB557" t="s">
        <v>3585</v>
      </c>
      <c r="BC557" s="636"/>
      <c r="BD557" s="417"/>
      <c r="BE557" s="612">
        <v>10</v>
      </c>
      <c r="BF557" s="613">
        <v>40</v>
      </c>
      <c r="BG557" s="614" t="s">
        <v>78</v>
      </c>
      <c r="BH557" s="682"/>
      <c r="BI557" s="417"/>
      <c r="BJ557" s="417">
        <v>1</v>
      </c>
      <c r="BK557" s="682" t="str">
        <f>Техкарта[[#This Row],[Кв-л]]&amp;" кв ("&amp;Substring(Техкарта[[#This Row],[Виділ]],"_",1)&amp;" вид) "&amp;Substring(Техкарта[[#This Row],[Виділ]],"_",2)&amp;" діл."</f>
        <v>7 кв (12 вид) 0 діл.</v>
      </c>
      <c r="BL557" s="682" t="str">
        <f>Техкарта[[#This Row],[ПолнаяДіл]] &amp;" "&amp;Техкарта[[#This Row],[ЛК]]&amp;" "&amp;Техкарта[[#This Row],[Вид рубки]]</f>
        <v>7 кв (12 вид) 0 діл. 556622 РГК</v>
      </c>
      <c r="BM557" s="682"/>
      <c r="BN557" s="636" t="s">
        <v>3784</v>
      </c>
      <c r="BO557" s="636" t="s">
        <v>3784</v>
      </c>
      <c r="BP557" s="636" t="s">
        <v>3784</v>
      </c>
      <c r="BQ557" s="636" t="s">
        <v>104</v>
      </c>
      <c r="BR557" s="636"/>
      <c r="BS557" s="636"/>
      <c r="BT557" s="636"/>
      <c r="BU557" s="636"/>
      <c r="BV557" s="636"/>
      <c r="BW557" s="636" t="s">
        <v>4486</v>
      </c>
      <c r="BX557" s="636"/>
      <c r="BY557" s="972"/>
    </row>
    <row r="558" spans="1:77">
      <c r="A558" s="636" t="s">
        <v>104</v>
      </c>
      <c r="B558" s="675" t="s">
        <v>115</v>
      </c>
      <c r="C558" s="687" t="s">
        <v>104</v>
      </c>
      <c r="D558" s="675">
        <v>0</v>
      </c>
      <c r="E558" s="675" t="s">
        <v>2305</v>
      </c>
      <c r="F558" s="675">
        <v>3</v>
      </c>
      <c r="G558" s="675" t="s">
        <v>2238</v>
      </c>
      <c r="H558" s="675">
        <v>133</v>
      </c>
      <c r="I558" s="676" t="s">
        <v>3792</v>
      </c>
      <c r="J558" s="677">
        <v>0.6</v>
      </c>
      <c r="K558" s="683">
        <v>328</v>
      </c>
      <c r="L558" s="677">
        <v>0</v>
      </c>
      <c r="M558" s="677">
        <v>1</v>
      </c>
      <c r="N558" s="677">
        <v>45</v>
      </c>
      <c r="O558" s="677">
        <v>0</v>
      </c>
      <c r="P558" s="677">
        <v>0</v>
      </c>
      <c r="Q558" s="677">
        <v>0</v>
      </c>
      <c r="R558" s="677">
        <v>0</v>
      </c>
      <c r="S558" s="677">
        <v>11</v>
      </c>
      <c r="T558" s="677">
        <v>60</v>
      </c>
      <c r="U558" s="677">
        <v>0</v>
      </c>
      <c r="V558" s="677">
        <v>9</v>
      </c>
      <c r="W558" s="677">
        <v>39</v>
      </c>
      <c r="X558" s="678"/>
      <c r="Y558" s="682"/>
      <c r="Z558" s="680"/>
      <c r="AA558" s="681">
        <v>99.22</v>
      </c>
      <c r="AB558" s="681">
        <v>45.256999999999998</v>
      </c>
      <c r="AC558" s="417">
        <v>13</v>
      </c>
      <c r="AD558" s="417"/>
      <c r="AE558" s="682" t="s">
        <v>4488</v>
      </c>
      <c r="AF558">
        <v>1</v>
      </c>
      <c r="AG558" s="758">
        <v>43101</v>
      </c>
      <c r="AH558" s="417"/>
      <c r="AI558" s="417"/>
      <c r="AJ558" s="759">
        <v>43346</v>
      </c>
      <c r="AK558" s="417"/>
      <c r="AL558" s="637" t="s">
        <v>3480</v>
      </c>
      <c r="AM558" s="417"/>
      <c r="AN558" s="417"/>
      <c r="AO558" s="636"/>
      <c r="AP558">
        <v>556622</v>
      </c>
      <c r="AQ558" s="760">
        <v>43077</v>
      </c>
      <c r="AR558" s="417"/>
      <c r="AS558" s="417"/>
      <c r="AT558" s="417"/>
      <c r="AU558" s="417"/>
      <c r="AV558" s="417"/>
      <c r="AW558" s="417"/>
      <c r="AX558" s="417"/>
      <c r="AY558" s="183" t="s">
        <v>3362</v>
      </c>
      <c r="AZ558" s="417"/>
      <c r="BA558" s="417"/>
      <c r="BB558" t="s">
        <v>3585</v>
      </c>
      <c r="BC558" s="636"/>
      <c r="BD558" s="417"/>
      <c r="BE558" s="612">
        <v>10</v>
      </c>
      <c r="BF558" s="613">
        <v>40</v>
      </c>
      <c r="BG558" s="614" t="s">
        <v>78</v>
      </c>
      <c r="BH558" s="682"/>
      <c r="BI558" s="417"/>
      <c r="BJ558" s="417">
        <v>2</v>
      </c>
      <c r="BK558" s="682" t="str">
        <f>Техкарта[[#This Row],[Кв-л]]&amp;" кв ("&amp;Substring(Техкарта[[#This Row],[Виділ]],"_",1)&amp;" вид) "&amp;Substring(Техкарта[[#This Row],[Виділ]],"_",2)&amp;" діл."</f>
        <v>133 кв (13 вид) 0 діл.</v>
      </c>
      <c r="BL558" s="682" t="str">
        <f>Техкарта[[#This Row],[ПолнаяДіл]] &amp;" "&amp;Техкарта[[#This Row],[ЛК]]&amp;" "&amp;Техкарта[[#This Row],[Вид рубки]]</f>
        <v>133 кв (13 вид) 0 діл. 556622 РГК</v>
      </c>
      <c r="BM558" s="682"/>
      <c r="BN558" s="636" t="s">
        <v>3784</v>
      </c>
      <c r="BO558" s="636" t="s">
        <v>3784</v>
      </c>
      <c r="BP558" s="636" t="s">
        <v>3784</v>
      </c>
      <c r="BQ558" s="636" t="s">
        <v>104</v>
      </c>
      <c r="BR558" s="636"/>
      <c r="BS558" s="636"/>
      <c r="BT558" s="636"/>
      <c r="BU558" s="636"/>
      <c r="BV558" s="636"/>
      <c r="BW558" s="636" t="s">
        <v>4489</v>
      </c>
      <c r="BX558" s="636"/>
      <c r="BY558" s="972"/>
    </row>
    <row r="559" spans="1:77">
      <c r="A559" s="636" t="s">
        <v>104</v>
      </c>
      <c r="B559" s="675" t="s">
        <v>111</v>
      </c>
      <c r="C559" s="687" t="s">
        <v>104</v>
      </c>
      <c r="D559" s="675">
        <v>0</v>
      </c>
      <c r="E559" s="675" t="s">
        <v>2305</v>
      </c>
      <c r="F559" s="675">
        <v>2</v>
      </c>
      <c r="G559" s="675" t="s">
        <v>2238</v>
      </c>
      <c r="H559" s="675">
        <v>41</v>
      </c>
      <c r="I559" s="676" t="s">
        <v>3789</v>
      </c>
      <c r="J559" s="677">
        <v>1.7</v>
      </c>
      <c r="K559" s="683">
        <v>869</v>
      </c>
      <c r="L559" s="677">
        <v>0</v>
      </c>
      <c r="M559" s="677">
        <v>242</v>
      </c>
      <c r="N559" s="677">
        <v>18</v>
      </c>
      <c r="O559" s="677">
        <v>0</v>
      </c>
      <c r="P559" s="677">
        <v>0</v>
      </c>
      <c r="Q559" s="677">
        <v>0</v>
      </c>
      <c r="R559" s="677">
        <v>0</v>
      </c>
      <c r="S559" s="677">
        <v>195</v>
      </c>
      <c r="T559" s="677">
        <v>61</v>
      </c>
      <c r="U559" s="677">
        <v>0</v>
      </c>
      <c r="V559" s="677">
        <v>130</v>
      </c>
      <c r="W559" s="677">
        <v>48</v>
      </c>
      <c r="X559" s="678"/>
      <c r="Y559" s="682"/>
      <c r="Z559" s="680"/>
      <c r="AA559" s="681">
        <v>64.242000000000004</v>
      </c>
      <c r="AB559" s="681">
        <v>26.927</v>
      </c>
      <c r="AC559" s="417">
        <v>66</v>
      </c>
      <c r="AD559" s="417"/>
      <c r="AE559" s="682" t="s">
        <v>4490</v>
      </c>
      <c r="AF559">
        <v>1</v>
      </c>
      <c r="AG559" s="758">
        <v>43101</v>
      </c>
      <c r="AH559" s="417"/>
      <c r="AI559" s="417"/>
      <c r="AJ559" s="759">
        <v>43346</v>
      </c>
      <c r="AK559" s="417"/>
      <c r="AL559" s="637" t="s">
        <v>3433</v>
      </c>
      <c r="AM559" s="417"/>
      <c r="AN559" s="417"/>
      <c r="AO559" s="636"/>
      <c r="AP559">
        <v>556621</v>
      </c>
      <c r="AQ559" s="760">
        <v>43077</v>
      </c>
      <c r="AR559" s="417"/>
      <c r="AS559" s="417"/>
      <c r="AT559" s="417"/>
      <c r="AU559" s="417"/>
      <c r="AV559" s="417"/>
      <c r="AW559" s="417"/>
      <c r="AX559" s="417"/>
      <c r="AY559" s="183" t="s">
        <v>3424</v>
      </c>
      <c r="AZ559" s="417"/>
      <c r="BA559" s="417"/>
      <c r="BB559" t="s">
        <v>3583</v>
      </c>
      <c r="BC559" s="636"/>
      <c r="BD559" s="417"/>
      <c r="BE559" s="612">
        <v>10</v>
      </c>
      <c r="BF559" s="613">
        <v>40</v>
      </c>
      <c r="BG559" s="614" t="s">
        <v>78</v>
      </c>
      <c r="BH559" s="682"/>
      <c r="BI559" s="417"/>
      <c r="BJ559" s="417">
        <v>2</v>
      </c>
      <c r="BK559" s="682" t="str">
        <f>Техкарта[[#This Row],[Кв-л]]&amp;" кв ("&amp;Substring(Техкарта[[#This Row],[Виділ]],"_",1)&amp;" вид) "&amp;Substring(Техкарта[[#This Row],[Виділ]],"_",2)&amp;" діл."</f>
        <v>41 кв (10 вид) 0 діл.</v>
      </c>
      <c r="BL559" s="682" t="str">
        <f>Техкарта[[#This Row],[ПолнаяДіл]] &amp;" "&amp;Техкарта[[#This Row],[ЛК]]&amp;" "&amp;Техкарта[[#This Row],[Вид рубки]]</f>
        <v>41 кв (10 вид) 0 діл. 556621 РГК</v>
      </c>
      <c r="BM559" s="682"/>
      <c r="BN559" s="636" t="s">
        <v>3784</v>
      </c>
      <c r="BO559" s="636" t="s">
        <v>3784</v>
      </c>
      <c r="BP559" s="636" t="s">
        <v>3784</v>
      </c>
      <c r="BQ559" s="636" t="s">
        <v>104</v>
      </c>
      <c r="BR559" s="636"/>
      <c r="BS559" s="636"/>
      <c r="BT559" s="636"/>
      <c r="BU559" s="636"/>
      <c r="BV559" s="636"/>
      <c r="BW559" s="636" t="s">
        <v>4491</v>
      </c>
      <c r="BX559" s="636"/>
      <c r="BY559" s="972"/>
    </row>
    <row r="560" spans="1:77">
      <c r="A560" s="636" t="s">
        <v>105</v>
      </c>
      <c r="B560" s="675" t="s">
        <v>116</v>
      </c>
      <c r="C560" s="687" t="s">
        <v>3588</v>
      </c>
      <c r="D560" s="675">
        <v>0</v>
      </c>
      <c r="E560" s="675" t="s">
        <v>2305</v>
      </c>
      <c r="F560" s="675">
        <v>3</v>
      </c>
      <c r="G560" s="675" t="s">
        <v>2238</v>
      </c>
      <c r="H560" s="675">
        <v>54</v>
      </c>
      <c r="I560" s="676" t="s">
        <v>3791</v>
      </c>
      <c r="J560" s="677">
        <v>0.7</v>
      </c>
      <c r="K560" s="683">
        <v>174</v>
      </c>
      <c r="L560" s="677">
        <v>0</v>
      </c>
      <c r="M560" s="677">
        <v>8</v>
      </c>
      <c r="N560" s="677">
        <v>0</v>
      </c>
      <c r="O560" s="677">
        <v>0</v>
      </c>
      <c r="P560" s="677">
        <v>0</v>
      </c>
      <c r="Q560" s="677">
        <v>0</v>
      </c>
      <c r="R560" s="677">
        <v>0</v>
      </c>
      <c r="S560" s="677">
        <v>31</v>
      </c>
      <c r="T560" s="677">
        <v>2</v>
      </c>
      <c r="U560" s="677">
        <v>0</v>
      </c>
      <c r="V560" s="677">
        <v>0</v>
      </c>
      <c r="W560" s="677">
        <v>0</v>
      </c>
      <c r="X560" s="678"/>
      <c r="Y560" s="682"/>
      <c r="Z560" s="680"/>
      <c r="AA560" s="681">
        <v>81.129000000000005</v>
      </c>
      <c r="AB560" s="681">
        <v>29.978000000000002</v>
      </c>
      <c r="AC560" s="417">
        <v>6</v>
      </c>
      <c r="AD560" s="417"/>
      <c r="AE560" s="682" t="s">
        <v>4492</v>
      </c>
      <c r="AF560">
        <v>1</v>
      </c>
      <c r="AG560" s="758">
        <v>43101</v>
      </c>
      <c r="AH560" s="417"/>
      <c r="AI560" s="417"/>
      <c r="AJ560" s="759">
        <v>43346</v>
      </c>
      <c r="AK560" s="417"/>
      <c r="AL560" s="637" t="s">
        <v>3470</v>
      </c>
      <c r="AM560" s="417"/>
      <c r="AN560" s="417"/>
      <c r="AO560" s="636"/>
      <c r="AP560">
        <v>556702</v>
      </c>
      <c r="AQ560" s="760">
        <v>43234</v>
      </c>
      <c r="AR560" s="417"/>
      <c r="AS560" s="417"/>
      <c r="AT560" s="417"/>
      <c r="AU560" s="417"/>
      <c r="AV560" s="417"/>
      <c r="AW560" s="417"/>
      <c r="AX560" s="417"/>
      <c r="AY560" s="183" t="s">
        <v>4245</v>
      </c>
      <c r="AZ560" s="417"/>
      <c r="BA560" s="417"/>
      <c r="BB560" t="s">
        <v>4238</v>
      </c>
      <c r="BC560" s="636"/>
      <c r="BD560" s="417"/>
      <c r="BE560" s="612">
        <v>0</v>
      </c>
      <c r="BF560" s="613">
        <v>0</v>
      </c>
      <c r="BG560" s="614" t="s">
        <v>78</v>
      </c>
      <c r="BH560" s="682"/>
      <c r="BI560" s="417"/>
      <c r="BJ560" s="417">
        <v>15</v>
      </c>
      <c r="BK560" s="682" t="str">
        <f>Техкарта[[#This Row],[Кв-л]]&amp;" кв ("&amp;Substring(Техкарта[[#This Row],[Виділ]],"_",1)&amp;" вид) "&amp;Substring(Техкарта[[#This Row],[Виділ]],"_",2)&amp;" діл."</f>
        <v>54 кв (7 вид) 0 діл.</v>
      </c>
      <c r="BL560" s="682" t="str">
        <f>Техкарта[[#This Row],[ПолнаяДіл]] &amp;" "&amp;Техкарта[[#This Row],[ЛК]]&amp;" "&amp;Техкарта[[#This Row],[Вид рубки]]</f>
        <v>54 кв (7 вид) 0 діл. 556702 рубка в охоронній зоні ЛЕП</v>
      </c>
      <c r="BM560" s="682"/>
      <c r="BN560" s="636" t="s">
        <v>3784</v>
      </c>
      <c r="BO560" s="636" t="s">
        <v>3784</v>
      </c>
      <c r="BP560" s="636" t="s">
        <v>3784</v>
      </c>
      <c r="BQ560" s="636" t="s">
        <v>105</v>
      </c>
      <c r="BR560" s="636"/>
      <c r="BS560" s="636"/>
      <c r="BT560" s="636"/>
      <c r="BU560" s="636"/>
      <c r="BV560" s="636"/>
      <c r="BW560" s="636" t="s">
        <v>4491</v>
      </c>
      <c r="BX560" s="636"/>
      <c r="BY560" s="972"/>
    </row>
    <row r="561" spans="1:77">
      <c r="A561" s="636" t="s">
        <v>105</v>
      </c>
      <c r="B561" s="675" t="s">
        <v>116</v>
      </c>
      <c r="C561" s="687" t="s">
        <v>3588</v>
      </c>
      <c r="D561" s="675">
        <v>0</v>
      </c>
      <c r="E561" s="675" t="s">
        <v>2305</v>
      </c>
      <c r="F561" s="675">
        <v>3</v>
      </c>
      <c r="G561" s="675" t="s">
        <v>2238</v>
      </c>
      <c r="H561" s="675">
        <v>53</v>
      </c>
      <c r="I561" s="676" t="s">
        <v>3796</v>
      </c>
      <c r="J561" s="677">
        <v>2</v>
      </c>
      <c r="K561" s="683">
        <v>189</v>
      </c>
      <c r="L561" s="677">
        <v>0</v>
      </c>
      <c r="M561" s="677">
        <v>13</v>
      </c>
      <c r="N561" s="677">
        <v>0</v>
      </c>
      <c r="O561" s="677">
        <v>0</v>
      </c>
      <c r="P561" s="677">
        <v>0</v>
      </c>
      <c r="Q561" s="677">
        <v>0</v>
      </c>
      <c r="R561" s="677">
        <v>57</v>
      </c>
      <c r="S561" s="677">
        <v>1</v>
      </c>
      <c r="T561" s="677">
        <v>0</v>
      </c>
      <c r="U561" s="677">
        <v>0</v>
      </c>
      <c r="V561" s="677">
        <v>0</v>
      </c>
      <c r="W561" s="677">
        <v>0</v>
      </c>
      <c r="X561" s="678"/>
      <c r="Y561" s="682"/>
      <c r="Z561" s="680"/>
      <c r="AA561" s="681">
        <v>81.66</v>
      </c>
      <c r="AB561" s="681">
        <v>29.978000000000002</v>
      </c>
      <c r="AC561" s="417">
        <v>10</v>
      </c>
      <c r="AD561" s="417"/>
      <c r="AE561" s="682" t="s">
        <v>4493</v>
      </c>
      <c r="AF561">
        <v>1</v>
      </c>
      <c r="AG561" s="758">
        <v>43101</v>
      </c>
      <c r="AH561" s="417"/>
      <c r="AI561" s="417"/>
      <c r="AJ561" s="759">
        <v>43346</v>
      </c>
      <c r="AK561" s="417"/>
      <c r="AL561" s="637" t="s">
        <v>3470</v>
      </c>
      <c r="AM561" s="417"/>
      <c r="AN561" s="417"/>
      <c r="AO561" s="636"/>
      <c r="AP561">
        <v>556702</v>
      </c>
      <c r="AQ561" s="760">
        <v>43234</v>
      </c>
      <c r="AR561" s="417"/>
      <c r="AS561" s="417"/>
      <c r="AT561" s="417"/>
      <c r="AU561" s="417"/>
      <c r="AV561" s="417"/>
      <c r="AW561" s="417"/>
      <c r="AX561" s="417"/>
      <c r="AY561" s="183" t="s">
        <v>4245</v>
      </c>
      <c r="AZ561" s="417"/>
      <c r="BA561" s="417"/>
      <c r="BB561" t="s">
        <v>4238</v>
      </c>
      <c r="BC561" s="636"/>
      <c r="BD561" s="417"/>
      <c r="BE561" s="612">
        <v>0</v>
      </c>
      <c r="BF561" s="613">
        <v>0</v>
      </c>
      <c r="BG561" s="614" t="s">
        <v>78</v>
      </c>
      <c r="BH561" s="682"/>
      <c r="BI561" s="417"/>
      <c r="BJ561" s="417">
        <v>12</v>
      </c>
      <c r="BK561" s="682" t="str">
        <f>Техкарта[[#This Row],[Кв-л]]&amp;" кв ("&amp;Substring(Техкарта[[#This Row],[Виділ]],"_",1)&amp;" вид) "&amp;Substring(Техкарта[[#This Row],[Виділ]],"_",2)&amp;" діл."</f>
        <v>53 кв (5 вид) 1 діл.</v>
      </c>
      <c r="BL561" s="682" t="str">
        <f>Техкарта[[#This Row],[ПолнаяДіл]] &amp;" "&amp;Техкарта[[#This Row],[ЛК]]&amp;" "&amp;Техкарта[[#This Row],[Вид рубки]]</f>
        <v>53 кв (5 вид) 1 діл. 556702 рубка в охоронній зоні ЛЕП</v>
      </c>
      <c r="BM561" s="682"/>
      <c r="BN561" s="636" t="s">
        <v>3784</v>
      </c>
      <c r="BO561" s="636" t="s">
        <v>3784</v>
      </c>
      <c r="BP561" s="636" t="s">
        <v>3784</v>
      </c>
      <c r="BQ561" s="636" t="s">
        <v>105</v>
      </c>
      <c r="BR561" s="636"/>
      <c r="BS561" s="636"/>
      <c r="BT561" s="636"/>
      <c r="BU561" s="636"/>
      <c r="BV561" s="636"/>
      <c r="BW561" s="636" t="s">
        <v>4491</v>
      </c>
      <c r="BX561" s="636"/>
      <c r="BY561" s="972"/>
    </row>
    <row r="562" spans="1:77">
      <c r="A562" s="636" t="s">
        <v>105</v>
      </c>
      <c r="B562" s="675" t="s">
        <v>112</v>
      </c>
      <c r="C562" s="687" t="s">
        <v>126</v>
      </c>
      <c r="D562" s="675">
        <v>0</v>
      </c>
      <c r="E562" s="675" t="s">
        <v>2305</v>
      </c>
      <c r="F562" s="675">
        <v>3</v>
      </c>
      <c r="G562" s="675" t="s">
        <v>2238</v>
      </c>
      <c r="H562" s="675">
        <v>3</v>
      </c>
      <c r="I562" s="676" t="s">
        <v>3829</v>
      </c>
      <c r="J562" s="677">
        <v>2.1</v>
      </c>
      <c r="K562" s="683">
        <v>83</v>
      </c>
      <c r="L562" s="677">
        <v>0</v>
      </c>
      <c r="M562" s="677">
        <v>0</v>
      </c>
      <c r="N562" s="677">
        <v>3</v>
      </c>
      <c r="O562" s="677">
        <v>0</v>
      </c>
      <c r="P562" s="677">
        <v>0</v>
      </c>
      <c r="Q562" s="677">
        <v>0</v>
      </c>
      <c r="R562" s="677">
        <v>0</v>
      </c>
      <c r="S562" s="677">
        <v>0</v>
      </c>
      <c r="T562" s="677">
        <v>58</v>
      </c>
      <c r="U562" s="677">
        <v>0</v>
      </c>
      <c r="V562" s="677">
        <v>0</v>
      </c>
      <c r="W562" s="677">
        <v>0</v>
      </c>
      <c r="X562" s="678"/>
      <c r="Y562" s="682"/>
      <c r="Z562" s="680"/>
      <c r="AA562" s="681">
        <v>72.097999999999999</v>
      </c>
      <c r="AB562" s="681">
        <v>29.978000000000002</v>
      </c>
      <c r="AC562" s="417">
        <v>3</v>
      </c>
      <c r="AD562" s="417"/>
      <c r="AE562" s="682" t="s">
        <v>4494</v>
      </c>
      <c r="AF562">
        <v>1</v>
      </c>
      <c r="AG562" s="758">
        <v>43101</v>
      </c>
      <c r="AH562" s="417"/>
      <c r="AI562" s="417"/>
      <c r="AJ562" s="759">
        <v>43346</v>
      </c>
      <c r="AK562" s="417"/>
      <c r="AL562" s="637" t="s">
        <v>3468</v>
      </c>
      <c r="AM562" s="417"/>
      <c r="AN562" s="417"/>
      <c r="AO562" s="636"/>
      <c r="AP562">
        <v>556685</v>
      </c>
      <c r="AQ562" s="760">
        <v>43367</v>
      </c>
      <c r="AR562" s="417"/>
      <c r="AS562" s="417"/>
      <c r="AT562" s="417"/>
      <c r="AU562" s="417"/>
      <c r="AV562" s="417"/>
      <c r="AW562" s="417"/>
      <c r="AX562" s="417"/>
      <c r="AY562" s="183" t="s">
        <v>4245</v>
      </c>
      <c r="AZ562" s="417"/>
      <c r="BA562" s="417"/>
      <c r="BB562" t="s">
        <v>4238</v>
      </c>
      <c r="BC562" s="636"/>
      <c r="BD562" s="417"/>
      <c r="BE562" s="612">
        <v>0</v>
      </c>
      <c r="BF562" s="613">
        <v>0</v>
      </c>
      <c r="BG562" s="614" t="s">
        <v>78</v>
      </c>
      <c r="BH562" s="682"/>
      <c r="BI562" s="417"/>
      <c r="BJ562" s="417">
        <v>3</v>
      </c>
      <c r="BK562" s="682" t="str">
        <f>Техкарта[[#This Row],[Кв-л]]&amp;" кв ("&amp;Substring(Техкарта[[#This Row],[Виділ]],"_",1)&amp;" вид) "&amp;Substring(Техкарта[[#This Row],[Виділ]],"_",2)&amp;" діл."</f>
        <v>3 кв (3 вид) 0 діл.</v>
      </c>
      <c r="BL562" s="682" t="str">
        <f>Техкарта[[#This Row],[ПолнаяДіл]] &amp;" "&amp;Техкарта[[#This Row],[ЛК]]&amp;" "&amp;Техкарта[[#This Row],[Вид рубки]]</f>
        <v>3 кв (3 вид) 0 діл. 556685 СРВ</v>
      </c>
      <c r="BM562" s="682"/>
      <c r="BN562" s="636" t="s">
        <v>3784</v>
      </c>
      <c r="BO562" s="636" t="s">
        <v>3784</v>
      </c>
      <c r="BP562" s="636" t="s">
        <v>3784</v>
      </c>
      <c r="BQ562" s="636" t="s">
        <v>105</v>
      </c>
      <c r="BR562" s="636"/>
      <c r="BS562" s="636"/>
      <c r="BT562" s="636"/>
      <c r="BU562" s="636"/>
      <c r="BV562" s="636"/>
      <c r="BW562" s="636" t="s">
        <v>4491</v>
      </c>
      <c r="BX562" s="636"/>
      <c r="BY562" s="972"/>
    </row>
    <row r="563" spans="1:77">
      <c r="A563" s="636" t="s">
        <v>105</v>
      </c>
      <c r="B563" s="675" t="s">
        <v>112</v>
      </c>
      <c r="C563" s="687" t="s">
        <v>126</v>
      </c>
      <c r="D563" s="675">
        <v>0</v>
      </c>
      <c r="E563" s="675" t="s">
        <v>2305</v>
      </c>
      <c r="F563" s="675">
        <v>3</v>
      </c>
      <c r="G563" s="675" t="s">
        <v>2238</v>
      </c>
      <c r="H563" s="675">
        <v>3</v>
      </c>
      <c r="I563" s="676" t="s">
        <v>3791</v>
      </c>
      <c r="J563" s="677">
        <v>1.8</v>
      </c>
      <c r="K563" s="683">
        <v>142</v>
      </c>
      <c r="L563" s="677">
        <v>0</v>
      </c>
      <c r="M563" s="677">
        <v>0</v>
      </c>
      <c r="N563" s="677">
        <v>1</v>
      </c>
      <c r="O563" s="677">
        <v>0</v>
      </c>
      <c r="P563" s="677">
        <v>0</v>
      </c>
      <c r="Q563" s="677">
        <v>0</v>
      </c>
      <c r="R563" s="677">
        <v>0</v>
      </c>
      <c r="S563" s="677">
        <v>0</v>
      </c>
      <c r="T563" s="677">
        <v>47</v>
      </c>
      <c r="U563" s="677">
        <v>0</v>
      </c>
      <c r="V563" s="677">
        <v>0</v>
      </c>
      <c r="W563" s="677">
        <v>0</v>
      </c>
      <c r="X563" s="678"/>
      <c r="Y563" s="682"/>
      <c r="Z563" s="680"/>
      <c r="AA563" s="681">
        <v>88.22</v>
      </c>
      <c r="AB563" s="681">
        <v>29.978000000000002</v>
      </c>
      <c r="AC563" s="417">
        <v>3</v>
      </c>
      <c r="AD563" s="417"/>
      <c r="AE563" s="682" t="s">
        <v>4495</v>
      </c>
      <c r="AF563">
        <v>1</v>
      </c>
      <c r="AG563" s="758">
        <v>43101</v>
      </c>
      <c r="AH563" s="417"/>
      <c r="AI563" s="417"/>
      <c r="AJ563" s="759">
        <v>43346</v>
      </c>
      <c r="AK563" s="417"/>
      <c r="AL563" s="637" t="s">
        <v>3468</v>
      </c>
      <c r="AM563" s="417"/>
      <c r="AN563" s="417"/>
      <c r="AO563" s="636"/>
      <c r="AP563">
        <v>556685</v>
      </c>
      <c r="AQ563" s="760">
        <v>43367</v>
      </c>
      <c r="AR563" s="417"/>
      <c r="AS563" s="417"/>
      <c r="AT563" s="417"/>
      <c r="AU563" s="417"/>
      <c r="AV563" s="417"/>
      <c r="AW563" s="417"/>
      <c r="AX563" s="417"/>
      <c r="AY563" s="183" t="s">
        <v>4245</v>
      </c>
      <c r="AZ563" s="417"/>
      <c r="BA563" s="417"/>
      <c r="BB563" t="s">
        <v>4238</v>
      </c>
      <c r="BC563" s="636"/>
      <c r="BD563" s="417"/>
      <c r="BE563" s="612">
        <v>0</v>
      </c>
      <c r="BF563" s="613">
        <v>0</v>
      </c>
      <c r="BG563" s="614" t="s">
        <v>78</v>
      </c>
      <c r="BH563" s="682"/>
      <c r="BI563" s="417"/>
      <c r="BJ563" s="417">
        <v>4</v>
      </c>
      <c r="BK563" s="682" t="str">
        <f>Техкарта[[#This Row],[Кв-л]]&amp;" кв ("&amp;Substring(Техкарта[[#This Row],[Виділ]],"_",1)&amp;" вид) "&amp;Substring(Техкарта[[#This Row],[Виділ]],"_",2)&amp;" діл."</f>
        <v>3 кв (7 вид) 0 діл.</v>
      </c>
      <c r="BL563" s="682" t="str">
        <f>Техкарта[[#This Row],[ПолнаяДіл]] &amp;" "&amp;Техкарта[[#This Row],[ЛК]]&amp;" "&amp;Техкарта[[#This Row],[Вид рубки]]</f>
        <v>3 кв (7 вид) 0 діл. 556685 СРВ</v>
      </c>
      <c r="BM563" s="682"/>
      <c r="BN563" s="636" t="s">
        <v>3784</v>
      </c>
      <c r="BO563" s="636" t="s">
        <v>3784</v>
      </c>
      <c r="BP563" s="636" t="s">
        <v>3784</v>
      </c>
      <c r="BQ563" s="636" t="s">
        <v>105</v>
      </c>
      <c r="BR563" s="636"/>
      <c r="BS563" s="636"/>
      <c r="BT563" s="636"/>
      <c r="BU563" s="636"/>
      <c r="BV563" s="636"/>
      <c r="BW563" s="636" t="s">
        <v>4491</v>
      </c>
      <c r="BX563" s="636"/>
      <c r="BY563" s="972"/>
    </row>
    <row r="564" spans="1:77">
      <c r="A564" s="636" t="s">
        <v>105</v>
      </c>
      <c r="B564" s="675" t="s">
        <v>112</v>
      </c>
      <c r="C564" s="687" t="s">
        <v>126</v>
      </c>
      <c r="D564" s="675">
        <v>0</v>
      </c>
      <c r="E564" s="675" t="s">
        <v>2305</v>
      </c>
      <c r="F564" s="675">
        <v>3</v>
      </c>
      <c r="G564" s="675" t="s">
        <v>2238</v>
      </c>
      <c r="H564" s="675">
        <v>17</v>
      </c>
      <c r="I564" s="676" t="s">
        <v>3790</v>
      </c>
      <c r="J564" s="677">
        <v>10</v>
      </c>
      <c r="K564" s="683">
        <v>304</v>
      </c>
      <c r="L564" s="677">
        <v>0</v>
      </c>
      <c r="M564" s="677">
        <v>0</v>
      </c>
      <c r="N564" s="677">
        <v>11</v>
      </c>
      <c r="O564" s="677">
        <v>0</v>
      </c>
      <c r="P564" s="677">
        <v>0</v>
      </c>
      <c r="Q564" s="677">
        <v>0</v>
      </c>
      <c r="R564" s="677">
        <v>0</v>
      </c>
      <c r="S564" s="677">
        <v>0</v>
      </c>
      <c r="T564" s="677">
        <v>85</v>
      </c>
      <c r="U564" s="677">
        <v>0</v>
      </c>
      <c r="V564" s="677">
        <v>0</v>
      </c>
      <c r="W564" s="677">
        <v>0</v>
      </c>
      <c r="X564" s="678"/>
      <c r="Y564" s="682"/>
      <c r="Z564" s="680"/>
      <c r="AA564" s="681">
        <v>96.372</v>
      </c>
      <c r="AB564" s="681">
        <v>29.978000000000002</v>
      </c>
      <c r="AC564" s="417">
        <v>9</v>
      </c>
      <c r="AD564" s="417"/>
      <c r="AE564" s="682" t="s">
        <v>4496</v>
      </c>
      <c r="AF564">
        <v>1</v>
      </c>
      <c r="AG564" s="758">
        <v>43101</v>
      </c>
      <c r="AH564" s="417"/>
      <c r="AI564" s="417"/>
      <c r="AJ564" s="759">
        <v>43346</v>
      </c>
      <c r="AK564" s="417"/>
      <c r="AL564" s="637" t="s">
        <v>3434</v>
      </c>
      <c r="AM564" s="417"/>
      <c r="AN564" s="417"/>
      <c r="AO564" s="636"/>
      <c r="AP564">
        <v>556685</v>
      </c>
      <c r="AQ564" s="760">
        <v>43367</v>
      </c>
      <c r="AR564" s="417"/>
      <c r="AS564" s="417"/>
      <c r="AT564" s="417"/>
      <c r="AU564" s="417"/>
      <c r="AV564" s="417"/>
      <c r="AW564" s="417"/>
      <c r="AX564" s="417"/>
      <c r="AY564" s="183" t="s">
        <v>4245</v>
      </c>
      <c r="AZ564" s="417"/>
      <c r="BA564" s="417"/>
      <c r="BB564" t="s">
        <v>4238</v>
      </c>
      <c r="BC564" s="636"/>
      <c r="BD564" s="417"/>
      <c r="BE564" s="612">
        <v>0</v>
      </c>
      <c r="BF564" s="613">
        <v>0</v>
      </c>
      <c r="BG564" s="614" t="s">
        <v>78</v>
      </c>
      <c r="BH564" s="682"/>
      <c r="BI564" s="417"/>
      <c r="BJ564" s="417">
        <v>5</v>
      </c>
      <c r="BK564" s="682" t="str">
        <f>Техкарта[[#This Row],[Кв-л]]&amp;" кв ("&amp;Substring(Техкарта[[#This Row],[Виділ]],"_",1)&amp;" вид) "&amp;Substring(Техкарта[[#This Row],[Виділ]],"_",2)&amp;" діл."</f>
        <v>17 кв (2 вид) 0 діл.</v>
      </c>
      <c r="BL564" s="682" t="str">
        <f>Техкарта[[#This Row],[ПолнаяДіл]] &amp;" "&amp;Техкарта[[#This Row],[ЛК]]&amp;" "&amp;Техкарта[[#This Row],[Вид рубки]]</f>
        <v>17 кв (2 вид) 0 діл. 556685 СРВ</v>
      </c>
      <c r="BM564" s="682"/>
      <c r="BN564" s="636" t="s">
        <v>3784</v>
      </c>
      <c r="BO564" s="636" t="s">
        <v>3784</v>
      </c>
      <c r="BP564" s="636" t="s">
        <v>3784</v>
      </c>
      <c r="BQ564" s="636" t="s">
        <v>105</v>
      </c>
      <c r="BR564" s="636"/>
      <c r="BS564" s="636"/>
      <c r="BT564" s="636"/>
      <c r="BU564" s="636"/>
      <c r="BV564" s="636"/>
      <c r="BW564" s="636" t="s">
        <v>4491</v>
      </c>
      <c r="BX564" s="636"/>
      <c r="BY564" s="972"/>
    </row>
    <row r="565" spans="1:77">
      <c r="A565" s="636" t="s">
        <v>105</v>
      </c>
      <c r="B565" s="675" t="s">
        <v>112</v>
      </c>
      <c r="C565" s="687" t="s">
        <v>126</v>
      </c>
      <c r="D565" s="675">
        <v>0</v>
      </c>
      <c r="E565" s="675" t="s">
        <v>2305</v>
      </c>
      <c r="F565" s="675">
        <v>3</v>
      </c>
      <c r="G565" s="675" t="s">
        <v>2238</v>
      </c>
      <c r="H565" s="675">
        <v>37</v>
      </c>
      <c r="I565" s="676" t="s">
        <v>3829</v>
      </c>
      <c r="J565" s="677">
        <v>10.3</v>
      </c>
      <c r="K565" s="683">
        <v>300</v>
      </c>
      <c r="L565" s="677">
        <v>0</v>
      </c>
      <c r="M565" s="677">
        <v>0</v>
      </c>
      <c r="N565" s="677">
        <v>8</v>
      </c>
      <c r="O565" s="677">
        <v>0</v>
      </c>
      <c r="P565" s="677">
        <v>0</v>
      </c>
      <c r="Q565" s="677">
        <v>0</v>
      </c>
      <c r="R565" s="677">
        <v>0</v>
      </c>
      <c r="S565" s="677">
        <v>0</v>
      </c>
      <c r="T565" s="677">
        <v>143</v>
      </c>
      <c r="U565" s="677">
        <v>0</v>
      </c>
      <c r="V565" s="677">
        <v>0</v>
      </c>
      <c r="W565" s="677">
        <v>0</v>
      </c>
      <c r="X565" s="678"/>
      <c r="Y565" s="682"/>
      <c r="Z565" s="680"/>
      <c r="AA565" s="681">
        <v>83.488</v>
      </c>
      <c r="AB565" s="681">
        <v>29.978000000000002</v>
      </c>
      <c r="AC565" s="417">
        <v>10</v>
      </c>
      <c r="AD565" s="417"/>
      <c r="AE565" s="682" t="s">
        <v>4497</v>
      </c>
      <c r="AF565">
        <v>1</v>
      </c>
      <c r="AG565" s="758">
        <v>43101</v>
      </c>
      <c r="AH565" s="417"/>
      <c r="AI565" s="417"/>
      <c r="AJ565" s="759">
        <v>43346</v>
      </c>
      <c r="AK565" s="417"/>
      <c r="AL565" s="637" t="s">
        <v>3440</v>
      </c>
      <c r="AM565" s="417"/>
      <c r="AN565" s="417"/>
      <c r="AO565" s="636"/>
      <c r="AP565">
        <v>556685</v>
      </c>
      <c r="AQ565" s="760">
        <v>43367</v>
      </c>
      <c r="AR565" s="417"/>
      <c r="AS565" s="417"/>
      <c r="AT565" s="417"/>
      <c r="AU565" s="417"/>
      <c r="AV565" s="417"/>
      <c r="AW565" s="417"/>
      <c r="AX565" s="417"/>
      <c r="AY565" s="183" t="s">
        <v>4245</v>
      </c>
      <c r="AZ565" s="417"/>
      <c r="BA565" s="417"/>
      <c r="BB565" t="s">
        <v>4238</v>
      </c>
      <c r="BC565" s="636"/>
      <c r="BD565" s="417"/>
      <c r="BE565" s="612">
        <v>0</v>
      </c>
      <c r="BF565" s="613">
        <v>0</v>
      </c>
      <c r="BG565" s="614" t="s">
        <v>78</v>
      </c>
      <c r="BH565" s="682"/>
      <c r="BI565" s="417"/>
      <c r="BJ565" s="417">
        <v>6</v>
      </c>
      <c r="BK565" s="682" t="str">
        <f>Техкарта[[#This Row],[Кв-л]]&amp;" кв ("&amp;Substring(Техкарта[[#This Row],[Виділ]],"_",1)&amp;" вид) "&amp;Substring(Техкарта[[#This Row],[Виділ]],"_",2)&amp;" діл."</f>
        <v>37 кв (3 вид) 0 діл.</v>
      </c>
      <c r="BL565" s="682" t="str">
        <f>Техкарта[[#This Row],[ПолнаяДіл]] &amp;" "&amp;Техкарта[[#This Row],[ЛК]]&amp;" "&amp;Техкарта[[#This Row],[Вид рубки]]</f>
        <v>37 кв (3 вид) 0 діл. 556685 СРВ</v>
      </c>
      <c r="BM565" s="682"/>
      <c r="BN565" s="636" t="s">
        <v>3784</v>
      </c>
      <c r="BO565" s="636" t="s">
        <v>3784</v>
      </c>
      <c r="BP565" s="636" t="s">
        <v>3784</v>
      </c>
      <c r="BQ565" s="636" t="s">
        <v>105</v>
      </c>
      <c r="BR565" s="636"/>
      <c r="BS565" s="636"/>
      <c r="BT565" s="636"/>
      <c r="BU565" s="636"/>
      <c r="BV565" s="636"/>
      <c r="BW565" s="636" t="s">
        <v>4491</v>
      </c>
      <c r="BX565" s="636"/>
      <c r="BY565" s="972"/>
    </row>
    <row r="566" spans="1:77">
      <c r="A566" s="636" t="s">
        <v>105</v>
      </c>
      <c r="B566" s="675" t="s">
        <v>112</v>
      </c>
      <c r="C566" s="687" t="s">
        <v>126</v>
      </c>
      <c r="D566" s="675">
        <v>0</v>
      </c>
      <c r="E566" s="675" t="s">
        <v>2305</v>
      </c>
      <c r="F566" s="675">
        <v>3</v>
      </c>
      <c r="G566" s="675" t="s">
        <v>2238</v>
      </c>
      <c r="H566" s="675">
        <v>81</v>
      </c>
      <c r="I566" s="676" t="s">
        <v>3829</v>
      </c>
      <c r="J566" s="677">
        <v>9.4</v>
      </c>
      <c r="K566" s="683">
        <v>432</v>
      </c>
      <c r="L566" s="677">
        <v>0</v>
      </c>
      <c r="M566" s="677">
        <v>0</v>
      </c>
      <c r="N566" s="677">
        <v>22</v>
      </c>
      <c r="O566" s="677">
        <v>0</v>
      </c>
      <c r="P566" s="677">
        <v>0</v>
      </c>
      <c r="Q566" s="677">
        <v>0</v>
      </c>
      <c r="R566" s="677">
        <v>0</v>
      </c>
      <c r="S566" s="677">
        <v>0</v>
      </c>
      <c r="T566" s="677">
        <v>195</v>
      </c>
      <c r="U566" s="677">
        <v>0</v>
      </c>
      <c r="V566" s="677">
        <v>0</v>
      </c>
      <c r="W566" s="677">
        <v>0</v>
      </c>
      <c r="X566" s="678"/>
      <c r="Y566" s="682"/>
      <c r="Z566" s="680"/>
      <c r="AA566" s="681">
        <v>77.221000000000004</v>
      </c>
      <c r="AB566" s="681">
        <v>29.978000000000002</v>
      </c>
      <c r="AC566" s="417">
        <v>16</v>
      </c>
      <c r="AD566" s="417"/>
      <c r="AE566" s="682" t="s">
        <v>4498</v>
      </c>
      <c r="AF566">
        <v>1</v>
      </c>
      <c r="AG566" s="758">
        <v>43101</v>
      </c>
      <c r="AH566" s="417"/>
      <c r="AI566" s="417"/>
      <c r="AJ566" s="759">
        <v>43346</v>
      </c>
      <c r="AK566" s="417"/>
      <c r="AL566" s="637" t="s">
        <v>3463</v>
      </c>
      <c r="AM566" s="417"/>
      <c r="AN566" s="417"/>
      <c r="AO566" s="636"/>
      <c r="AP566">
        <v>556685</v>
      </c>
      <c r="AQ566" s="760">
        <v>43367</v>
      </c>
      <c r="AR566" s="417"/>
      <c r="AS566" s="417"/>
      <c r="AT566" s="417"/>
      <c r="AU566" s="417"/>
      <c r="AV566" s="417"/>
      <c r="AW566" s="417"/>
      <c r="AX566" s="417"/>
      <c r="AY566" s="183" t="s">
        <v>4245</v>
      </c>
      <c r="AZ566" s="417"/>
      <c r="BA566" s="417"/>
      <c r="BB566" t="s">
        <v>4238</v>
      </c>
      <c r="BC566" s="636"/>
      <c r="BD566" s="417"/>
      <c r="BE566" s="612">
        <v>0</v>
      </c>
      <c r="BF566" s="613">
        <v>0</v>
      </c>
      <c r="BG566" s="614" t="s">
        <v>78</v>
      </c>
      <c r="BH566" s="682"/>
      <c r="BI566" s="417"/>
      <c r="BJ566" s="417">
        <v>7</v>
      </c>
      <c r="BK566" s="682" t="str">
        <f>Техкарта[[#This Row],[Кв-л]]&amp;" кв ("&amp;Substring(Техкарта[[#This Row],[Виділ]],"_",1)&amp;" вид) "&amp;Substring(Техкарта[[#This Row],[Виділ]],"_",2)&amp;" діл."</f>
        <v>81 кв (3 вид) 0 діл.</v>
      </c>
      <c r="BL566" s="682" t="str">
        <f>Техкарта[[#This Row],[ПолнаяДіл]] &amp;" "&amp;Техкарта[[#This Row],[ЛК]]&amp;" "&amp;Техкарта[[#This Row],[Вид рубки]]</f>
        <v>81 кв (3 вид) 0 діл. 556685 СРВ</v>
      </c>
      <c r="BM566" s="682"/>
      <c r="BN566" s="636" t="s">
        <v>3784</v>
      </c>
      <c r="BO566" s="636" t="s">
        <v>3784</v>
      </c>
      <c r="BP566" s="636" t="s">
        <v>3784</v>
      </c>
      <c r="BQ566" s="636" t="s">
        <v>105</v>
      </c>
      <c r="BR566" s="636"/>
      <c r="BS566" s="636"/>
      <c r="BT566" s="636"/>
      <c r="BU566" s="636"/>
      <c r="BV566" s="636"/>
      <c r="BW566" s="636" t="s">
        <v>4491</v>
      </c>
      <c r="BX566" s="636"/>
      <c r="BY566" s="972"/>
    </row>
    <row r="567" spans="1:77">
      <c r="A567" s="636" t="s">
        <v>3896</v>
      </c>
      <c r="B567" s="675" t="s">
        <v>113</v>
      </c>
      <c r="C567" s="687" t="s">
        <v>3844</v>
      </c>
      <c r="D567" s="675">
        <v>0</v>
      </c>
      <c r="E567" s="675" t="s">
        <v>2311</v>
      </c>
      <c r="F567" s="675">
        <v>3</v>
      </c>
      <c r="G567" s="675" t="s">
        <v>79</v>
      </c>
      <c r="H567" s="675">
        <v>66</v>
      </c>
      <c r="I567" s="676" t="s">
        <v>3831</v>
      </c>
      <c r="J567" s="677">
        <v>0.5</v>
      </c>
      <c r="K567" s="683">
        <v>0</v>
      </c>
      <c r="L567" s="677"/>
      <c r="M567" s="677">
        <v>0</v>
      </c>
      <c r="N567" s="677">
        <v>100</v>
      </c>
      <c r="O567" s="677"/>
      <c r="P567" s="677"/>
      <c r="Q567" s="677">
        <v>0</v>
      </c>
      <c r="R567" s="677"/>
      <c r="S567" s="677">
        <v>0</v>
      </c>
      <c r="T567" s="677">
        <v>0</v>
      </c>
      <c r="U567" s="677"/>
      <c r="V567" s="677">
        <v>0</v>
      </c>
      <c r="W567" s="677">
        <v>0</v>
      </c>
      <c r="X567" s="678"/>
      <c r="Y567" s="682"/>
      <c r="Z567" s="680"/>
      <c r="AA567" s="681">
        <v>185.62</v>
      </c>
      <c r="AB567" s="681"/>
      <c r="AC567" s="417">
        <v>23</v>
      </c>
      <c r="AD567" s="417"/>
      <c r="AE567" s="682" t="s">
        <v>4499</v>
      </c>
      <c r="AF567">
        <v>1</v>
      </c>
      <c r="AG567" s="758">
        <v>43101</v>
      </c>
      <c r="AH567" s="417"/>
      <c r="AI567" s="417"/>
      <c r="AJ567" s="759">
        <v>43346</v>
      </c>
      <c r="AK567" s="417"/>
      <c r="AL567" s="637" t="s">
        <v>3474</v>
      </c>
      <c r="AM567" s="417"/>
      <c r="AN567" s="417"/>
      <c r="AO567" s="636"/>
      <c r="AP567">
        <v>556670</v>
      </c>
      <c r="AQ567" s="760">
        <v>43201</v>
      </c>
      <c r="AR567" s="417">
        <v>0.3</v>
      </c>
      <c r="AS567" s="417"/>
      <c r="AT567" s="417"/>
      <c r="AU567" s="417"/>
      <c r="AV567" s="417"/>
      <c r="AW567" s="417"/>
      <c r="AX567" s="417"/>
      <c r="AY567" s="183" t="s">
        <v>4245</v>
      </c>
      <c r="AZ567" s="417"/>
      <c r="BA567" s="417"/>
      <c r="BB567" t="s">
        <v>4238</v>
      </c>
      <c r="BC567" s="636"/>
      <c r="BD567" s="417"/>
      <c r="BE567" s="612"/>
      <c r="BF567" s="613"/>
      <c r="BG567" s="614"/>
      <c r="BH567" s="682"/>
      <c r="BI567" s="417"/>
      <c r="BJ567" s="417">
        <v>5</v>
      </c>
      <c r="BK567" s="682" t="str">
        <f>Техкарта[[#This Row],[Кв-л]]&amp;" кв ("&amp;Substring(Техкарта[[#This Row],[Виділ]],"_",1)&amp;" вид) "&amp;Substring(Техкарта[[#This Row],[Виділ]],"_",2)&amp;" діл."</f>
        <v>66 кв (4 вид) 0 діл.</v>
      </c>
      <c r="BL567" s="682" t="str">
        <f>Техкарта[[#This Row],[ПолнаяДіл]] &amp;" "&amp;Техкарта[[#This Row],[ЛК]]&amp;" "&amp;Техкарта[[#This Row],[Вид рубки]]</f>
        <v>66 кв (4 вид) 0 діл. 556670 ЛД</v>
      </c>
      <c r="BM567" s="682"/>
      <c r="BN567" s="636"/>
      <c r="BO567" s="636"/>
      <c r="BP567" s="636"/>
      <c r="BQ567" s="636" t="s">
        <v>3896</v>
      </c>
      <c r="BR567" s="636">
        <v>2</v>
      </c>
      <c r="BS567" s="636"/>
      <c r="BT567" s="636"/>
      <c r="BU567" s="636"/>
      <c r="BV567" s="636"/>
      <c r="BW567" s="636" t="s">
        <v>4491</v>
      </c>
      <c r="BX567" s="636"/>
      <c r="BY567" s="972"/>
    </row>
    <row r="568" spans="1:77">
      <c r="A568" s="636" t="s">
        <v>104</v>
      </c>
      <c r="B568" s="675" t="s">
        <v>113</v>
      </c>
      <c r="C568" s="687" t="s">
        <v>104</v>
      </c>
      <c r="D568" s="675">
        <v>0</v>
      </c>
      <c r="E568" s="675" t="s">
        <v>2305</v>
      </c>
      <c r="F568" s="675">
        <v>2</v>
      </c>
      <c r="G568" s="675" t="s">
        <v>2238</v>
      </c>
      <c r="H568" s="675">
        <v>69</v>
      </c>
      <c r="I568" s="676" t="s">
        <v>4219</v>
      </c>
      <c r="J568" s="677">
        <v>2.2999999999999998</v>
      </c>
      <c r="K568" s="683">
        <v>957</v>
      </c>
      <c r="L568" s="677">
        <v>0</v>
      </c>
      <c r="M568" s="677">
        <v>1</v>
      </c>
      <c r="N568" s="677">
        <v>403</v>
      </c>
      <c r="O568" s="677">
        <v>0</v>
      </c>
      <c r="P568" s="677">
        <v>0</v>
      </c>
      <c r="Q568" s="677">
        <v>40</v>
      </c>
      <c r="R568" s="677">
        <v>46</v>
      </c>
      <c r="S568" s="677">
        <v>11</v>
      </c>
      <c r="T568" s="677">
        <v>166</v>
      </c>
      <c r="U568" s="677">
        <v>16</v>
      </c>
      <c r="V568" s="677">
        <v>9</v>
      </c>
      <c r="W568" s="677">
        <v>112</v>
      </c>
      <c r="X568" s="678"/>
      <c r="Y568" s="682"/>
      <c r="Z568" s="680"/>
      <c r="AA568" s="681">
        <v>64.793999999999997</v>
      </c>
      <c r="AB568" s="681">
        <v>30.08</v>
      </c>
      <c r="AC568" s="417">
        <v>54</v>
      </c>
      <c r="AD568" s="417"/>
      <c r="AE568" s="682" t="s">
        <v>4424</v>
      </c>
      <c r="AF568">
        <v>1</v>
      </c>
      <c r="AG568" s="758">
        <v>43101</v>
      </c>
      <c r="AH568" s="417"/>
      <c r="AI568" s="417"/>
      <c r="AJ568" s="759">
        <v>43327</v>
      </c>
      <c r="AK568" s="417"/>
      <c r="AL568" s="637" t="s">
        <v>3469</v>
      </c>
      <c r="AM568" s="417"/>
      <c r="AN568" s="417"/>
      <c r="AO568" s="636"/>
      <c r="AP568">
        <v>556620</v>
      </c>
      <c r="AQ568" s="760">
        <v>43077</v>
      </c>
      <c r="AR568" s="417"/>
      <c r="AS568" s="417"/>
      <c r="AT568" s="417"/>
      <c r="AU568" s="417"/>
      <c r="AV568" s="417"/>
      <c r="AW568" s="417"/>
      <c r="AX568" s="417"/>
      <c r="AY568" s="183" t="s">
        <v>4245</v>
      </c>
      <c r="AZ568" s="417"/>
      <c r="BA568" s="417"/>
      <c r="BB568" t="s">
        <v>4238</v>
      </c>
      <c r="BC568" s="636"/>
      <c r="BD568" s="417"/>
      <c r="BE568" s="612">
        <v>5</v>
      </c>
      <c r="BF568" s="613">
        <v>40</v>
      </c>
      <c r="BG568" s="614" t="s">
        <v>78</v>
      </c>
      <c r="BH568" s="682"/>
      <c r="BI568" s="417"/>
      <c r="BJ568" s="417">
        <v>1</v>
      </c>
      <c r="BK568" s="682" t="str">
        <f>Техкарта[[#This Row],[Кв-л]]&amp;" кв ("&amp;Substring(Техкарта[[#This Row],[Виділ]],"_",1)&amp;" вид) "&amp;Substring(Техкарта[[#This Row],[Виділ]],"_",2)&amp;" діл."</f>
        <v>69 кв (2 вид) 2 діл.</v>
      </c>
      <c r="BL568" s="682" t="str">
        <f>Техкарта[[#This Row],[ПолнаяДіл]] &amp;" "&amp;Техкарта[[#This Row],[ЛК]]&amp;" "&amp;Техкарта[[#This Row],[Вид рубки]]</f>
        <v>69 кв (2 вид) 2 діл. 556620 РГК</v>
      </c>
      <c r="BM568" s="682"/>
      <c r="BN568" s="636" t="s">
        <v>3784</v>
      </c>
      <c r="BO568" s="636" t="s">
        <v>3784</v>
      </c>
      <c r="BP568" s="636" t="s">
        <v>3784</v>
      </c>
      <c r="BQ568" s="636" t="s">
        <v>104</v>
      </c>
      <c r="BR568" s="636"/>
      <c r="BS568" s="636"/>
      <c r="BT568" s="636"/>
      <c r="BU568" s="636"/>
      <c r="BV568" s="636"/>
      <c r="BW568" s="636" t="s">
        <v>4423</v>
      </c>
      <c r="BX568" s="636"/>
      <c r="BY568" s="972"/>
    </row>
    <row r="569" spans="1:77">
      <c r="A569" s="636" t="s">
        <v>105</v>
      </c>
      <c r="B569" s="675" t="s">
        <v>116</v>
      </c>
      <c r="C569" s="687" t="s">
        <v>3588</v>
      </c>
      <c r="D569" s="675">
        <v>0</v>
      </c>
      <c r="E569" s="675" t="s">
        <v>2311</v>
      </c>
      <c r="F569" s="675">
        <v>3</v>
      </c>
      <c r="G569" s="675" t="s">
        <v>79</v>
      </c>
      <c r="H569" s="675">
        <v>58</v>
      </c>
      <c r="I569" s="676" t="s">
        <v>3852</v>
      </c>
      <c r="J569" s="677">
        <v>0.1</v>
      </c>
      <c r="K569" s="683">
        <v>33</v>
      </c>
      <c r="L569" s="677"/>
      <c r="M569" s="677">
        <v>2</v>
      </c>
      <c r="N569" s="677">
        <v>0</v>
      </c>
      <c r="O569" s="677"/>
      <c r="P569" s="677"/>
      <c r="Q569" s="677"/>
      <c r="R569" s="677"/>
      <c r="S569" s="677">
        <v>0</v>
      </c>
      <c r="T569" s="677">
        <v>0</v>
      </c>
      <c r="U569" s="677"/>
      <c r="V569" s="677">
        <v>28</v>
      </c>
      <c r="W569" s="677">
        <v>0</v>
      </c>
      <c r="X569" s="678"/>
      <c r="Y569" s="682"/>
      <c r="Z569" s="680"/>
      <c r="AA569" s="681">
        <v>64.363</v>
      </c>
      <c r="AB569" s="681"/>
      <c r="AC569" s="417">
        <v>1</v>
      </c>
      <c r="AD569" s="417"/>
      <c r="AE569" s="682" t="s">
        <v>4500</v>
      </c>
      <c r="AF569">
        <v>1</v>
      </c>
      <c r="AG569" s="758">
        <v>43101</v>
      </c>
      <c r="AH569" s="417"/>
      <c r="AI569" s="417"/>
      <c r="AJ569" s="759">
        <v>43346</v>
      </c>
      <c r="AK569" s="417"/>
      <c r="AL569" s="637" t="s">
        <v>3475</v>
      </c>
      <c r="AM569" s="417"/>
      <c r="AN569" s="417"/>
      <c r="AO569" s="636"/>
      <c r="AP569">
        <v>556648</v>
      </c>
      <c r="AQ569" s="760">
        <v>43124</v>
      </c>
      <c r="AR569" s="417"/>
      <c r="AS569" s="417"/>
      <c r="AT569" s="417"/>
      <c r="AU569" s="417"/>
      <c r="AV569" s="417"/>
      <c r="AW569" s="417"/>
      <c r="AX569" s="417"/>
      <c r="AY569" s="183" t="s">
        <v>4245</v>
      </c>
      <c r="AZ569" s="417"/>
      <c r="BA569" s="417"/>
      <c r="BB569" t="s">
        <v>4238</v>
      </c>
      <c r="BC569" s="636"/>
      <c r="BD569" s="417"/>
      <c r="BE569" s="612"/>
      <c r="BF569" s="613"/>
      <c r="BG569" s="614"/>
      <c r="BH569" s="682"/>
      <c r="BI569" s="417"/>
      <c r="BJ569" s="417">
        <v>35</v>
      </c>
      <c r="BK569" s="682" t="str">
        <f>Техкарта[[#This Row],[Кв-л]]&amp;" кв ("&amp;Substring(Техкарта[[#This Row],[Виділ]],"_",1)&amp;" вид) "&amp;Substring(Техкарта[[#This Row],[Виділ]],"_",2)&amp;" діл."</f>
        <v>58 кв (14 вид) 0 діл.</v>
      </c>
      <c r="BL569" s="682" t="str">
        <f>Техкарта[[#This Row],[ПолнаяДіл]] &amp;" "&amp;Техкарта[[#This Row],[ЛК]]&amp;" "&amp;Техкарта[[#This Row],[Вид рубки]]</f>
        <v>58 кв (14 вид) 0 діл. 556648 рубка в охоронній зоні ЛЕП</v>
      </c>
      <c r="BM569" s="682"/>
      <c r="BN569" s="636"/>
      <c r="BO569" s="636"/>
      <c r="BP569" s="636"/>
      <c r="BQ569" s="636" t="s">
        <v>105</v>
      </c>
      <c r="BR569" s="636"/>
      <c r="BS569" s="636"/>
      <c r="BT569" s="636"/>
      <c r="BU569" s="636"/>
      <c r="BV569" s="636"/>
      <c r="BW569" s="636" t="s">
        <v>4423</v>
      </c>
      <c r="BX569" s="636"/>
      <c r="BY569" s="972"/>
    </row>
    <row r="570" spans="1:77">
      <c r="A570" s="636" t="s">
        <v>105</v>
      </c>
      <c r="B570" s="675" t="s">
        <v>111</v>
      </c>
      <c r="C570" s="687" t="s">
        <v>126</v>
      </c>
      <c r="D570" s="675">
        <v>0</v>
      </c>
      <c r="E570" s="675" t="s">
        <v>2311</v>
      </c>
      <c r="F570" s="675">
        <v>3</v>
      </c>
      <c r="G570" s="675" t="s">
        <v>79</v>
      </c>
      <c r="H570" s="675">
        <v>18</v>
      </c>
      <c r="I570" s="676" t="s">
        <v>3790</v>
      </c>
      <c r="J570" s="677">
        <v>23.3</v>
      </c>
      <c r="K570" s="683">
        <v>1004</v>
      </c>
      <c r="L570" s="677"/>
      <c r="M570" s="677">
        <v>0</v>
      </c>
      <c r="N570" s="677">
        <v>0</v>
      </c>
      <c r="O570" s="677"/>
      <c r="P570" s="677"/>
      <c r="Q570" s="677"/>
      <c r="R570" s="677"/>
      <c r="S570" s="677">
        <v>0</v>
      </c>
      <c r="T570" s="677">
        <v>0</v>
      </c>
      <c r="U570" s="677"/>
      <c r="V570" s="677">
        <v>50</v>
      </c>
      <c r="W570" s="677">
        <v>223</v>
      </c>
      <c r="X570" s="678"/>
      <c r="Y570" s="682"/>
      <c r="Z570" s="680"/>
      <c r="AA570" s="681">
        <v>102.709</v>
      </c>
      <c r="AB570" s="681"/>
      <c r="AC570" s="417">
        <v>30</v>
      </c>
      <c r="AD570" s="417"/>
      <c r="AE570" s="682" t="s">
        <v>4501</v>
      </c>
      <c r="AF570">
        <v>1</v>
      </c>
      <c r="AG570" s="761">
        <v>43101</v>
      </c>
      <c r="AH570" s="417"/>
      <c r="AI570" s="417"/>
      <c r="AJ570" s="762">
        <v>43382</v>
      </c>
      <c r="AK570" s="417"/>
      <c r="AL570" s="637" t="s">
        <v>3462</v>
      </c>
      <c r="AM570" s="417"/>
      <c r="AN570" s="417"/>
      <c r="AO570" s="636"/>
      <c r="AP570">
        <v>556691</v>
      </c>
      <c r="AQ570" s="763">
        <v>43382</v>
      </c>
      <c r="AR570" s="417"/>
      <c r="AS570" s="417"/>
      <c r="AT570" s="417"/>
      <c r="AU570" s="417"/>
      <c r="AV570" s="417"/>
      <c r="AW570" s="417"/>
      <c r="AX570" s="417"/>
      <c r="AY570" s="183" t="s">
        <v>3424</v>
      </c>
      <c r="AZ570" s="417"/>
      <c r="BA570" s="417"/>
      <c r="BB570" t="s">
        <v>3583</v>
      </c>
      <c r="BC570" s="636"/>
      <c r="BD570" s="417"/>
      <c r="BE570" s="612"/>
      <c r="BF570" s="613"/>
      <c r="BG570" s="614"/>
      <c r="BH570" s="682"/>
      <c r="BI570" s="417"/>
      <c r="BJ570" s="417">
        <v>1</v>
      </c>
      <c r="BK570" s="682" t="str">
        <f>Техкарта[[#This Row],[Кв-л]]&amp;" кв ("&amp;Substring(Техкарта[[#This Row],[Виділ]],"_",1)&amp;" вид) "&amp;Substring(Техкарта[[#This Row],[Виділ]],"_",2)&amp;" діл."</f>
        <v>18 кв (2 вид) 0 діл.</v>
      </c>
      <c r="BL570" s="682" t="str">
        <f>Техкарта[[#This Row],[ПолнаяДіл]] &amp;" "&amp;Техкарта[[#This Row],[ЛК]]&amp;" "&amp;Техкарта[[#This Row],[Вид рубки]]</f>
        <v>18 кв (2 вид) 0 діл. 556691 СРВ</v>
      </c>
      <c r="BM570" s="682"/>
      <c r="BN570" s="636"/>
      <c r="BO570" s="636"/>
      <c r="BP570" s="636"/>
      <c r="BQ570" s="636" t="s">
        <v>105</v>
      </c>
      <c r="BR570" s="636"/>
      <c r="BS570" s="636"/>
      <c r="BT570" s="636"/>
      <c r="BU570" s="636"/>
      <c r="BV570" s="636"/>
      <c r="BW570" s="636" t="s">
        <v>4423</v>
      </c>
      <c r="BX570" s="636"/>
      <c r="BY570" s="972"/>
    </row>
    <row r="571" spans="1:77">
      <c r="A571" s="636" t="s">
        <v>105</v>
      </c>
      <c r="B571" s="675" t="s">
        <v>114</v>
      </c>
      <c r="C571" s="687" t="s">
        <v>126</v>
      </c>
      <c r="D571" s="675">
        <v>0</v>
      </c>
      <c r="E571" s="675" t="s">
        <v>2311</v>
      </c>
      <c r="F571" s="675">
        <v>3</v>
      </c>
      <c r="G571" s="675" t="s">
        <v>79</v>
      </c>
      <c r="H571" s="675">
        <v>44</v>
      </c>
      <c r="I571" s="676" t="s">
        <v>3789</v>
      </c>
      <c r="J571" s="677">
        <v>0.3</v>
      </c>
      <c r="K571" s="683">
        <v>36</v>
      </c>
      <c r="L571" s="677"/>
      <c r="M571" s="677">
        <v>0</v>
      </c>
      <c r="N571" s="677">
        <v>3</v>
      </c>
      <c r="O571" s="677"/>
      <c r="P571" s="677"/>
      <c r="Q571" s="677"/>
      <c r="R571" s="677"/>
      <c r="S571" s="677">
        <v>0</v>
      </c>
      <c r="T571" s="677">
        <v>13</v>
      </c>
      <c r="U571" s="677"/>
      <c r="V571" s="677">
        <v>0</v>
      </c>
      <c r="W571" s="677">
        <v>1</v>
      </c>
      <c r="X571" s="678"/>
      <c r="Y571" s="682"/>
      <c r="Z571" s="680"/>
      <c r="AA571" s="681">
        <v>74.594999999999999</v>
      </c>
      <c r="AB571" s="681"/>
      <c r="AC571" s="417">
        <v>1</v>
      </c>
      <c r="AD571" s="417"/>
      <c r="AE571" s="682" t="s">
        <v>4502</v>
      </c>
      <c r="AF571">
        <v>1</v>
      </c>
      <c r="AG571" s="761">
        <v>43101</v>
      </c>
      <c r="AH571" s="417"/>
      <c r="AI571" s="417"/>
      <c r="AJ571" s="762">
        <v>43375</v>
      </c>
      <c r="AK571" s="417"/>
      <c r="AL571" s="637" t="s">
        <v>3442</v>
      </c>
      <c r="AM571" s="417"/>
      <c r="AN571" s="417"/>
      <c r="AO571" s="636"/>
      <c r="AP571">
        <v>556688</v>
      </c>
      <c r="AQ571" s="763">
        <v>43375</v>
      </c>
      <c r="AR571" s="417"/>
      <c r="AS571" s="417"/>
      <c r="AT571" s="417"/>
      <c r="AU571" s="417"/>
      <c r="AV571" s="417"/>
      <c r="AW571" s="417"/>
      <c r="AX571" s="417"/>
      <c r="AY571" s="183" t="s">
        <v>3424</v>
      </c>
      <c r="AZ571" s="417"/>
      <c r="BA571" s="417"/>
      <c r="BB571" t="s">
        <v>3583</v>
      </c>
      <c r="BC571" s="636"/>
      <c r="BD571" s="417"/>
      <c r="BE571" s="612"/>
      <c r="BF571" s="613"/>
      <c r="BG571" s="614"/>
      <c r="BH571" s="682"/>
      <c r="BI571" s="417"/>
      <c r="BJ571" s="417">
        <v>1</v>
      </c>
      <c r="BK571" s="682" t="str">
        <f>Техкарта[[#This Row],[Кв-л]]&amp;" кв ("&amp;Substring(Техкарта[[#This Row],[Виділ]],"_",1)&amp;" вид) "&amp;Substring(Техкарта[[#This Row],[Виділ]],"_",2)&amp;" діл."</f>
        <v>44 кв (10 вид) 0 діл.</v>
      </c>
      <c r="BL571" s="682" t="str">
        <f>Техкарта[[#This Row],[ПолнаяДіл]] &amp;" "&amp;Техкарта[[#This Row],[ЛК]]&amp;" "&amp;Техкарта[[#This Row],[Вид рубки]]</f>
        <v>44 кв (10 вид) 0 діл. 556688 СРВ</v>
      </c>
      <c r="BM571" s="682"/>
      <c r="BN571" s="636"/>
      <c r="BO571" s="636"/>
      <c r="BP571" s="636"/>
      <c r="BQ571" s="636" t="s">
        <v>105</v>
      </c>
      <c r="BR571" s="636"/>
      <c r="BS571" s="636"/>
      <c r="BT571" s="636"/>
      <c r="BU571" s="636"/>
      <c r="BV571" s="636"/>
      <c r="BW571" s="636" t="s">
        <v>4423</v>
      </c>
      <c r="BX571" s="636"/>
      <c r="BY571" s="972"/>
    </row>
    <row r="572" spans="1:77">
      <c r="A572" s="636" t="s">
        <v>105</v>
      </c>
      <c r="B572" s="675" t="s">
        <v>114</v>
      </c>
      <c r="C572" s="687" t="s">
        <v>126</v>
      </c>
      <c r="D572" s="675">
        <v>0</v>
      </c>
      <c r="E572" s="675" t="s">
        <v>2311</v>
      </c>
      <c r="F572" s="675">
        <v>3</v>
      </c>
      <c r="G572" s="675" t="s">
        <v>79</v>
      </c>
      <c r="H572" s="675">
        <v>46</v>
      </c>
      <c r="I572" s="676" t="s">
        <v>3829</v>
      </c>
      <c r="J572" s="677">
        <v>0.3</v>
      </c>
      <c r="K572" s="683">
        <v>28</v>
      </c>
      <c r="L572" s="677"/>
      <c r="M572" s="677">
        <v>0</v>
      </c>
      <c r="N572" s="677">
        <v>0</v>
      </c>
      <c r="O572" s="677"/>
      <c r="P572" s="677"/>
      <c r="Q572" s="677"/>
      <c r="R572" s="677"/>
      <c r="S572" s="677">
        <v>0</v>
      </c>
      <c r="T572" s="677">
        <v>4</v>
      </c>
      <c r="U572" s="677"/>
      <c r="V572" s="677">
        <v>0</v>
      </c>
      <c r="W572" s="677">
        <v>0</v>
      </c>
      <c r="X572" s="678"/>
      <c r="Y572" s="682"/>
      <c r="Z572" s="680"/>
      <c r="AA572" s="681">
        <v>134.744</v>
      </c>
      <c r="AB572" s="681"/>
      <c r="AC572" s="417">
        <v>1</v>
      </c>
      <c r="AD572" s="417"/>
      <c r="AE572" s="682" t="s">
        <v>4502</v>
      </c>
      <c r="AF572">
        <v>1</v>
      </c>
      <c r="AG572" s="761">
        <v>43101</v>
      </c>
      <c r="AH572" s="417"/>
      <c r="AI572" s="417"/>
      <c r="AJ572" s="762">
        <v>43375</v>
      </c>
      <c r="AK572" s="417"/>
      <c r="AL572" s="637" t="s">
        <v>3442</v>
      </c>
      <c r="AM572" s="417"/>
      <c r="AN572" s="417"/>
      <c r="AO572" s="636"/>
      <c r="AP572">
        <v>556688</v>
      </c>
      <c r="AQ572" s="763">
        <v>43375</v>
      </c>
      <c r="AR572" s="417"/>
      <c r="AS572" s="417"/>
      <c r="AT572" s="417"/>
      <c r="AU572" s="417"/>
      <c r="AV572" s="417"/>
      <c r="AW572" s="417"/>
      <c r="AX572" s="417"/>
      <c r="AY572" s="183" t="s">
        <v>3424</v>
      </c>
      <c r="AZ572" s="417"/>
      <c r="BA572" s="417"/>
      <c r="BB572" t="s">
        <v>3583</v>
      </c>
      <c r="BC572" s="636"/>
      <c r="BD572" s="417"/>
      <c r="BE572" s="612"/>
      <c r="BF572" s="613"/>
      <c r="BG572" s="614"/>
      <c r="BH572" s="682"/>
      <c r="BI572" s="417"/>
      <c r="BJ572" s="417">
        <v>2</v>
      </c>
      <c r="BK572" s="682" t="str">
        <f>Техкарта[[#This Row],[Кв-л]]&amp;" кв ("&amp;Substring(Техкарта[[#This Row],[Виділ]],"_",1)&amp;" вид) "&amp;Substring(Техкарта[[#This Row],[Виділ]],"_",2)&amp;" діл."</f>
        <v>46 кв (3 вид) 0 діл.</v>
      </c>
      <c r="BL572" s="682" t="str">
        <f>Техкарта[[#This Row],[ПолнаяДіл]] &amp;" "&amp;Техкарта[[#This Row],[ЛК]]&amp;" "&amp;Техкарта[[#This Row],[Вид рубки]]</f>
        <v>46 кв (3 вид) 0 діл. 556688 СРВ</v>
      </c>
      <c r="BM572" s="682"/>
      <c r="BN572" s="636"/>
      <c r="BO572" s="636"/>
      <c r="BP572" s="636"/>
      <c r="BQ572" s="636" t="s">
        <v>105</v>
      </c>
      <c r="BR572" s="636"/>
      <c r="BS572" s="636"/>
      <c r="BT572" s="636"/>
      <c r="BU572" s="636"/>
      <c r="BV572" s="636"/>
      <c r="BW572" s="636" t="s">
        <v>4423</v>
      </c>
      <c r="BX572" s="636"/>
      <c r="BY572" s="972"/>
    </row>
    <row r="573" spans="1:77">
      <c r="A573" s="636" t="s">
        <v>105</v>
      </c>
      <c r="B573" s="675" t="s">
        <v>116</v>
      </c>
      <c r="C573" s="687" t="s">
        <v>126</v>
      </c>
      <c r="D573" s="675">
        <v>0</v>
      </c>
      <c r="E573" s="675" t="s">
        <v>2311</v>
      </c>
      <c r="F573" s="675">
        <v>3</v>
      </c>
      <c r="G573" s="675" t="s">
        <v>79</v>
      </c>
      <c r="H573" s="675">
        <v>55</v>
      </c>
      <c r="I573" s="676" t="s">
        <v>3830</v>
      </c>
      <c r="J573" s="677">
        <v>2</v>
      </c>
      <c r="K573" s="683">
        <v>246</v>
      </c>
      <c r="L573" s="677"/>
      <c r="M573" s="677">
        <v>4</v>
      </c>
      <c r="N573" s="677">
        <v>0</v>
      </c>
      <c r="O573" s="677"/>
      <c r="P573" s="677"/>
      <c r="Q573" s="677"/>
      <c r="R573" s="677"/>
      <c r="S573" s="677">
        <v>0</v>
      </c>
      <c r="T573" s="677">
        <v>0</v>
      </c>
      <c r="U573" s="677"/>
      <c r="V573" s="677">
        <v>71</v>
      </c>
      <c r="W573" s="677">
        <v>0</v>
      </c>
      <c r="X573" s="678"/>
      <c r="Y573" s="682"/>
      <c r="Z573" s="680"/>
      <c r="AA573" s="681">
        <v>78.495999999999995</v>
      </c>
      <c r="AB573" s="681"/>
      <c r="AC573" s="417">
        <v>11</v>
      </c>
      <c r="AD573" s="417"/>
      <c r="AE573" s="682" t="s">
        <v>4503</v>
      </c>
      <c r="AF573">
        <v>1</v>
      </c>
      <c r="AG573" s="761">
        <v>43101</v>
      </c>
      <c r="AH573" s="417"/>
      <c r="AI573" s="417"/>
      <c r="AJ573" s="762">
        <v>43374</v>
      </c>
      <c r="AK573" s="417"/>
      <c r="AL573" s="637" t="s">
        <v>3470</v>
      </c>
      <c r="AM573" s="417"/>
      <c r="AN573" s="417"/>
      <c r="AO573" s="636"/>
      <c r="AP573">
        <v>556687</v>
      </c>
      <c r="AQ573" s="763">
        <v>43371</v>
      </c>
      <c r="AR573" s="417"/>
      <c r="AS573" s="417"/>
      <c r="AT573" s="417"/>
      <c r="AU573" s="417"/>
      <c r="AV573" s="417"/>
      <c r="AW573" s="417"/>
      <c r="AX573" s="417"/>
      <c r="AY573" s="183" t="s">
        <v>4245</v>
      </c>
      <c r="AZ573" s="417"/>
      <c r="BA573" s="417"/>
      <c r="BB573" t="s">
        <v>4238</v>
      </c>
      <c r="BC573" s="636"/>
      <c r="BD573" s="417"/>
      <c r="BE573" s="612"/>
      <c r="BF573" s="613"/>
      <c r="BG573" s="614"/>
      <c r="BH573" s="682"/>
      <c r="BI573" s="417"/>
      <c r="BJ573" s="417">
        <v>1</v>
      </c>
      <c r="BK573" s="682" t="str">
        <f>Техкарта[[#This Row],[Кв-л]]&amp;" кв ("&amp;Substring(Техкарта[[#This Row],[Виділ]],"_",1)&amp;" вид) "&amp;Substring(Техкарта[[#This Row],[Виділ]],"_",2)&amp;" діл."</f>
        <v>55 кв (1 вид) 0 діл.</v>
      </c>
      <c r="BL573" s="682" t="str">
        <f>Техкарта[[#This Row],[ПолнаяДіл]] &amp;" "&amp;Техкарта[[#This Row],[ЛК]]&amp;" "&amp;Техкарта[[#This Row],[Вид рубки]]</f>
        <v>55 кв (1 вид) 0 діл. 556687 СРВ</v>
      </c>
      <c r="BM573" s="682"/>
      <c r="BN573" s="636"/>
      <c r="BO573" s="636"/>
      <c r="BP573" s="636"/>
      <c r="BQ573" s="636" t="s">
        <v>105</v>
      </c>
      <c r="BR573" s="636"/>
      <c r="BS573" s="636"/>
      <c r="BT573" s="636"/>
      <c r="BU573" s="636"/>
      <c r="BV573" s="636"/>
      <c r="BW573" s="636" t="s">
        <v>4423</v>
      </c>
      <c r="BX573" s="636"/>
      <c r="BY573" s="972"/>
    </row>
    <row r="574" spans="1:77">
      <c r="A574" s="636" t="s">
        <v>105</v>
      </c>
      <c r="B574" s="675" t="s">
        <v>116</v>
      </c>
      <c r="C574" s="687" t="s">
        <v>126</v>
      </c>
      <c r="D574" s="675">
        <v>0</v>
      </c>
      <c r="E574" s="675" t="s">
        <v>2311</v>
      </c>
      <c r="F574" s="675">
        <v>3</v>
      </c>
      <c r="G574" s="675" t="s">
        <v>79</v>
      </c>
      <c r="H574" s="675">
        <v>57</v>
      </c>
      <c r="I574" s="676" t="s">
        <v>3851</v>
      </c>
      <c r="J574" s="677">
        <v>0.6</v>
      </c>
      <c r="K574" s="683">
        <v>47</v>
      </c>
      <c r="L574" s="677"/>
      <c r="M574" s="677">
        <v>13</v>
      </c>
      <c r="N574" s="677">
        <v>0</v>
      </c>
      <c r="O574" s="677"/>
      <c r="P574" s="677"/>
      <c r="Q574" s="677"/>
      <c r="R574" s="677"/>
      <c r="S574" s="677">
        <v>0</v>
      </c>
      <c r="T574" s="677">
        <v>0</v>
      </c>
      <c r="U574" s="677"/>
      <c r="V574" s="677">
        <v>43</v>
      </c>
      <c r="W574" s="677">
        <v>0</v>
      </c>
      <c r="X574" s="678"/>
      <c r="Y574" s="682"/>
      <c r="Z574" s="680"/>
      <c r="AA574" s="681">
        <v>55.49</v>
      </c>
      <c r="AB574" s="681"/>
      <c r="AC574" s="417">
        <v>5</v>
      </c>
      <c r="AD574" s="417"/>
      <c r="AE574" s="682" t="s">
        <v>4504</v>
      </c>
      <c r="AF574">
        <v>1</v>
      </c>
      <c r="AG574" s="761">
        <v>43101</v>
      </c>
      <c r="AH574" s="417"/>
      <c r="AI574" s="417"/>
      <c r="AJ574" s="762">
        <v>43374</v>
      </c>
      <c r="AK574" s="417"/>
      <c r="AL574" s="637" t="s">
        <v>3470</v>
      </c>
      <c r="AM574" s="417"/>
      <c r="AN574" s="417"/>
      <c r="AO574" s="636"/>
      <c r="AP574">
        <v>556687</v>
      </c>
      <c r="AQ574" s="763">
        <v>43371</v>
      </c>
      <c r="AR574" s="417"/>
      <c r="AS574" s="417"/>
      <c r="AT574" s="417"/>
      <c r="AU574" s="417"/>
      <c r="AV574" s="417"/>
      <c r="AW574" s="417"/>
      <c r="AX574" s="417"/>
      <c r="AY574" s="183" t="s">
        <v>4245</v>
      </c>
      <c r="AZ574" s="417"/>
      <c r="BA574" s="417"/>
      <c r="BB574" t="s">
        <v>4238</v>
      </c>
      <c r="BC574" s="636"/>
      <c r="BD574" s="417"/>
      <c r="BE574" s="612"/>
      <c r="BF574" s="613"/>
      <c r="BG574" s="614"/>
      <c r="BH574" s="682"/>
      <c r="BI574" s="417"/>
      <c r="BJ574" s="417">
        <v>2</v>
      </c>
      <c r="BK574" s="682" t="str">
        <f>Техкарта[[#This Row],[Кв-л]]&amp;" кв ("&amp;Substring(Техкарта[[#This Row],[Виділ]],"_",1)&amp;" вид) "&amp;Substring(Техкарта[[#This Row],[Виділ]],"_",2)&amp;" діл."</f>
        <v>57 кв (12 вид) 0 діл.</v>
      </c>
      <c r="BL574" s="682" t="str">
        <f>Техкарта[[#This Row],[ПолнаяДіл]] &amp;" "&amp;Техкарта[[#This Row],[ЛК]]&amp;" "&amp;Техкарта[[#This Row],[Вид рубки]]</f>
        <v>57 кв (12 вид) 0 діл. 556687 СРВ</v>
      </c>
      <c r="BM574" s="682"/>
      <c r="BN574" s="636"/>
      <c r="BO574" s="636"/>
      <c r="BP574" s="636"/>
      <c r="BQ574" s="636" t="s">
        <v>105</v>
      </c>
      <c r="BR574" s="636"/>
      <c r="BS574" s="636"/>
      <c r="BT574" s="636"/>
      <c r="BU574" s="636"/>
      <c r="BV574" s="636"/>
      <c r="BW574" s="636" t="s">
        <v>4423</v>
      </c>
      <c r="BX574" s="636"/>
      <c r="BY574" s="972"/>
    </row>
    <row r="575" spans="1:77">
      <c r="A575" s="636" t="s">
        <v>105</v>
      </c>
      <c r="B575" s="675" t="s">
        <v>116</v>
      </c>
      <c r="C575" s="687" t="s">
        <v>126</v>
      </c>
      <c r="D575" s="675">
        <v>0</v>
      </c>
      <c r="E575" s="675" t="s">
        <v>2311</v>
      </c>
      <c r="F575" s="675">
        <v>3</v>
      </c>
      <c r="G575" s="675" t="s">
        <v>79</v>
      </c>
      <c r="H575" s="675">
        <v>57</v>
      </c>
      <c r="I575" s="676" t="s">
        <v>4110</v>
      </c>
      <c r="J575" s="677">
        <v>0.8</v>
      </c>
      <c r="K575" s="683">
        <v>29</v>
      </c>
      <c r="L575" s="677"/>
      <c r="M575" s="677">
        <v>5</v>
      </c>
      <c r="N575" s="677">
        <v>0</v>
      </c>
      <c r="O575" s="677"/>
      <c r="P575" s="677"/>
      <c r="Q575" s="677"/>
      <c r="R575" s="677"/>
      <c r="S575" s="677">
        <v>0</v>
      </c>
      <c r="T575" s="677">
        <v>0</v>
      </c>
      <c r="U575" s="677"/>
      <c r="V575" s="677">
        <v>19</v>
      </c>
      <c r="W575" s="677">
        <v>0</v>
      </c>
      <c r="X575" s="678"/>
      <c r="Y575" s="682"/>
      <c r="Z575" s="680"/>
      <c r="AA575" s="681">
        <v>58.848999999999997</v>
      </c>
      <c r="AB575" s="681"/>
      <c r="AC575" s="417">
        <v>2</v>
      </c>
      <c r="AD575" s="417"/>
      <c r="AE575" s="682" t="s">
        <v>4505</v>
      </c>
      <c r="AF575">
        <v>1</v>
      </c>
      <c r="AG575" s="761">
        <v>43101</v>
      </c>
      <c r="AH575" s="417"/>
      <c r="AI575" s="417"/>
      <c r="AJ575" s="762">
        <v>43374</v>
      </c>
      <c r="AK575" s="417"/>
      <c r="AL575" s="637" t="s">
        <v>3470</v>
      </c>
      <c r="AM575" s="417"/>
      <c r="AN575" s="417"/>
      <c r="AO575" s="636"/>
      <c r="AP575">
        <v>556687</v>
      </c>
      <c r="AQ575" s="763">
        <v>43371</v>
      </c>
      <c r="AR575" s="417"/>
      <c r="AS575" s="417"/>
      <c r="AT575" s="417"/>
      <c r="AU575" s="417"/>
      <c r="AV575" s="417"/>
      <c r="AW575" s="417"/>
      <c r="AX575" s="417"/>
      <c r="AY575" s="183" t="s">
        <v>4245</v>
      </c>
      <c r="AZ575" s="417"/>
      <c r="BA575" s="417"/>
      <c r="BB575" t="s">
        <v>4238</v>
      </c>
      <c r="BC575" s="636"/>
      <c r="BD575" s="417"/>
      <c r="BE575" s="612"/>
      <c r="BF575" s="613"/>
      <c r="BG575" s="614"/>
      <c r="BH575" s="682"/>
      <c r="BI575" s="417"/>
      <c r="BJ575" s="417">
        <v>3</v>
      </c>
      <c r="BK575" s="682" t="str">
        <f>Техкарта[[#This Row],[Кв-л]]&amp;" кв ("&amp;Substring(Техкарта[[#This Row],[Виділ]],"_",1)&amp;" вид) "&amp;Substring(Техкарта[[#This Row],[Виділ]],"_",2)&amp;" діл."</f>
        <v>57 кв (16 вид) 0 діл.</v>
      </c>
      <c r="BL575" s="682" t="str">
        <f>Техкарта[[#This Row],[ПолнаяДіл]] &amp;" "&amp;Техкарта[[#This Row],[ЛК]]&amp;" "&amp;Техкарта[[#This Row],[Вид рубки]]</f>
        <v>57 кв (16 вид) 0 діл. 556687 СРВ</v>
      </c>
      <c r="BM575" s="682"/>
      <c r="BN575" s="636"/>
      <c r="BO575" s="636"/>
      <c r="BP575" s="636"/>
      <c r="BQ575" s="636" t="s">
        <v>105</v>
      </c>
      <c r="BR575" s="636"/>
      <c r="BS575" s="636"/>
      <c r="BT575" s="636"/>
      <c r="BU575" s="636"/>
      <c r="BV575" s="636"/>
      <c r="BW575" s="636" t="s">
        <v>4423</v>
      </c>
      <c r="BX575" s="636"/>
      <c r="BY575" s="972"/>
    </row>
    <row r="576" spans="1:77">
      <c r="A576" s="636" t="s">
        <v>105</v>
      </c>
      <c r="B576" s="675" t="s">
        <v>116</v>
      </c>
      <c r="C576" s="687" t="s">
        <v>126</v>
      </c>
      <c r="D576" s="675">
        <v>0</v>
      </c>
      <c r="E576" s="675" t="s">
        <v>2311</v>
      </c>
      <c r="F576" s="675">
        <v>3</v>
      </c>
      <c r="G576" s="675" t="s">
        <v>79</v>
      </c>
      <c r="H576" s="675">
        <v>65</v>
      </c>
      <c r="I576" s="676" t="s">
        <v>3791</v>
      </c>
      <c r="J576" s="677">
        <v>0.2</v>
      </c>
      <c r="K576" s="683">
        <v>27</v>
      </c>
      <c r="L576" s="677"/>
      <c r="M576" s="677">
        <v>1</v>
      </c>
      <c r="N576" s="677">
        <v>0</v>
      </c>
      <c r="O576" s="677"/>
      <c r="P576" s="677"/>
      <c r="Q576" s="677"/>
      <c r="R576" s="677"/>
      <c r="S576" s="677">
        <v>0</v>
      </c>
      <c r="T576" s="677">
        <v>0</v>
      </c>
      <c r="U576" s="677"/>
      <c r="V576" s="677">
        <v>10</v>
      </c>
      <c r="W576" s="677">
        <v>0</v>
      </c>
      <c r="X576" s="678"/>
      <c r="Y576" s="682"/>
      <c r="Z576" s="680"/>
      <c r="AA576" s="681">
        <v>73.358999999999995</v>
      </c>
      <c r="AB576" s="681"/>
      <c r="AC576" s="417">
        <v>2</v>
      </c>
      <c r="AD576" s="417"/>
      <c r="AE576" s="682" t="s">
        <v>4506</v>
      </c>
      <c r="AF576">
        <v>1</v>
      </c>
      <c r="AG576" s="761">
        <v>43101</v>
      </c>
      <c r="AH576" s="417"/>
      <c r="AI576" s="417"/>
      <c r="AJ576" s="762">
        <v>43374</v>
      </c>
      <c r="AK576" s="417"/>
      <c r="AL576" s="637" t="s">
        <v>3470</v>
      </c>
      <c r="AM576" s="417"/>
      <c r="AN576" s="417"/>
      <c r="AO576" s="636"/>
      <c r="AP576">
        <v>556687</v>
      </c>
      <c r="AQ576" s="763">
        <v>43371</v>
      </c>
      <c r="AR576" s="417"/>
      <c r="AS576" s="417"/>
      <c r="AT576" s="417"/>
      <c r="AU576" s="417"/>
      <c r="AV576" s="417"/>
      <c r="AW576" s="417"/>
      <c r="AX576" s="417"/>
      <c r="AY576" s="183" t="s">
        <v>4245</v>
      </c>
      <c r="AZ576" s="417"/>
      <c r="BA576" s="417"/>
      <c r="BB576" t="s">
        <v>4238</v>
      </c>
      <c r="BC576" s="636"/>
      <c r="BD576" s="417"/>
      <c r="BE576" s="612"/>
      <c r="BF576" s="613"/>
      <c r="BG576" s="614"/>
      <c r="BH576" s="682"/>
      <c r="BI576" s="417"/>
      <c r="BJ576" s="417">
        <v>4</v>
      </c>
      <c r="BK576" s="682" t="str">
        <f>Техкарта[[#This Row],[Кв-л]]&amp;" кв ("&amp;Substring(Техкарта[[#This Row],[Виділ]],"_",1)&amp;" вид) "&amp;Substring(Техкарта[[#This Row],[Виділ]],"_",2)&amp;" діл."</f>
        <v>65 кв (7 вид) 0 діл.</v>
      </c>
      <c r="BL576" s="682" t="str">
        <f>Техкарта[[#This Row],[ПолнаяДіл]] &amp;" "&amp;Техкарта[[#This Row],[ЛК]]&amp;" "&amp;Техкарта[[#This Row],[Вид рубки]]</f>
        <v>65 кв (7 вид) 0 діл. 556687 СРВ</v>
      </c>
      <c r="BM576" s="682"/>
      <c r="BN576" s="636"/>
      <c r="BO576" s="636"/>
      <c r="BP576" s="636"/>
      <c r="BQ576" s="636" t="s">
        <v>105</v>
      </c>
      <c r="BR576" s="636"/>
      <c r="BS576" s="636"/>
      <c r="BT576" s="636"/>
      <c r="BU576" s="636"/>
      <c r="BV576" s="636"/>
      <c r="BW576" s="636" t="s">
        <v>4423</v>
      </c>
      <c r="BX576" s="636"/>
      <c r="BY576" s="972"/>
    </row>
    <row r="577" spans="1:77">
      <c r="A577" s="636" t="s">
        <v>105</v>
      </c>
      <c r="B577" s="675" t="s">
        <v>116</v>
      </c>
      <c r="C577" s="687" t="s">
        <v>126</v>
      </c>
      <c r="D577" s="675">
        <v>0</v>
      </c>
      <c r="E577" s="675" t="s">
        <v>2311</v>
      </c>
      <c r="F577" s="675">
        <v>3</v>
      </c>
      <c r="G577" s="675" t="s">
        <v>79</v>
      </c>
      <c r="H577" s="675">
        <v>85</v>
      </c>
      <c r="I577" s="676" t="s">
        <v>3790</v>
      </c>
      <c r="J577" s="677">
        <v>1.4</v>
      </c>
      <c r="K577" s="683">
        <v>112</v>
      </c>
      <c r="L577" s="677"/>
      <c r="M577" s="677">
        <v>7</v>
      </c>
      <c r="N577" s="677">
        <v>0</v>
      </c>
      <c r="O577" s="677"/>
      <c r="P577" s="677"/>
      <c r="Q577" s="677"/>
      <c r="R577" s="677"/>
      <c r="S577" s="677">
        <v>0</v>
      </c>
      <c r="T577" s="677">
        <v>0</v>
      </c>
      <c r="U577" s="677"/>
      <c r="V577" s="677">
        <v>31</v>
      </c>
      <c r="W577" s="677">
        <v>0</v>
      </c>
      <c r="X577" s="678"/>
      <c r="Y577" s="682"/>
      <c r="Z577" s="680"/>
      <c r="AA577" s="681">
        <v>73.459999999999994</v>
      </c>
      <c r="AB577" s="681"/>
      <c r="AC577" s="417">
        <v>5</v>
      </c>
      <c r="AD577" s="417"/>
      <c r="AE577" s="682" t="s">
        <v>4507</v>
      </c>
      <c r="AF577">
        <v>1</v>
      </c>
      <c r="AG577" s="761">
        <v>43101</v>
      </c>
      <c r="AH577" s="417"/>
      <c r="AI577" s="417"/>
      <c r="AJ577" s="762">
        <v>43374</v>
      </c>
      <c r="AK577" s="417"/>
      <c r="AL577" s="637" t="s">
        <v>3443</v>
      </c>
      <c r="AM577" s="417"/>
      <c r="AN577" s="417"/>
      <c r="AO577" s="636"/>
      <c r="AP577">
        <v>556687</v>
      </c>
      <c r="AQ577" s="763">
        <v>43371</v>
      </c>
      <c r="AR577" s="417"/>
      <c r="AS577" s="417"/>
      <c r="AT577" s="417"/>
      <c r="AU577" s="417"/>
      <c r="AV577" s="417"/>
      <c r="AW577" s="417"/>
      <c r="AX577" s="417"/>
      <c r="AY577" s="183" t="s">
        <v>4245</v>
      </c>
      <c r="AZ577" s="417"/>
      <c r="BA577" s="417"/>
      <c r="BB577" t="s">
        <v>4238</v>
      </c>
      <c r="BC577" s="636"/>
      <c r="BD577" s="417"/>
      <c r="BE577" s="612"/>
      <c r="BF577" s="613"/>
      <c r="BG577" s="614"/>
      <c r="BH577" s="682"/>
      <c r="BI577" s="417"/>
      <c r="BJ577" s="417">
        <v>5</v>
      </c>
      <c r="BK577" s="682" t="str">
        <f>Техкарта[[#This Row],[Кв-л]]&amp;" кв ("&amp;Substring(Техкарта[[#This Row],[Виділ]],"_",1)&amp;" вид) "&amp;Substring(Техкарта[[#This Row],[Виділ]],"_",2)&amp;" діл."</f>
        <v>85 кв (2 вид) 0 діл.</v>
      </c>
      <c r="BL577" s="682" t="str">
        <f>Техкарта[[#This Row],[ПолнаяДіл]] &amp;" "&amp;Техкарта[[#This Row],[ЛК]]&amp;" "&amp;Техкарта[[#This Row],[Вид рубки]]</f>
        <v>85 кв (2 вид) 0 діл. 556687 СРВ</v>
      </c>
      <c r="BM577" s="682"/>
      <c r="BN577" s="636"/>
      <c r="BO577" s="636"/>
      <c r="BP577" s="636"/>
      <c r="BQ577" s="636" t="s">
        <v>105</v>
      </c>
      <c r="BR577" s="636"/>
      <c r="BS577" s="636"/>
      <c r="BT577" s="636"/>
      <c r="BU577" s="636"/>
      <c r="BV577" s="636"/>
      <c r="BW577" s="636" t="s">
        <v>4423</v>
      </c>
      <c r="BX577" s="636"/>
      <c r="BY577" s="972"/>
    </row>
    <row r="578" spans="1:77">
      <c r="A578" s="636" t="s">
        <v>105</v>
      </c>
      <c r="B578" s="675" t="s">
        <v>115</v>
      </c>
      <c r="C578" s="687" t="s">
        <v>126</v>
      </c>
      <c r="D578" s="675">
        <v>0</v>
      </c>
      <c r="E578" s="675" t="s">
        <v>2311</v>
      </c>
      <c r="F578" s="675">
        <v>3</v>
      </c>
      <c r="G578" s="675" t="s">
        <v>79</v>
      </c>
      <c r="H578" s="675">
        <v>42</v>
      </c>
      <c r="I578" s="676" t="s">
        <v>3832</v>
      </c>
      <c r="J578" s="677">
        <v>3.7</v>
      </c>
      <c r="K578" s="683">
        <v>225</v>
      </c>
      <c r="L578" s="677"/>
      <c r="M578" s="677">
        <v>0</v>
      </c>
      <c r="N578" s="677">
        <v>5</v>
      </c>
      <c r="O578" s="677"/>
      <c r="P578" s="677"/>
      <c r="Q578" s="677"/>
      <c r="R578" s="677"/>
      <c r="S578" s="677">
        <v>0</v>
      </c>
      <c r="T578" s="677">
        <v>0</v>
      </c>
      <c r="U578" s="677">
        <v>32</v>
      </c>
      <c r="V578" s="677">
        <v>13</v>
      </c>
      <c r="W578" s="677">
        <v>54</v>
      </c>
      <c r="X578" s="678"/>
      <c r="Y578" s="682"/>
      <c r="Z578" s="680"/>
      <c r="AA578" s="681">
        <v>79.855000000000004</v>
      </c>
      <c r="AB578" s="681"/>
      <c r="AC578" s="417">
        <v>9</v>
      </c>
      <c r="AD578" s="417"/>
      <c r="AE578" s="682" t="s">
        <v>4508</v>
      </c>
      <c r="AF578">
        <v>1</v>
      </c>
      <c r="AG578" s="761">
        <v>43101</v>
      </c>
      <c r="AH578" s="417"/>
      <c r="AI578" s="417"/>
      <c r="AJ578" s="762">
        <v>43375</v>
      </c>
      <c r="AK578" s="417"/>
      <c r="AL578" s="637" t="s">
        <v>3466</v>
      </c>
      <c r="AM578" s="417"/>
      <c r="AN578" s="417"/>
      <c r="AO578" s="636"/>
      <c r="AP578">
        <v>556689</v>
      </c>
      <c r="AQ578" s="763">
        <v>43375</v>
      </c>
      <c r="AR578" s="417"/>
      <c r="AS578" s="417"/>
      <c r="AT578" s="417"/>
      <c r="AU578" s="417"/>
      <c r="AV578" s="417"/>
      <c r="AW578" s="417"/>
      <c r="AX578" s="417"/>
      <c r="AY578" s="183" t="s">
        <v>3362</v>
      </c>
      <c r="AZ578" s="417"/>
      <c r="BA578" s="417"/>
      <c r="BB578" t="s">
        <v>3585</v>
      </c>
      <c r="BC578" s="636"/>
      <c r="BD578" s="417"/>
      <c r="BE578" s="612"/>
      <c r="BF578" s="613"/>
      <c r="BG578" s="614"/>
      <c r="BH578" s="682"/>
      <c r="BI578" s="417"/>
      <c r="BJ578" s="417">
        <v>1</v>
      </c>
      <c r="BK578" s="682" t="str">
        <f>Техкарта[[#This Row],[Кв-л]]&amp;" кв ("&amp;Substring(Техкарта[[#This Row],[Виділ]],"_",1)&amp;" вид) "&amp;Substring(Техкарта[[#This Row],[Виділ]],"_",2)&amp;" діл."</f>
        <v>42 кв (5 вид) 0 діл.</v>
      </c>
      <c r="BL578" s="682" t="str">
        <f>Техкарта[[#This Row],[ПолнаяДіл]] &amp;" "&amp;Техкарта[[#This Row],[ЛК]]&amp;" "&amp;Техкарта[[#This Row],[Вид рубки]]</f>
        <v>42 кв (5 вид) 0 діл. 556689 СРВ</v>
      </c>
      <c r="BM578" s="682"/>
      <c r="BN578" s="636"/>
      <c r="BO578" s="636"/>
      <c r="BP578" s="636"/>
      <c r="BQ578" s="636" t="s">
        <v>105</v>
      </c>
      <c r="BR578" s="636"/>
      <c r="BS578" s="636"/>
      <c r="BT578" s="636"/>
      <c r="BU578" s="636"/>
      <c r="BV578" s="636"/>
      <c r="BW578" s="636" t="s">
        <v>4423</v>
      </c>
      <c r="BX578" s="636"/>
      <c r="BY578" s="972"/>
    </row>
    <row r="579" spans="1:77">
      <c r="A579" s="636" t="s">
        <v>105</v>
      </c>
      <c r="B579" s="675" t="s">
        <v>115</v>
      </c>
      <c r="C579" s="687" t="s">
        <v>126</v>
      </c>
      <c r="D579" s="675">
        <v>0</v>
      </c>
      <c r="E579" s="675" t="s">
        <v>2311</v>
      </c>
      <c r="F579" s="675">
        <v>3</v>
      </c>
      <c r="G579" s="675" t="s">
        <v>79</v>
      </c>
      <c r="H579" s="675">
        <v>71</v>
      </c>
      <c r="I579" s="676" t="s">
        <v>4032</v>
      </c>
      <c r="J579" s="677">
        <v>5.3</v>
      </c>
      <c r="K579" s="683">
        <v>325</v>
      </c>
      <c r="L579" s="677"/>
      <c r="M579" s="677">
        <v>0</v>
      </c>
      <c r="N579" s="677">
        <v>10</v>
      </c>
      <c r="O579" s="677"/>
      <c r="P579" s="677"/>
      <c r="Q579" s="677"/>
      <c r="R579" s="677"/>
      <c r="S579" s="677">
        <v>0</v>
      </c>
      <c r="T579" s="677">
        <v>0</v>
      </c>
      <c r="U579" s="677">
        <v>44</v>
      </c>
      <c r="V579" s="677">
        <v>5</v>
      </c>
      <c r="W579" s="677">
        <v>102</v>
      </c>
      <c r="X579" s="678"/>
      <c r="Y579" s="682"/>
      <c r="Z579" s="680"/>
      <c r="AA579" s="681">
        <v>79.707999999999998</v>
      </c>
      <c r="AB579" s="681"/>
      <c r="AC579" s="417">
        <v>13</v>
      </c>
      <c r="AD579" s="417"/>
      <c r="AE579" s="682" t="s">
        <v>4509</v>
      </c>
      <c r="AF579">
        <v>1</v>
      </c>
      <c r="AG579" s="761">
        <v>43101</v>
      </c>
      <c r="AH579" s="417"/>
      <c r="AI579" s="417"/>
      <c r="AJ579" s="762">
        <v>43375</v>
      </c>
      <c r="AK579" s="417"/>
      <c r="AL579" s="637" t="s">
        <v>3481</v>
      </c>
      <c r="AM579" s="417"/>
      <c r="AN579" s="417"/>
      <c r="AO579" s="636"/>
      <c r="AP579">
        <v>556689</v>
      </c>
      <c r="AQ579" s="763">
        <v>43375</v>
      </c>
      <c r="AR579" s="417"/>
      <c r="AS579" s="417"/>
      <c r="AT579" s="417"/>
      <c r="AU579" s="417"/>
      <c r="AV579" s="417"/>
      <c r="AW579" s="417"/>
      <c r="AX579" s="417"/>
      <c r="AY579" s="183" t="s">
        <v>3362</v>
      </c>
      <c r="AZ579" s="417"/>
      <c r="BA579" s="417"/>
      <c r="BB579" t="s">
        <v>3585</v>
      </c>
      <c r="BC579" s="636"/>
      <c r="BD579" s="417"/>
      <c r="BE579" s="612"/>
      <c r="BF579" s="613"/>
      <c r="BG579" s="614"/>
      <c r="BH579" s="682"/>
      <c r="BI579" s="417"/>
      <c r="BJ579" s="417">
        <v>2</v>
      </c>
      <c r="BK579" s="682" t="str">
        <f>Техкарта[[#This Row],[Кв-л]]&amp;" кв ("&amp;Substring(Техкарта[[#This Row],[Виділ]],"_",1)&amp;" вид) "&amp;Substring(Техкарта[[#This Row],[Виділ]],"_",2)&amp;" діл."</f>
        <v>71 кв (3 вид) 1 діл.</v>
      </c>
      <c r="BL579" s="682" t="str">
        <f>Техкарта[[#This Row],[ПолнаяДіл]] &amp;" "&amp;Техкарта[[#This Row],[ЛК]]&amp;" "&amp;Техкарта[[#This Row],[Вид рубки]]</f>
        <v>71 кв (3 вид) 1 діл. 556689 СРВ</v>
      </c>
      <c r="BM579" s="682"/>
      <c r="BN579" s="636"/>
      <c r="BO579" s="636"/>
      <c r="BP579" s="636"/>
      <c r="BQ579" s="636" t="s">
        <v>105</v>
      </c>
      <c r="BR579" s="636"/>
      <c r="BS579" s="636"/>
      <c r="BT579" s="636"/>
      <c r="BU579" s="636"/>
      <c r="BV579" s="636"/>
      <c r="BW579" s="636" t="s">
        <v>4423</v>
      </c>
      <c r="BX579" s="636"/>
      <c r="BY579" s="972"/>
    </row>
    <row r="580" spans="1:77">
      <c r="A580" s="636" t="s">
        <v>105</v>
      </c>
      <c r="B580" s="675" t="s">
        <v>115</v>
      </c>
      <c r="C580" s="687" t="s">
        <v>126</v>
      </c>
      <c r="D580" s="675">
        <v>0</v>
      </c>
      <c r="E580" s="675" t="s">
        <v>2311</v>
      </c>
      <c r="F580" s="675">
        <v>3</v>
      </c>
      <c r="G580" s="675" t="s">
        <v>79</v>
      </c>
      <c r="H580" s="675">
        <v>86</v>
      </c>
      <c r="I580" s="676" t="s">
        <v>3806</v>
      </c>
      <c r="J580" s="677">
        <v>4.0999999999999996</v>
      </c>
      <c r="K580" s="683">
        <v>174</v>
      </c>
      <c r="L580" s="677"/>
      <c r="M580" s="677">
        <v>0</v>
      </c>
      <c r="N580" s="677">
        <v>3</v>
      </c>
      <c r="O580" s="677"/>
      <c r="P580" s="677"/>
      <c r="Q580" s="677"/>
      <c r="R580" s="677"/>
      <c r="S580" s="677">
        <v>0</v>
      </c>
      <c r="T580" s="677">
        <v>0</v>
      </c>
      <c r="U580" s="677">
        <v>25</v>
      </c>
      <c r="V580" s="677">
        <v>4</v>
      </c>
      <c r="W580" s="677">
        <v>76</v>
      </c>
      <c r="X580" s="678"/>
      <c r="Y580" s="682"/>
      <c r="Z580" s="680"/>
      <c r="AA580" s="681">
        <v>77.087000000000003</v>
      </c>
      <c r="AB580" s="681"/>
      <c r="AC580" s="417">
        <v>8</v>
      </c>
      <c r="AD580" s="417"/>
      <c r="AE580" s="682" t="s">
        <v>4510</v>
      </c>
      <c r="AF580">
        <v>1</v>
      </c>
      <c r="AG580" s="761">
        <v>43101</v>
      </c>
      <c r="AH580" s="417"/>
      <c r="AI580" s="417"/>
      <c r="AJ580" s="762">
        <v>43375</v>
      </c>
      <c r="AK580" s="417"/>
      <c r="AL580" s="637" t="s">
        <v>3481</v>
      </c>
      <c r="AM580" s="417"/>
      <c r="AN580" s="417"/>
      <c r="AO580" s="636"/>
      <c r="AP580">
        <v>556689</v>
      </c>
      <c r="AQ580" s="763">
        <v>43375</v>
      </c>
      <c r="AR580" s="417"/>
      <c r="AS580" s="417"/>
      <c r="AT580" s="417"/>
      <c r="AU580" s="417"/>
      <c r="AV580" s="417"/>
      <c r="AW580" s="417"/>
      <c r="AX580" s="417"/>
      <c r="AY580" s="183" t="s">
        <v>3362</v>
      </c>
      <c r="AZ580" s="417"/>
      <c r="BA580" s="417"/>
      <c r="BB580" t="s">
        <v>3585</v>
      </c>
      <c r="BC580" s="636"/>
      <c r="BD580" s="417"/>
      <c r="BE580" s="612"/>
      <c r="BF580" s="613"/>
      <c r="BG580" s="614"/>
      <c r="BH580" s="682"/>
      <c r="BI580" s="417"/>
      <c r="BJ580" s="417">
        <v>3</v>
      </c>
      <c r="BK580" s="682" t="str">
        <f>Техкарта[[#This Row],[Кв-л]]&amp;" кв ("&amp;Substring(Техкарта[[#This Row],[Виділ]],"_",1)&amp;" вид) "&amp;Substring(Техкарта[[#This Row],[Виділ]],"_",2)&amp;" діл."</f>
        <v>86 кв (1 вид) 1 діл.</v>
      </c>
      <c r="BL580" s="682" t="str">
        <f>Техкарта[[#This Row],[ПолнаяДіл]] &amp;" "&amp;Техкарта[[#This Row],[ЛК]]&amp;" "&amp;Техкарта[[#This Row],[Вид рубки]]</f>
        <v>86 кв (1 вид) 1 діл. 556689 СРВ</v>
      </c>
      <c r="BM580" s="682"/>
      <c r="BN580" s="636"/>
      <c r="BO580" s="636"/>
      <c r="BP580" s="636"/>
      <c r="BQ580" s="636" t="s">
        <v>105</v>
      </c>
      <c r="BR580" s="636"/>
      <c r="BS580" s="636"/>
      <c r="BT580" s="636"/>
      <c r="BU580" s="636"/>
      <c r="BV580" s="636"/>
      <c r="BW580" s="636" t="s">
        <v>4423</v>
      </c>
      <c r="BX580" s="636"/>
      <c r="BY580" s="972"/>
    </row>
    <row r="581" spans="1:77">
      <c r="A581" s="636" t="s">
        <v>105</v>
      </c>
      <c r="B581" s="675" t="s">
        <v>115</v>
      </c>
      <c r="C581" s="687" t="s">
        <v>126</v>
      </c>
      <c r="D581" s="675">
        <v>0</v>
      </c>
      <c r="E581" s="675" t="s">
        <v>2311</v>
      </c>
      <c r="F581" s="675">
        <v>3</v>
      </c>
      <c r="G581" s="675" t="s">
        <v>79</v>
      </c>
      <c r="H581" s="675">
        <v>132</v>
      </c>
      <c r="I581" s="676" t="s">
        <v>3806</v>
      </c>
      <c r="J581" s="677">
        <v>8.5</v>
      </c>
      <c r="K581" s="683">
        <v>711</v>
      </c>
      <c r="L581" s="677"/>
      <c r="M581" s="677">
        <v>0</v>
      </c>
      <c r="N581" s="677">
        <v>39</v>
      </c>
      <c r="O581" s="677"/>
      <c r="P581" s="677"/>
      <c r="Q581" s="677"/>
      <c r="R581" s="677"/>
      <c r="S581" s="677">
        <v>0</v>
      </c>
      <c r="T581" s="677">
        <v>0</v>
      </c>
      <c r="U581" s="677">
        <v>67</v>
      </c>
      <c r="V581" s="677">
        <v>20</v>
      </c>
      <c r="W581" s="677">
        <v>249</v>
      </c>
      <c r="X581" s="678"/>
      <c r="Y581" s="682"/>
      <c r="Z581" s="680"/>
      <c r="AA581" s="681">
        <v>74.076999999999998</v>
      </c>
      <c r="AB581" s="681"/>
      <c r="AC581" s="417">
        <v>30</v>
      </c>
      <c r="AD581" s="417"/>
      <c r="AE581" s="682" t="s">
        <v>4511</v>
      </c>
      <c r="AF581">
        <v>1</v>
      </c>
      <c r="AG581" s="761">
        <v>43101</v>
      </c>
      <c r="AH581" s="417"/>
      <c r="AI581" s="417"/>
      <c r="AJ581" s="762">
        <v>43375</v>
      </c>
      <c r="AK581" s="417"/>
      <c r="AL581" s="637" t="s">
        <v>3483</v>
      </c>
      <c r="AM581" s="417"/>
      <c r="AN581" s="417"/>
      <c r="AO581" s="636"/>
      <c r="AP581">
        <v>556689</v>
      </c>
      <c r="AQ581" s="763">
        <v>43375</v>
      </c>
      <c r="AR581" s="417"/>
      <c r="AS581" s="417"/>
      <c r="AT581" s="417"/>
      <c r="AU581" s="417"/>
      <c r="AV581" s="417"/>
      <c r="AW581" s="417"/>
      <c r="AX581" s="417"/>
      <c r="AY581" s="183" t="s">
        <v>3362</v>
      </c>
      <c r="AZ581" s="417"/>
      <c r="BA581" s="417"/>
      <c r="BB581" t="s">
        <v>3585</v>
      </c>
      <c r="BC581" s="636"/>
      <c r="BD581" s="417"/>
      <c r="BE581" s="612"/>
      <c r="BF581" s="613"/>
      <c r="BG581" s="614"/>
      <c r="BH581" s="682"/>
      <c r="BI581" s="417"/>
      <c r="BJ581" s="417">
        <v>4</v>
      </c>
      <c r="BK581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1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1" s="682"/>
      <c r="BN581" s="636"/>
      <c r="BO581" s="636"/>
      <c r="BP581" s="636"/>
      <c r="BQ581" s="636" t="s">
        <v>105</v>
      </c>
      <c r="BR581" s="636"/>
      <c r="BS581" s="636"/>
      <c r="BT581" s="636"/>
      <c r="BU581" s="636"/>
      <c r="BV581" s="636"/>
      <c r="BW581" s="636" t="s">
        <v>4423</v>
      </c>
      <c r="BX581" s="636"/>
      <c r="BY581" s="972"/>
    </row>
    <row r="582" spans="1:77">
      <c r="A582" s="636" t="s">
        <v>105</v>
      </c>
      <c r="B582" s="675" t="s">
        <v>115</v>
      </c>
      <c r="C582" s="687" t="s">
        <v>126</v>
      </c>
      <c r="D582" s="675">
        <v>0</v>
      </c>
      <c r="E582" s="675" t="s">
        <v>2311</v>
      </c>
      <c r="F582" s="675">
        <v>3</v>
      </c>
      <c r="G582" s="675" t="s">
        <v>79</v>
      </c>
      <c r="H582" s="675">
        <v>132</v>
      </c>
      <c r="I582" s="676" t="s">
        <v>3806</v>
      </c>
      <c r="J582" s="677">
        <v>8.5</v>
      </c>
      <c r="K582" s="683">
        <v>711</v>
      </c>
      <c r="L582" s="677"/>
      <c r="M582" s="677">
        <v>0</v>
      </c>
      <c r="N582" s="677">
        <v>39</v>
      </c>
      <c r="O582" s="677"/>
      <c r="P582" s="677"/>
      <c r="Q582" s="677"/>
      <c r="R582" s="677"/>
      <c r="S582" s="677">
        <v>0</v>
      </c>
      <c r="T582" s="677">
        <v>0</v>
      </c>
      <c r="U582" s="677">
        <v>67</v>
      </c>
      <c r="V582" s="677">
        <v>20</v>
      </c>
      <c r="W582" s="677">
        <v>249</v>
      </c>
      <c r="X582" s="678"/>
      <c r="Y582" s="682"/>
      <c r="Z582" s="680"/>
      <c r="AA582" s="681">
        <v>74.076999999999998</v>
      </c>
      <c r="AB582" s="681"/>
      <c r="AC582" s="417">
        <v>30</v>
      </c>
      <c r="AD582" s="417"/>
      <c r="AE582" s="682" t="s">
        <v>4511</v>
      </c>
      <c r="AF582">
        <v>1</v>
      </c>
      <c r="AG582" s="761">
        <v>43101</v>
      </c>
      <c r="AH582" s="417"/>
      <c r="AI582" s="417"/>
      <c r="AJ582" s="762">
        <v>43375</v>
      </c>
      <c r="AK582" s="417"/>
      <c r="AL582" s="637" t="s">
        <v>3483</v>
      </c>
      <c r="AM582" s="417"/>
      <c r="AN582" s="417"/>
      <c r="AO582" s="636"/>
      <c r="AP582">
        <v>556689</v>
      </c>
      <c r="AQ582" s="763">
        <v>43375</v>
      </c>
      <c r="AR582" s="417"/>
      <c r="AS582" s="417"/>
      <c r="AT582" s="417"/>
      <c r="AU582" s="417"/>
      <c r="AV582" s="417"/>
      <c r="AW582" s="417"/>
      <c r="AX582" s="417"/>
      <c r="AY582" s="183" t="s">
        <v>3362</v>
      </c>
      <c r="AZ582" s="417"/>
      <c r="BA582" s="417"/>
      <c r="BB582" t="s">
        <v>3585</v>
      </c>
      <c r="BC582" s="636"/>
      <c r="BD582" s="417"/>
      <c r="BE582" s="612"/>
      <c r="BF582" s="613"/>
      <c r="BG582" s="614"/>
      <c r="BH582" s="682"/>
      <c r="BI582" s="417"/>
      <c r="BJ582" s="417">
        <v>4</v>
      </c>
      <c r="BK582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2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2" s="682"/>
      <c r="BN582" s="636"/>
      <c r="BO582" s="636"/>
      <c r="BP582" s="636"/>
      <c r="BQ582" s="636" t="s">
        <v>105</v>
      </c>
      <c r="BR582" s="636"/>
      <c r="BS582" s="636"/>
      <c r="BT582" s="636"/>
      <c r="BU582" s="636"/>
      <c r="BV582" s="636"/>
      <c r="BW582" s="636" t="s">
        <v>4512</v>
      </c>
      <c r="BX582" s="636"/>
      <c r="BY582" s="972"/>
    </row>
    <row r="583" spans="1:77">
      <c r="A583" s="636" t="s">
        <v>105</v>
      </c>
      <c r="B583" s="675" t="s">
        <v>115</v>
      </c>
      <c r="C583" s="687" t="s">
        <v>126</v>
      </c>
      <c r="D583" s="675">
        <v>0</v>
      </c>
      <c r="E583" s="675" t="s">
        <v>2311</v>
      </c>
      <c r="F583" s="675">
        <v>3</v>
      </c>
      <c r="G583" s="675" t="s">
        <v>79</v>
      </c>
      <c r="H583" s="675">
        <v>132</v>
      </c>
      <c r="I583" s="676" t="s">
        <v>3806</v>
      </c>
      <c r="J583" s="677">
        <v>8.5</v>
      </c>
      <c r="K583" s="683">
        <v>711</v>
      </c>
      <c r="L583" s="677"/>
      <c r="M583" s="677">
        <v>0</v>
      </c>
      <c r="N583" s="677">
        <v>39</v>
      </c>
      <c r="O583" s="677"/>
      <c r="P583" s="677"/>
      <c r="Q583" s="677"/>
      <c r="R583" s="677"/>
      <c r="S583" s="677">
        <v>0</v>
      </c>
      <c r="T583" s="677">
        <v>0</v>
      </c>
      <c r="U583" s="677">
        <v>67</v>
      </c>
      <c r="V583" s="677">
        <v>20</v>
      </c>
      <c r="W583" s="677">
        <v>249</v>
      </c>
      <c r="X583" s="678"/>
      <c r="Y583" s="682"/>
      <c r="Z583" s="680"/>
      <c r="AA583" s="681">
        <v>74.076999999999998</v>
      </c>
      <c r="AB583" s="681"/>
      <c r="AC583" s="417">
        <v>30</v>
      </c>
      <c r="AD583" s="417"/>
      <c r="AE583" s="682" t="s">
        <v>4511</v>
      </c>
      <c r="AF583">
        <v>1</v>
      </c>
      <c r="AG583" s="761">
        <v>43101</v>
      </c>
      <c r="AH583" s="417"/>
      <c r="AI583" s="417"/>
      <c r="AJ583" s="762">
        <v>43375</v>
      </c>
      <c r="AK583" s="417"/>
      <c r="AL583" s="637" t="s">
        <v>3483</v>
      </c>
      <c r="AM583" s="417"/>
      <c r="AN583" s="417"/>
      <c r="AO583" s="636"/>
      <c r="AP583">
        <v>556689</v>
      </c>
      <c r="AQ583" s="763">
        <v>43375</v>
      </c>
      <c r="AR583" s="417"/>
      <c r="AS583" s="417"/>
      <c r="AT583" s="417"/>
      <c r="AU583" s="417"/>
      <c r="AV583" s="417"/>
      <c r="AW583" s="417"/>
      <c r="AX583" s="417"/>
      <c r="AY583" s="183" t="s">
        <v>3362</v>
      </c>
      <c r="AZ583" s="417"/>
      <c r="BA583" s="417"/>
      <c r="BB583" t="s">
        <v>3585</v>
      </c>
      <c r="BC583" s="636"/>
      <c r="BD583" s="417"/>
      <c r="BE583" s="612"/>
      <c r="BF583" s="613"/>
      <c r="BG583" s="614"/>
      <c r="BH583" s="682"/>
      <c r="BI583" s="417"/>
      <c r="BJ583" s="417">
        <v>4</v>
      </c>
      <c r="BK583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3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3" s="682"/>
      <c r="BN583" s="636"/>
      <c r="BO583" s="636"/>
      <c r="BP583" s="636"/>
      <c r="BQ583" s="636" t="s">
        <v>105</v>
      </c>
      <c r="BR583" s="636"/>
      <c r="BS583" s="636"/>
      <c r="BT583" s="636"/>
      <c r="BU583" s="636"/>
      <c r="BV583" s="636"/>
      <c r="BW583" s="636" t="s">
        <v>4512</v>
      </c>
      <c r="BX583" s="636"/>
      <c r="BY583" s="972"/>
    </row>
    <row r="584" spans="1:77">
      <c r="A584" s="636" t="s">
        <v>105</v>
      </c>
      <c r="B584" s="675" t="s">
        <v>115</v>
      </c>
      <c r="C584" s="687" t="s">
        <v>126</v>
      </c>
      <c r="D584" s="675">
        <v>0</v>
      </c>
      <c r="E584" s="675" t="s">
        <v>2311</v>
      </c>
      <c r="F584" s="675">
        <v>3</v>
      </c>
      <c r="G584" s="675" t="s">
        <v>79</v>
      </c>
      <c r="H584" s="675">
        <v>132</v>
      </c>
      <c r="I584" s="676" t="s">
        <v>3806</v>
      </c>
      <c r="J584" s="677">
        <v>8.5</v>
      </c>
      <c r="K584" s="683">
        <v>711</v>
      </c>
      <c r="L584" s="677"/>
      <c r="M584" s="677">
        <v>0</v>
      </c>
      <c r="N584" s="677">
        <v>39</v>
      </c>
      <c r="O584" s="677"/>
      <c r="P584" s="677"/>
      <c r="Q584" s="677"/>
      <c r="R584" s="677"/>
      <c r="S584" s="677">
        <v>0</v>
      </c>
      <c r="T584" s="677">
        <v>0</v>
      </c>
      <c r="U584" s="677">
        <v>67</v>
      </c>
      <c r="V584" s="677">
        <v>20</v>
      </c>
      <c r="W584" s="677">
        <v>249</v>
      </c>
      <c r="X584" s="678"/>
      <c r="Y584" s="682"/>
      <c r="Z584" s="680"/>
      <c r="AA584" s="681">
        <v>74.076999999999998</v>
      </c>
      <c r="AB584" s="681"/>
      <c r="AC584" s="417">
        <v>30</v>
      </c>
      <c r="AD584" s="417"/>
      <c r="AE584" s="682" t="s">
        <v>4511</v>
      </c>
      <c r="AF584">
        <v>1</v>
      </c>
      <c r="AG584" s="761">
        <v>43101</v>
      </c>
      <c r="AH584" s="417"/>
      <c r="AI584" s="417"/>
      <c r="AJ584" s="762">
        <v>43375</v>
      </c>
      <c r="AK584" s="417"/>
      <c r="AL584" s="637" t="s">
        <v>3483</v>
      </c>
      <c r="AM584" s="417"/>
      <c r="AN584" s="417"/>
      <c r="AO584" s="636"/>
      <c r="AP584">
        <v>556689</v>
      </c>
      <c r="AQ584" s="763">
        <v>43375</v>
      </c>
      <c r="AR584" s="417"/>
      <c r="AS584" s="417"/>
      <c r="AT584" s="417"/>
      <c r="AU584" s="417"/>
      <c r="AV584" s="417"/>
      <c r="AW584" s="417"/>
      <c r="AX584" s="417"/>
      <c r="AY584" s="183" t="s">
        <v>3362</v>
      </c>
      <c r="AZ584" s="417"/>
      <c r="BA584" s="417"/>
      <c r="BB584" t="s">
        <v>3585</v>
      </c>
      <c r="BC584" s="636"/>
      <c r="BD584" s="417"/>
      <c r="BE584" s="612"/>
      <c r="BF584" s="613"/>
      <c r="BG584" s="614"/>
      <c r="BH584" s="682"/>
      <c r="BI584" s="417"/>
      <c r="BJ584" s="417">
        <v>4</v>
      </c>
      <c r="BK584" s="682" t="str">
        <f>Техкарта[[#This Row],[Кв-л]]&amp;" кв ("&amp;Substring(Техкарта[[#This Row],[Виділ]],"_",1)&amp;" вид) "&amp;Substring(Техкарта[[#This Row],[Виділ]],"_",2)&amp;" діл."</f>
        <v>132 кв (1 вид) 1 діл.</v>
      </c>
      <c r="BL584" s="682" t="str">
        <f>Техкарта[[#This Row],[ПолнаяДіл]] &amp;" "&amp;Техкарта[[#This Row],[ЛК]]&amp;" "&amp;Техкарта[[#This Row],[Вид рубки]]</f>
        <v>132 кв (1 вид) 1 діл. 556689 СРВ</v>
      </c>
      <c r="BM584" s="682"/>
      <c r="BN584" s="636"/>
      <c r="BO584" s="636"/>
      <c r="BP584" s="636"/>
      <c r="BQ584" s="636" t="s">
        <v>105</v>
      </c>
      <c r="BR584" s="636"/>
      <c r="BS584" s="636"/>
      <c r="BT584" s="636"/>
      <c r="BU584" s="636"/>
      <c r="BV584" s="636"/>
      <c r="BW584" s="636" t="s">
        <v>4512</v>
      </c>
      <c r="BX584" s="636"/>
      <c r="BY584" s="972"/>
    </row>
    <row r="585" spans="1:77">
      <c r="A585" s="636" t="s">
        <v>104</v>
      </c>
      <c r="B585" s="675" t="s">
        <v>111</v>
      </c>
      <c r="C585" s="687" t="s">
        <v>104</v>
      </c>
      <c r="D585" s="675">
        <v>0</v>
      </c>
      <c r="E585" s="675" t="s">
        <v>2305</v>
      </c>
      <c r="F585" s="675">
        <v>2</v>
      </c>
      <c r="G585" s="675" t="s">
        <v>2238</v>
      </c>
      <c r="H585" s="675">
        <v>40</v>
      </c>
      <c r="I585" s="676" t="s">
        <v>3790</v>
      </c>
      <c r="J585" s="677">
        <v>1</v>
      </c>
      <c r="K585" s="683">
        <v>580</v>
      </c>
      <c r="L585" s="677">
        <v>0</v>
      </c>
      <c r="M585" s="677">
        <v>101</v>
      </c>
      <c r="N585" s="677">
        <v>9</v>
      </c>
      <c r="O585" s="677">
        <v>0</v>
      </c>
      <c r="P585" s="677">
        <v>0</v>
      </c>
      <c r="Q585" s="677">
        <v>0</v>
      </c>
      <c r="R585" s="677">
        <v>0</v>
      </c>
      <c r="S585" s="677">
        <v>80</v>
      </c>
      <c r="T585" s="677">
        <v>61</v>
      </c>
      <c r="U585" s="677">
        <v>0</v>
      </c>
      <c r="V585" s="677">
        <v>53</v>
      </c>
      <c r="W585" s="677">
        <v>51</v>
      </c>
      <c r="X585" s="678"/>
      <c r="Y585" s="682"/>
      <c r="Z585" s="680"/>
      <c r="AA585" s="681">
        <v>73.775000000000006</v>
      </c>
      <c r="AB585" s="681">
        <v>33.195</v>
      </c>
      <c r="AC585" s="417">
        <v>0</v>
      </c>
      <c r="AD585" s="417"/>
      <c r="AE585" s="682" t="s">
        <v>4513</v>
      </c>
      <c r="AF585">
        <v>1</v>
      </c>
      <c r="AG585" s="761">
        <v>43101</v>
      </c>
      <c r="AH585" s="417"/>
      <c r="AI585" s="417"/>
      <c r="AJ585" s="762">
        <v>43361</v>
      </c>
      <c r="AK585" s="417"/>
      <c r="AL585" s="637" t="s">
        <v>3433</v>
      </c>
      <c r="AM585" s="417"/>
      <c r="AN585" s="417"/>
      <c r="AO585" s="636"/>
      <c r="AP585">
        <v>556621</v>
      </c>
      <c r="AQ585" s="763">
        <v>43077</v>
      </c>
      <c r="AR585" s="417"/>
      <c r="AS585" s="417"/>
      <c r="AT585" s="417"/>
      <c r="AU585" s="417"/>
      <c r="AV585" s="417"/>
      <c r="AW585" s="417"/>
      <c r="AX585" s="417"/>
      <c r="AY585" s="183" t="s">
        <v>3424</v>
      </c>
      <c r="AZ585" s="417"/>
      <c r="BA585" s="417"/>
      <c r="BB585" t="s">
        <v>3583</v>
      </c>
      <c r="BC585" s="636"/>
      <c r="BD585" s="417"/>
      <c r="BE585" s="612">
        <v>5</v>
      </c>
      <c r="BF585" s="613">
        <v>40</v>
      </c>
      <c r="BG585" s="614" t="s">
        <v>78</v>
      </c>
      <c r="BH585" s="682"/>
      <c r="BI585" s="417"/>
      <c r="BJ585" s="417">
        <v>3</v>
      </c>
      <c r="BK585" s="682" t="str">
        <f>Техкарта[[#This Row],[Кв-л]]&amp;" кв ("&amp;Substring(Техкарта[[#This Row],[Виділ]],"_",1)&amp;" вид) "&amp;Substring(Техкарта[[#This Row],[Виділ]],"_",2)&amp;" діл."</f>
        <v>40 кв (2 вид) 0 діл.</v>
      </c>
      <c r="BL585" s="682" t="str">
        <f>Техкарта[[#This Row],[ПолнаяДіл]] &amp;" "&amp;Техкарта[[#This Row],[ЛК]]&amp;" "&amp;Техкарта[[#This Row],[Вид рубки]]</f>
        <v>40 кв (2 вид) 0 діл. 556621 РГК</v>
      </c>
      <c r="BM585" s="682"/>
      <c r="BN585" s="636" t="s">
        <v>3784</v>
      </c>
      <c r="BO585" s="636" t="s">
        <v>3784</v>
      </c>
      <c r="BP585" s="636" t="s">
        <v>3784</v>
      </c>
      <c r="BQ585" s="636" t="s">
        <v>104</v>
      </c>
      <c r="BR585" s="636"/>
      <c r="BS585" s="636"/>
      <c r="BT585" s="636"/>
      <c r="BU585" s="636"/>
      <c r="BV585" s="636"/>
      <c r="BW585" s="636" t="s">
        <v>4512</v>
      </c>
      <c r="BX585" s="636"/>
      <c r="BY585" s="972"/>
    </row>
    <row r="586" spans="1:77">
      <c r="A586" s="636" t="s">
        <v>104</v>
      </c>
      <c r="B586" s="675" t="s">
        <v>112</v>
      </c>
      <c r="C586" s="687" t="s">
        <v>104</v>
      </c>
      <c r="D586" s="675">
        <v>0</v>
      </c>
      <c r="E586" s="675" t="s">
        <v>2305</v>
      </c>
      <c r="F586" s="675">
        <v>2</v>
      </c>
      <c r="G586" s="675" t="s">
        <v>2238</v>
      </c>
      <c r="H586" s="675">
        <v>27</v>
      </c>
      <c r="I586" s="676" t="s">
        <v>3794</v>
      </c>
      <c r="J586" s="677">
        <v>1</v>
      </c>
      <c r="K586" s="683">
        <v>1128</v>
      </c>
      <c r="L586" s="677">
        <v>0</v>
      </c>
      <c r="M586" s="677">
        <v>0</v>
      </c>
      <c r="N586" s="677">
        <v>235</v>
      </c>
      <c r="O586" s="677">
        <v>0</v>
      </c>
      <c r="P586" s="677">
        <v>0</v>
      </c>
      <c r="Q586" s="677">
        <v>26</v>
      </c>
      <c r="R586" s="677">
        <v>22</v>
      </c>
      <c r="S586" s="677">
        <v>3</v>
      </c>
      <c r="T586" s="677">
        <v>192</v>
      </c>
      <c r="U586" s="677">
        <v>8</v>
      </c>
      <c r="V586" s="677">
        <v>3</v>
      </c>
      <c r="W586" s="677">
        <v>131</v>
      </c>
      <c r="X586" s="678"/>
      <c r="Y586" s="682"/>
      <c r="Z586" s="680"/>
      <c r="AA586" s="681">
        <v>75.488</v>
      </c>
      <c r="AB586" s="681">
        <v>37.555</v>
      </c>
      <c r="AC586" s="417">
        <v>42</v>
      </c>
      <c r="AD586" s="417"/>
      <c r="AE586" s="682" t="s">
        <v>4514</v>
      </c>
      <c r="AF586">
        <v>1</v>
      </c>
      <c r="AG586" s="761">
        <v>43101</v>
      </c>
      <c r="AH586" s="417"/>
      <c r="AI586" s="417"/>
      <c r="AJ586" s="762">
        <v>43349</v>
      </c>
      <c r="AK586" s="417"/>
      <c r="AL586" s="637" t="s">
        <v>3473</v>
      </c>
      <c r="AM586" s="417"/>
      <c r="AN586" s="417"/>
      <c r="AO586" s="636"/>
      <c r="AP586">
        <v>556617</v>
      </c>
      <c r="AQ586" s="763">
        <v>43077</v>
      </c>
      <c r="AR586" s="417"/>
      <c r="AS586" s="417"/>
      <c r="AT586" s="417"/>
      <c r="AU586" s="417"/>
      <c r="AV586" s="417"/>
      <c r="AW586" s="417"/>
      <c r="AX586" s="417"/>
      <c r="AY586" s="183" t="s">
        <v>4245</v>
      </c>
      <c r="AZ586" s="417"/>
      <c r="BA586" s="417"/>
      <c r="BB586" t="s">
        <v>4238</v>
      </c>
      <c r="BC586" s="636"/>
      <c r="BD586" s="417"/>
      <c r="BE586" s="612">
        <v>5</v>
      </c>
      <c r="BF586" s="613">
        <v>40</v>
      </c>
      <c r="BG586" s="614" t="s">
        <v>78</v>
      </c>
      <c r="BH586" s="682"/>
      <c r="BI586" s="417"/>
      <c r="BJ586" s="417">
        <v>3</v>
      </c>
      <c r="BK586" s="682" t="str">
        <f>Техкарта[[#This Row],[Кв-л]]&amp;" кв ("&amp;Substring(Техкарта[[#This Row],[Виділ]],"_",1)&amp;" вид) "&amp;Substring(Техкарта[[#This Row],[Виділ]],"_",2)&amp;" діл."</f>
        <v>27 кв (11 вид) 0 діл.</v>
      </c>
      <c r="BL586" s="682" t="str">
        <f>Техкарта[[#This Row],[ПолнаяДіл]] &amp;" "&amp;Техкарта[[#This Row],[ЛК]]&amp;" "&amp;Техкарта[[#This Row],[Вид рубки]]</f>
        <v>27 кв (11 вид) 0 діл. 556617 РГК</v>
      </c>
      <c r="BM586" s="682"/>
      <c r="BN586" s="636" t="s">
        <v>3784</v>
      </c>
      <c r="BO586" s="636" t="s">
        <v>3784</v>
      </c>
      <c r="BP586" s="636" t="s">
        <v>3784</v>
      </c>
      <c r="BQ586" s="636" t="s">
        <v>104</v>
      </c>
      <c r="BR586" s="636"/>
      <c r="BS586" s="636"/>
      <c r="BT586" s="636"/>
      <c r="BU586" s="636"/>
      <c r="BV586" s="636"/>
      <c r="BW586" s="636" t="s">
        <v>4515</v>
      </c>
      <c r="BX586" s="636"/>
      <c r="BY586" s="972"/>
    </row>
    <row r="587" spans="1:77">
      <c r="A587" s="636" t="s">
        <v>104</v>
      </c>
      <c r="B587" s="675" t="s">
        <v>115</v>
      </c>
      <c r="C587" s="687" t="s">
        <v>104</v>
      </c>
      <c r="D587" s="675">
        <v>0</v>
      </c>
      <c r="E587" s="675" t="s">
        <v>2305</v>
      </c>
      <c r="F587" s="675">
        <v>2</v>
      </c>
      <c r="G587" s="675" t="s">
        <v>2238</v>
      </c>
      <c r="H587" s="675">
        <v>29</v>
      </c>
      <c r="I587" s="676" t="s">
        <v>4517</v>
      </c>
      <c r="J587" s="677">
        <v>2.7</v>
      </c>
      <c r="K587" s="683">
        <v>548</v>
      </c>
      <c r="L587" s="677">
        <v>0</v>
      </c>
      <c r="M587" s="677">
        <v>0</v>
      </c>
      <c r="N587" s="677">
        <v>235</v>
      </c>
      <c r="O587" s="677">
        <v>0</v>
      </c>
      <c r="P587" s="677">
        <v>0</v>
      </c>
      <c r="Q587" s="677">
        <v>26</v>
      </c>
      <c r="R587" s="677">
        <v>22</v>
      </c>
      <c r="S587" s="677">
        <v>3</v>
      </c>
      <c r="T587" s="677">
        <v>192</v>
      </c>
      <c r="U587" s="677">
        <v>8</v>
      </c>
      <c r="V587" s="677">
        <v>3</v>
      </c>
      <c r="W587" s="677">
        <v>131</v>
      </c>
      <c r="X587" s="678"/>
      <c r="Y587" s="682"/>
      <c r="Z587" s="680"/>
      <c r="AA587" s="681">
        <v>66.218000000000004</v>
      </c>
      <c r="AB587" s="681">
        <v>26.41</v>
      </c>
      <c r="AC587" s="417">
        <v>49</v>
      </c>
      <c r="AD587" s="417"/>
      <c r="AE587" s="682" t="s">
        <v>4518</v>
      </c>
      <c r="AF587">
        <v>1</v>
      </c>
      <c r="AG587" s="761">
        <v>43101</v>
      </c>
      <c r="AH587" s="417"/>
      <c r="AI587" s="417"/>
      <c r="AJ587" s="762">
        <v>43374</v>
      </c>
      <c r="AK587" s="417"/>
      <c r="AL587" s="637" t="s">
        <v>4516</v>
      </c>
      <c r="AM587" s="417"/>
      <c r="AN587" s="417"/>
      <c r="AO587" s="636"/>
      <c r="AP587">
        <v>556622</v>
      </c>
      <c r="AQ587" s="763">
        <v>43077</v>
      </c>
      <c r="AR587" s="417"/>
      <c r="AS587" s="417"/>
      <c r="AT587" s="417"/>
      <c r="AU587" s="417"/>
      <c r="AV587" s="417"/>
      <c r="AW587" s="417"/>
      <c r="AX587" s="417"/>
      <c r="AY587" s="183" t="s">
        <v>3362</v>
      </c>
      <c r="AZ587" s="417"/>
      <c r="BA587" s="417"/>
      <c r="BB587" t="s">
        <v>3585</v>
      </c>
      <c r="BC587" s="636"/>
      <c r="BD587" s="417"/>
      <c r="BE587" s="612">
        <v>10</v>
      </c>
      <c r="BF587" s="613">
        <v>40</v>
      </c>
      <c r="BG587" s="614" t="s">
        <v>78</v>
      </c>
      <c r="BH587" s="682"/>
      <c r="BI587" s="417"/>
      <c r="BJ587" s="417">
        <v>5</v>
      </c>
      <c r="BK587" s="682" t="str">
        <f>Техкарта[[#This Row],[Кв-л]]&amp;" кв ("&amp;Substring(Техкарта[[#This Row],[Виділ]],"_",1)&amp;" вид) "&amp;Substring(Техкарта[[#This Row],[Виділ]],"_",2)&amp;" діл."</f>
        <v>29 кв (7 вид) 4 діл.</v>
      </c>
      <c r="BL587" s="682" t="str">
        <f>Техкарта[[#This Row],[ПолнаяДіл]] &amp;" "&amp;Техкарта[[#This Row],[ЛК]]&amp;" "&amp;Техкарта[[#This Row],[Вид рубки]]</f>
        <v>29 кв (7 вид) 4 діл. 556622 РГК</v>
      </c>
      <c r="BM587" s="682"/>
      <c r="BN587" s="636" t="s">
        <v>3784</v>
      </c>
      <c r="BO587" s="636" t="s">
        <v>3784</v>
      </c>
      <c r="BP587" s="636" t="s">
        <v>3784</v>
      </c>
      <c r="BQ587" s="636" t="s">
        <v>104</v>
      </c>
      <c r="BR587" s="636"/>
      <c r="BS587" s="636"/>
      <c r="BT587" s="636"/>
      <c r="BU587" s="636"/>
      <c r="BV587" s="636"/>
      <c r="BW587" s="636" t="s">
        <v>4515</v>
      </c>
      <c r="BX587" s="636"/>
      <c r="BY587" s="972"/>
    </row>
    <row r="588" spans="1:77">
      <c r="A588" s="636" t="s">
        <v>105</v>
      </c>
      <c r="B588" s="675" t="s">
        <v>115</v>
      </c>
      <c r="C588" s="687" t="s">
        <v>126</v>
      </c>
      <c r="D588" s="675">
        <v>0</v>
      </c>
      <c r="E588" s="675" t="s">
        <v>2311</v>
      </c>
      <c r="F588" s="675">
        <v>3</v>
      </c>
      <c r="G588" s="675" t="s">
        <v>79</v>
      </c>
      <c r="H588" s="675">
        <v>29</v>
      </c>
      <c r="I588" s="676" t="s">
        <v>3792</v>
      </c>
      <c r="J588" s="677">
        <v>3.3</v>
      </c>
      <c r="K588" s="683">
        <v>441</v>
      </c>
      <c r="L588" s="677"/>
      <c r="M588" s="677">
        <v>0</v>
      </c>
      <c r="N588" s="677">
        <v>4</v>
      </c>
      <c r="O588" s="677"/>
      <c r="P588" s="677"/>
      <c r="Q588" s="677"/>
      <c r="R588" s="677"/>
      <c r="S588" s="677">
        <v>0</v>
      </c>
      <c r="T588" s="677">
        <v>0</v>
      </c>
      <c r="U588" s="677">
        <v>41</v>
      </c>
      <c r="V588" s="677">
        <v>11</v>
      </c>
      <c r="W588" s="677">
        <v>59</v>
      </c>
      <c r="X588" s="678"/>
      <c r="Y588" s="682"/>
      <c r="Z588" s="680"/>
      <c r="AA588" s="681">
        <v>93.391999999999996</v>
      </c>
      <c r="AB588" s="681"/>
      <c r="AC588" s="417">
        <v>14</v>
      </c>
      <c r="AD588" s="417"/>
      <c r="AE588" s="682" t="s">
        <v>4519</v>
      </c>
      <c r="AF588">
        <v>1</v>
      </c>
      <c r="AG588" s="761">
        <v>43101</v>
      </c>
      <c r="AH588" s="417"/>
      <c r="AI588" s="417"/>
      <c r="AJ588" s="762">
        <v>43389</v>
      </c>
      <c r="AK588" s="417"/>
      <c r="AL588" s="637" t="s">
        <v>3466</v>
      </c>
      <c r="AM588" s="417"/>
      <c r="AN588" s="417"/>
      <c r="AO588" s="636"/>
      <c r="AP588">
        <v>556692</v>
      </c>
      <c r="AQ588" s="763">
        <v>43389</v>
      </c>
      <c r="AR588" s="417"/>
      <c r="AS588" s="417"/>
      <c r="AT588" s="417"/>
      <c r="AU588" s="417"/>
      <c r="AV588" s="417"/>
      <c r="AW588" s="417"/>
      <c r="AX588" s="417"/>
      <c r="AY588" s="183" t="s">
        <v>3362</v>
      </c>
      <c r="AZ588" s="417"/>
      <c r="BA588" s="417"/>
      <c r="BB588" t="s">
        <v>3585</v>
      </c>
      <c r="BC588" s="636"/>
      <c r="BD588" s="417"/>
      <c r="BE588" s="612"/>
      <c r="BF588" s="613"/>
      <c r="BG588" s="614"/>
      <c r="BH588" s="682"/>
      <c r="BI588" s="417"/>
      <c r="BJ588" s="417">
        <v>6</v>
      </c>
      <c r="BK588" s="682" t="str">
        <f>Техкарта[[#This Row],[Кв-л]]&amp;" кв ("&amp;Substring(Техкарта[[#This Row],[Виділ]],"_",1)&amp;" вид) "&amp;Substring(Техкарта[[#This Row],[Виділ]],"_",2)&amp;" діл."</f>
        <v>29 кв (13 вид) 0 діл.</v>
      </c>
      <c r="BL588" s="682" t="str">
        <f>Техкарта[[#This Row],[ПолнаяДіл]] &amp;" "&amp;Техкарта[[#This Row],[ЛК]]&amp;" "&amp;Техкарта[[#This Row],[Вид рубки]]</f>
        <v>29 кв (13 вид) 0 діл. 556692 СРВ</v>
      </c>
      <c r="BM588" s="682"/>
      <c r="BN588" s="636"/>
      <c r="BO588" s="636"/>
      <c r="BP588" s="636"/>
      <c r="BQ588" s="636" t="s">
        <v>105</v>
      </c>
      <c r="BR588" s="636"/>
      <c r="BS588" s="636"/>
      <c r="BT588" s="636"/>
      <c r="BU588" s="636"/>
      <c r="BV588" s="636"/>
      <c r="BW588" s="636" t="s">
        <v>4515</v>
      </c>
      <c r="BX588" s="636"/>
      <c r="BY588" s="972"/>
    </row>
    <row r="589" spans="1:77">
      <c r="A589" s="636" t="s">
        <v>105</v>
      </c>
      <c r="B589" s="675" t="s">
        <v>115</v>
      </c>
      <c r="C589" s="687" t="s">
        <v>126</v>
      </c>
      <c r="D589" s="675">
        <v>0</v>
      </c>
      <c r="E589" s="675" t="s">
        <v>2311</v>
      </c>
      <c r="F589" s="675">
        <v>3</v>
      </c>
      <c r="G589" s="675" t="s">
        <v>79</v>
      </c>
      <c r="H589" s="675">
        <v>34</v>
      </c>
      <c r="I589" s="676" t="s">
        <v>3850</v>
      </c>
      <c r="J589" s="677">
        <v>11.2</v>
      </c>
      <c r="K589" s="683">
        <v>290</v>
      </c>
      <c r="L589" s="677"/>
      <c r="M589" s="677">
        <v>0</v>
      </c>
      <c r="N589" s="677">
        <v>5</v>
      </c>
      <c r="O589" s="677"/>
      <c r="P589" s="677"/>
      <c r="Q589" s="677"/>
      <c r="R589" s="677"/>
      <c r="S589" s="677">
        <v>0</v>
      </c>
      <c r="T589" s="677">
        <v>0</v>
      </c>
      <c r="U589" s="677">
        <v>14</v>
      </c>
      <c r="V589" s="677">
        <v>5</v>
      </c>
      <c r="W589" s="677">
        <v>277</v>
      </c>
      <c r="X589" s="678"/>
      <c r="Y589" s="682"/>
      <c r="Z589" s="680"/>
      <c r="AA589" s="681">
        <v>67.323999999999998</v>
      </c>
      <c r="AB589" s="681"/>
      <c r="AC589" s="417">
        <v>17</v>
      </c>
      <c r="AD589" s="417"/>
      <c r="AE589" s="682" t="s">
        <v>4520</v>
      </c>
      <c r="AF589">
        <v>1</v>
      </c>
      <c r="AG589" s="761">
        <v>43101</v>
      </c>
      <c r="AH589" s="417"/>
      <c r="AI589" s="417"/>
      <c r="AJ589" s="762">
        <v>43389</v>
      </c>
      <c r="AK589" s="417"/>
      <c r="AL589" s="637" t="s">
        <v>3450</v>
      </c>
      <c r="AM589" s="417"/>
      <c r="AN589" s="417"/>
      <c r="AO589" s="636"/>
      <c r="AP589">
        <v>556692</v>
      </c>
      <c r="AQ589" s="763">
        <v>43389</v>
      </c>
      <c r="AR589" s="417"/>
      <c r="AS589" s="417"/>
      <c r="AT589" s="417"/>
      <c r="AU589" s="417"/>
      <c r="AV589" s="417"/>
      <c r="AW589" s="417"/>
      <c r="AX589" s="417"/>
      <c r="AY589" s="183" t="s">
        <v>3362</v>
      </c>
      <c r="AZ589" s="417"/>
      <c r="BA589" s="417"/>
      <c r="BB589" t="s">
        <v>3585</v>
      </c>
      <c r="BC589" s="636"/>
      <c r="BD589" s="417"/>
      <c r="BE589" s="612"/>
      <c r="BF589" s="613"/>
      <c r="BG589" s="614"/>
      <c r="BH589" s="682"/>
      <c r="BI589" s="417"/>
      <c r="BJ589" s="417">
        <v>7</v>
      </c>
      <c r="BK589" s="682" t="str">
        <f>Техкарта[[#This Row],[Кв-л]]&amp;" кв ("&amp;Substring(Техкарта[[#This Row],[Виділ]],"_",1)&amp;" вид) "&amp;Substring(Техкарта[[#This Row],[Виділ]],"_",2)&amp;" діл."</f>
        <v>34 кв (6 вид) 0 діл.</v>
      </c>
      <c r="BL589" s="682" t="str">
        <f>Техкарта[[#This Row],[ПолнаяДіл]] &amp;" "&amp;Техкарта[[#This Row],[ЛК]]&amp;" "&amp;Техкарта[[#This Row],[Вид рубки]]</f>
        <v>34 кв (6 вид) 0 діл. 556692 СРВ</v>
      </c>
      <c r="BM589" s="682"/>
      <c r="BN589" s="636"/>
      <c r="BO589" s="636"/>
      <c r="BP589" s="636"/>
      <c r="BQ589" s="636" t="s">
        <v>105</v>
      </c>
      <c r="BR589" s="636"/>
      <c r="BS589" s="636"/>
      <c r="BT589" s="636"/>
      <c r="BU589" s="636"/>
      <c r="BV589" s="636"/>
      <c r="BW589" s="636" t="s">
        <v>4515</v>
      </c>
      <c r="BX589" s="636"/>
      <c r="BY589" s="972"/>
    </row>
    <row r="590" spans="1:77">
      <c r="A590" s="636" t="s">
        <v>105</v>
      </c>
      <c r="B590" s="675" t="s">
        <v>115</v>
      </c>
      <c r="C590" s="687" t="s">
        <v>126</v>
      </c>
      <c r="D590" s="675">
        <v>0</v>
      </c>
      <c r="E590" s="675" t="s">
        <v>2311</v>
      </c>
      <c r="F590" s="675">
        <v>3</v>
      </c>
      <c r="G590" s="675" t="s">
        <v>79</v>
      </c>
      <c r="H590" s="675">
        <v>124</v>
      </c>
      <c r="I590" s="676" t="s">
        <v>4521</v>
      </c>
      <c r="J590" s="677">
        <v>12</v>
      </c>
      <c r="K590" s="683">
        <v>957</v>
      </c>
      <c r="L590" s="677"/>
      <c r="M590" s="677">
        <v>0</v>
      </c>
      <c r="N590" s="677">
        <v>22</v>
      </c>
      <c r="O590" s="677"/>
      <c r="P590" s="677"/>
      <c r="Q590" s="677"/>
      <c r="R590" s="677"/>
      <c r="S590" s="677">
        <v>0</v>
      </c>
      <c r="T590" s="677">
        <v>0</v>
      </c>
      <c r="U590" s="677">
        <v>53</v>
      </c>
      <c r="V590" s="677">
        <v>3</v>
      </c>
      <c r="W590" s="677">
        <v>332</v>
      </c>
      <c r="X590" s="678"/>
      <c r="Y590" s="682"/>
      <c r="Z590" s="680"/>
      <c r="AA590" s="681">
        <v>79.239000000000004</v>
      </c>
      <c r="AB590" s="681"/>
      <c r="AC590" s="417">
        <v>36</v>
      </c>
      <c r="AD590" s="417"/>
      <c r="AE590" s="682" t="s">
        <v>4522</v>
      </c>
      <c r="AF590">
        <v>1</v>
      </c>
      <c r="AG590" s="761">
        <v>43101</v>
      </c>
      <c r="AH590" s="417"/>
      <c r="AI590" s="417"/>
      <c r="AJ590" s="762">
        <v>43389</v>
      </c>
      <c r="AK590" s="417"/>
      <c r="AL590" s="637" t="s">
        <v>3450</v>
      </c>
      <c r="AM590" s="417"/>
      <c r="AN590" s="417"/>
      <c r="AO590" s="636"/>
      <c r="AP590">
        <v>556692</v>
      </c>
      <c r="AQ590" s="763">
        <v>43389</v>
      </c>
      <c r="AR590" s="417"/>
      <c r="AS590" s="417"/>
      <c r="AT590" s="417"/>
      <c r="AU590" s="417"/>
      <c r="AV590" s="417"/>
      <c r="AW590" s="417"/>
      <c r="AX590" s="417"/>
      <c r="AY590" s="183" t="s">
        <v>3362</v>
      </c>
      <c r="AZ590" s="417"/>
      <c r="BA590" s="417"/>
      <c r="BB590" t="s">
        <v>3585</v>
      </c>
      <c r="BC590" s="636"/>
      <c r="BD590" s="417"/>
      <c r="BE590" s="612"/>
      <c r="BF590" s="613"/>
      <c r="BG590" s="614"/>
      <c r="BH590" s="682"/>
      <c r="BI590" s="417"/>
      <c r="BJ590" s="417">
        <v>8</v>
      </c>
      <c r="BK590" s="682" t="str">
        <f>Техкарта[[#This Row],[Кв-л]]&amp;" кв ("&amp;Substring(Техкарта[[#This Row],[Виділ]],"_",1)&amp;" вид) "&amp;Substring(Техкарта[[#This Row],[Виділ]],"_",2)&amp;" діл."</f>
        <v>124 кв (1 вид) 3 діл.</v>
      </c>
      <c r="BL590" s="682" t="str">
        <f>Техкарта[[#This Row],[ПолнаяДіл]] &amp;" "&amp;Техкарта[[#This Row],[ЛК]]&amp;" "&amp;Техкарта[[#This Row],[Вид рубки]]</f>
        <v>124 кв (1 вид) 3 діл. 556692 СРВ</v>
      </c>
      <c r="BM590" s="682"/>
      <c r="BN590" s="636"/>
      <c r="BO590" s="636"/>
      <c r="BP590" s="636"/>
      <c r="BQ590" s="636" t="s">
        <v>105</v>
      </c>
      <c r="BR590" s="636"/>
      <c r="BS590" s="636"/>
      <c r="BT590" s="636"/>
      <c r="BU590" s="636"/>
      <c r="BV590" s="636"/>
      <c r="BW590" s="636" t="s">
        <v>4515</v>
      </c>
      <c r="BX590" s="636"/>
      <c r="BY590" s="972"/>
    </row>
    <row r="591" spans="1:77">
      <c r="A591" s="636" t="s">
        <v>105</v>
      </c>
      <c r="B591" s="675" t="s">
        <v>113</v>
      </c>
      <c r="C591" s="687" t="s">
        <v>126</v>
      </c>
      <c r="D591" s="675">
        <v>0</v>
      </c>
      <c r="E591" s="675" t="s">
        <v>2311</v>
      </c>
      <c r="F591" s="675">
        <v>3</v>
      </c>
      <c r="G591" s="675" t="s">
        <v>79</v>
      </c>
      <c r="H591" s="675">
        <v>38</v>
      </c>
      <c r="I591" s="676" t="s">
        <v>3831</v>
      </c>
      <c r="J591" s="677">
        <v>2.2999999999999998</v>
      </c>
      <c r="K591" s="683">
        <v>77</v>
      </c>
      <c r="L591" s="677"/>
      <c r="M591" s="677">
        <v>0</v>
      </c>
      <c r="N591" s="677">
        <v>2</v>
      </c>
      <c r="O591" s="677"/>
      <c r="P591" s="677"/>
      <c r="Q591" s="677"/>
      <c r="R591" s="677"/>
      <c r="S591" s="677">
        <v>0</v>
      </c>
      <c r="T591" s="677">
        <v>0</v>
      </c>
      <c r="U591" s="677">
        <v>0</v>
      </c>
      <c r="V591" s="677">
        <v>0</v>
      </c>
      <c r="W591" s="677">
        <v>36</v>
      </c>
      <c r="X591" s="678"/>
      <c r="Y591" s="682"/>
      <c r="Z591" s="680"/>
      <c r="AA591" s="681">
        <v>83.066000000000003</v>
      </c>
      <c r="AB591" s="681"/>
      <c r="AC591" s="417">
        <v>6</v>
      </c>
      <c r="AD591" s="417"/>
      <c r="AE591" s="682" t="s">
        <v>4523</v>
      </c>
      <c r="AF591">
        <v>1</v>
      </c>
      <c r="AG591" s="761">
        <v>43101</v>
      </c>
      <c r="AH591" s="417"/>
      <c r="AI591" s="417"/>
      <c r="AJ591" s="762">
        <v>43378</v>
      </c>
      <c r="AK591" s="417"/>
      <c r="AL591" s="637" t="s">
        <v>3453</v>
      </c>
      <c r="AM591" s="417"/>
      <c r="AN591" s="417"/>
      <c r="AO591" s="636"/>
      <c r="AP591">
        <v>556690</v>
      </c>
      <c r="AQ591" s="763">
        <v>43378</v>
      </c>
      <c r="AR591" s="417"/>
      <c r="AS591" s="417"/>
      <c r="AT591" s="417"/>
      <c r="AU591" s="417"/>
      <c r="AV591" s="417"/>
      <c r="AW591" s="417"/>
      <c r="AX591" s="417"/>
      <c r="AY591" s="183" t="s">
        <v>4245</v>
      </c>
      <c r="AZ591" s="417"/>
      <c r="BA591" s="417"/>
      <c r="BB591" t="s">
        <v>4238</v>
      </c>
      <c r="BC591" s="636"/>
      <c r="BD591" s="417"/>
      <c r="BE591" s="612"/>
      <c r="BF591" s="613"/>
      <c r="BG591" s="614"/>
      <c r="BH591" s="682"/>
      <c r="BI591" s="417"/>
      <c r="BJ591" s="417">
        <v>1</v>
      </c>
      <c r="BK591" s="682" t="str">
        <f>Техкарта[[#This Row],[Кв-л]]&amp;" кв ("&amp;Substring(Техкарта[[#This Row],[Виділ]],"_",1)&amp;" вид) "&amp;Substring(Техкарта[[#This Row],[Виділ]],"_",2)&amp;" діл."</f>
        <v>38 кв (4 вид) 0 діл.</v>
      </c>
      <c r="BL591" s="682" t="str">
        <f>Техкарта[[#This Row],[ПолнаяДіл]] &amp;" "&amp;Техкарта[[#This Row],[ЛК]]&amp;" "&amp;Техкарта[[#This Row],[Вид рубки]]</f>
        <v>38 кв (4 вид) 0 діл. 556690 СРВ</v>
      </c>
      <c r="BM591" s="682"/>
      <c r="BN591" s="636"/>
      <c r="BO591" s="636"/>
      <c r="BP591" s="636"/>
      <c r="BQ591" s="636" t="s">
        <v>105</v>
      </c>
      <c r="BR591" s="636"/>
      <c r="BS591" s="636"/>
      <c r="BT591" s="636"/>
      <c r="BU591" s="636"/>
      <c r="BV591" s="636"/>
      <c r="BW591" s="636" t="s">
        <v>4515</v>
      </c>
      <c r="BX591" s="636"/>
      <c r="BY591" s="972"/>
    </row>
    <row r="592" spans="1:77">
      <c r="A592" s="636" t="s">
        <v>105</v>
      </c>
      <c r="B592" s="675" t="s">
        <v>113</v>
      </c>
      <c r="C592" s="687" t="s">
        <v>126</v>
      </c>
      <c r="D592" s="675">
        <v>0</v>
      </c>
      <c r="E592" s="675" t="s">
        <v>2311</v>
      </c>
      <c r="F592" s="675">
        <v>3</v>
      </c>
      <c r="G592" s="675" t="s">
        <v>79</v>
      </c>
      <c r="H592" s="675">
        <v>125</v>
      </c>
      <c r="I592" s="676" t="s">
        <v>4524</v>
      </c>
      <c r="J592" s="677">
        <v>1.7</v>
      </c>
      <c r="K592" s="683">
        <v>245</v>
      </c>
      <c r="L592" s="677"/>
      <c r="M592" s="677">
        <v>0</v>
      </c>
      <c r="N592" s="677">
        <v>0</v>
      </c>
      <c r="O592" s="677"/>
      <c r="P592" s="677"/>
      <c r="Q592" s="677"/>
      <c r="R592" s="677"/>
      <c r="S592" s="677">
        <v>0</v>
      </c>
      <c r="T592" s="677">
        <v>0</v>
      </c>
      <c r="U592" s="677">
        <v>0</v>
      </c>
      <c r="V592" s="677">
        <v>0</v>
      </c>
      <c r="W592" s="677">
        <v>77</v>
      </c>
      <c r="X592" s="678"/>
      <c r="Y592" s="682"/>
      <c r="Z592" s="680"/>
      <c r="AA592" s="681">
        <v>87.906999999999996</v>
      </c>
      <c r="AB592" s="681"/>
      <c r="AC592" s="417">
        <v>12</v>
      </c>
      <c r="AD592" s="417"/>
      <c r="AE592" s="682" t="s">
        <v>4525</v>
      </c>
      <c r="AF592">
        <v>1</v>
      </c>
      <c r="AG592" s="761">
        <v>43101</v>
      </c>
      <c r="AH592" s="417"/>
      <c r="AI592" s="417"/>
      <c r="AJ592" s="762">
        <v>43378</v>
      </c>
      <c r="AK592" s="417"/>
      <c r="AL592" s="637" t="s">
        <v>3453</v>
      </c>
      <c r="AM592" s="417"/>
      <c r="AN592" s="417"/>
      <c r="AO592" s="636"/>
      <c r="AP592">
        <v>556690</v>
      </c>
      <c r="AQ592" s="763">
        <v>43378</v>
      </c>
      <c r="AR592" s="417"/>
      <c r="AS592" s="417"/>
      <c r="AT592" s="417"/>
      <c r="AU592" s="417"/>
      <c r="AV592" s="417"/>
      <c r="AW592" s="417"/>
      <c r="AX592" s="417"/>
      <c r="AY592" s="183" t="s">
        <v>4245</v>
      </c>
      <c r="AZ592" s="417"/>
      <c r="BA592" s="417"/>
      <c r="BB592" t="s">
        <v>4238</v>
      </c>
      <c r="BC592" s="636"/>
      <c r="BD592" s="417"/>
      <c r="BE592" s="612"/>
      <c r="BF592" s="613"/>
      <c r="BG592" s="614"/>
      <c r="BH592" s="682"/>
      <c r="BI592" s="417"/>
      <c r="BJ592" s="417">
        <v>2</v>
      </c>
      <c r="BK592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2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2" s="682"/>
      <c r="BN592" s="636"/>
      <c r="BO592" s="636"/>
      <c r="BP592" s="636"/>
      <c r="BQ592" s="636" t="s">
        <v>105</v>
      </c>
      <c r="BR592" s="636"/>
      <c r="BS592" s="636"/>
      <c r="BT592" s="636"/>
      <c r="BU592" s="636"/>
      <c r="BV592" s="636"/>
      <c r="BW592" s="636" t="s">
        <v>4515</v>
      </c>
      <c r="BX592" s="636"/>
      <c r="BY592" s="972"/>
    </row>
    <row r="593" spans="1:77">
      <c r="A593" s="636" t="s">
        <v>105</v>
      </c>
      <c r="B593" s="675" t="s">
        <v>113</v>
      </c>
      <c r="C593" s="687" t="s">
        <v>126</v>
      </c>
      <c r="D593" s="675">
        <v>0</v>
      </c>
      <c r="E593" s="675" t="s">
        <v>2311</v>
      </c>
      <c r="F593" s="675">
        <v>3</v>
      </c>
      <c r="G593" s="675" t="s">
        <v>79</v>
      </c>
      <c r="H593" s="675">
        <v>125</v>
      </c>
      <c r="I593" s="676" t="s">
        <v>4524</v>
      </c>
      <c r="J593" s="677">
        <v>1.7</v>
      </c>
      <c r="K593" s="683">
        <v>245</v>
      </c>
      <c r="L593" s="677"/>
      <c r="M593" s="677">
        <v>0</v>
      </c>
      <c r="N593" s="677">
        <v>0</v>
      </c>
      <c r="O593" s="677"/>
      <c r="P593" s="677"/>
      <c r="Q593" s="677"/>
      <c r="R593" s="677"/>
      <c r="S593" s="677">
        <v>0</v>
      </c>
      <c r="T593" s="677">
        <v>0</v>
      </c>
      <c r="U593" s="677">
        <v>0</v>
      </c>
      <c r="V593" s="677">
        <v>0</v>
      </c>
      <c r="W593" s="677">
        <v>77</v>
      </c>
      <c r="X593" s="678"/>
      <c r="Y593" s="682"/>
      <c r="Z593" s="680"/>
      <c r="AA593" s="681">
        <v>87.906999999999996</v>
      </c>
      <c r="AB593" s="681"/>
      <c r="AC593" s="417">
        <v>12</v>
      </c>
      <c r="AD593" s="417"/>
      <c r="AE593" s="682" t="s">
        <v>4525</v>
      </c>
      <c r="AF593">
        <v>1</v>
      </c>
      <c r="AG593" s="761">
        <v>43101</v>
      </c>
      <c r="AH593" s="417"/>
      <c r="AI593" s="417"/>
      <c r="AJ593" s="762">
        <v>43378</v>
      </c>
      <c r="AK593" s="417"/>
      <c r="AL593" s="637" t="s">
        <v>3453</v>
      </c>
      <c r="AM593" s="417"/>
      <c r="AN593" s="417"/>
      <c r="AO593" s="636"/>
      <c r="AP593">
        <v>556690</v>
      </c>
      <c r="AQ593" s="763">
        <v>43378</v>
      </c>
      <c r="AR593" s="417"/>
      <c r="AS593" s="417"/>
      <c r="AT593" s="417"/>
      <c r="AU593" s="417"/>
      <c r="AV593" s="417"/>
      <c r="AW593" s="417"/>
      <c r="AX593" s="417"/>
      <c r="AY593" s="183" t="s">
        <v>4245</v>
      </c>
      <c r="AZ593" s="417"/>
      <c r="BA593" s="417"/>
      <c r="BB593" t="s">
        <v>4238</v>
      </c>
      <c r="BC593" s="636"/>
      <c r="BD593" s="417"/>
      <c r="BE593" s="612"/>
      <c r="BF593" s="613"/>
      <c r="BG593" s="614"/>
      <c r="BH593" s="682"/>
      <c r="BI593" s="417"/>
      <c r="BJ593" s="417">
        <v>2</v>
      </c>
      <c r="BK593" s="682" t="str">
        <f>Техкарта[[#This Row],[Кв-л]]&amp;" кв ("&amp;Substring(Техкарта[[#This Row],[Виділ]],"_",1)&amp;" вид) "&amp;Substring(Техкарта[[#This Row],[Виділ]],"_",2)&amp;" діл."</f>
        <v>125 кв (26 вид) 0 діл.</v>
      </c>
      <c r="BL593" s="682" t="str">
        <f>Техкарта[[#This Row],[ПолнаяДіл]] &amp;" "&amp;Техкарта[[#This Row],[ЛК]]&amp;" "&amp;Техкарта[[#This Row],[Вид рубки]]</f>
        <v>125 кв (26 вид) 0 діл. 556690 СРВ</v>
      </c>
      <c r="BM593" s="682"/>
      <c r="BN593" s="636"/>
      <c r="BO593" s="636"/>
      <c r="BP593" s="636"/>
      <c r="BQ593" s="636" t="s">
        <v>105</v>
      </c>
      <c r="BR593" s="636"/>
      <c r="BS593" s="636"/>
      <c r="BT593" s="636"/>
      <c r="BU593" s="636"/>
      <c r="BV593" s="636"/>
      <c r="BW593" s="636" t="s">
        <v>4515</v>
      </c>
      <c r="BX593" s="636"/>
      <c r="BY593" s="972"/>
    </row>
    <row r="594" spans="1:77">
      <c r="A594" s="636" t="s">
        <v>3896</v>
      </c>
      <c r="B594" s="675" t="s">
        <v>113</v>
      </c>
      <c r="C594" s="687" t="s">
        <v>134</v>
      </c>
      <c r="D594" s="675">
        <v>0</v>
      </c>
      <c r="E594" s="675" t="s">
        <v>2311</v>
      </c>
      <c r="F594" s="675">
        <v>3</v>
      </c>
      <c r="G594" s="675" t="s">
        <v>79</v>
      </c>
      <c r="H594" s="675">
        <v>128</v>
      </c>
      <c r="I594" s="676" t="s">
        <v>3791</v>
      </c>
      <c r="J594" s="677">
        <v>2</v>
      </c>
      <c r="K594" s="683">
        <v>0</v>
      </c>
      <c r="L594" s="677"/>
      <c r="M594" s="677">
        <v>0</v>
      </c>
      <c r="N594" s="677">
        <v>50</v>
      </c>
      <c r="O594" s="677"/>
      <c r="P594" s="677"/>
      <c r="Q594" s="677">
        <v>0</v>
      </c>
      <c r="R594" s="677"/>
      <c r="S594" s="677">
        <v>0</v>
      </c>
      <c r="T594" s="677">
        <v>0</v>
      </c>
      <c r="U594" s="677"/>
      <c r="V594" s="677">
        <v>0</v>
      </c>
      <c r="W594" s="677">
        <v>0</v>
      </c>
      <c r="X594" s="678"/>
      <c r="Y594" s="682"/>
      <c r="Z594" s="680"/>
      <c r="AA594" s="681">
        <v>261.66000000000003</v>
      </c>
      <c r="AB594" s="681"/>
      <c r="AC594" s="417">
        <v>23</v>
      </c>
      <c r="AD594" s="417"/>
      <c r="AE594" s="682" t="s">
        <v>4526</v>
      </c>
      <c r="AF594">
        <v>1</v>
      </c>
      <c r="AG594" s="761">
        <v>43101</v>
      </c>
      <c r="AH594" s="417"/>
      <c r="AI594" s="417"/>
      <c r="AJ594" s="762">
        <v>43374</v>
      </c>
      <c r="AK594" s="417"/>
      <c r="AL594" s="637" t="s">
        <v>3441</v>
      </c>
      <c r="AM594" s="417"/>
      <c r="AN594" s="417"/>
      <c r="AO594" s="636"/>
      <c r="AP594">
        <v>556639</v>
      </c>
      <c r="AQ594" s="763">
        <v>43102</v>
      </c>
      <c r="AR594" s="417">
        <v>0.3</v>
      </c>
      <c r="AS594" s="417"/>
      <c r="AT594" s="417"/>
      <c r="AU594" s="417"/>
      <c r="AV594" s="417"/>
      <c r="AW594" s="417"/>
      <c r="AX594" s="417"/>
      <c r="AY594" s="183" t="s">
        <v>4245</v>
      </c>
      <c r="AZ594" s="417"/>
      <c r="BA594" s="417"/>
      <c r="BB594" t="s">
        <v>4238</v>
      </c>
      <c r="BC594" s="636"/>
      <c r="BD594" s="417"/>
      <c r="BE594" s="612"/>
      <c r="BF594" s="613"/>
      <c r="BG594" s="614"/>
      <c r="BH594" s="682"/>
      <c r="BI594" s="417"/>
      <c r="BJ594" s="417">
        <v>3</v>
      </c>
      <c r="BK594" s="682" t="str">
        <f>Техкарта[[#This Row],[Кв-л]]&amp;" кв ("&amp;Substring(Техкарта[[#This Row],[Виділ]],"_",1)&amp;" вид) "&amp;Substring(Техкарта[[#This Row],[Виділ]],"_",2)&amp;" діл."</f>
        <v>128 кв (7 вид) 0 діл.</v>
      </c>
      <c r="BL594" s="682" t="str">
        <f>Техкарта[[#This Row],[ПолнаяДіл]] &amp;" "&amp;Техкарта[[#This Row],[ЛК]]&amp;" "&amp;Техкарта[[#This Row],[Вид рубки]]</f>
        <v>128 кв (7 вид) 0 діл. 556639 ПРЧ</v>
      </c>
      <c r="BM594" s="682"/>
      <c r="BN594" s="636"/>
      <c r="BO594" s="636"/>
      <c r="BP594" s="636"/>
      <c r="BQ594" s="636" t="s">
        <v>3896</v>
      </c>
      <c r="BR594" s="636">
        <v>2</v>
      </c>
      <c r="BS594" s="636"/>
      <c r="BT594" s="636"/>
      <c r="BU594" s="636"/>
      <c r="BV594" s="636"/>
      <c r="BW594" s="636" t="s">
        <v>4515</v>
      </c>
      <c r="BX594" s="636"/>
      <c r="BY594" s="972"/>
    </row>
    <row r="595" spans="1:77">
      <c r="A595" s="636" t="s">
        <v>3896</v>
      </c>
      <c r="B595" s="675" t="s">
        <v>113</v>
      </c>
      <c r="C595" s="687" t="s">
        <v>134</v>
      </c>
      <c r="D595" s="675">
        <v>0</v>
      </c>
      <c r="E595" s="675" t="s">
        <v>2311</v>
      </c>
      <c r="F595" s="675">
        <v>3</v>
      </c>
      <c r="G595" s="675" t="s">
        <v>79</v>
      </c>
      <c r="H595" s="675">
        <v>105</v>
      </c>
      <c r="I595" s="676" t="s">
        <v>3850</v>
      </c>
      <c r="J595" s="677">
        <v>2.9</v>
      </c>
      <c r="K595" s="683">
        <v>0</v>
      </c>
      <c r="L595" s="677"/>
      <c r="M595" s="677">
        <v>0</v>
      </c>
      <c r="N595" s="677">
        <v>330</v>
      </c>
      <c r="O595" s="677"/>
      <c r="P595" s="677"/>
      <c r="Q595" s="677">
        <v>0</v>
      </c>
      <c r="R595" s="677"/>
      <c r="S595" s="677">
        <v>0</v>
      </c>
      <c r="T595" s="677">
        <v>0</v>
      </c>
      <c r="U595" s="677"/>
      <c r="V595" s="677">
        <v>0</v>
      </c>
      <c r="W595" s="677">
        <v>0</v>
      </c>
      <c r="X595" s="678"/>
      <c r="Y595" s="682"/>
      <c r="Z595" s="680"/>
      <c r="AA595" s="681">
        <v>185.62</v>
      </c>
      <c r="AB595" s="681"/>
      <c r="AC595" s="417">
        <v>23</v>
      </c>
      <c r="AD595" s="417"/>
      <c r="AE595" s="682" t="s">
        <v>4527</v>
      </c>
      <c r="AF595">
        <v>1</v>
      </c>
      <c r="AG595" s="761">
        <v>43101</v>
      </c>
      <c r="AH595" s="417"/>
      <c r="AI595" s="417"/>
      <c r="AJ595" s="762">
        <v>43374</v>
      </c>
      <c r="AK595" s="417"/>
      <c r="AL595" s="637" t="s">
        <v>3441</v>
      </c>
      <c r="AM595" s="417"/>
      <c r="AN595" s="417"/>
      <c r="AO595" s="636"/>
      <c r="AP595">
        <v>556639</v>
      </c>
      <c r="AQ595" s="763">
        <v>43102</v>
      </c>
      <c r="AR595" s="417">
        <v>0.3</v>
      </c>
      <c r="AS595" s="417"/>
      <c r="AT595" s="417"/>
      <c r="AU595" s="417"/>
      <c r="AV595" s="417"/>
      <c r="AW595" s="417"/>
      <c r="AX595" s="417"/>
      <c r="AY595" s="183" t="s">
        <v>4245</v>
      </c>
      <c r="AZ595" s="417"/>
      <c r="BA595" s="417"/>
      <c r="BB595" t="s">
        <v>4238</v>
      </c>
      <c r="BC595" s="636"/>
      <c r="BD595" s="417"/>
      <c r="BE595" s="612"/>
      <c r="BF595" s="613"/>
      <c r="BG595" s="614"/>
      <c r="BH595" s="682"/>
      <c r="BI595" s="417"/>
      <c r="BJ595" s="417">
        <v>4</v>
      </c>
      <c r="BK595" s="682" t="str">
        <f>Техкарта[[#This Row],[Кв-л]]&amp;" кв ("&amp;Substring(Техкарта[[#This Row],[Виділ]],"_",1)&amp;" вид) "&amp;Substring(Техкарта[[#This Row],[Виділ]],"_",2)&amp;" діл."</f>
        <v>105 кв (6 вид) 0 діл.</v>
      </c>
      <c r="BL595" s="682" t="str">
        <f>Техкарта[[#This Row],[ПолнаяДіл]] &amp;" "&amp;Техкарта[[#This Row],[ЛК]]&amp;" "&amp;Техкарта[[#This Row],[Вид рубки]]</f>
        <v>105 кв (6 вид) 0 діл. 556639 ПРЧ</v>
      </c>
      <c r="BM595" s="682"/>
      <c r="BN595" s="636"/>
      <c r="BO595" s="636"/>
      <c r="BP595" s="636"/>
      <c r="BQ595" s="636" t="s">
        <v>3896</v>
      </c>
      <c r="BR595" s="636">
        <v>2</v>
      </c>
      <c r="BS595" s="636"/>
      <c r="BT595" s="636"/>
      <c r="BU595" s="636"/>
      <c r="BV595" s="636"/>
      <c r="BW595" s="636" t="s">
        <v>4515</v>
      </c>
      <c r="BX595" s="636"/>
      <c r="BY595" s="972"/>
    </row>
    <row r="596" spans="1:77">
      <c r="A596" s="636" t="s">
        <v>3896</v>
      </c>
      <c r="B596" s="675" t="s">
        <v>113</v>
      </c>
      <c r="C596" s="687" t="s">
        <v>134</v>
      </c>
      <c r="D596" s="675">
        <v>0</v>
      </c>
      <c r="E596" s="675" t="s">
        <v>2311</v>
      </c>
      <c r="F596" s="675">
        <v>3</v>
      </c>
      <c r="G596" s="675" t="s">
        <v>79</v>
      </c>
      <c r="H596" s="675">
        <v>108</v>
      </c>
      <c r="I596" s="676" t="s">
        <v>3809</v>
      </c>
      <c r="J596" s="677">
        <v>3.7</v>
      </c>
      <c r="K596" s="683">
        <v>0</v>
      </c>
      <c r="L596" s="677"/>
      <c r="M596" s="677">
        <v>0</v>
      </c>
      <c r="N596" s="677">
        <v>190</v>
      </c>
      <c r="O596" s="677"/>
      <c r="P596" s="677"/>
      <c r="Q596" s="677">
        <v>0</v>
      </c>
      <c r="R596" s="677"/>
      <c r="S596" s="677">
        <v>0</v>
      </c>
      <c r="T596" s="677">
        <v>0</v>
      </c>
      <c r="U596" s="677"/>
      <c r="V596" s="677">
        <v>0</v>
      </c>
      <c r="W596" s="677">
        <v>0</v>
      </c>
      <c r="X596" s="678"/>
      <c r="Y596" s="682"/>
      <c r="Z596" s="680"/>
      <c r="AA596" s="681">
        <v>229.36</v>
      </c>
      <c r="AB596" s="681"/>
      <c r="AC596" s="417">
        <v>23</v>
      </c>
      <c r="AD596" s="417"/>
      <c r="AE596" s="682" t="s">
        <v>4528</v>
      </c>
      <c r="AF596">
        <v>1</v>
      </c>
      <c r="AG596" s="761">
        <v>43101</v>
      </c>
      <c r="AH596" s="417"/>
      <c r="AI596" s="417"/>
      <c r="AJ596" s="762">
        <v>43374</v>
      </c>
      <c r="AK596" s="417"/>
      <c r="AL596" s="637" t="s">
        <v>3441</v>
      </c>
      <c r="AM596" s="417"/>
      <c r="AN596" s="417"/>
      <c r="AO596" s="636"/>
      <c r="AP596">
        <v>556639</v>
      </c>
      <c r="AQ596" s="763">
        <v>43102</v>
      </c>
      <c r="AR596" s="417">
        <v>0.3</v>
      </c>
      <c r="AS596" s="417"/>
      <c r="AT596" s="417"/>
      <c r="AU596" s="417"/>
      <c r="AV596" s="417"/>
      <c r="AW596" s="417"/>
      <c r="AX596" s="417"/>
      <c r="AY596" s="183" t="s">
        <v>4245</v>
      </c>
      <c r="AZ596" s="417"/>
      <c r="BA596" s="417"/>
      <c r="BB596" t="s">
        <v>4238</v>
      </c>
      <c r="BC596" s="636"/>
      <c r="BD596" s="417"/>
      <c r="BE596" s="612"/>
      <c r="BF596" s="613"/>
      <c r="BG596" s="614"/>
      <c r="BH596" s="682"/>
      <c r="BI596" s="417"/>
      <c r="BJ596" s="417">
        <v>5</v>
      </c>
      <c r="BK596" s="682" t="str">
        <f>Техкарта[[#This Row],[Кв-л]]&amp;" кв ("&amp;Substring(Техкарта[[#This Row],[Виділ]],"_",1)&amp;" вид) "&amp;Substring(Техкарта[[#This Row],[Виділ]],"_",2)&amp;" діл."</f>
        <v>108 кв (2 вид) 1 діл.</v>
      </c>
      <c r="BL596" s="682" t="str">
        <f>Техкарта[[#This Row],[ПолнаяДіл]] &amp;" "&amp;Техкарта[[#This Row],[ЛК]]&amp;" "&amp;Техкарта[[#This Row],[Вид рубки]]</f>
        <v>108 кв (2 вид) 1 діл. 556639 ПРЧ</v>
      </c>
      <c r="BM596" s="682"/>
      <c r="BN596" s="636"/>
      <c r="BO596" s="636"/>
      <c r="BP596" s="636"/>
      <c r="BQ596" s="636" t="s">
        <v>3896</v>
      </c>
      <c r="BR596" s="636">
        <v>2</v>
      </c>
      <c r="BS596" s="636"/>
      <c r="BT596" s="636"/>
      <c r="BU596" s="636"/>
      <c r="BV596" s="636"/>
      <c r="BW596" s="636" t="s">
        <v>4515</v>
      </c>
      <c r="BX596" s="636"/>
      <c r="BY596" s="972"/>
    </row>
    <row r="597" spans="1:77">
      <c r="A597" s="636" t="s">
        <v>105</v>
      </c>
      <c r="B597" s="675" t="s">
        <v>116</v>
      </c>
      <c r="C597" s="687" t="s">
        <v>3588</v>
      </c>
      <c r="D597" s="675">
        <v>0</v>
      </c>
      <c r="E597" s="675" t="s">
        <v>2305</v>
      </c>
      <c r="F597" s="675">
        <v>3</v>
      </c>
      <c r="G597" s="675" t="s">
        <v>2238</v>
      </c>
      <c r="H597" s="675">
        <v>53</v>
      </c>
      <c r="I597" s="676" t="s">
        <v>4196</v>
      </c>
      <c r="J597" s="677">
        <v>1</v>
      </c>
      <c r="K597" s="683">
        <v>68</v>
      </c>
      <c r="L597" s="677">
        <v>0</v>
      </c>
      <c r="M597" s="677">
        <v>0</v>
      </c>
      <c r="N597" s="677">
        <v>1</v>
      </c>
      <c r="O597" s="677">
        <v>0</v>
      </c>
      <c r="P597" s="677">
        <v>0</v>
      </c>
      <c r="Q597" s="677">
        <v>0</v>
      </c>
      <c r="R597" s="677">
        <v>0</v>
      </c>
      <c r="S597" s="677">
        <v>0</v>
      </c>
      <c r="T597" s="677">
        <v>14</v>
      </c>
      <c r="U597" s="677">
        <v>0</v>
      </c>
      <c r="V597" s="677">
        <v>0</v>
      </c>
      <c r="W597" s="677">
        <v>0</v>
      </c>
      <c r="X597" s="678"/>
      <c r="Y597" s="682"/>
      <c r="Z597" s="680"/>
      <c r="AA597" s="681">
        <v>109.339</v>
      </c>
      <c r="AB597" s="681">
        <v>29.978000000000002</v>
      </c>
      <c r="AC597" s="417">
        <v>1</v>
      </c>
      <c r="AD597" s="417"/>
      <c r="AE597" s="682" t="s">
        <v>4529</v>
      </c>
      <c r="AF597">
        <v>1</v>
      </c>
      <c r="AG597" s="761">
        <v>43101</v>
      </c>
      <c r="AH597" s="417"/>
      <c r="AI597" s="417"/>
      <c r="AJ597" s="762">
        <v>43374</v>
      </c>
      <c r="AK597" s="417"/>
      <c r="AL597" s="637" t="s">
        <v>3470</v>
      </c>
      <c r="AM597" s="417"/>
      <c r="AN597" s="417"/>
      <c r="AO597" s="636"/>
      <c r="AP597">
        <v>556702</v>
      </c>
      <c r="AQ597" s="763">
        <v>43234</v>
      </c>
      <c r="AR597" s="417"/>
      <c r="AS597" s="417"/>
      <c r="AT597" s="417"/>
      <c r="AU597" s="417"/>
      <c r="AV597" s="417"/>
      <c r="AW597" s="417"/>
      <c r="AX597" s="417"/>
      <c r="AY597" s="183" t="s">
        <v>4245</v>
      </c>
      <c r="AZ597" s="417"/>
      <c r="BA597" s="417"/>
      <c r="BB597" t="s">
        <v>4238</v>
      </c>
      <c r="BC597" s="636"/>
      <c r="BD597" s="417"/>
      <c r="BE597" s="612">
        <v>0</v>
      </c>
      <c r="BF597" s="613">
        <v>0</v>
      </c>
      <c r="BG597" s="614" t="s">
        <v>78</v>
      </c>
      <c r="BH597" s="682"/>
      <c r="BI597" s="417"/>
      <c r="BJ597" s="417">
        <v>10</v>
      </c>
      <c r="BK597" s="682" t="str">
        <f>Техкарта[[#This Row],[Кв-л]]&amp;" кв ("&amp;Substring(Техкарта[[#This Row],[Виділ]],"_",1)&amp;" вид) "&amp;Substring(Техкарта[[#This Row],[Виділ]],"_",2)&amp;" діл."</f>
        <v>53 кв (8 вид) 1 діл.</v>
      </c>
      <c r="BL597" s="682" t="str">
        <f>Техкарта[[#This Row],[ПолнаяДіл]] &amp;" "&amp;Техкарта[[#This Row],[ЛК]]&amp;" "&amp;Техкарта[[#This Row],[Вид рубки]]</f>
        <v>53 кв (8 вид) 1 діл. 556702 рубка в охоронній зоні ЛЕП</v>
      </c>
      <c r="BM597" s="682"/>
      <c r="BN597" s="636" t="s">
        <v>3784</v>
      </c>
      <c r="BO597" s="636" t="s">
        <v>3784</v>
      </c>
      <c r="BP597" s="636" t="s">
        <v>3784</v>
      </c>
      <c r="BQ597" s="636" t="s">
        <v>105</v>
      </c>
      <c r="BR597" s="636"/>
      <c r="BS597" s="636"/>
      <c r="BT597" s="636"/>
      <c r="BU597" s="636"/>
      <c r="BV597" s="636"/>
      <c r="BW597" s="636" t="s">
        <v>4515</v>
      </c>
      <c r="BX597" s="636"/>
      <c r="BY597" s="972"/>
    </row>
    <row r="598" spans="1:77">
      <c r="A598" s="636" t="s">
        <v>105</v>
      </c>
      <c r="B598" s="675" t="s">
        <v>113</v>
      </c>
      <c r="C598" s="687" t="s">
        <v>126</v>
      </c>
      <c r="D598" s="675">
        <v>0</v>
      </c>
      <c r="E598" s="675" t="s">
        <v>2305</v>
      </c>
      <c r="F598" s="675">
        <v>3</v>
      </c>
      <c r="G598" s="675" t="s">
        <v>2238</v>
      </c>
      <c r="H598" s="675">
        <v>70</v>
      </c>
      <c r="I598" s="676" t="s">
        <v>3830</v>
      </c>
      <c r="J598" s="677">
        <v>2.2000000000000002</v>
      </c>
      <c r="K598" s="683">
        <v>81</v>
      </c>
      <c r="L598" s="677">
        <v>0</v>
      </c>
      <c r="M598" s="677">
        <v>0</v>
      </c>
      <c r="N598" s="677">
        <v>0</v>
      </c>
      <c r="O598" s="677">
        <v>0</v>
      </c>
      <c r="P598" s="677">
        <v>0</v>
      </c>
      <c r="Q598" s="677">
        <v>0</v>
      </c>
      <c r="R598" s="677">
        <v>0</v>
      </c>
      <c r="S598" s="677">
        <v>0</v>
      </c>
      <c r="T598" s="677">
        <v>0</v>
      </c>
      <c r="U598" s="677">
        <v>0</v>
      </c>
      <c r="V598" s="677">
        <v>0</v>
      </c>
      <c r="W598" s="677">
        <v>33</v>
      </c>
      <c r="X598" s="678"/>
      <c r="Y598" s="682"/>
      <c r="Z598" s="680"/>
      <c r="AA598" s="681">
        <v>89.072999999999993</v>
      </c>
      <c r="AB598" s="681">
        <v>29.978000000000002</v>
      </c>
      <c r="AC598" s="417">
        <v>3</v>
      </c>
      <c r="AD598" s="417"/>
      <c r="AE598" s="682" t="s">
        <v>4530</v>
      </c>
      <c r="AF598">
        <v>1</v>
      </c>
      <c r="AG598" s="761">
        <v>43101</v>
      </c>
      <c r="AH598" s="417"/>
      <c r="AI598" s="417"/>
      <c r="AJ598" s="762">
        <v>43403</v>
      </c>
      <c r="AK598" s="417"/>
      <c r="AL598" s="637" t="s">
        <v>3474</v>
      </c>
      <c r="AM598" s="417"/>
      <c r="AN598" s="417"/>
      <c r="AO598" s="636"/>
      <c r="AP598">
        <v>556694</v>
      </c>
      <c r="AQ598" s="763">
        <v>43403</v>
      </c>
      <c r="AR598" s="417"/>
      <c r="AS598" s="417"/>
      <c r="AT598" s="417"/>
      <c r="AU598" s="417"/>
      <c r="AV598" s="417"/>
      <c r="AW598" s="417"/>
      <c r="AX598" s="417"/>
      <c r="AY598" s="183" t="s">
        <v>4245</v>
      </c>
      <c r="AZ598" s="417"/>
      <c r="BA598" s="417"/>
      <c r="BB598" t="s">
        <v>4238</v>
      </c>
      <c r="BC598" s="636"/>
      <c r="BD598" s="417"/>
      <c r="BE598" s="612">
        <v>0</v>
      </c>
      <c r="BF598" s="613">
        <v>0</v>
      </c>
      <c r="BG598" s="614" t="s">
        <v>78</v>
      </c>
      <c r="BH598" s="682"/>
      <c r="BI598" s="417"/>
      <c r="BJ598" s="417">
        <v>12</v>
      </c>
      <c r="BK598" s="682" t="str">
        <f>Техкарта[[#This Row],[Кв-л]]&amp;" кв ("&amp;Substring(Техкарта[[#This Row],[Виділ]],"_",1)&amp;" вид) "&amp;Substring(Техкарта[[#This Row],[Виділ]],"_",2)&amp;" діл."</f>
        <v>70 кв (1 вид) 0 діл.</v>
      </c>
      <c r="BL598" s="682" t="str">
        <f>Техкарта[[#This Row],[ПолнаяДіл]] &amp;" "&amp;Техкарта[[#This Row],[ЛК]]&amp;" "&amp;Техкарта[[#This Row],[Вид рубки]]</f>
        <v>70 кв (1 вид) 0 діл. 556694 СРВ</v>
      </c>
      <c r="BM598" s="682"/>
      <c r="BN598" s="636" t="s">
        <v>3784</v>
      </c>
      <c r="BO598" s="636" t="s">
        <v>3784</v>
      </c>
      <c r="BP598" s="636" t="s">
        <v>3784</v>
      </c>
      <c r="BQ598" s="636" t="s">
        <v>105</v>
      </c>
      <c r="BR598" s="636"/>
      <c r="BS598" s="636"/>
      <c r="BT598" s="636"/>
      <c r="BU598" s="636"/>
      <c r="BV598" s="636"/>
      <c r="BW598" s="636" t="s">
        <v>4515</v>
      </c>
      <c r="BX598" s="636"/>
      <c r="BY598" s="972"/>
    </row>
    <row r="599" spans="1:77">
      <c r="A599" s="636" t="s">
        <v>105</v>
      </c>
      <c r="B599" s="675" t="s">
        <v>113</v>
      </c>
      <c r="C599" s="687" t="s">
        <v>126</v>
      </c>
      <c r="D599" s="675">
        <v>0</v>
      </c>
      <c r="E599" s="675" t="s">
        <v>2305</v>
      </c>
      <c r="F599" s="675">
        <v>3</v>
      </c>
      <c r="G599" s="675" t="s">
        <v>2238</v>
      </c>
      <c r="H599" s="675">
        <v>93</v>
      </c>
      <c r="I599" s="676" t="s">
        <v>3829</v>
      </c>
      <c r="J599" s="677">
        <v>1.8</v>
      </c>
      <c r="K599" s="683">
        <v>86</v>
      </c>
      <c r="L599" s="677">
        <v>0</v>
      </c>
      <c r="M599" s="677">
        <v>0</v>
      </c>
      <c r="N599" s="677">
        <v>1</v>
      </c>
      <c r="O599" s="677">
        <v>0</v>
      </c>
      <c r="P599" s="677">
        <v>0</v>
      </c>
      <c r="Q599" s="677">
        <v>0</v>
      </c>
      <c r="R599" s="677">
        <v>0</v>
      </c>
      <c r="S599" s="677">
        <v>0</v>
      </c>
      <c r="T599" s="677">
        <v>0</v>
      </c>
      <c r="U599" s="677">
        <v>0</v>
      </c>
      <c r="V599" s="677">
        <v>0</v>
      </c>
      <c r="W599" s="677">
        <v>32</v>
      </c>
      <c r="X599" s="678"/>
      <c r="Y599" s="682"/>
      <c r="Z599" s="680"/>
      <c r="AA599" s="681">
        <v>88.046000000000006</v>
      </c>
      <c r="AB599" s="681">
        <v>29.978000000000002</v>
      </c>
      <c r="AC599" s="417">
        <v>3</v>
      </c>
      <c r="AD599" s="417"/>
      <c r="AE599" s="682" t="s">
        <v>4531</v>
      </c>
      <c r="AF599">
        <v>1</v>
      </c>
      <c r="AG599" s="761">
        <v>43101</v>
      </c>
      <c r="AH599" s="417"/>
      <c r="AI599" s="417"/>
      <c r="AJ599" s="762">
        <v>43403</v>
      </c>
      <c r="AK599" s="417"/>
      <c r="AL599" s="637" t="s">
        <v>3447</v>
      </c>
      <c r="AM599" s="417"/>
      <c r="AN599" s="417"/>
      <c r="AO599" s="636"/>
      <c r="AP599">
        <v>556694</v>
      </c>
      <c r="AQ599" s="763">
        <v>43403</v>
      </c>
      <c r="AR599" s="417"/>
      <c r="AS599" s="417"/>
      <c r="AT599" s="417"/>
      <c r="AU599" s="417"/>
      <c r="AV599" s="417"/>
      <c r="AW599" s="417"/>
      <c r="AX599" s="417"/>
      <c r="AY599" s="183" t="s">
        <v>4245</v>
      </c>
      <c r="AZ599" s="417"/>
      <c r="BA599" s="417"/>
      <c r="BB599" t="s">
        <v>4238</v>
      </c>
      <c r="BC599" s="636"/>
      <c r="BD599" s="417"/>
      <c r="BE599" s="612">
        <v>0</v>
      </c>
      <c r="BF599" s="613">
        <v>0</v>
      </c>
      <c r="BG599" s="614" t="s">
        <v>78</v>
      </c>
      <c r="BH599" s="682"/>
      <c r="BI599" s="417"/>
      <c r="BJ599" s="417">
        <v>13</v>
      </c>
      <c r="BK599" s="682" t="str">
        <f>Техкарта[[#This Row],[Кв-л]]&amp;" кв ("&amp;Substring(Техкарта[[#This Row],[Виділ]],"_",1)&amp;" вид) "&amp;Substring(Техкарта[[#This Row],[Виділ]],"_",2)&amp;" діл."</f>
        <v>93 кв (3 вид) 0 діл.</v>
      </c>
      <c r="BL599" s="682" t="str">
        <f>Техкарта[[#This Row],[ПолнаяДіл]] &amp;" "&amp;Техкарта[[#This Row],[ЛК]]&amp;" "&amp;Техкарта[[#This Row],[Вид рубки]]</f>
        <v>93 кв (3 вид) 0 діл. 556694 СРВ</v>
      </c>
      <c r="BM599" s="682"/>
      <c r="BN599" s="636" t="s">
        <v>3784</v>
      </c>
      <c r="BO599" s="636" t="s">
        <v>3784</v>
      </c>
      <c r="BP599" s="636" t="s">
        <v>3784</v>
      </c>
      <c r="BQ599" s="636" t="s">
        <v>105</v>
      </c>
      <c r="BR599" s="636"/>
      <c r="BS599" s="636"/>
      <c r="BT599" s="636"/>
      <c r="BU599" s="636"/>
      <c r="BV599" s="636"/>
      <c r="BW599" s="636" t="s">
        <v>4515</v>
      </c>
      <c r="BX599" s="636"/>
      <c r="BY599" s="972"/>
    </row>
    <row r="600" spans="1:77">
      <c r="A600" s="636" t="s">
        <v>105</v>
      </c>
      <c r="B600" s="675" t="s">
        <v>113</v>
      </c>
      <c r="C600" s="687" t="s">
        <v>126</v>
      </c>
      <c r="D600" s="675">
        <v>0</v>
      </c>
      <c r="E600" s="675" t="s">
        <v>2305</v>
      </c>
      <c r="F600" s="675">
        <v>3</v>
      </c>
      <c r="G600" s="675" t="s">
        <v>2238</v>
      </c>
      <c r="H600" s="675">
        <v>41</v>
      </c>
      <c r="I600" s="676" t="s">
        <v>3790</v>
      </c>
      <c r="J600" s="677">
        <v>3.4</v>
      </c>
      <c r="K600" s="683">
        <v>413</v>
      </c>
      <c r="L600" s="677">
        <v>0</v>
      </c>
      <c r="M600" s="677">
        <v>0</v>
      </c>
      <c r="N600" s="677">
        <v>2</v>
      </c>
      <c r="O600" s="677">
        <v>0</v>
      </c>
      <c r="P600" s="677">
        <v>0</v>
      </c>
      <c r="Q600" s="677">
        <v>0</v>
      </c>
      <c r="R600" s="677">
        <v>0</v>
      </c>
      <c r="S600" s="677">
        <v>0</v>
      </c>
      <c r="T600" s="677">
        <v>0</v>
      </c>
      <c r="U600" s="677">
        <v>0</v>
      </c>
      <c r="V600" s="677">
        <v>0</v>
      </c>
      <c r="W600" s="677">
        <v>77</v>
      </c>
      <c r="X600" s="678"/>
      <c r="Y600" s="682"/>
      <c r="Z600" s="680"/>
      <c r="AA600" s="681">
        <v>107.10899999999999</v>
      </c>
      <c r="AB600" s="681">
        <v>29.978000000000002</v>
      </c>
      <c r="AC600" s="417">
        <v>11</v>
      </c>
      <c r="AD600" s="417"/>
      <c r="AE600" s="682" t="s">
        <v>4532</v>
      </c>
      <c r="AF600">
        <v>1</v>
      </c>
      <c r="AG600" s="761">
        <v>43101</v>
      </c>
      <c r="AH600" s="417"/>
      <c r="AI600" s="417"/>
      <c r="AJ600" s="762">
        <v>43403</v>
      </c>
      <c r="AK600" s="417"/>
      <c r="AL600" s="637" t="s">
        <v>3474</v>
      </c>
      <c r="AM600" s="417"/>
      <c r="AN600" s="417"/>
      <c r="AO600" s="636"/>
      <c r="AP600">
        <v>556694</v>
      </c>
      <c r="AQ600" s="763">
        <v>43403</v>
      </c>
      <c r="AR600" s="417"/>
      <c r="AS600" s="417"/>
      <c r="AT600" s="417"/>
      <c r="AU600" s="417"/>
      <c r="AV600" s="417"/>
      <c r="AW600" s="417"/>
      <c r="AX600" s="417"/>
      <c r="AY600" s="183" t="s">
        <v>4245</v>
      </c>
      <c r="AZ600" s="417"/>
      <c r="BA600" s="417"/>
      <c r="BB600" t="s">
        <v>4238</v>
      </c>
      <c r="BC600" s="636"/>
      <c r="BD600" s="417"/>
      <c r="BE600" s="612">
        <v>0</v>
      </c>
      <c r="BF600" s="613">
        <v>0</v>
      </c>
      <c r="BG600" s="614" t="s">
        <v>78</v>
      </c>
      <c r="BH600" s="682"/>
      <c r="BI600" s="417"/>
      <c r="BJ600" s="417">
        <v>14</v>
      </c>
      <c r="BK600" s="682" t="str">
        <f>Техкарта[[#This Row],[Кв-л]]&amp;" кв ("&amp;Substring(Техкарта[[#This Row],[Виділ]],"_",1)&amp;" вид) "&amp;Substring(Техкарта[[#This Row],[Виділ]],"_",2)&amp;" діл."</f>
        <v>41 кв (2 вид) 0 діл.</v>
      </c>
      <c r="BL600" s="682" t="str">
        <f>Техкарта[[#This Row],[ПолнаяДіл]] &amp;" "&amp;Техкарта[[#This Row],[ЛК]]&amp;" "&amp;Техкарта[[#This Row],[Вид рубки]]</f>
        <v>41 кв (2 вид) 0 діл. 556694 СРВ</v>
      </c>
      <c r="BM600" s="682"/>
      <c r="BN600" s="636" t="s">
        <v>3784</v>
      </c>
      <c r="BO600" s="636" t="s">
        <v>3784</v>
      </c>
      <c r="BP600" s="636" t="s">
        <v>3784</v>
      </c>
      <c r="BQ600" s="636" t="s">
        <v>105</v>
      </c>
      <c r="BR600" s="636"/>
      <c r="BS600" s="636"/>
      <c r="BT600" s="636"/>
      <c r="BU600" s="636"/>
      <c r="BV600" s="636"/>
      <c r="BW600" s="636" t="s">
        <v>4515</v>
      </c>
      <c r="BX600" s="636"/>
      <c r="BY600" s="972"/>
    </row>
    <row r="601" spans="1:77">
      <c r="A601" s="636" t="s">
        <v>105</v>
      </c>
      <c r="B601" s="675" t="s">
        <v>113</v>
      </c>
      <c r="C601" s="687" t="s">
        <v>126</v>
      </c>
      <c r="D601" s="675">
        <v>0</v>
      </c>
      <c r="E601" s="675" t="s">
        <v>2305</v>
      </c>
      <c r="F601" s="675">
        <v>3</v>
      </c>
      <c r="G601" s="675" t="s">
        <v>2238</v>
      </c>
      <c r="H601" s="675">
        <v>86</v>
      </c>
      <c r="I601" s="676" t="s">
        <v>3830</v>
      </c>
      <c r="J601" s="677">
        <v>3.2</v>
      </c>
      <c r="K601" s="683">
        <v>79</v>
      </c>
      <c r="L601" s="677">
        <v>0</v>
      </c>
      <c r="M601" s="677">
        <v>0</v>
      </c>
      <c r="N601" s="677">
        <v>0</v>
      </c>
      <c r="O601" s="677">
        <v>0</v>
      </c>
      <c r="P601" s="677">
        <v>0</v>
      </c>
      <c r="Q601" s="677">
        <v>0</v>
      </c>
      <c r="R601" s="677">
        <v>0</v>
      </c>
      <c r="S601" s="677">
        <v>0</v>
      </c>
      <c r="T601" s="677">
        <v>0</v>
      </c>
      <c r="U601" s="677">
        <v>0</v>
      </c>
      <c r="V601" s="677">
        <v>0</v>
      </c>
      <c r="W601" s="677">
        <v>23</v>
      </c>
      <c r="X601" s="678"/>
      <c r="Y601" s="682"/>
      <c r="Z601" s="680"/>
      <c r="AA601" s="681">
        <v>111.72799999999999</v>
      </c>
      <c r="AB601" s="681">
        <v>29.978000000000002</v>
      </c>
      <c r="AC601" s="417">
        <v>5</v>
      </c>
      <c r="AD601" s="417"/>
      <c r="AE601" s="682" t="s">
        <v>4534</v>
      </c>
      <c r="AF601">
        <v>1</v>
      </c>
      <c r="AG601" s="761">
        <v>43101</v>
      </c>
      <c r="AH601" s="417"/>
      <c r="AI601" s="417"/>
      <c r="AJ601" s="762">
        <v>43403</v>
      </c>
      <c r="AK601" s="417"/>
      <c r="AL601" s="637" t="s">
        <v>3447</v>
      </c>
      <c r="AM601" s="417"/>
      <c r="AN601" s="417"/>
      <c r="AO601" s="636"/>
      <c r="AP601">
        <v>556694</v>
      </c>
      <c r="AQ601" s="763">
        <v>43403</v>
      </c>
      <c r="AR601" s="417"/>
      <c r="AS601" s="417"/>
      <c r="AT601" s="417"/>
      <c r="AU601" s="417"/>
      <c r="AV601" s="417"/>
      <c r="AW601" s="417"/>
      <c r="AX601" s="417"/>
      <c r="AY601" s="183" t="s">
        <v>4245</v>
      </c>
      <c r="AZ601" s="417"/>
      <c r="BA601" s="417"/>
      <c r="BB601" t="s">
        <v>4238</v>
      </c>
      <c r="BC601" s="636"/>
      <c r="BD601" s="417"/>
      <c r="BE601" s="612">
        <v>0</v>
      </c>
      <c r="BF601" s="613">
        <v>0</v>
      </c>
      <c r="BG601" s="614" t="s">
        <v>78</v>
      </c>
      <c r="BH601" s="682"/>
      <c r="BI601" s="417"/>
      <c r="BJ601" s="417">
        <v>15</v>
      </c>
      <c r="BK601" s="682" t="str">
        <f>Техкарта[[#This Row],[Кв-л]]&amp;" кв ("&amp;Substring(Техкарта[[#This Row],[Виділ]],"_",1)&amp;" вид) "&amp;Substring(Техкарта[[#This Row],[Виділ]],"_",2)&amp;" діл."</f>
        <v>86 кв (1 вид) 0 діл.</v>
      </c>
      <c r="BL601" s="682" t="str">
        <f>Техкарта[[#This Row],[ПолнаяДіл]] &amp;" "&amp;Техкарта[[#This Row],[ЛК]]&amp;" "&amp;Техкарта[[#This Row],[Вид рубки]]</f>
        <v>86 кв (1 вид) 0 діл. 556694 СРВ</v>
      </c>
      <c r="BM601" s="682"/>
      <c r="BN601" s="636" t="s">
        <v>3784</v>
      </c>
      <c r="BO601" s="636" t="s">
        <v>3784</v>
      </c>
      <c r="BP601" s="636" t="s">
        <v>3784</v>
      </c>
      <c r="BQ601" s="636" t="s">
        <v>105</v>
      </c>
      <c r="BR601" s="636"/>
      <c r="BS601" s="636"/>
      <c r="BT601" s="636"/>
      <c r="BU601" s="636"/>
      <c r="BV601" s="636"/>
      <c r="BW601" s="636" t="s">
        <v>4515</v>
      </c>
      <c r="BX601" s="636"/>
      <c r="BY601" s="972"/>
    </row>
    <row r="602" spans="1:77">
      <c r="A602" s="636" t="s">
        <v>105</v>
      </c>
      <c r="B602" s="675" t="s">
        <v>113</v>
      </c>
      <c r="C602" s="687" t="s">
        <v>126</v>
      </c>
      <c r="D602" s="675">
        <v>0</v>
      </c>
      <c r="E602" s="675" t="s">
        <v>2305</v>
      </c>
      <c r="F602" s="675">
        <v>3</v>
      </c>
      <c r="G602" s="675" t="s">
        <v>2238</v>
      </c>
      <c r="H602" s="675">
        <v>83</v>
      </c>
      <c r="I602" s="676" t="s">
        <v>3830</v>
      </c>
      <c r="J602" s="677">
        <v>12.8</v>
      </c>
      <c r="K602" s="683">
        <v>515</v>
      </c>
      <c r="L602" s="677">
        <v>0</v>
      </c>
      <c r="M602" s="677">
        <v>0</v>
      </c>
      <c r="N602" s="677">
        <v>11</v>
      </c>
      <c r="O602" s="677">
        <v>0</v>
      </c>
      <c r="P602" s="677">
        <v>0</v>
      </c>
      <c r="Q602" s="677">
        <v>0</v>
      </c>
      <c r="R602" s="677">
        <v>0</v>
      </c>
      <c r="S602" s="677">
        <v>0</v>
      </c>
      <c r="T602" s="677">
        <v>0</v>
      </c>
      <c r="U602" s="677">
        <v>0</v>
      </c>
      <c r="V602" s="677">
        <v>0</v>
      </c>
      <c r="W602" s="677">
        <v>187</v>
      </c>
      <c r="X602" s="678"/>
      <c r="Y602" s="682"/>
      <c r="Z602" s="680"/>
      <c r="AA602" s="681">
        <v>87.191000000000003</v>
      </c>
      <c r="AB602" s="681">
        <v>29.978000000000002</v>
      </c>
      <c r="AC602" s="417">
        <v>21</v>
      </c>
      <c r="AD602" s="417"/>
      <c r="AE602" s="682" t="s">
        <v>4533</v>
      </c>
      <c r="AF602">
        <v>1</v>
      </c>
      <c r="AG602" s="761">
        <v>43101</v>
      </c>
      <c r="AH602" s="417"/>
      <c r="AI602" s="417"/>
      <c r="AJ602" s="762">
        <v>43403</v>
      </c>
      <c r="AK602" s="417"/>
      <c r="AL602" s="637" t="s">
        <v>3459</v>
      </c>
      <c r="AM602" s="417"/>
      <c r="AN602" s="417"/>
      <c r="AO602" s="636"/>
      <c r="AP602">
        <v>556694</v>
      </c>
      <c r="AQ602" s="763">
        <v>43403</v>
      </c>
      <c r="AR602" s="417"/>
      <c r="AS602" s="417"/>
      <c r="AT602" s="417"/>
      <c r="AU602" s="417"/>
      <c r="AV602" s="417"/>
      <c r="AW602" s="417"/>
      <c r="AX602" s="417"/>
      <c r="AY602" s="183" t="s">
        <v>4245</v>
      </c>
      <c r="AZ602" s="417"/>
      <c r="BA602" s="417"/>
      <c r="BB602" t="s">
        <v>4238</v>
      </c>
      <c r="BC602" s="636"/>
      <c r="BD602" s="417"/>
      <c r="BE602" s="612">
        <v>0</v>
      </c>
      <c r="BF602" s="613">
        <v>0</v>
      </c>
      <c r="BG602" s="614" t="s">
        <v>78</v>
      </c>
      <c r="BH602" s="682"/>
      <c r="BI602" s="417"/>
      <c r="BJ602" s="417">
        <v>16</v>
      </c>
      <c r="BK602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2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2" s="682"/>
      <c r="BN602" s="636" t="s">
        <v>3784</v>
      </c>
      <c r="BO602" s="636" t="s">
        <v>3784</v>
      </c>
      <c r="BP602" s="636" t="s">
        <v>3784</v>
      </c>
      <c r="BQ602" s="636" t="s">
        <v>105</v>
      </c>
      <c r="BR602" s="636"/>
      <c r="BS602" s="636"/>
      <c r="BT602" s="636"/>
      <c r="BU602" s="636"/>
      <c r="BV602" s="636"/>
      <c r="BW602" s="636" t="s">
        <v>4515</v>
      </c>
      <c r="BX602" s="636"/>
      <c r="BY602" s="972"/>
    </row>
    <row r="603" spans="1:77">
      <c r="A603" s="636" t="s">
        <v>105</v>
      </c>
      <c r="B603" s="675" t="s">
        <v>113</v>
      </c>
      <c r="C603" s="687" t="s">
        <v>126</v>
      </c>
      <c r="D603" s="675">
        <v>0</v>
      </c>
      <c r="E603" s="675" t="s">
        <v>2305</v>
      </c>
      <c r="F603" s="675">
        <v>3</v>
      </c>
      <c r="G603" s="675" t="s">
        <v>2238</v>
      </c>
      <c r="H603" s="675">
        <v>83</v>
      </c>
      <c r="I603" s="676" t="s">
        <v>3830</v>
      </c>
      <c r="J603" s="677">
        <v>12.8</v>
      </c>
      <c r="K603" s="683">
        <v>515</v>
      </c>
      <c r="L603" s="677">
        <v>0</v>
      </c>
      <c r="M603" s="677">
        <v>0</v>
      </c>
      <c r="N603" s="677">
        <v>11</v>
      </c>
      <c r="O603" s="677">
        <v>0</v>
      </c>
      <c r="P603" s="677">
        <v>0</v>
      </c>
      <c r="Q603" s="677">
        <v>0</v>
      </c>
      <c r="R603" s="677">
        <v>0</v>
      </c>
      <c r="S603" s="677">
        <v>0</v>
      </c>
      <c r="T603" s="677">
        <v>0</v>
      </c>
      <c r="U603" s="677">
        <v>0</v>
      </c>
      <c r="V603" s="677">
        <v>0</v>
      </c>
      <c r="W603" s="677">
        <v>187</v>
      </c>
      <c r="X603" s="678"/>
      <c r="Y603" s="682"/>
      <c r="Z603" s="680"/>
      <c r="AA603" s="681">
        <v>87.191000000000003</v>
      </c>
      <c r="AB603" s="681">
        <v>29.978000000000002</v>
      </c>
      <c r="AC603" s="417">
        <v>21</v>
      </c>
      <c r="AD603" s="417"/>
      <c r="AE603" s="682" t="s">
        <v>4533</v>
      </c>
      <c r="AF603">
        <v>1</v>
      </c>
      <c r="AG603" s="761">
        <v>43101</v>
      </c>
      <c r="AH603" s="417"/>
      <c r="AI603" s="417"/>
      <c r="AJ603" s="762">
        <v>43403</v>
      </c>
      <c r="AK603" s="417"/>
      <c r="AL603" s="637" t="s">
        <v>3459</v>
      </c>
      <c r="AM603" s="417"/>
      <c r="AN603" s="417"/>
      <c r="AO603" s="636"/>
      <c r="AP603">
        <v>556694</v>
      </c>
      <c r="AQ603" s="763">
        <v>43403</v>
      </c>
      <c r="AR603" s="417"/>
      <c r="AS603" s="417"/>
      <c r="AT603" s="417"/>
      <c r="AU603" s="417"/>
      <c r="AV603" s="417"/>
      <c r="AW603" s="417"/>
      <c r="AX603" s="417"/>
      <c r="AY603" s="183" t="s">
        <v>4245</v>
      </c>
      <c r="AZ603" s="417"/>
      <c r="BA603" s="417"/>
      <c r="BB603" t="s">
        <v>4238</v>
      </c>
      <c r="BC603" s="636"/>
      <c r="BD603" s="417"/>
      <c r="BE603" s="612">
        <v>0</v>
      </c>
      <c r="BF603" s="613">
        <v>0</v>
      </c>
      <c r="BG603" s="614" t="s">
        <v>78</v>
      </c>
      <c r="BH603" s="682"/>
      <c r="BI603" s="417"/>
      <c r="BJ603" s="417">
        <v>16</v>
      </c>
      <c r="BK603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3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3" s="682"/>
      <c r="BN603" s="636" t="s">
        <v>3784</v>
      </c>
      <c r="BO603" s="636" t="s">
        <v>3784</v>
      </c>
      <c r="BP603" s="636" t="s">
        <v>3784</v>
      </c>
      <c r="BQ603" s="636" t="s">
        <v>105</v>
      </c>
      <c r="BR603" s="636"/>
      <c r="BS603" s="636"/>
      <c r="BT603" s="636"/>
      <c r="BU603" s="636"/>
      <c r="BV603" s="636"/>
      <c r="BW603" s="636" t="s">
        <v>4535</v>
      </c>
      <c r="BX603" s="636"/>
      <c r="BY603" s="972"/>
    </row>
    <row r="604" spans="1:77">
      <c r="A604" s="636" t="s">
        <v>105</v>
      </c>
      <c r="B604" s="675" t="s">
        <v>113</v>
      </c>
      <c r="C604" s="687" t="s">
        <v>126</v>
      </c>
      <c r="D604" s="675">
        <v>0</v>
      </c>
      <c r="E604" s="675" t="s">
        <v>2305</v>
      </c>
      <c r="F604" s="675">
        <v>3</v>
      </c>
      <c r="G604" s="675" t="s">
        <v>2238</v>
      </c>
      <c r="H604" s="675">
        <v>83</v>
      </c>
      <c r="I604" s="676" t="s">
        <v>3830</v>
      </c>
      <c r="J604" s="677">
        <v>12.8</v>
      </c>
      <c r="K604" s="683">
        <v>515</v>
      </c>
      <c r="L604" s="677">
        <v>0</v>
      </c>
      <c r="M604" s="677">
        <v>0</v>
      </c>
      <c r="N604" s="677">
        <v>11</v>
      </c>
      <c r="O604" s="677">
        <v>0</v>
      </c>
      <c r="P604" s="677">
        <v>0</v>
      </c>
      <c r="Q604" s="677">
        <v>0</v>
      </c>
      <c r="R604" s="677">
        <v>0</v>
      </c>
      <c r="S604" s="677">
        <v>0</v>
      </c>
      <c r="T604" s="677">
        <v>0</v>
      </c>
      <c r="U604" s="677">
        <v>0</v>
      </c>
      <c r="V604" s="677">
        <v>0</v>
      </c>
      <c r="W604" s="677">
        <v>187</v>
      </c>
      <c r="X604" s="678"/>
      <c r="Y604" s="682"/>
      <c r="Z604" s="680"/>
      <c r="AA604" s="681">
        <v>87.191000000000003</v>
      </c>
      <c r="AB604" s="681">
        <v>29.978000000000002</v>
      </c>
      <c r="AC604" s="417">
        <v>21</v>
      </c>
      <c r="AD604" s="417"/>
      <c r="AE604" s="682" t="s">
        <v>4533</v>
      </c>
      <c r="AF604">
        <v>1</v>
      </c>
      <c r="AG604" s="761">
        <v>43101</v>
      </c>
      <c r="AH604" s="417"/>
      <c r="AI604" s="417"/>
      <c r="AJ604" s="762">
        <v>43403</v>
      </c>
      <c r="AK604" s="417"/>
      <c r="AL604" s="637" t="s">
        <v>3459</v>
      </c>
      <c r="AM604" s="417"/>
      <c r="AN604" s="417"/>
      <c r="AO604" s="636"/>
      <c r="AP604">
        <v>556694</v>
      </c>
      <c r="AQ604" s="763">
        <v>43403</v>
      </c>
      <c r="AR604" s="417"/>
      <c r="AS604" s="417"/>
      <c r="AT604" s="417"/>
      <c r="AU604" s="417"/>
      <c r="AV604" s="417"/>
      <c r="AW604" s="417"/>
      <c r="AX604" s="417"/>
      <c r="AY604" s="183" t="s">
        <v>4245</v>
      </c>
      <c r="AZ604" s="417"/>
      <c r="BA604" s="417"/>
      <c r="BB604" t="s">
        <v>4238</v>
      </c>
      <c r="BC604" s="636"/>
      <c r="BD604" s="417"/>
      <c r="BE604" s="612">
        <v>0</v>
      </c>
      <c r="BF604" s="613">
        <v>0</v>
      </c>
      <c r="BG604" s="614" t="s">
        <v>78</v>
      </c>
      <c r="BH604" s="682"/>
      <c r="BI604" s="417"/>
      <c r="BJ604" s="417">
        <v>16</v>
      </c>
      <c r="BK604" s="682" t="str">
        <f>Техкарта[[#This Row],[Кв-л]]&amp;" кв ("&amp;Substring(Техкарта[[#This Row],[Виділ]],"_",1)&amp;" вид) "&amp;Substring(Техкарта[[#This Row],[Виділ]],"_",2)&amp;" діл."</f>
        <v>83 кв (1 вид) 0 діл.</v>
      </c>
      <c r="BL604" s="682" t="str">
        <f>Техкарта[[#This Row],[ПолнаяДіл]] &amp;" "&amp;Техкарта[[#This Row],[ЛК]]&amp;" "&amp;Техкарта[[#This Row],[Вид рубки]]</f>
        <v>83 кв (1 вид) 0 діл. 556694 СРВ</v>
      </c>
      <c r="BM604" s="682"/>
      <c r="BN604" s="636" t="s">
        <v>3784</v>
      </c>
      <c r="BO604" s="636" t="s">
        <v>3784</v>
      </c>
      <c r="BP604" s="636" t="s">
        <v>3784</v>
      </c>
      <c r="BQ604" s="636" t="s">
        <v>105</v>
      </c>
      <c r="BR604" s="636"/>
      <c r="BS604" s="636"/>
      <c r="BT604" s="636"/>
      <c r="BU604" s="636"/>
      <c r="BV604" s="636"/>
      <c r="BW604" s="636" t="s">
        <v>4535</v>
      </c>
      <c r="BX604" s="636"/>
      <c r="BY604" s="972"/>
    </row>
    <row r="605" spans="1:77">
      <c r="A605" s="636" t="s">
        <v>104</v>
      </c>
      <c r="B605" s="675" t="s">
        <v>116</v>
      </c>
      <c r="C605" s="687" t="s">
        <v>104</v>
      </c>
      <c r="D605" s="675">
        <v>0</v>
      </c>
      <c r="E605" s="675" t="s">
        <v>2305</v>
      </c>
      <c r="F605" s="675">
        <v>3</v>
      </c>
      <c r="G605" s="675" t="s">
        <v>2238</v>
      </c>
      <c r="H605" s="675">
        <v>41</v>
      </c>
      <c r="I605" s="676" t="s">
        <v>3796</v>
      </c>
      <c r="J605" s="677">
        <v>0.7</v>
      </c>
      <c r="K605" s="683">
        <v>559</v>
      </c>
      <c r="L605" s="677">
        <v>0</v>
      </c>
      <c r="M605" s="677">
        <v>0</v>
      </c>
      <c r="N605" s="677">
        <v>102</v>
      </c>
      <c r="O605" s="677">
        <v>0</v>
      </c>
      <c r="P605" s="677">
        <v>0</v>
      </c>
      <c r="Q605" s="677">
        <v>0</v>
      </c>
      <c r="R605" s="677">
        <v>3</v>
      </c>
      <c r="S605" s="677">
        <v>0</v>
      </c>
      <c r="T605" s="677">
        <v>87</v>
      </c>
      <c r="U605" s="677">
        <v>1</v>
      </c>
      <c r="V605" s="677">
        <v>0</v>
      </c>
      <c r="W605" s="677">
        <v>59</v>
      </c>
      <c r="X605" s="678"/>
      <c r="Y605" s="682"/>
      <c r="Z605" s="680"/>
      <c r="AA605" s="681">
        <v>86.331999999999994</v>
      </c>
      <c r="AB605" s="681">
        <v>41.561999999999998</v>
      </c>
      <c r="AC605" s="417">
        <v>19</v>
      </c>
      <c r="AD605" s="417"/>
      <c r="AE605" s="682" t="s">
        <v>4536</v>
      </c>
      <c r="AF605">
        <v>1</v>
      </c>
      <c r="AG605" s="761">
        <v>43101</v>
      </c>
      <c r="AH605" s="417"/>
      <c r="AI605" s="417"/>
      <c r="AJ605" s="762">
        <v>43308</v>
      </c>
      <c r="AK605" s="417"/>
      <c r="AL605" s="637" t="s">
        <v>3477</v>
      </c>
      <c r="AM605" s="417"/>
      <c r="AN605" s="417"/>
      <c r="AO605" s="636"/>
      <c r="AP605">
        <v>556618</v>
      </c>
      <c r="AQ605" s="763">
        <v>43077</v>
      </c>
      <c r="AR605" s="417"/>
      <c r="AS605" s="417"/>
      <c r="AT605" s="417"/>
      <c r="AU605" s="417"/>
      <c r="AV605" s="417"/>
      <c r="AW605" s="417"/>
      <c r="AX605" s="417"/>
      <c r="AY605" s="183" t="s">
        <v>4245</v>
      </c>
      <c r="AZ605" s="417"/>
      <c r="BA605" s="417"/>
      <c r="BB605" t="s">
        <v>4238</v>
      </c>
      <c r="BC605" s="636"/>
      <c r="BD605" s="417"/>
      <c r="BE605" s="612">
        <v>5</v>
      </c>
      <c r="BF605" s="613">
        <v>20</v>
      </c>
      <c r="BG605" s="614" t="s">
        <v>78</v>
      </c>
      <c r="BH605" s="682"/>
      <c r="BI605" s="417"/>
      <c r="BJ605" s="417">
        <v>15</v>
      </c>
      <c r="BK605" s="682" t="str">
        <f>Техкарта[[#This Row],[Кв-л]]&amp;" кв ("&amp;Substring(Техкарта[[#This Row],[Виділ]],"_",1)&amp;" вид) "&amp;Substring(Техкарта[[#This Row],[Виділ]],"_",2)&amp;" діл."</f>
        <v>41 кв (5 вид) 1 діл.</v>
      </c>
      <c r="BL605" s="682" t="str">
        <f>Техкарта[[#This Row],[ПолнаяДіл]] &amp;" "&amp;Техкарта[[#This Row],[ЛК]]&amp;" "&amp;Техкарта[[#This Row],[Вид рубки]]</f>
        <v>41 кв (5 вид) 1 діл. 556618 РГК</v>
      </c>
      <c r="BM605" s="682"/>
      <c r="BN605" s="636" t="s">
        <v>3784</v>
      </c>
      <c r="BO605" s="636" t="s">
        <v>3784</v>
      </c>
      <c r="BP605" s="636" t="s">
        <v>3784</v>
      </c>
      <c r="BQ605" s="636" t="s">
        <v>104</v>
      </c>
      <c r="BR605" s="636"/>
      <c r="BS605" s="636"/>
      <c r="BT605" s="636"/>
      <c r="BU605" s="636"/>
      <c r="BV605" s="636"/>
      <c r="BW605" s="636" t="s">
        <v>4535</v>
      </c>
      <c r="BX605" s="636"/>
      <c r="BY605" s="972"/>
    </row>
    <row r="606" spans="1:77">
      <c r="A606" s="636" t="s">
        <v>105</v>
      </c>
      <c r="B606" s="675" t="s">
        <v>116</v>
      </c>
      <c r="C606" s="687" t="s">
        <v>3588</v>
      </c>
      <c r="D606" s="675">
        <v>0</v>
      </c>
      <c r="E606" s="675" t="s">
        <v>2305</v>
      </c>
      <c r="F606" s="675">
        <v>3</v>
      </c>
      <c r="G606" s="675" t="s">
        <v>2238</v>
      </c>
      <c r="H606" s="675">
        <v>53</v>
      </c>
      <c r="I606" s="676" t="s">
        <v>3806</v>
      </c>
      <c r="J606" s="677">
        <v>1</v>
      </c>
      <c r="K606" s="683">
        <v>78</v>
      </c>
      <c r="L606" s="677">
        <v>0</v>
      </c>
      <c r="M606" s="677">
        <v>3</v>
      </c>
      <c r="N606" s="677">
        <v>0</v>
      </c>
      <c r="O606" s="677">
        <v>0</v>
      </c>
      <c r="P606" s="677">
        <v>0</v>
      </c>
      <c r="Q606" s="677">
        <v>0</v>
      </c>
      <c r="R606" s="677">
        <v>19</v>
      </c>
      <c r="S606" s="677">
        <v>1</v>
      </c>
      <c r="T606" s="677">
        <v>0</v>
      </c>
      <c r="U606" s="677">
        <v>0</v>
      </c>
      <c r="V606" s="677">
        <v>0</v>
      </c>
      <c r="W606" s="677">
        <v>0</v>
      </c>
      <c r="X606" s="678"/>
      <c r="Y606" s="682"/>
      <c r="Z606" s="680"/>
      <c r="AA606" s="681">
        <v>94.004999999999995</v>
      </c>
      <c r="AB606" s="681">
        <v>29.978000000000002</v>
      </c>
      <c r="AC606" s="417">
        <v>2</v>
      </c>
      <c r="AD606" s="417"/>
      <c r="AE606" s="682" t="s">
        <v>4537</v>
      </c>
      <c r="AF606">
        <v>1</v>
      </c>
      <c r="AG606" s="761">
        <v>43101</v>
      </c>
      <c r="AH606" s="417"/>
      <c r="AI606" s="417"/>
      <c r="AJ606" s="762">
        <v>43374</v>
      </c>
      <c r="AK606" s="417"/>
      <c r="AL606" s="637" t="s">
        <v>3470</v>
      </c>
      <c r="AM606" s="417"/>
      <c r="AN606" s="417"/>
      <c r="AO606" s="636"/>
      <c r="AP606">
        <v>556702</v>
      </c>
      <c r="AQ606" s="763">
        <v>43234</v>
      </c>
      <c r="AR606" s="417"/>
      <c r="AS606" s="417"/>
      <c r="AT606" s="417"/>
      <c r="AU606" s="417"/>
      <c r="AV606" s="417"/>
      <c r="AW606" s="417"/>
      <c r="AX606" s="417"/>
      <c r="AY606" s="183" t="s">
        <v>4245</v>
      </c>
      <c r="AZ606" s="417"/>
      <c r="BA606" s="417"/>
      <c r="BB606" t="s">
        <v>4238</v>
      </c>
      <c r="BC606" s="636"/>
      <c r="BD606" s="417"/>
      <c r="BE606" s="612">
        <v>0</v>
      </c>
      <c r="BF606" s="613">
        <v>0</v>
      </c>
      <c r="BG606" s="614" t="s">
        <v>78</v>
      </c>
      <c r="BH606" s="682"/>
      <c r="BI606" s="417"/>
      <c r="BJ606" s="417">
        <v>11</v>
      </c>
      <c r="BK606" s="682" t="str">
        <f>Техкарта[[#This Row],[Кв-л]]&amp;" кв ("&amp;Substring(Техкарта[[#This Row],[Виділ]],"_",1)&amp;" вид) "&amp;Substring(Техкарта[[#This Row],[Виділ]],"_",2)&amp;" діл."</f>
        <v>53 кв (1 вид) 1 діл.</v>
      </c>
      <c r="BL606" s="682" t="str">
        <f>Техкарта[[#This Row],[ПолнаяДіл]] &amp;" "&amp;Техкарта[[#This Row],[ЛК]]&amp;" "&amp;Техкарта[[#This Row],[Вид рубки]]</f>
        <v>53 кв (1 вид) 1 діл. 556702 рубка в охоронній зоні ЛЕП</v>
      </c>
      <c r="BM606" s="682"/>
      <c r="BN606" s="636" t="s">
        <v>3784</v>
      </c>
      <c r="BO606" s="636" t="s">
        <v>3784</v>
      </c>
      <c r="BP606" s="636" t="s">
        <v>3784</v>
      </c>
      <c r="BQ606" s="636" t="s">
        <v>105</v>
      </c>
      <c r="BR606" s="636"/>
      <c r="BS606" s="636"/>
      <c r="BT606" s="636"/>
      <c r="BU606" s="636"/>
      <c r="BV606" s="636"/>
      <c r="BW606" s="636" t="s">
        <v>4535</v>
      </c>
      <c r="BX606" s="636"/>
      <c r="BY606" s="972"/>
    </row>
    <row r="607" spans="1:77">
      <c r="A607" s="636" t="s">
        <v>105</v>
      </c>
      <c r="B607" s="675" t="s">
        <v>112</v>
      </c>
      <c r="C607" s="687" t="s">
        <v>126</v>
      </c>
      <c r="D607" s="675">
        <v>0</v>
      </c>
      <c r="E607" s="675" t="s">
        <v>2305</v>
      </c>
      <c r="F607" s="675">
        <v>3</v>
      </c>
      <c r="G607" s="675" t="s">
        <v>2238</v>
      </c>
      <c r="H607" s="675">
        <v>23</v>
      </c>
      <c r="I607" s="676" t="s">
        <v>3794</v>
      </c>
      <c r="J607" s="677">
        <v>5.7</v>
      </c>
      <c r="K607" s="683">
        <v>167</v>
      </c>
      <c r="L607" s="677">
        <v>0</v>
      </c>
      <c r="M607" s="677">
        <v>0</v>
      </c>
      <c r="N607" s="677">
        <v>5</v>
      </c>
      <c r="O607" s="677">
        <v>0</v>
      </c>
      <c r="P607" s="677">
        <v>0</v>
      </c>
      <c r="Q607" s="677">
        <v>0</v>
      </c>
      <c r="R607" s="677">
        <v>0</v>
      </c>
      <c r="S607" s="677">
        <v>0</v>
      </c>
      <c r="T607" s="677">
        <v>0</v>
      </c>
      <c r="U607" s="677">
        <v>0</v>
      </c>
      <c r="V607" s="677">
        <v>0</v>
      </c>
      <c r="W607" s="677">
        <v>92</v>
      </c>
      <c r="X607" s="678"/>
      <c r="Y607" s="682"/>
      <c r="Z607" s="680"/>
      <c r="AA607" s="681">
        <v>79.316999999999993</v>
      </c>
      <c r="AB607" s="681">
        <v>29.978000000000002</v>
      </c>
      <c r="AC607" s="417">
        <v>6</v>
      </c>
      <c r="AD607" s="417"/>
      <c r="AE607" s="682" t="s">
        <v>4538</v>
      </c>
      <c r="AF607">
        <v>1</v>
      </c>
      <c r="AG607" s="764">
        <v>43101</v>
      </c>
      <c r="AH607" s="417"/>
      <c r="AI607" s="417"/>
      <c r="AJ607" s="765">
        <v>43405</v>
      </c>
      <c r="AK607" s="417"/>
      <c r="AL607" s="637" t="s">
        <v>3434</v>
      </c>
      <c r="AM607" s="417"/>
      <c r="AN607" s="417"/>
      <c r="AO607" s="636"/>
      <c r="AP607">
        <v>556693</v>
      </c>
      <c r="AQ607" s="766">
        <v>43397</v>
      </c>
      <c r="AR607" s="417"/>
      <c r="AS607" s="417"/>
      <c r="AT607" s="417"/>
      <c r="AU607" s="417"/>
      <c r="AV607" s="417"/>
      <c r="AW607" s="417"/>
      <c r="AX607" s="417"/>
      <c r="AY607" s="183" t="s">
        <v>4245</v>
      </c>
      <c r="AZ607" s="417"/>
      <c r="BA607" s="417"/>
      <c r="BB607" t="s">
        <v>4238</v>
      </c>
      <c r="BC607" s="636"/>
      <c r="BD607" s="417"/>
      <c r="BE607" s="612">
        <v>0</v>
      </c>
      <c r="BF607" s="613">
        <v>0</v>
      </c>
      <c r="BG607" s="614" t="s">
        <v>78</v>
      </c>
      <c r="BH607" s="682"/>
      <c r="BI607" s="417"/>
      <c r="BJ607" s="417">
        <v>4</v>
      </c>
      <c r="BK607" s="682" t="str">
        <f>Техкарта[[#This Row],[Кв-л]]&amp;" кв ("&amp;Substring(Техкарта[[#This Row],[Виділ]],"_",1)&amp;" вид) "&amp;Substring(Техкарта[[#This Row],[Виділ]],"_",2)&amp;" діл."</f>
        <v>23 кв (11 вид) 0 діл.</v>
      </c>
      <c r="BL607" s="682" t="str">
        <f>Техкарта[[#This Row],[ПолнаяДіл]] &amp;" "&amp;Техкарта[[#This Row],[ЛК]]&amp;" "&amp;Техкарта[[#This Row],[Вид рубки]]</f>
        <v>23 кв (11 вид) 0 діл. 556693 СРВ</v>
      </c>
      <c r="BM607" s="682"/>
      <c r="BN607" s="636" t="s">
        <v>3784</v>
      </c>
      <c r="BO607" s="636" t="s">
        <v>3784</v>
      </c>
      <c r="BP607" s="636" t="s">
        <v>3784</v>
      </c>
      <c r="BQ607" s="636" t="s">
        <v>105</v>
      </c>
      <c r="BR607" s="636"/>
      <c r="BS607" s="636"/>
      <c r="BT607" s="636"/>
      <c r="BU607" s="636"/>
      <c r="BV607" s="636"/>
      <c r="BW607" s="636" t="s">
        <v>4535</v>
      </c>
      <c r="BX607" s="636"/>
      <c r="BY607" s="972"/>
    </row>
    <row r="608" spans="1:77">
      <c r="A608" s="636" t="s">
        <v>105</v>
      </c>
      <c r="B608" s="675" t="s">
        <v>112</v>
      </c>
      <c r="C608" s="687" t="s">
        <v>126</v>
      </c>
      <c r="D608" s="675">
        <v>0</v>
      </c>
      <c r="E608" s="675" t="s">
        <v>2305</v>
      </c>
      <c r="F608" s="675">
        <v>3</v>
      </c>
      <c r="G608" s="675" t="s">
        <v>2238</v>
      </c>
      <c r="H608" s="675">
        <v>97</v>
      </c>
      <c r="I608" s="676" t="s">
        <v>3852</v>
      </c>
      <c r="J608" s="677">
        <v>3.7</v>
      </c>
      <c r="K608" s="683">
        <v>27</v>
      </c>
      <c r="L608" s="677">
        <v>0</v>
      </c>
      <c r="M608" s="677">
        <v>0</v>
      </c>
      <c r="N608" s="677">
        <v>0</v>
      </c>
      <c r="O608" s="677">
        <v>0</v>
      </c>
      <c r="P608" s="677">
        <v>0</v>
      </c>
      <c r="Q608" s="677">
        <v>0</v>
      </c>
      <c r="R608" s="677">
        <v>0</v>
      </c>
      <c r="S608" s="677">
        <v>0</v>
      </c>
      <c r="T608" s="677">
        <v>0</v>
      </c>
      <c r="U608" s="677">
        <v>0</v>
      </c>
      <c r="V608" s="677">
        <v>0</v>
      </c>
      <c r="W608" s="677">
        <v>13</v>
      </c>
      <c r="X608" s="678"/>
      <c r="Y608" s="682"/>
      <c r="Z608" s="680"/>
      <c r="AA608" s="681">
        <v>95.43</v>
      </c>
      <c r="AB608" s="681">
        <v>29.978000000000002</v>
      </c>
      <c r="AC608" s="417">
        <v>1</v>
      </c>
      <c r="AD608" s="417"/>
      <c r="AE608" s="682" t="s">
        <v>4539</v>
      </c>
      <c r="AF608">
        <v>1</v>
      </c>
      <c r="AG608" s="764">
        <v>43101</v>
      </c>
      <c r="AH608" s="417"/>
      <c r="AI608" s="417"/>
      <c r="AJ608" s="765">
        <v>43405</v>
      </c>
      <c r="AK608" s="417"/>
      <c r="AL608" s="637" t="s">
        <v>3434</v>
      </c>
      <c r="AM608" s="417"/>
      <c r="AN608" s="417"/>
      <c r="AO608" s="636"/>
      <c r="AP608">
        <v>556693</v>
      </c>
      <c r="AQ608" s="766">
        <v>43397</v>
      </c>
      <c r="AR608" s="417"/>
      <c r="AS608" s="417"/>
      <c r="AT608" s="417"/>
      <c r="AU608" s="417"/>
      <c r="AV608" s="417"/>
      <c r="AW608" s="417"/>
      <c r="AX608" s="417"/>
      <c r="AY608" s="183" t="s">
        <v>4245</v>
      </c>
      <c r="AZ608" s="417"/>
      <c r="BA608" s="417"/>
      <c r="BB608" t="s">
        <v>4238</v>
      </c>
      <c r="BC608" s="636"/>
      <c r="BD608" s="417"/>
      <c r="BE608" s="612">
        <v>0</v>
      </c>
      <c r="BF608" s="613">
        <v>0</v>
      </c>
      <c r="BG608" s="614" t="s">
        <v>78</v>
      </c>
      <c r="BH608" s="682"/>
      <c r="BI608" s="417"/>
      <c r="BJ608" s="417">
        <v>3</v>
      </c>
      <c r="BK608" s="682" t="str">
        <f>Техкарта[[#This Row],[Кв-л]]&amp;" кв ("&amp;Substring(Техкарта[[#This Row],[Виділ]],"_",1)&amp;" вид) "&amp;Substring(Техкарта[[#This Row],[Виділ]],"_",2)&amp;" діл."</f>
        <v>97 кв (14 вид) 0 діл.</v>
      </c>
      <c r="BL608" s="682" t="str">
        <f>Техкарта[[#This Row],[ПолнаяДіл]] &amp;" "&amp;Техкарта[[#This Row],[ЛК]]&amp;" "&amp;Техкарта[[#This Row],[Вид рубки]]</f>
        <v>97 кв (14 вид) 0 діл. 556693 СРВ</v>
      </c>
      <c r="BM608" s="682"/>
      <c r="BN608" s="636" t="s">
        <v>3784</v>
      </c>
      <c r="BO608" s="636" t="s">
        <v>3784</v>
      </c>
      <c r="BP608" s="636" t="s">
        <v>3784</v>
      </c>
      <c r="BQ608" s="636" t="s">
        <v>105</v>
      </c>
      <c r="BR608" s="636"/>
      <c r="BS608" s="636"/>
      <c r="BT608" s="636"/>
      <c r="BU608" s="636"/>
      <c r="BV608" s="636"/>
      <c r="BW608" s="636" t="s">
        <v>4535</v>
      </c>
      <c r="BX608" s="636"/>
      <c r="BY608" s="972"/>
    </row>
    <row r="609" spans="1:77">
      <c r="A609" s="636" t="s">
        <v>105</v>
      </c>
      <c r="B609" s="675" t="s">
        <v>112</v>
      </c>
      <c r="C609" s="687" t="s">
        <v>126</v>
      </c>
      <c r="D609" s="675">
        <v>0</v>
      </c>
      <c r="E609" s="675" t="s">
        <v>2305</v>
      </c>
      <c r="F609" s="675">
        <v>3</v>
      </c>
      <c r="G609" s="675" t="s">
        <v>2238</v>
      </c>
      <c r="H609" s="675">
        <v>93</v>
      </c>
      <c r="I609" s="676" t="s">
        <v>3790</v>
      </c>
      <c r="J609" s="677">
        <v>2.5</v>
      </c>
      <c r="K609" s="683">
        <v>155</v>
      </c>
      <c r="L609" s="677">
        <v>0</v>
      </c>
      <c r="M609" s="677">
        <v>0</v>
      </c>
      <c r="N609" s="677">
        <v>0</v>
      </c>
      <c r="O609" s="677">
        <v>0</v>
      </c>
      <c r="P609" s="677">
        <v>0</v>
      </c>
      <c r="Q609" s="677">
        <v>0</v>
      </c>
      <c r="R609" s="677">
        <v>0</v>
      </c>
      <c r="S609" s="677">
        <v>0</v>
      </c>
      <c r="T609" s="677">
        <v>0</v>
      </c>
      <c r="U609" s="677">
        <v>0</v>
      </c>
      <c r="V609" s="677">
        <v>0</v>
      </c>
      <c r="W609" s="677">
        <v>39</v>
      </c>
      <c r="X609" s="678"/>
      <c r="Y609" s="682"/>
      <c r="Z609" s="680"/>
      <c r="AA609" s="681">
        <v>103.65600000000001</v>
      </c>
      <c r="AB609" s="681">
        <v>29.978000000000002</v>
      </c>
      <c r="AC609" s="417">
        <v>5</v>
      </c>
      <c r="AD609" s="417"/>
      <c r="AE609" s="682" t="s">
        <v>4541</v>
      </c>
      <c r="AF609">
        <v>1</v>
      </c>
      <c r="AG609" s="764">
        <v>43101</v>
      </c>
      <c r="AH609" s="417"/>
      <c r="AI609" s="417"/>
      <c r="AJ609" s="765">
        <v>43374</v>
      </c>
      <c r="AK609" s="417"/>
      <c r="AL609" s="637" t="s">
        <v>3458</v>
      </c>
      <c r="AM609" s="417"/>
      <c r="AN609" s="417"/>
      <c r="AO609" s="636"/>
      <c r="AP609">
        <v>556693</v>
      </c>
      <c r="AQ609" s="766">
        <v>43397</v>
      </c>
      <c r="AR609" s="417"/>
      <c r="AS609" s="417"/>
      <c r="AT609" s="417"/>
      <c r="AU609" s="417"/>
      <c r="AV609" s="417"/>
      <c r="AW609" s="417"/>
      <c r="AX609" s="417"/>
      <c r="AY609" s="183" t="s">
        <v>4245</v>
      </c>
      <c r="AZ609" s="417"/>
      <c r="BA609" s="417"/>
      <c r="BB609" t="s">
        <v>4238</v>
      </c>
      <c r="BC609" s="636"/>
      <c r="BD609" s="417"/>
      <c r="BE609" s="612">
        <v>0</v>
      </c>
      <c r="BF609" s="613">
        <v>0</v>
      </c>
      <c r="BG609" s="614" t="s">
        <v>78</v>
      </c>
      <c r="BH609" s="682"/>
      <c r="BI609" s="417"/>
      <c r="BJ609" s="417">
        <v>1</v>
      </c>
      <c r="BK609" s="682" t="str">
        <f>Техкарта[[#This Row],[Кв-л]]&amp;" кв ("&amp;Substring(Техкарта[[#This Row],[Виділ]],"_",1)&amp;" вид) "&amp;Substring(Техкарта[[#This Row],[Виділ]],"_",2)&amp;" діл."</f>
        <v>93 кв (2 вид) 0 діл.</v>
      </c>
      <c r="BL609" s="682" t="str">
        <f>Техкарта[[#This Row],[ПолнаяДіл]] &amp;" "&amp;Техкарта[[#This Row],[ЛК]]&amp;" "&amp;Техкарта[[#This Row],[Вид рубки]]</f>
        <v>93 кв (2 вид) 0 діл. 556693 СРВ</v>
      </c>
      <c r="BM609" s="682"/>
      <c r="BN609" s="636" t="s">
        <v>3784</v>
      </c>
      <c r="BO609" s="636" t="s">
        <v>3784</v>
      </c>
      <c r="BP609" s="636" t="s">
        <v>3784</v>
      </c>
      <c r="BQ609" s="636" t="s">
        <v>105</v>
      </c>
      <c r="BR609" s="636"/>
      <c r="BS609" s="636"/>
      <c r="BT609" s="636"/>
      <c r="BU609" s="636"/>
      <c r="BV609" s="636"/>
      <c r="BW609" s="636" t="s">
        <v>4535</v>
      </c>
      <c r="BX609" s="636"/>
      <c r="BY609" s="972"/>
    </row>
    <row r="610" spans="1:77">
      <c r="A610" s="636" t="s">
        <v>105</v>
      </c>
      <c r="B610" s="675" t="s">
        <v>112</v>
      </c>
      <c r="C610" s="687" t="s">
        <v>126</v>
      </c>
      <c r="D610" s="675">
        <v>0</v>
      </c>
      <c r="E610" s="675" t="s">
        <v>2305</v>
      </c>
      <c r="F610" s="675">
        <v>3</v>
      </c>
      <c r="G610" s="675" t="s">
        <v>2238</v>
      </c>
      <c r="H610" s="675">
        <v>93</v>
      </c>
      <c r="I610" s="676" t="s">
        <v>3795</v>
      </c>
      <c r="J610" s="677">
        <v>2.8</v>
      </c>
      <c r="K610" s="683">
        <v>192</v>
      </c>
      <c r="L610" s="677">
        <v>0</v>
      </c>
      <c r="M610" s="677">
        <v>0</v>
      </c>
      <c r="N610" s="677">
        <v>0</v>
      </c>
      <c r="O610" s="677">
        <v>0</v>
      </c>
      <c r="P610" s="677">
        <v>0</v>
      </c>
      <c r="Q610" s="677">
        <v>0</v>
      </c>
      <c r="R610" s="677">
        <v>0</v>
      </c>
      <c r="S610" s="677">
        <v>0</v>
      </c>
      <c r="T610" s="677">
        <v>0</v>
      </c>
      <c r="U610" s="677">
        <v>0</v>
      </c>
      <c r="V610" s="677">
        <v>42</v>
      </c>
      <c r="W610" s="677">
        <v>0</v>
      </c>
      <c r="X610" s="678"/>
      <c r="Y610" s="682"/>
      <c r="Z610" s="680"/>
      <c r="AA610" s="681">
        <v>97.43</v>
      </c>
      <c r="AB610" s="681">
        <v>29.978000000000002</v>
      </c>
      <c r="AC610" s="417">
        <v>7</v>
      </c>
      <c r="AD610" s="417"/>
      <c r="AE610" s="682" t="s">
        <v>4540</v>
      </c>
      <c r="AF610">
        <v>1</v>
      </c>
      <c r="AG610" s="764">
        <v>43101</v>
      </c>
      <c r="AH610" s="417"/>
      <c r="AI610" s="417"/>
      <c r="AJ610" s="765">
        <v>43374</v>
      </c>
      <c r="AK610" s="417"/>
      <c r="AL610" s="637" t="s">
        <v>3458</v>
      </c>
      <c r="AM610" s="417"/>
      <c r="AN610" s="417"/>
      <c r="AO610" s="636"/>
      <c r="AP610">
        <v>556693</v>
      </c>
      <c r="AQ610" s="766">
        <v>43397</v>
      </c>
      <c r="AR610" s="417"/>
      <c r="AS610" s="417"/>
      <c r="AT610" s="417"/>
      <c r="AU610" s="417"/>
      <c r="AV610" s="417"/>
      <c r="AW610" s="417"/>
      <c r="AX610" s="417"/>
      <c r="AY610" s="183" t="s">
        <v>4245</v>
      </c>
      <c r="AZ610" s="417"/>
      <c r="BA610" s="417"/>
      <c r="BB610" t="s">
        <v>4238</v>
      </c>
      <c r="BC610" s="636"/>
      <c r="BD610" s="417"/>
      <c r="BE610" s="612">
        <v>0</v>
      </c>
      <c r="BF610" s="613">
        <v>0</v>
      </c>
      <c r="BG610" s="614" t="s">
        <v>78</v>
      </c>
      <c r="BH610" s="682"/>
      <c r="BI610" s="417"/>
      <c r="BJ610" s="417">
        <v>2</v>
      </c>
      <c r="BK610" s="682" t="str">
        <f>Техкарта[[#This Row],[Кв-л]]&amp;" кв ("&amp;Substring(Техкарта[[#This Row],[Виділ]],"_",1)&amp;" вид) "&amp;Substring(Техкарта[[#This Row],[Виділ]],"_",2)&amp;" діл."</f>
        <v>93 кв (9 вид) 0 діл.</v>
      </c>
      <c r="BL610" s="682" t="str">
        <f>Техкарта[[#This Row],[ПолнаяДіл]] &amp;" "&amp;Техкарта[[#This Row],[ЛК]]&amp;" "&amp;Техкарта[[#This Row],[Вид рубки]]</f>
        <v>93 кв (9 вид) 0 діл. 556693 СРВ</v>
      </c>
      <c r="BM610" s="682"/>
      <c r="BN610" s="636" t="s">
        <v>3784</v>
      </c>
      <c r="BO610" s="636" t="s">
        <v>3784</v>
      </c>
      <c r="BP610" s="636" t="s">
        <v>3784</v>
      </c>
      <c r="BQ610" s="636" t="s">
        <v>105</v>
      </c>
      <c r="BR610" s="636"/>
      <c r="BS610" s="636"/>
      <c r="BT610" s="636"/>
      <c r="BU610" s="636"/>
      <c r="BV610" s="636"/>
      <c r="BW610" s="636" t="s">
        <v>4535</v>
      </c>
      <c r="BX610" s="636"/>
      <c r="BY610" s="972"/>
    </row>
    <row r="611" spans="1:77">
      <c r="A611" s="636" t="s">
        <v>105</v>
      </c>
      <c r="B611" s="675" t="s">
        <v>112</v>
      </c>
      <c r="C611" s="687" t="s">
        <v>126</v>
      </c>
      <c r="D611" s="675">
        <v>0</v>
      </c>
      <c r="E611" s="675" t="s">
        <v>2305</v>
      </c>
      <c r="F611" s="675">
        <v>3</v>
      </c>
      <c r="G611" s="675" t="s">
        <v>2238</v>
      </c>
      <c r="H611" s="675">
        <v>97</v>
      </c>
      <c r="I611" s="676" t="s">
        <v>4077</v>
      </c>
      <c r="J611" s="677">
        <v>2</v>
      </c>
      <c r="K611" s="683">
        <v>35</v>
      </c>
      <c r="L611" s="677">
        <v>0</v>
      </c>
      <c r="M611" s="677">
        <v>0</v>
      </c>
      <c r="N611" s="677">
        <v>1</v>
      </c>
      <c r="O611" s="677">
        <v>0</v>
      </c>
      <c r="P611" s="677">
        <v>0</v>
      </c>
      <c r="Q611" s="677">
        <v>0</v>
      </c>
      <c r="R611" s="677">
        <v>0</v>
      </c>
      <c r="S611" s="677">
        <v>0</v>
      </c>
      <c r="T611" s="677">
        <v>0</v>
      </c>
      <c r="U611" s="677">
        <v>0</v>
      </c>
      <c r="V611" s="677">
        <v>0</v>
      </c>
      <c r="W611" s="677">
        <v>18</v>
      </c>
      <c r="X611" s="678"/>
      <c r="Y611" s="682"/>
      <c r="Z611" s="680"/>
      <c r="AA611" s="681">
        <v>83.921999999999997</v>
      </c>
      <c r="AB611" s="681">
        <v>29.978000000000002</v>
      </c>
      <c r="AC611" s="417">
        <v>2</v>
      </c>
      <c r="AD611" s="417"/>
      <c r="AE611" s="682" t="s">
        <v>4542</v>
      </c>
      <c r="AF611">
        <v>1</v>
      </c>
      <c r="AG611" s="764">
        <v>43101</v>
      </c>
      <c r="AH611" s="417"/>
      <c r="AI611" s="417"/>
      <c r="AJ611" s="765">
        <v>43405</v>
      </c>
      <c r="AK611" s="417"/>
      <c r="AL611" s="637" t="s">
        <v>3434</v>
      </c>
      <c r="AM611" s="417"/>
      <c r="AN611" s="417"/>
      <c r="AO611" s="636"/>
      <c r="AP611">
        <v>556693</v>
      </c>
      <c r="AQ611" s="766">
        <v>43397</v>
      </c>
      <c r="AR611" s="417"/>
      <c r="AS611" s="417"/>
      <c r="AT611" s="417"/>
      <c r="AU611" s="417"/>
      <c r="AV611" s="417"/>
      <c r="AW611" s="417"/>
      <c r="AX611" s="417"/>
      <c r="AY611" s="183" t="s">
        <v>4245</v>
      </c>
      <c r="AZ611" s="417"/>
      <c r="BA611" s="417"/>
      <c r="BB611" t="s">
        <v>4238</v>
      </c>
      <c r="BC611" s="636"/>
      <c r="BD611" s="417"/>
      <c r="BE611" s="612">
        <v>0</v>
      </c>
      <c r="BF611" s="613">
        <v>0</v>
      </c>
      <c r="BG611" s="614" t="s">
        <v>78</v>
      </c>
      <c r="BH611" s="682"/>
      <c r="BI611" s="417"/>
      <c r="BJ611" s="417">
        <v>1</v>
      </c>
      <c r="BK611" s="682" t="str">
        <f>Техкарта[[#This Row],[Кв-л]]&amp;" кв ("&amp;Substring(Техкарта[[#This Row],[Виділ]],"_",1)&amp;" вид) "&amp;Substring(Техкарта[[#This Row],[Виділ]],"_",2)&amp;" діл."</f>
        <v>97 кв (10 вид) 1 діл.</v>
      </c>
      <c r="BL611" s="682" t="str">
        <f>Техкарта[[#This Row],[ПолнаяДіл]] &amp;" "&amp;Техкарта[[#This Row],[ЛК]]&amp;" "&amp;Техкарта[[#This Row],[Вид рубки]]</f>
        <v>97 кв (10 вид) 1 діл. 556693 СРВ</v>
      </c>
      <c r="BM611" s="682"/>
      <c r="BN611" s="636" t="s">
        <v>3784</v>
      </c>
      <c r="BO611" s="636" t="s">
        <v>3784</v>
      </c>
      <c r="BP611" s="636" t="s">
        <v>3784</v>
      </c>
      <c r="BQ611" s="636" t="s">
        <v>105</v>
      </c>
      <c r="BR611" s="636"/>
      <c r="BS611" s="636"/>
      <c r="BT611" s="636"/>
      <c r="BU611" s="636"/>
      <c r="BV611" s="636"/>
      <c r="BW611" s="636" t="s">
        <v>4535</v>
      </c>
      <c r="BX611" s="636"/>
      <c r="BY611" s="972"/>
    </row>
    <row r="612" spans="1:77">
      <c r="A612" s="636" t="s">
        <v>105</v>
      </c>
      <c r="B612" s="675" t="s">
        <v>112</v>
      </c>
      <c r="C612" s="687" t="s">
        <v>126</v>
      </c>
      <c r="D612" s="675">
        <v>0</v>
      </c>
      <c r="E612" s="675" t="s">
        <v>2305</v>
      </c>
      <c r="F612" s="675">
        <v>3</v>
      </c>
      <c r="G612" s="675" t="s">
        <v>2238</v>
      </c>
      <c r="H612" s="675">
        <v>97</v>
      </c>
      <c r="I612" s="676" t="s">
        <v>3794</v>
      </c>
      <c r="J612" s="677">
        <v>2.9</v>
      </c>
      <c r="K612" s="683">
        <v>48</v>
      </c>
      <c r="L612" s="677">
        <v>0</v>
      </c>
      <c r="M612" s="677">
        <v>0</v>
      </c>
      <c r="N612" s="677">
        <v>1</v>
      </c>
      <c r="O612" s="677">
        <v>0</v>
      </c>
      <c r="P612" s="677">
        <v>0</v>
      </c>
      <c r="Q612" s="677">
        <v>0</v>
      </c>
      <c r="R612" s="677">
        <v>0</v>
      </c>
      <c r="S612" s="677">
        <v>0</v>
      </c>
      <c r="T612" s="677">
        <v>0</v>
      </c>
      <c r="U612" s="677">
        <v>0</v>
      </c>
      <c r="V612" s="677">
        <v>0</v>
      </c>
      <c r="W612" s="677">
        <v>34</v>
      </c>
      <c r="X612" s="678"/>
      <c r="Y612" s="682"/>
      <c r="Z612" s="680"/>
      <c r="AA612" s="681">
        <v>80.894999999999996</v>
      </c>
      <c r="AB612" s="681">
        <v>29.978000000000002</v>
      </c>
      <c r="AC612" s="417">
        <v>2</v>
      </c>
      <c r="AD612" s="417"/>
      <c r="AE612" s="682" t="s">
        <v>4543</v>
      </c>
      <c r="AF612">
        <v>1</v>
      </c>
      <c r="AG612" s="764">
        <v>43101</v>
      </c>
      <c r="AH612" s="417"/>
      <c r="AI612" s="417"/>
      <c r="AJ612" s="765">
        <v>43405</v>
      </c>
      <c r="AK612" s="417"/>
      <c r="AL612" s="637" t="s">
        <v>3434</v>
      </c>
      <c r="AM612" s="417"/>
      <c r="AN612" s="417"/>
      <c r="AO612" s="636"/>
      <c r="AP612">
        <v>556693</v>
      </c>
      <c r="AQ612" s="766">
        <v>43397</v>
      </c>
      <c r="AR612" s="417"/>
      <c r="AS612" s="417"/>
      <c r="AT612" s="417"/>
      <c r="AU612" s="417"/>
      <c r="AV612" s="417"/>
      <c r="AW612" s="417"/>
      <c r="AX612" s="417"/>
      <c r="AY612" s="183" t="s">
        <v>4245</v>
      </c>
      <c r="AZ612" s="417"/>
      <c r="BA612" s="417"/>
      <c r="BB612" t="s">
        <v>4238</v>
      </c>
      <c r="BC612" s="636"/>
      <c r="BD612" s="417"/>
      <c r="BE612" s="612">
        <v>0</v>
      </c>
      <c r="BF612" s="613">
        <v>0</v>
      </c>
      <c r="BG612" s="614" t="s">
        <v>78</v>
      </c>
      <c r="BH612" s="682"/>
      <c r="BI612" s="417"/>
      <c r="BJ612" s="417">
        <v>2</v>
      </c>
      <c r="BK612" s="682" t="str">
        <f>Техкарта[[#This Row],[Кв-л]]&amp;" кв ("&amp;Substring(Техкарта[[#This Row],[Виділ]],"_",1)&amp;" вид) "&amp;Substring(Техкарта[[#This Row],[Виділ]],"_",2)&amp;" діл."</f>
        <v>97 кв (11 вид) 0 діл.</v>
      </c>
      <c r="BL612" s="682" t="str">
        <f>Техкарта[[#This Row],[ПолнаяДіл]] &amp;" "&amp;Техкарта[[#This Row],[ЛК]]&amp;" "&amp;Техкарта[[#This Row],[Вид рубки]]</f>
        <v>97 кв (11 вид) 0 діл. 556693 СРВ</v>
      </c>
      <c r="BM612" s="682"/>
      <c r="BN612" s="636" t="s">
        <v>3784</v>
      </c>
      <c r="BO612" s="636" t="s">
        <v>3784</v>
      </c>
      <c r="BP612" s="636" t="s">
        <v>3784</v>
      </c>
      <c r="BQ612" s="636" t="s">
        <v>105</v>
      </c>
      <c r="BR612" s="636"/>
      <c r="BS612" s="636"/>
      <c r="BT612" s="636"/>
      <c r="BU612" s="636"/>
      <c r="BV612" s="636"/>
      <c r="BW612" s="636" t="s">
        <v>4535</v>
      </c>
      <c r="BX612" s="636"/>
      <c r="BY612" s="972"/>
    </row>
    <row r="613" spans="1:77">
      <c r="A613" s="636" t="s">
        <v>105</v>
      </c>
      <c r="B613" s="675" t="s">
        <v>113</v>
      </c>
      <c r="C613" s="687" t="s">
        <v>126</v>
      </c>
      <c r="D613" s="675">
        <v>0</v>
      </c>
      <c r="E613" s="675" t="s">
        <v>2305</v>
      </c>
      <c r="F613" s="675">
        <v>3</v>
      </c>
      <c r="G613" s="675" t="s">
        <v>2238</v>
      </c>
      <c r="H613" s="675">
        <v>54</v>
      </c>
      <c r="I613" s="676" t="s">
        <v>3832</v>
      </c>
      <c r="J613" s="677">
        <v>4.4000000000000004</v>
      </c>
      <c r="K613" s="683">
        <v>456</v>
      </c>
      <c r="L613" s="677">
        <v>0</v>
      </c>
      <c r="M613" s="677">
        <v>0</v>
      </c>
      <c r="N613" s="677">
        <v>7</v>
      </c>
      <c r="O613" s="677">
        <v>0</v>
      </c>
      <c r="P613" s="677">
        <v>0</v>
      </c>
      <c r="Q613" s="677">
        <v>0</v>
      </c>
      <c r="R613" s="677">
        <v>0</v>
      </c>
      <c r="S613" s="677">
        <v>0</v>
      </c>
      <c r="T613" s="677">
        <v>0</v>
      </c>
      <c r="U613" s="677">
        <v>0</v>
      </c>
      <c r="V613" s="677">
        <v>0</v>
      </c>
      <c r="W613" s="677">
        <v>127</v>
      </c>
      <c r="X613" s="678"/>
      <c r="Y613" s="682"/>
      <c r="Z613" s="680"/>
      <c r="AA613" s="681">
        <v>90.783000000000001</v>
      </c>
      <c r="AB613" s="681">
        <v>29.978000000000002</v>
      </c>
      <c r="AC613" s="417">
        <v>13</v>
      </c>
      <c r="AD613" s="417"/>
      <c r="AE613" s="682" t="s">
        <v>4544</v>
      </c>
      <c r="AF613">
        <v>1</v>
      </c>
      <c r="AG613" s="767">
        <v>43101</v>
      </c>
      <c r="AH613" s="417"/>
      <c r="AI613" s="417"/>
      <c r="AJ613" s="768">
        <v>43420</v>
      </c>
      <c r="AK613" s="417"/>
      <c r="AL613" s="637" t="s">
        <v>3453</v>
      </c>
      <c r="AM613" s="417"/>
      <c r="AN613" s="417"/>
      <c r="AO613" s="636"/>
      <c r="AP613">
        <v>556693</v>
      </c>
      <c r="AQ613" s="769">
        <v>43420</v>
      </c>
      <c r="AR613" s="417"/>
      <c r="AS613" s="417"/>
      <c r="AT613" s="417"/>
      <c r="AU613" s="417"/>
      <c r="AV613" s="417"/>
      <c r="AW613" s="417"/>
      <c r="AX613" s="417"/>
      <c r="AY613" s="183" t="s">
        <v>4245</v>
      </c>
      <c r="AZ613" s="417"/>
      <c r="BA613" s="417"/>
      <c r="BB613" t="s">
        <v>4238</v>
      </c>
      <c r="BC613" s="636"/>
      <c r="BD613" s="417"/>
      <c r="BE613" s="612">
        <v>0</v>
      </c>
      <c r="BF613" s="613">
        <v>0</v>
      </c>
      <c r="BG613" s="614" t="s">
        <v>78</v>
      </c>
      <c r="BH613" s="682"/>
      <c r="BI613" s="417"/>
      <c r="BJ613" s="417">
        <v>1</v>
      </c>
      <c r="BK613" s="682" t="str">
        <f>Техкарта[[#This Row],[Кв-л]]&amp;" кв ("&amp;Substring(Техкарта[[#This Row],[Виділ]],"_",1)&amp;" вид) "&amp;Substring(Техкарта[[#This Row],[Виділ]],"_",2)&amp;" діл."</f>
        <v>54 кв (5 вид) 0 діл.</v>
      </c>
      <c r="BL613" s="682" t="str">
        <f>Техкарта[[#This Row],[ПолнаяДіл]] &amp;" "&amp;Техкарта[[#This Row],[ЛК]]&amp;" "&amp;Техкарта[[#This Row],[Вид рубки]]</f>
        <v>54 кв (5 вид) 0 діл. 556693 СРВ</v>
      </c>
      <c r="BM613" s="682"/>
      <c r="BN613" s="636" t="s">
        <v>3784</v>
      </c>
      <c r="BO613" s="636" t="s">
        <v>3784</v>
      </c>
      <c r="BP613" s="636" t="s">
        <v>3784</v>
      </c>
      <c r="BQ613" s="636" t="s">
        <v>105</v>
      </c>
      <c r="BR613" s="636"/>
      <c r="BS613" s="636"/>
      <c r="BT613" s="636"/>
      <c r="BU613" s="636"/>
      <c r="BV613" s="636"/>
      <c r="BW613" s="636" t="s">
        <v>4535</v>
      </c>
      <c r="BX613" s="636"/>
      <c r="BY613" s="972"/>
    </row>
    <row r="614" spans="1:77">
      <c r="A614" s="636" t="s">
        <v>105</v>
      </c>
      <c r="B614" s="675" t="s">
        <v>116</v>
      </c>
      <c r="C614" s="687" t="s">
        <v>126</v>
      </c>
      <c r="D614" s="675">
        <v>0</v>
      </c>
      <c r="E614" s="675" t="s">
        <v>2305</v>
      </c>
      <c r="F614" s="675">
        <v>3</v>
      </c>
      <c r="G614" s="675" t="s">
        <v>2238</v>
      </c>
      <c r="H614" s="675">
        <v>30</v>
      </c>
      <c r="I614" s="676" t="s">
        <v>3791</v>
      </c>
      <c r="J614" s="677">
        <v>3.6</v>
      </c>
      <c r="K614" s="683">
        <v>198</v>
      </c>
      <c r="L614" s="677">
        <v>0</v>
      </c>
      <c r="M614" s="677">
        <v>0</v>
      </c>
      <c r="N614" s="677">
        <v>2</v>
      </c>
      <c r="O614" s="677">
        <v>0</v>
      </c>
      <c r="P614" s="677">
        <v>0</v>
      </c>
      <c r="Q614" s="677">
        <v>0</v>
      </c>
      <c r="R614" s="677">
        <v>0</v>
      </c>
      <c r="S614" s="677">
        <v>0</v>
      </c>
      <c r="T614" s="677">
        <v>0</v>
      </c>
      <c r="U614" s="677">
        <v>0</v>
      </c>
      <c r="V614" s="677">
        <v>0</v>
      </c>
      <c r="W614" s="677">
        <v>124</v>
      </c>
      <c r="X614" s="678"/>
      <c r="Y614" s="682"/>
      <c r="Z614" s="680"/>
      <c r="AA614" s="681">
        <v>73.113</v>
      </c>
      <c r="AB614" s="681">
        <v>29.978000000000002</v>
      </c>
      <c r="AC614" s="417">
        <v>8</v>
      </c>
      <c r="AD614" s="417"/>
      <c r="AE614" s="682" t="s">
        <v>4545</v>
      </c>
      <c r="AF614">
        <v>1</v>
      </c>
      <c r="AG614" s="767">
        <v>43101</v>
      </c>
      <c r="AH614" s="417"/>
      <c r="AI614" s="417"/>
      <c r="AJ614" s="768">
        <v>43413</v>
      </c>
      <c r="AK614" s="417"/>
      <c r="AL614" s="637" t="s">
        <v>3437</v>
      </c>
      <c r="AM614" s="417"/>
      <c r="AN614" s="417"/>
      <c r="AO614" s="636"/>
      <c r="AP614">
        <v>556696</v>
      </c>
      <c r="AQ614" s="769">
        <v>43413</v>
      </c>
      <c r="AR614" s="417"/>
      <c r="AS614" s="417"/>
      <c r="AT614" s="417"/>
      <c r="AU614" s="417"/>
      <c r="AV614" s="417"/>
      <c r="AW614" s="417"/>
      <c r="AX614" s="417"/>
      <c r="AY614" s="183" t="s">
        <v>4245</v>
      </c>
      <c r="AZ614" s="417"/>
      <c r="BA614" s="417"/>
      <c r="BB614" t="s">
        <v>4238</v>
      </c>
      <c r="BC614" s="636"/>
      <c r="BD614" s="417"/>
      <c r="BE614" s="612">
        <v>0</v>
      </c>
      <c r="BF614" s="613">
        <v>0</v>
      </c>
      <c r="BG614" s="614" t="s">
        <v>78</v>
      </c>
      <c r="BH614" s="682"/>
      <c r="BI614" s="417"/>
      <c r="BJ614" s="417">
        <v>2</v>
      </c>
      <c r="BK614" s="682" t="str">
        <f>Техкарта[[#This Row],[Кв-л]]&amp;" кв ("&amp;Substring(Техкарта[[#This Row],[Виділ]],"_",1)&amp;" вид) "&amp;Substring(Техкарта[[#This Row],[Виділ]],"_",2)&amp;" діл."</f>
        <v>30 кв (7 вид) 0 діл.</v>
      </c>
      <c r="BL614" s="682" t="str">
        <f>Техкарта[[#This Row],[ПолнаяДіл]] &amp;" "&amp;Техкарта[[#This Row],[ЛК]]&amp;" "&amp;Техкарта[[#This Row],[Вид рубки]]</f>
        <v>30 кв (7 вид) 0 діл. 556696 СРВ</v>
      </c>
      <c r="BM614" s="682"/>
      <c r="BN614" s="636" t="s">
        <v>3784</v>
      </c>
      <c r="BO614" s="636" t="s">
        <v>3784</v>
      </c>
      <c r="BP614" s="636" t="s">
        <v>3784</v>
      </c>
      <c r="BQ614" s="636" t="s">
        <v>105</v>
      </c>
      <c r="BR614" s="636"/>
      <c r="BS614" s="636"/>
      <c r="BT614" s="636"/>
      <c r="BU614" s="636"/>
      <c r="BV614" s="636"/>
      <c r="BW614" s="636" t="s">
        <v>4535</v>
      </c>
      <c r="BX614" s="636"/>
      <c r="BY614" s="972"/>
    </row>
    <row r="615" spans="1:77">
      <c r="A615" s="636" t="s">
        <v>105</v>
      </c>
      <c r="B615" s="675" t="s">
        <v>116</v>
      </c>
      <c r="C615" s="687" t="s">
        <v>126</v>
      </c>
      <c r="D615" s="675">
        <v>0</v>
      </c>
      <c r="E615" s="675" t="s">
        <v>2305</v>
      </c>
      <c r="F615" s="675">
        <v>3</v>
      </c>
      <c r="G615" s="675" t="s">
        <v>2238</v>
      </c>
      <c r="H615" s="675">
        <v>78</v>
      </c>
      <c r="I615" s="676" t="s">
        <v>3790</v>
      </c>
      <c r="J615" s="677">
        <v>7.8</v>
      </c>
      <c r="K615" s="683">
        <v>478</v>
      </c>
      <c r="L615" s="677">
        <v>0</v>
      </c>
      <c r="M615" s="677">
        <v>24</v>
      </c>
      <c r="N615" s="677">
        <v>1</v>
      </c>
      <c r="O615" s="677">
        <v>0</v>
      </c>
      <c r="P615" s="677">
        <v>0</v>
      </c>
      <c r="Q615" s="677">
        <v>0</v>
      </c>
      <c r="R615" s="677">
        <v>0</v>
      </c>
      <c r="S615" s="677">
        <v>0</v>
      </c>
      <c r="T615" s="677">
        <v>0</v>
      </c>
      <c r="U615" s="677">
        <v>0</v>
      </c>
      <c r="V615" s="677">
        <v>99</v>
      </c>
      <c r="W615" s="677">
        <v>51</v>
      </c>
      <c r="X615" s="678"/>
      <c r="Y615" s="682"/>
      <c r="Z615" s="680"/>
      <c r="AA615" s="681">
        <v>73.527000000000001</v>
      </c>
      <c r="AB615" s="681">
        <v>29.978000000000002</v>
      </c>
      <c r="AC615" s="417">
        <v>20</v>
      </c>
      <c r="AD615" s="417"/>
      <c r="AE615" s="682" t="s">
        <v>4546</v>
      </c>
      <c r="AF615">
        <v>1</v>
      </c>
      <c r="AG615" s="767">
        <v>43101</v>
      </c>
      <c r="AH615" s="417"/>
      <c r="AI615" s="417"/>
      <c r="AJ615" s="768">
        <v>43413</v>
      </c>
      <c r="AK615" s="417"/>
      <c r="AL615" s="637" t="s">
        <v>3443</v>
      </c>
      <c r="AM615" s="417"/>
      <c r="AN615" s="417"/>
      <c r="AO615" s="636"/>
      <c r="AP615">
        <v>556696</v>
      </c>
      <c r="AQ615" s="769">
        <v>43413</v>
      </c>
      <c r="AR615" s="417"/>
      <c r="AS615" s="417"/>
      <c r="AT615" s="417"/>
      <c r="AU615" s="417"/>
      <c r="AV615" s="417"/>
      <c r="AW615" s="417"/>
      <c r="AX615" s="417"/>
      <c r="AY615" s="183" t="s">
        <v>4245</v>
      </c>
      <c r="AZ615" s="417"/>
      <c r="BA615" s="417"/>
      <c r="BB615" t="s">
        <v>4238</v>
      </c>
      <c r="BC615" s="636"/>
      <c r="BD615" s="417"/>
      <c r="BE615" s="612">
        <v>0</v>
      </c>
      <c r="BF615" s="613">
        <v>0</v>
      </c>
      <c r="BG615" s="614" t="s">
        <v>78</v>
      </c>
      <c r="BH615" s="682"/>
      <c r="BI615" s="417"/>
      <c r="BJ615" s="417">
        <v>3</v>
      </c>
      <c r="BK615" s="682" t="str">
        <f>Техкарта[[#This Row],[Кв-л]]&amp;" кв ("&amp;Substring(Техкарта[[#This Row],[Виділ]],"_",1)&amp;" вид) "&amp;Substring(Техкарта[[#This Row],[Виділ]],"_",2)&amp;" діл."</f>
        <v>78 кв (2 вид) 0 діл.</v>
      </c>
      <c r="BL615" s="682" t="str">
        <f>Техкарта[[#This Row],[ПолнаяДіл]] &amp;" "&amp;Техкарта[[#This Row],[ЛК]]&amp;" "&amp;Техкарта[[#This Row],[Вид рубки]]</f>
        <v>78 кв (2 вид) 0 діл. 556696 СРВ</v>
      </c>
      <c r="BM615" s="682"/>
      <c r="BN615" s="636" t="s">
        <v>3784</v>
      </c>
      <c r="BO615" s="636" t="s">
        <v>3784</v>
      </c>
      <c r="BP615" s="636" t="s">
        <v>3784</v>
      </c>
      <c r="BQ615" s="636" t="s">
        <v>105</v>
      </c>
      <c r="BR615" s="636"/>
      <c r="BS615" s="636"/>
      <c r="BT615" s="636"/>
      <c r="BU615" s="636"/>
      <c r="BV615" s="636"/>
      <c r="BW615" s="636" t="s">
        <v>4535</v>
      </c>
      <c r="BX615" s="636"/>
      <c r="BY615" s="972"/>
    </row>
    <row r="616" spans="1:77">
      <c r="A616" s="636" t="s">
        <v>105</v>
      </c>
      <c r="B616" s="675" t="s">
        <v>116</v>
      </c>
      <c r="C616" s="687" t="s">
        <v>126</v>
      </c>
      <c r="D616" s="675">
        <v>0</v>
      </c>
      <c r="E616" s="675" t="s">
        <v>2305</v>
      </c>
      <c r="F616" s="675">
        <v>3</v>
      </c>
      <c r="G616" s="675" t="s">
        <v>2238</v>
      </c>
      <c r="H616" s="675">
        <v>67</v>
      </c>
      <c r="I616" s="676" t="s">
        <v>4547</v>
      </c>
      <c r="J616" s="677">
        <v>2.2000000000000002</v>
      </c>
      <c r="K616" s="683">
        <v>252</v>
      </c>
      <c r="L616" s="677">
        <v>0</v>
      </c>
      <c r="M616" s="677">
        <v>14</v>
      </c>
      <c r="N616" s="677">
        <v>0</v>
      </c>
      <c r="O616" s="677">
        <v>0</v>
      </c>
      <c r="P616" s="677">
        <v>0</v>
      </c>
      <c r="Q616" s="677">
        <v>0</v>
      </c>
      <c r="R616" s="677">
        <v>0</v>
      </c>
      <c r="S616" s="677">
        <v>0</v>
      </c>
      <c r="T616" s="677">
        <v>0</v>
      </c>
      <c r="U616" s="677">
        <v>0</v>
      </c>
      <c r="V616" s="677">
        <v>84</v>
      </c>
      <c r="W616" s="677">
        <v>25</v>
      </c>
      <c r="X616" s="678"/>
      <c r="Y616" s="682"/>
      <c r="Z616" s="680"/>
      <c r="AA616" s="681">
        <v>71.268000000000001</v>
      </c>
      <c r="AB616" s="681">
        <v>29.978000000000002</v>
      </c>
      <c r="AC616" s="417">
        <v>14</v>
      </c>
      <c r="AD616" s="417"/>
      <c r="AE616" s="682" t="s">
        <v>4548</v>
      </c>
      <c r="AF616">
        <v>1</v>
      </c>
      <c r="AG616" s="767">
        <v>43101</v>
      </c>
      <c r="AH616" s="417"/>
      <c r="AI616" s="417"/>
      <c r="AJ616" s="768">
        <v>43413</v>
      </c>
      <c r="AK616" s="417"/>
      <c r="AL616" s="637" t="s">
        <v>3475</v>
      </c>
      <c r="AM616" s="417"/>
      <c r="AN616" s="417"/>
      <c r="AO616" s="636"/>
      <c r="AP616">
        <v>556696</v>
      </c>
      <c r="AQ616" s="769">
        <v>43413</v>
      </c>
      <c r="AR616" s="417"/>
      <c r="AS616" s="417"/>
      <c r="AT616" s="417"/>
      <c r="AU616" s="417"/>
      <c r="AV616" s="417"/>
      <c r="AW616" s="417"/>
      <c r="AX616" s="417"/>
      <c r="AY616" s="183" t="s">
        <v>4245</v>
      </c>
      <c r="AZ616" s="417"/>
      <c r="BA616" s="417"/>
      <c r="BB616" t="s">
        <v>4238</v>
      </c>
      <c r="BC616" s="636"/>
      <c r="BD616" s="417"/>
      <c r="BE616" s="612">
        <v>0</v>
      </c>
      <c r="BF616" s="613">
        <v>0</v>
      </c>
      <c r="BG616" s="614" t="s">
        <v>78</v>
      </c>
      <c r="BH616" s="682"/>
      <c r="BI616" s="417"/>
      <c r="BJ616" s="417">
        <v>4</v>
      </c>
      <c r="BK616" s="682" t="str">
        <f>Техкарта[[#This Row],[Кв-л]]&amp;" кв ("&amp;Substring(Техкарта[[#This Row],[Виділ]],"_",1)&amp;" вид) "&amp;Substring(Техкарта[[#This Row],[Виділ]],"_",2)&amp;" діл."</f>
        <v>67 кв (4 вид) 2 діл.</v>
      </c>
      <c r="BL616" s="682" t="str">
        <f>Техкарта[[#This Row],[ПолнаяДіл]] &amp;" "&amp;Техкарта[[#This Row],[ЛК]]&amp;" "&amp;Техкарта[[#This Row],[Вид рубки]]</f>
        <v>67 кв (4 вид) 2 діл. 556696 СРВ</v>
      </c>
      <c r="BM616" s="682"/>
      <c r="BN616" s="636" t="s">
        <v>3784</v>
      </c>
      <c r="BO616" s="636" t="s">
        <v>3784</v>
      </c>
      <c r="BP616" s="636" t="s">
        <v>3784</v>
      </c>
      <c r="BQ616" s="636" t="s">
        <v>105</v>
      </c>
      <c r="BR616" s="636"/>
      <c r="BS616" s="636"/>
      <c r="BT616" s="636"/>
      <c r="BU616" s="636"/>
      <c r="BV616" s="636"/>
      <c r="BW616" s="636" t="s">
        <v>4535</v>
      </c>
      <c r="BX616" s="636"/>
      <c r="BY616" s="972"/>
    </row>
    <row r="617" spans="1:77">
      <c r="A617" s="636" t="s">
        <v>104</v>
      </c>
      <c r="B617" s="675" t="s">
        <v>116</v>
      </c>
      <c r="C617" s="687" t="s">
        <v>104</v>
      </c>
      <c r="D617" s="675">
        <v>0</v>
      </c>
      <c r="E617" s="675" t="s">
        <v>2305</v>
      </c>
      <c r="F617" s="675">
        <v>2</v>
      </c>
      <c r="G617" s="675" t="s">
        <v>2238</v>
      </c>
      <c r="H617" s="675">
        <v>113</v>
      </c>
      <c r="I617" s="676" t="s">
        <v>3847</v>
      </c>
      <c r="J617" s="677">
        <v>1.5</v>
      </c>
      <c r="K617" s="683">
        <v>712</v>
      </c>
      <c r="L617" s="677">
        <v>0</v>
      </c>
      <c r="M617" s="677">
        <v>8</v>
      </c>
      <c r="N617" s="677">
        <v>328</v>
      </c>
      <c r="O617" s="677">
        <v>0</v>
      </c>
      <c r="P617" s="677">
        <v>0</v>
      </c>
      <c r="Q617" s="677">
        <v>10</v>
      </c>
      <c r="R617" s="677">
        <v>6</v>
      </c>
      <c r="S617" s="677">
        <v>8</v>
      </c>
      <c r="T617" s="677">
        <v>115</v>
      </c>
      <c r="U617" s="677">
        <v>3</v>
      </c>
      <c r="V617" s="677">
        <v>6</v>
      </c>
      <c r="W617" s="677">
        <v>81</v>
      </c>
      <c r="X617" s="678"/>
      <c r="Y617" s="682"/>
      <c r="Z617" s="680"/>
      <c r="AA617" s="681">
        <v>63.628</v>
      </c>
      <c r="AB617" s="681">
        <v>30.439</v>
      </c>
      <c r="AC617" s="417">
        <v>35</v>
      </c>
      <c r="AD617" s="417"/>
      <c r="AE617" s="682" t="s">
        <v>4550</v>
      </c>
      <c r="AF617">
        <v>1</v>
      </c>
      <c r="AG617" s="767">
        <v>43101</v>
      </c>
      <c r="AH617" s="417"/>
      <c r="AI617" s="417"/>
      <c r="AJ617" s="768">
        <v>43410</v>
      </c>
      <c r="AK617" s="417"/>
      <c r="AL617" s="637" t="s">
        <v>3477</v>
      </c>
      <c r="AM617" s="417"/>
      <c r="AN617" s="417"/>
      <c r="AO617" s="636"/>
      <c r="AP617">
        <v>556618</v>
      </c>
      <c r="AQ617" s="769">
        <v>43077</v>
      </c>
      <c r="AR617" s="417"/>
      <c r="AS617" s="417"/>
      <c r="AT617" s="417"/>
      <c r="AU617" s="417"/>
      <c r="AV617" s="417"/>
      <c r="AW617" s="417"/>
      <c r="AX617" s="417"/>
      <c r="AY617" s="183" t="s">
        <v>4245</v>
      </c>
      <c r="AZ617" s="417"/>
      <c r="BA617" s="417"/>
      <c r="BB617" t="s">
        <v>4238</v>
      </c>
      <c r="BC617" s="636"/>
      <c r="BD617" s="417"/>
      <c r="BE617" s="612">
        <v>5</v>
      </c>
      <c r="BF617" s="613">
        <v>40</v>
      </c>
      <c r="BG617" s="614" t="s">
        <v>78</v>
      </c>
      <c r="BH617" s="682"/>
      <c r="BI617" s="417"/>
      <c r="BJ617" s="417">
        <v>1</v>
      </c>
      <c r="BK617" s="682" t="str">
        <f>Техкарта[[#This Row],[Кв-л]]&amp;" кв ("&amp;Substring(Техкарта[[#This Row],[Виділ]],"_",1)&amp;" вид) "&amp;Substring(Техкарта[[#This Row],[Виділ]],"_",2)&amp;" діл."</f>
        <v>113 кв (4 вид) 1 діл.</v>
      </c>
      <c r="BL617" s="682" t="str">
        <f>Техкарта[[#This Row],[ПолнаяДіл]] &amp;" "&amp;Техкарта[[#This Row],[ЛК]]&amp;" "&amp;Техкарта[[#This Row],[Вид рубки]]</f>
        <v>113 кв (4 вид) 1 діл. 556618 РГК</v>
      </c>
      <c r="BM617" s="682"/>
      <c r="BN617" s="636" t="s">
        <v>3784</v>
      </c>
      <c r="BO617" s="636" t="s">
        <v>3784</v>
      </c>
      <c r="BP617" s="636" t="s">
        <v>3784</v>
      </c>
      <c r="BQ617" s="636" t="s">
        <v>104</v>
      </c>
      <c r="BR617" s="636"/>
      <c r="BS617" s="636"/>
      <c r="BT617" s="636"/>
      <c r="BU617" s="636"/>
      <c r="BV617" s="636"/>
      <c r="BW617" s="636" t="s">
        <v>4549</v>
      </c>
      <c r="BX617" s="636"/>
      <c r="BY617" s="972"/>
    </row>
    <row r="618" spans="1:77">
      <c r="A618" s="636" t="s">
        <v>105</v>
      </c>
      <c r="B618" s="675" t="s">
        <v>111</v>
      </c>
      <c r="C618" s="687" t="s">
        <v>134</v>
      </c>
      <c r="D618" s="675">
        <v>0</v>
      </c>
      <c r="E618" s="675" t="s">
        <v>2305</v>
      </c>
      <c r="F618" s="675">
        <v>3</v>
      </c>
      <c r="G618" s="675" t="s">
        <v>2238</v>
      </c>
      <c r="H618" s="675">
        <v>78</v>
      </c>
      <c r="I618" s="676" t="s">
        <v>3792</v>
      </c>
      <c r="J618" s="677">
        <v>3</v>
      </c>
      <c r="K618" s="683">
        <v>81</v>
      </c>
      <c r="L618" s="677">
        <v>0</v>
      </c>
      <c r="M618" s="677">
        <v>0</v>
      </c>
      <c r="N618" s="677">
        <v>0</v>
      </c>
      <c r="O618" s="677">
        <v>0</v>
      </c>
      <c r="P618" s="677">
        <v>0</v>
      </c>
      <c r="Q618" s="677">
        <v>0</v>
      </c>
      <c r="R618" s="677">
        <v>0</v>
      </c>
      <c r="S618" s="677">
        <v>0</v>
      </c>
      <c r="T618" s="677">
        <v>0</v>
      </c>
      <c r="U618" s="677">
        <v>0</v>
      </c>
      <c r="V618" s="677">
        <v>0</v>
      </c>
      <c r="W618" s="677">
        <v>2</v>
      </c>
      <c r="X618" s="678"/>
      <c r="Y618" s="682"/>
      <c r="Z618" s="680"/>
      <c r="AA618" s="681">
        <v>338.15300000000002</v>
      </c>
      <c r="AB618" s="681">
        <v>29.978000000000002</v>
      </c>
      <c r="AC618" s="417">
        <v>57</v>
      </c>
      <c r="AD618" s="417"/>
      <c r="AE618" s="682" t="s">
        <v>4551</v>
      </c>
      <c r="AF618">
        <v>1</v>
      </c>
      <c r="AG618" s="767">
        <v>43101</v>
      </c>
      <c r="AH618" s="417"/>
      <c r="AI618" s="417"/>
      <c r="AJ618" s="768">
        <v>43405</v>
      </c>
      <c r="AK618" s="417"/>
      <c r="AL618" s="637" t="s">
        <v>3451</v>
      </c>
      <c r="AM618" s="417"/>
      <c r="AN618" s="417"/>
      <c r="AO618" s="636"/>
      <c r="AP618">
        <v>556630</v>
      </c>
      <c r="AQ618" s="769">
        <v>43102</v>
      </c>
      <c r="AR618" s="417"/>
      <c r="AS618" s="417"/>
      <c r="AT618" s="417"/>
      <c r="AU618" s="417"/>
      <c r="AV618" s="417"/>
      <c r="AW618" s="417"/>
      <c r="AX618" s="417"/>
      <c r="AY618" s="183" t="s">
        <v>3424</v>
      </c>
      <c r="AZ618" s="417"/>
      <c r="BA618" s="417"/>
      <c r="BB618" t="s">
        <v>3583</v>
      </c>
      <c r="BC618" s="636"/>
      <c r="BD618" s="417"/>
      <c r="BE618" s="612">
        <v>0</v>
      </c>
      <c r="BF618" s="613">
        <v>0</v>
      </c>
      <c r="BG618" s="614" t="s">
        <v>78</v>
      </c>
      <c r="BH618" s="682"/>
      <c r="BI618" s="417"/>
      <c r="BJ618" s="417">
        <v>1</v>
      </c>
      <c r="BK618" s="682" t="str">
        <f>Техкарта[[#This Row],[Кв-л]]&amp;" кв ("&amp;Substring(Техкарта[[#This Row],[Виділ]],"_",1)&amp;" вид) "&amp;Substring(Техкарта[[#This Row],[Виділ]],"_",2)&amp;" діл."</f>
        <v>78 кв (13 вид) 0 діл.</v>
      </c>
      <c r="BL618" s="682" t="str">
        <f>Техкарта[[#This Row],[ПолнаяДіл]] &amp;" "&amp;Техкарта[[#This Row],[ЛК]]&amp;" "&amp;Техкарта[[#This Row],[Вид рубки]]</f>
        <v>78 кв (13 вид) 0 діл. 556630 ПРЧ</v>
      </c>
      <c r="BM618" s="682"/>
      <c r="BN618" s="636" t="s">
        <v>3784</v>
      </c>
      <c r="BO618" s="636" t="s">
        <v>3784</v>
      </c>
      <c r="BP618" s="636" t="s">
        <v>3784</v>
      </c>
      <c r="BQ618" s="636" t="s">
        <v>105</v>
      </c>
      <c r="BR618" s="636"/>
      <c r="BS618" s="636"/>
      <c r="BT618" s="636"/>
      <c r="BU618" s="636"/>
      <c r="BV618" s="636"/>
      <c r="BW618" s="636" t="s">
        <v>4549</v>
      </c>
      <c r="BX618" s="636"/>
      <c r="BY618" s="972"/>
    </row>
    <row r="619" spans="1:77">
      <c r="A619" s="636" t="s">
        <v>105</v>
      </c>
      <c r="B619" s="675" t="s">
        <v>111</v>
      </c>
      <c r="C619" s="687" t="s">
        <v>134</v>
      </c>
      <c r="D619" s="675">
        <v>0</v>
      </c>
      <c r="E619" s="675" t="s">
        <v>2305</v>
      </c>
      <c r="F619" s="675">
        <v>3</v>
      </c>
      <c r="G619" s="675" t="s">
        <v>2238</v>
      </c>
      <c r="H619" s="675">
        <v>48</v>
      </c>
      <c r="I619" s="676" t="s">
        <v>3830</v>
      </c>
      <c r="J619" s="677">
        <v>6.1</v>
      </c>
      <c r="K619" s="683">
        <v>75</v>
      </c>
      <c r="L619" s="677">
        <v>0</v>
      </c>
      <c r="M619" s="677">
        <v>0</v>
      </c>
      <c r="N619" s="677">
        <v>0</v>
      </c>
      <c r="O619" s="677">
        <v>0</v>
      </c>
      <c r="P619" s="677">
        <v>0</v>
      </c>
      <c r="Q619" s="677">
        <v>0</v>
      </c>
      <c r="R619" s="677">
        <v>0</v>
      </c>
      <c r="S619" s="677">
        <v>0</v>
      </c>
      <c r="T619" s="677">
        <v>0</v>
      </c>
      <c r="U619" s="677">
        <v>0</v>
      </c>
      <c r="V619" s="677">
        <v>0</v>
      </c>
      <c r="W619" s="677">
        <v>3</v>
      </c>
      <c r="X619" s="678"/>
      <c r="Y619" s="682"/>
      <c r="Z619" s="680"/>
      <c r="AA619" s="681">
        <v>336.93200000000002</v>
      </c>
      <c r="AB619" s="681">
        <v>29.978000000000002</v>
      </c>
      <c r="AC619" s="417">
        <v>76</v>
      </c>
      <c r="AD619" s="417"/>
      <c r="AE619" s="682" t="s">
        <v>4552</v>
      </c>
      <c r="AF619">
        <v>1</v>
      </c>
      <c r="AG619" s="767">
        <v>43101</v>
      </c>
      <c r="AH619" s="417"/>
      <c r="AI619" s="417"/>
      <c r="AJ619" s="768">
        <v>43405</v>
      </c>
      <c r="AK619" s="417"/>
      <c r="AL619" s="637" t="s">
        <v>3457</v>
      </c>
      <c r="AM619" s="417"/>
      <c r="AN619" s="417"/>
      <c r="AO619" s="636"/>
      <c r="AP619">
        <v>556630</v>
      </c>
      <c r="AQ619" s="769">
        <v>43102</v>
      </c>
      <c r="AR619" s="417"/>
      <c r="AS619" s="417"/>
      <c r="AT619" s="417"/>
      <c r="AU619" s="417"/>
      <c r="AV619" s="417"/>
      <c r="AW619" s="417"/>
      <c r="AX619" s="417"/>
      <c r="AY619" s="183" t="s">
        <v>3424</v>
      </c>
      <c r="AZ619" s="417"/>
      <c r="BA619" s="417"/>
      <c r="BB619" t="s">
        <v>3583</v>
      </c>
      <c r="BC619" s="636"/>
      <c r="BD619" s="417"/>
      <c r="BE619" s="612">
        <v>0</v>
      </c>
      <c r="BF619" s="613">
        <v>0</v>
      </c>
      <c r="BG619" s="614" t="s">
        <v>78</v>
      </c>
      <c r="BH619" s="682"/>
      <c r="BI619" s="417"/>
      <c r="BJ619" s="417">
        <v>2</v>
      </c>
      <c r="BK619" s="682" t="str">
        <f>Техкарта[[#This Row],[Кв-л]]&amp;" кв ("&amp;Substring(Техкарта[[#This Row],[Виділ]],"_",1)&amp;" вид) "&amp;Substring(Техкарта[[#This Row],[Виділ]],"_",2)&amp;" діл."</f>
        <v>48 кв (1 вид) 0 діл.</v>
      </c>
      <c r="BL619" s="682" t="str">
        <f>Техкарта[[#This Row],[ПолнаяДіл]] &amp;" "&amp;Техкарта[[#This Row],[ЛК]]&amp;" "&amp;Техкарта[[#This Row],[Вид рубки]]</f>
        <v>48 кв (1 вид) 0 діл. 556630 ПРЧ</v>
      </c>
      <c r="BM619" s="682"/>
      <c r="BN619" s="636" t="s">
        <v>3784</v>
      </c>
      <c r="BO619" s="636" t="s">
        <v>3784</v>
      </c>
      <c r="BP619" s="636" t="s">
        <v>3784</v>
      </c>
      <c r="BQ619" s="636" t="s">
        <v>105</v>
      </c>
      <c r="BR619" s="636"/>
      <c r="BS619" s="636"/>
      <c r="BT619" s="636"/>
      <c r="BU619" s="636"/>
      <c r="BV619" s="636"/>
      <c r="BW619" s="636" t="s">
        <v>4549</v>
      </c>
      <c r="BX619" s="636"/>
      <c r="BY619" s="972"/>
    </row>
    <row r="620" spans="1:77">
      <c r="A620" s="636" t="s">
        <v>105</v>
      </c>
      <c r="B620" s="675" t="s">
        <v>115</v>
      </c>
      <c r="C620" s="687" t="s">
        <v>126</v>
      </c>
      <c r="D620" s="675">
        <v>0</v>
      </c>
      <c r="E620" s="675" t="s">
        <v>2305</v>
      </c>
      <c r="F620" s="675">
        <v>3</v>
      </c>
      <c r="G620" s="675" t="s">
        <v>2238</v>
      </c>
      <c r="H620" s="675">
        <v>21</v>
      </c>
      <c r="I620" s="676" t="s">
        <v>4219</v>
      </c>
      <c r="J620" s="677">
        <v>20.7</v>
      </c>
      <c r="K620" s="683">
        <v>810</v>
      </c>
      <c r="L620" s="677">
        <v>0</v>
      </c>
      <c r="M620" s="677">
        <v>0</v>
      </c>
      <c r="N620" s="677">
        <v>10</v>
      </c>
      <c r="O620" s="677">
        <v>0</v>
      </c>
      <c r="P620" s="677">
        <v>0</v>
      </c>
      <c r="Q620" s="677">
        <v>0</v>
      </c>
      <c r="R620" s="677">
        <v>0</v>
      </c>
      <c r="S620" s="677">
        <v>0</v>
      </c>
      <c r="T620" s="677">
        <v>0</v>
      </c>
      <c r="U620" s="677">
        <v>4</v>
      </c>
      <c r="V620" s="677">
        <v>0</v>
      </c>
      <c r="W620" s="677">
        <v>302</v>
      </c>
      <c r="X620" s="678"/>
      <c r="Y620" s="682"/>
      <c r="Z620" s="680"/>
      <c r="AA620" s="681">
        <v>88.094999999999999</v>
      </c>
      <c r="AB620" s="681">
        <v>29.978000000000002</v>
      </c>
      <c r="AC620" s="417">
        <v>26</v>
      </c>
      <c r="AD620" s="417"/>
      <c r="AE620" s="682" t="s">
        <v>4553</v>
      </c>
      <c r="AF620">
        <v>1</v>
      </c>
      <c r="AG620" s="767">
        <v>43101</v>
      </c>
      <c r="AH620" s="417"/>
      <c r="AI620" s="417"/>
      <c r="AJ620" s="768">
        <v>43413</v>
      </c>
      <c r="AK620" s="417"/>
      <c r="AL620" s="637" t="s">
        <v>3471</v>
      </c>
      <c r="AM620" s="417"/>
      <c r="AN620" s="417"/>
      <c r="AO620" s="636"/>
      <c r="AP620">
        <v>556697</v>
      </c>
      <c r="AQ620" s="769">
        <v>43413</v>
      </c>
      <c r="AR620" s="417"/>
      <c r="AS620" s="417"/>
      <c r="AT620" s="417"/>
      <c r="AU620" s="417"/>
      <c r="AV620" s="417"/>
      <c r="AW620" s="417"/>
      <c r="AX620" s="417"/>
      <c r="AY620" s="183" t="s">
        <v>3362</v>
      </c>
      <c r="AZ620" s="417"/>
      <c r="BA620" s="417"/>
      <c r="BB620" t="s">
        <v>3585</v>
      </c>
      <c r="BC620" s="636"/>
      <c r="BD620" s="417"/>
      <c r="BE620" s="612">
        <v>0</v>
      </c>
      <c r="BF620" s="613">
        <v>0</v>
      </c>
      <c r="BG620" s="614" t="s">
        <v>78</v>
      </c>
      <c r="BH620" s="682"/>
      <c r="BI620" s="417"/>
      <c r="BJ620" s="417">
        <v>1</v>
      </c>
      <c r="BK620" s="682" t="str">
        <f>Техкарта[[#This Row],[Кв-л]]&amp;" кв ("&amp;Substring(Техкарта[[#This Row],[Виділ]],"_",1)&amp;" вид) "&amp;Substring(Техкарта[[#This Row],[Виділ]],"_",2)&amp;" діл."</f>
        <v>21 кв (2 вид) 2 діл.</v>
      </c>
      <c r="BL620" s="682" t="str">
        <f>Техкарта[[#This Row],[ПолнаяДіл]] &amp;" "&amp;Техкарта[[#This Row],[ЛК]]&amp;" "&amp;Техкарта[[#This Row],[Вид рубки]]</f>
        <v>21 кв (2 вид) 2 діл. 556697 СРВ</v>
      </c>
      <c r="BM620" s="682"/>
      <c r="BN620" s="636" t="s">
        <v>3784</v>
      </c>
      <c r="BO620" s="636" t="s">
        <v>3784</v>
      </c>
      <c r="BP620" s="636" t="s">
        <v>3784</v>
      </c>
      <c r="BQ620" s="636" t="s">
        <v>105</v>
      </c>
      <c r="BR620" s="636"/>
      <c r="BS620" s="636"/>
      <c r="BT620" s="636"/>
      <c r="BU620" s="636"/>
      <c r="BV620" s="636"/>
      <c r="BW620" s="636" t="s">
        <v>4549</v>
      </c>
      <c r="BX620" s="636"/>
      <c r="BY620" s="972"/>
    </row>
    <row r="621" spans="1:77">
      <c r="A621" s="636" t="s">
        <v>105</v>
      </c>
      <c r="B621" s="675" t="s">
        <v>115</v>
      </c>
      <c r="C621" s="687" t="s">
        <v>126</v>
      </c>
      <c r="D621" s="675">
        <v>0</v>
      </c>
      <c r="E621" s="675" t="s">
        <v>2305</v>
      </c>
      <c r="F621" s="675">
        <v>3</v>
      </c>
      <c r="G621" s="675" t="s">
        <v>2238</v>
      </c>
      <c r="H621" s="675">
        <v>36</v>
      </c>
      <c r="I621" s="676" t="s">
        <v>3806</v>
      </c>
      <c r="J621" s="677">
        <v>14.5</v>
      </c>
      <c r="K621" s="683">
        <v>441</v>
      </c>
      <c r="L621" s="677">
        <v>0</v>
      </c>
      <c r="M621" s="677">
        <v>0</v>
      </c>
      <c r="N621" s="677">
        <v>10</v>
      </c>
      <c r="O621" s="677">
        <v>0</v>
      </c>
      <c r="P621" s="677">
        <v>0</v>
      </c>
      <c r="Q621" s="677">
        <v>0</v>
      </c>
      <c r="R621" s="677">
        <v>0</v>
      </c>
      <c r="S621" s="677">
        <v>0</v>
      </c>
      <c r="T621" s="677">
        <v>0</v>
      </c>
      <c r="U621" s="677">
        <v>79</v>
      </c>
      <c r="V621" s="677">
        <v>12</v>
      </c>
      <c r="W621" s="677">
        <v>67</v>
      </c>
      <c r="X621" s="678"/>
      <c r="Y621" s="682"/>
      <c r="Z621" s="680"/>
      <c r="AA621" s="681">
        <v>95.662000000000006</v>
      </c>
      <c r="AB621" s="681">
        <v>29.978000000000002</v>
      </c>
      <c r="AC621" s="417">
        <v>18</v>
      </c>
      <c r="AD621" s="417"/>
      <c r="AE621" s="682" t="s">
        <v>4554</v>
      </c>
      <c r="AF621">
        <v>1</v>
      </c>
      <c r="AG621" s="767">
        <v>43101</v>
      </c>
      <c r="AH621" s="417"/>
      <c r="AI621" s="417"/>
      <c r="AJ621" s="768">
        <v>43413</v>
      </c>
      <c r="AK621" s="417"/>
      <c r="AL621" s="637" t="s">
        <v>3466</v>
      </c>
      <c r="AM621" s="417"/>
      <c r="AN621" s="417"/>
      <c r="AO621" s="636"/>
      <c r="AP621">
        <v>556697</v>
      </c>
      <c r="AQ621" s="769">
        <v>43413</v>
      </c>
      <c r="AR621" s="417"/>
      <c r="AS621" s="417"/>
      <c r="AT621" s="417"/>
      <c r="AU621" s="417"/>
      <c r="AV621" s="417"/>
      <c r="AW621" s="417"/>
      <c r="AX621" s="417"/>
      <c r="AY621" s="183" t="s">
        <v>3362</v>
      </c>
      <c r="AZ621" s="417"/>
      <c r="BA621" s="417"/>
      <c r="BB621" t="s">
        <v>3585</v>
      </c>
      <c r="BC621" s="636"/>
      <c r="BD621" s="417"/>
      <c r="BE621" s="612">
        <v>0</v>
      </c>
      <c r="BF621" s="613">
        <v>0</v>
      </c>
      <c r="BG621" s="614" t="s">
        <v>78</v>
      </c>
      <c r="BH621" s="682"/>
      <c r="BI621" s="417"/>
      <c r="BJ621" s="417">
        <v>2</v>
      </c>
      <c r="BK621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21" s="682" t="str">
        <f>Техкарта[[#This Row],[ПолнаяДіл]] &amp;" "&amp;Техкарта[[#This Row],[ЛК]]&amp;" "&amp;Техкарта[[#This Row],[Вид рубки]]</f>
        <v>36 кв (1 вид) 1 діл. 556697 СРВ</v>
      </c>
      <c r="BM621" s="682"/>
      <c r="BN621" s="636" t="s">
        <v>3784</v>
      </c>
      <c r="BO621" s="636" t="s">
        <v>3784</v>
      </c>
      <c r="BP621" s="636" t="s">
        <v>3784</v>
      </c>
      <c r="BQ621" s="636" t="s">
        <v>105</v>
      </c>
      <c r="BR621" s="636"/>
      <c r="BS621" s="636"/>
      <c r="BT621" s="636"/>
      <c r="BU621" s="636"/>
      <c r="BV621" s="636"/>
      <c r="BW621" s="636" t="s">
        <v>4549</v>
      </c>
      <c r="BX621" s="636"/>
      <c r="BY621" s="972"/>
    </row>
    <row r="622" spans="1:77">
      <c r="A622" s="636" t="s">
        <v>105</v>
      </c>
      <c r="B622" s="675" t="s">
        <v>115</v>
      </c>
      <c r="C622" s="687" t="s">
        <v>126</v>
      </c>
      <c r="D622" s="675">
        <v>0</v>
      </c>
      <c r="E622" s="675" t="s">
        <v>2305</v>
      </c>
      <c r="F622" s="675">
        <v>3</v>
      </c>
      <c r="G622" s="675" t="s">
        <v>2238</v>
      </c>
      <c r="H622" s="675">
        <v>71</v>
      </c>
      <c r="I622" s="676" t="s">
        <v>4163</v>
      </c>
      <c r="J622" s="677">
        <v>26.4</v>
      </c>
      <c r="K622" s="683">
        <v>1801</v>
      </c>
      <c r="L622" s="677">
        <v>0</v>
      </c>
      <c r="M622" s="677">
        <v>0</v>
      </c>
      <c r="N622" s="677">
        <v>26</v>
      </c>
      <c r="O622" s="677">
        <v>0</v>
      </c>
      <c r="P622" s="677">
        <v>0</v>
      </c>
      <c r="Q622" s="677">
        <v>0</v>
      </c>
      <c r="R622" s="677">
        <v>0</v>
      </c>
      <c r="S622" s="677">
        <v>0</v>
      </c>
      <c r="T622" s="677">
        <v>0</v>
      </c>
      <c r="U622" s="677">
        <v>242</v>
      </c>
      <c r="V622" s="677">
        <v>54</v>
      </c>
      <c r="W622" s="677">
        <v>351</v>
      </c>
      <c r="X622" s="678"/>
      <c r="Y622" s="682"/>
      <c r="Z622" s="680"/>
      <c r="AA622" s="681">
        <v>84.647000000000006</v>
      </c>
      <c r="AB622" s="681">
        <v>29.978000000000002</v>
      </c>
      <c r="AC622" s="417">
        <v>69</v>
      </c>
      <c r="AD622" s="417"/>
      <c r="AE622" s="682" t="s">
        <v>4555</v>
      </c>
      <c r="AF622">
        <v>1</v>
      </c>
      <c r="AG622" s="767">
        <v>43101</v>
      </c>
      <c r="AH622" s="417"/>
      <c r="AI622" s="417"/>
      <c r="AJ622" s="768">
        <v>43413</v>
      </c>
      <c r="AK622" s="417"/>
      <c r="AL622" s="637" t="s">
        <v>3466</v>
      </c>
      <c r="AM622" s="417"/>
      <c r="AN622" s="417"/>
      <c r="AO622" s="636"/>
      <c r="AP622">
        <v>556697</v>
      </c>
      <c r="AQ622" s="769">
        <v>43413</v>
      </c>
      <c r="AR622" s="417"/>
      <c r="AS622" s="417"/>
      <c r="AT622" s="417"/>
      <c r="AU622" s="417"/>
      <c r="AV622" s="417"/>
      <c r="AW622" s="417"/>
      <c r="AX622" s="417"/>
      <c r="AY622" s="183" t="s">
        <v>3362</v>
      </c>
      <c r="AZ622" s="417"/>
      <c r="BA622" s="417"/>
      <c r="BB622" t="s">
        <v>3585</v>
      </c>
      <c r="BC622" s="636"/>
      <c r="BD622" s="417"/>
      <c r="BE622" s="612">
        <v>0</v>
      </c>
      <c r="BF622" s="613">
        <v>0</v>
      </c>
      <c r="BG622" s="614" t="s">
        <v>78</v>
      </c>
      <c r="BH622" s="682"/>
      <c r="BI622" s="417"/>
      <c r="BJ622" s="417">
        <v>3</v>
      </c>
      <c r="BK622" s="682" t="str">
        <f>Техкарта[[#This Row],[Кв-л]]&amp;" кв ("&amp;Substring(Техкарта[[#This Row],[Виділ]],"_",1)&amp;" вид) "&amp;Substring(Техкарта[[#This Row],[Виділ]],"_",2)&amp;" діл."</f>
        <v>71 кв (3 вид) 2 діл.</v>
      </c>
      <c r="BL622" s="682" t="str">
        <f>Техкарта[[#This Row],[ПолнаяДіл]] &amp;" "&amp;Техкарта[[#This Row],[ЛК]]&amp;" "&amp;Техкарта[[#This Row],[Вид рубки]]</f>
        <v>71 кв (3 вид) 2 діл. 556697 СРВ</v>
      </c>
      <c r="BM622" s="682"/>
      <c r="BN622" s="636" t="s">
        <v>3784</v>
      </c>
      <c r="BO622" s="636" t="s">
        <v>3784</v>
      </c>
      <c r="BP622" s="636" t="s">
        <v>3784</v>
      </c>
      <c r="BQ622" s="636" t="s">
        <v>105</v>
      </c>
      <c r="BR622" s="636"/>
      <c r="BS622" s="636"/>
      <c r="BT622" s="636"/>
      <c r="BU622" s="636"/>
      <c r="BV622" s="636"/>
      <c r="BW622" s="636" t="s">
        <v>4549</v>
      </c>
      <c r="BX622" s="636"/>
      <c r="BY622" s="972"/>
    </row>
    <row r="623" spans="1:77">
      <c r="A623" s="636" t="s">
        <v>105</v>
      </c>
      <c r="B623" s="675" t="s">
        <v>115</v>
      </c>
      <c r="C623" s="687" t="s">
        <v>126</v>
      </c>
      <c r="D623" s="675">
        <v>0</v>
      </c>
      <c r="E623" s="675" t="s">
        <v>2305</v>
      </c>
      <c r="F623" s="675">
        <v>3</v>
      </c>
      <c r="G623" s="675" t="s">
        <v>2238</v>
      </c>
      <c r="H623" s="675">
        <v>110</v>
      </c>
      <c r="I623" s="676" t="s">
        <v>3806</v>
      </c>
      <c r="J623" s="677">
        <v>8.1999999999999993</v>
      </c>
      <c r="K623" s="683">
        <v>398</v>
      </c>
      <c r="L623" s="677">
        <v>0</v>
      </c>
      <c r="M623" s="677">
        <v>0</v>
      </c>
      <c r="N623" s="677">
        <v>6</v>
      </c>
      <c r="O623" s="677">
        <v>0</v>
      </c>
      <c r="P623" s="677">
        <v>0</v>
      </c>
      <c r="Q623" s="677">
        <v>0</v>
      </c>
      <c r="R623" s="677">
        <v>0</v>
      </c>
      <c r="S623" s="677">
        <v>0</v>
      </c>
      <c r="T623" s="677">
        <v>0</v>
      </c>
      <c r="U623" s="677">
        <v>72</v>
      </c>
      <c r="V623" s="677">
        <v>5</v>
      </c>
      <c r="W623" s="677">
        <v>62</v>
      </c>
      <c r="X623" s="678"/>
      <c r="Y623" s="682"/>
      <c r="Z623" s="680"/>
      <c r="AA623" s="681">
        <v>91.07</v>
      </c>
      <c r="AB623" s="681">
        <v>29.978000000000002</v>
      </c>
      <c r="AC623" s="417">
        <v>17</v>
      </c>
      <c r="AD623" s="417"/>
      <c r="AE623" s="682" t="s">
        <v>4556</v>
      </c>
      <c r="AF623">
        <v>1</v>
      </c>
      <c r="AG623" s="767">
        <v>43101</v>
      </c>
      <c r="AH623" s="417"/>
      <c r="AI623" s="417"/>
      <c r="AJ623" s="768">
        <v>43413</v>
      </c>
      <c r="AK623" s="417"/>
      <c r="AL623" s="637" t="s">
        <v>3466</v>
      </c>
      <c r="AM623" s="417"/>
      <c r="AN623" s="417"/>
      <c r="AO623" s="636"/>
      <c r="AP623">
        <v>556697</v>
      </c>
      <c r="AQ623" s="769">
        <v>43413</v>
      </c>
      <c r="AR623" s="417"/>
      <c r="AS623" s="417"/>
      <c r="AT623" s="417"/>
      <c r="AU623" s="417"/>
      <c r="AV623" s="417"/>
      <c r="AW623" s="417"/>
      <c r="AX623" s="417"/>
      <c r="AY623" s="183" t="s">
        <v>3362</v>
      </c>
      <c r="AZ623" s="417"/>
      <c r="BA623" s="417"/>
      <c r="BB623" t="s">
        <v>3585</v>
      </c>
      <c r="BC623" s="636"/>
      <c r="BD623" s="417"/>
      <c r="BE623" s="612">
        <v>0</v>
      </c>
      <c r="BF623" s="613">
        <v>0</v>
      </c>
      <c r="BG623" s="614" t="s">
        <v>78</v>
      </c>
      <c r="BH623" s="682"/>
      <c r="BI623" s="417"/>
      <c r="BJ623" s="417">
        <v>4</v>
      </c>
      <c r="BK623" s="682" t="str">
        <f>Техкарта[[#This Row],[Кв-л]]&amp;" кв ("&amp;Substring(Техкарта[[#This Row],[Виділ]],"_",1)&amp;" вид) "&amp;Substring(Техкарта[[#This Row],[Виділ]],"_",2)&amp;" діл."</f>
        <v>110 кв (1 вид) 1 діл.</v>
      </c>
      <c r="BL623" s="682" t="str">
        <f>Техкарта[[#This Row],[ПолнаяДіл]] &amp;" "&amp;Техкарта[[#This Row],[ЛК]]&amp;" "&amp;Техкарта[[#This Row],[Вид рубки]]</f>
        <v>110 кв (1 вид) 1 діл. 556697 СРВ</v>
      </c>
      <c r="BM623" s="682"/>
      <c r="BN623" s="636" t="s">
        <v>3784</v>
      </c>
      <c r="BO623" s="636" t="s">
        <v>3784</v>
      </c>
      <c r="BP623" s="636" t="s">
        <v>3784</v>
      </c>
      <c r="BQ623" s="636" t="s">
        <v>105</v>
      </c>
      <c r="BR623" s="636"/>
      <c r="BS623" s="636"/>
      <c r="BT623" s="636"/>
      <c r="BU623" s="636"/>
      <c r="BV623" s="636"/>
      <c r="BW623" s="636" t="s">
        <v>4549</v>
      </c>
      <c r="BX623" s="636"/>
      <c r="BY623" s="972"/>
    </row>
    <row r="624" spans="1:77">
      <c r="A624" s="636" t="s">
        <v>105</v>
      </c>
      <c r="B624" s="675" t="s">
        <v>115</v>
      </c>
      <c r="C624" s="687" t="s">
        <v>126</v>
      </c>
      <c r="D624" s="675">
        <v>0</v>
      </c>
      <c r="E624" s="675" t="s">
        <v>2305</v>
      </c>
      <c r="F624" s="675">
        <v>3</v>
      </c>
      <c r="G624" s="675" t="s">
        <v>2238</v>
      </c>
      <c r="H624" s="675">
        <v>132</v>
      </c>
      <c r="I624" s="676" t="s">
        <v>3799</v>
      </c>
      <c r="J624" s="677">
        <v>4.9000000000000004</v>
      </c>
      <c r="K624" s="683">
        <v>244</v>
      </c>
      <c r="L624" s="677">
        <v>0</v>
      </c>
      <c r="M624" s="677">
        <v>0</v>
      </c>
      <c r="N624" s="677">
        <v>12</v>
      </c>
      <c r="O624" s="677">
        <v>0</v>
      </c>
      <c r="P624" s="677">
        <v>0</v>
      </c>
      <c r="Q624" s="677">
        <v>0</v>
      </c>
      <c r="R624" s="677">
        <v>0</v>
      </c>
      <c r="S624" s="677">
        <v>0</v>
      </c>
      <c r="T624" s="677">
        <v>0</v>
      </c>
      <c r="U624" s="677">
        <v>25</v>
      </c>
      <c r="V624" s="677">
        <v>14</v>
      </c>
      <c r="W624" s="677">
        <v>117</v>
      </c>
      <c r="X624" s="678"/>
      <c r="Y624" s="682"/>
      <c r="Z624" s="680"/>
      <c r="AA624" s="681">
        <v>71.614999999999995</v>
      </c>
      <c r="AB624" s="681">
        <v>29.978000000000002</v>
      </c>
      <c r="AC624" s="417">
        <v>13</v>
      </c>
      <c r="AD624" s="417"/>
      <c r="AE624" s="682" t="s">
        <v>4557</v>
      </c>
      <c r="AF624">
        <v>1</v>
      </c>
      <c r="AG624" s="767">
        <v>43101</v>
      </c>
      <c r="AH624" s="417"/>
      <c r="AI624" s="417"/>
      <c r="AJ624" s="768">
        <v>43413</v>
      </c>
      <c r="AK624" s="417"/>
      <c r="AL624" s="637" t="s">
        <v>3466</v>
      </c>
      <c r="AM624" s="417"/>
      <c r="AN624" s="417"/>
      <c r="AO624" s="636"/>
      <c r="AP624">
        <v>556697</v>
      </c>
      <c r="AQ624" s="769">
        <v>43413</v>
      </c>
      <c r="AR624" s="417"/>
      <c r="AS624" s="417"/>
      <c r="AT624" s="417"/>
      <c r="AU624" s="417"/>
      <c r="AV624" s="417"/>
      <c r="AW624" s="417"/>
      <c r="AX624" s="417"/>
      <c r="AY624" s="183" t="s">
        <v>3362</v>
      </c>
      <c r="AZ624" s="417"/>
      <c r="BA624" s="417"/>
      <c r="BB624" t="s">
        <v>3585</v>
      </c>
      <c r="BC624" s="636"/>
      <c r="BD624" s="417"/>
      <c r="BE624" s="612">
        <v>0</v>
      </c>
      <c r="BF624" s="613">
        <v>0</v>
      </c>
      <c r="BG624" s="614" t="s">
        <v>78</v>
      </c>
      <c r="BH624" s="682"/>
      <c r="BI624" s="417"/>
      <c r="BJ624" s="417">
        <v>5</v>
      </c>
      <c r="BK624" s="682" t="str">
        <f>Техкарта[[#This Row],[Кв-л]]&amp;" кв ("&amp;Substring(Техкарта[[#This Row],[Виділ]],"_",1)&amp;" вид) "&amp;Substring(Техкарта[[#This Row],[Виділ]],"_",2)&amp;" діл."</f>
        <v>132 кв (1 вид) 2 діл.</v>
      </c>
      <c r="BL624" s="682" t="str">
        <f>Техкарта[[#This Row],[ПолнаяДіл]] &amp;" "&amp;Техкарта[[#This Row],[ЛК]]&amp;" "&amp;Техкарта[[#This Row],[Вид рубки]]</f>
        <v>132 кв (1 вид) 2 діл. 556697 СРВ</v>
      </c>
      <c r="BM624" s="682"/>
      <c r="BN624" s="636" t="s">
        <v>3784</v>
      </c>
      <c r="BO624" s="636" t="s">
        <v>3784</v>
      </c>
      <c r="BP624" s="636" t="s">
        <v>3784</v>
      </c>
      <c r="BQ624" s="636" t="s">
        <v>105</v>
      </c>
      <c r="BR624" s="636"/>
      <c r="BS624" s="636"/>
      <c r="BT624" s="636"/>
      <c r="BU624" s="636"/>
      <c r="BV624" s="636"/>
      <c r="BW624" s="636" t="s">
        <v>4549</v>
      </c>
      <c r="BX624" s="636"/>
      <c r="BY624" s="972"/>
    </row>
    <row r="625" spans="1:77">
      <c r="A625" s="636" t="s">
        <v>105</v>
      </c>
      <c r="B625" s="675" t="s">
        <v>112</v>
      </c>
      <c r="C625" s="687" t="s">
        <v>126</v>
      </c>
      <c r="D625" s="675">
        <v>0</v>
      </c>
      <c r="E625" s="675" t="s">
        <v>2305</v>
      </c>
      <c r="F625" s="675">
        <v>3</v>
      </c>
      <c r="G625" s="675" t="s">
        <v>2238</v>
      </c>
      <c r="H625" s="675">
        <v>1</v>
      </c>
      <c r="I625" s="676" t="s">
        <v>3830</v>
      </c>
      <c r="J625" s="677">
        <v>4.0999999999999996</v>
      </c>
      <c r="K625" s="683">
        <v>162</v>
      </c>
      <c r="L625" s="677">
        <v>0</v>
      </c>
      <c r="M625" s="677">
        <v>0</v>
      </c>
      <c r="N625" s="677">
        <v>7</v>
      </c>
      <c r="O625" s="677">
        <v>0</v>
      </c>
      <c r="P625" s="677">
        <v>0</v>
      </c>
      <c r="Q625" s="677">
        <v>0</v>
      </c>
      <c r="R625" s="677">
        <v>0</v>
      </c>
      <c r="S625" s="677">
        <v>0</v>
      </c>
      <c r="T625" s="677">
        <v>0</v>
      </c>
      <c r="U625" s="677">
        <v>0</v>
      </c>
      <c r="V625" s="677">
        <v>0</v>
      </c>
      <c r="W625" s="677">
        <v>105</v>
      </c>
      <c r="X625" s="678"/>
      <c r="Y625" s="682"/>
      <c r="Z625" s="680"/>
      <c r="AA625" s="681">
        <v>71.504000000000005</v>
      </c>
      <c r="AB625" s="681">
        <v>29.978000000000002</v>
      </c>
      <c r="AC625" s="417">
        <v>6</v>
      </c>
      <c r="AD625" s="417"/>
      <c r="AE625" s="682" t="s">
        <v>4558</v>
      </c>
      <c r="AF625">
        <v>1</v>
      </c>
      <c r="AG625" s="767">
        <v>43101</v>
      </c>
      <c r="AH625" s="417"/>
      <c r="AI625" s="417"/>
      <c r="AJ625" s="768">
        <v>43419</v>
      </c>
      <c r="AK625" s="417"/>
      <c r="AL625" s="637" t="s">
        <v>3468</v>
      </c>
      <c r="AM625" s="417"/>
      <c r="AN625" s="417"/>
      <c r="AO625" s="636"/>
      <c r="AP625">
        <v>556698</v>
      </c>
      <c r="AQ625" s="769">
        <v>43419</v>
      </c>
      <c r="AR625" s="417"/>
      <c r="AS625" s="417"/>
      <c r="AT625" s="417"/>
      <c r="AU625" s="417"/>
      <c r="AV625" s="417"/>
      <c r="AW625" s="417"/>
      <c r="AX625" s="417"/>
      <c r="AY625" s="183" t="s">
        <v>4245</v>
      </c>
      <c r="AZ625" s="417"/>
      <c r="BA625" s="417"/>
      <c r="BB625" t="s">
        <v>4238</v>
      </c>
      <c r="BC625" s="636"/>
      <c r="BD625" s="417"/>
      <c r="BE625" s="612">
        <v>0</v>
      </c>
      <c r="BF625" s="613">
        <v>0</v>
      </c>
      <c r="BG625" s="614" t="s">
        <v>78</v>
      </c>
      <c r="BH625" s="682"/>
      <c r="BI625" s="417"/>
      <c r="BJ625" s="417">
        <v>5</v>
      </c>
      <c r="BK625" s="682" t="str">
        <f>Техкарта[[#This Row],[Кв-л]]&amp;" кв ("&amp;Substring(Техкарта[[#This Row],[Виділ]],"_",1)&amp;" вид) "&amp;Substring(Техкарта[[#This Row],[Виділ]],"_",2)&amp;" діл."</f>
        <v>1 кв (1 вид) 0 діл.</v>
      </c>
      <c r="BL625" s="682" t="str">
        <f>Техкарта[[#This Row],[ПолнаяДіл]] &amp;" "&amp;Техкарта[[#This Row],[ЛК]]&amp;" "&amp;Техкарта[[#This Row],[Вид рубки]]</f>
        <v>1 кв (1 вид) 0 діл. 556698 СРВ</v>
      </c>
      <c r="BM625" s="682"/>
      <c r="BN625" s="636" t="s">
        <v>3784</v>
      </c>
      <c r="BO625" s="636" t="s">
        <v>3784</v>
      </c>
      <c r="BP625" s="636" t="s">
        <v>3784</v>
      </c>
      <c r="BQ625" s="636" t="s">
        <v>105</v>
      </c>
      <c r="BR625" s="636"/>
      <c r="BS625" s="636"/>
      <c r="BT625" s="636"/>
      <c r="BU625" s="636"/>
      <c r="BV625" s="636"/>
      <c r="BW625" s="636" t="s">
        <v>4549</v>
      </c>
      <c r="BX625" s="636"/>
      <c r="BY625" s="972"/>
    </row>
    <row r="626" spans="1:77">
      <c r="A626" s="636" t="s">
        <v>105</v>
      </c>
      <c r="B626" s="675" t="s">
        <v>112</v>
      </c>
      <c r="C626" s="687" t="s">
        <v>126</v>
      </c>
      <c r="D626" s="675">
        <v>0</v>
      </c>
      <c r="E626" s="675" t="s">
        <v>2305</v>
      </c>
      <c r="F626" s="675">
        <v>3</v>
      </c>
      <c r="G626" s="675" t="s">
        <v>2238</v>
      </c>
      <c r="H626" s="675">
        <v>47</v>
      </c>
      <c r="I626" s="676" t="s">
        <v>4559</v>
      </c>
      <c r="J626" s="677">
        <v>1.7</v>
      </c>
      <c r="K626" s="683">
        <v>146</v>
      </c>
      <c r="L626" s="677">
        <v>0</v>
      </c>
      <c r="M626" s="677">
        <v>0</v>
      </c>
      <c r="N626" s="677">
        <v>0</v>
      </c>
      <c r="O626" s="677">
        <v>0</v>
      </c>
      <c r="P626" s="677">
        <v>0</v>
      </c>
      <c r="Q626" s="677">
        <v>0</v>
      </c>
      <c r="R626" s="677">
        <v>0</v>
      </c>
      <c r="S626" s="677">
        <v>0</v>
      </c>
      <c r="T626" s="677">
        <v>0</v>
      </c>
      <c r="U626" s="677">
        <v>0</v>
      </c>
      <c r="V626" s="677">
        <v>0</v>
      </c>
      <c r="W626" s="677">
        <v>69</v>
      </c>
      <c r="X626" s="678"/>
      <c r="Y626" s="682"/>
      <c r="Z626" s="680"/>
      <c r="AA626" s="681">
        <v>80.313999999999993</v>
      </c>
      <c r="AB626" s="681">
        <v>29.978000000000002</v>
      </c>
      <c r="AC626" s="417">
        <v>5</v>
      </c>
      <c r="AD626" s="417"/>
      <c r="AE626" s="682" t="s">
        <v>4560</v>
      </c>
      <c r="AF626">
        <v>1</v>
      </c>
      <c r="AG626" s="767">
        <v>43101</v>
      </c>
      <c r="AH626" s="417"/>
      <c r="AI626" s="417"/>
      <c r="AJ626" s="768">
        <v>43419</v>
      </c>
      <c r="AK626" s="417"/>
      <c r="AL626" s="637" t="s">
        <v>3452</v>
      </c>
      <c r="AM626" s="417"/>
      <c r="AN626" s="417"/>
      <c r="AO626" s="636"/>
      <c r="AP626">
        <v>556698</v>
      </c>
      <c r="AQ626" s="769">
        <v>43419</v>
      </c>
      <c r="AR626" s="417"/>
      <c r="AS626" s="417"/>
      <c r="AT626" s="417"/>
      <c r="AU626" s="417"/>
      <c r="AV626" s="417"/>
      <c r="AW626" s="417"/>
      <c r="AX626" s="417"/>
      <c r="AY626" s="183" t="s">
        <v>4245</v>
      </c>
      <c r="AZ626" s="417"/>
      <c r="BA626" s="417"/>
      <c r="BB626" t="s">
        <v>4238</v>
      </c>
      <c r="BC626" s="636"/>
      <c r="BD626" s="417"/>
      <c r="BE626" s="612">
        <v>0</v>
      </c>
      <c r="BF626" s="613">
        <v>0</v>
      </c>
      <c r="BG626" s="614" t="s">
        <v>78</v>
      </c>
      <c r="BH626" s="682"/>
      <c r="BI626" s="417"/>
      <c r="BJ626" s="417">
        <v>6</v>
      </c>
      <c r="BK626" s="682" t="str">
        <f>Техкарта[[#This Row],[Кв-л]]&amp;" кв ("&amp;Substring(Техкарта[[#This Row],[Виділ]],"_",1)&amp;" вид) "&amp;Substring(Техкарта[[#This Row],[Виділ]],"_",2)&amp;" діл."</f>
        <v>47 кв (20 вид) 0 діл.</v>
      </c>
      <c r="BL626" s="682" t="str">
        <f>Техкарта[[#This Row],[ПолнаяДіл]] &amp;" "&amp;Техкарта[[#This Row],[ЛК]]&amp;" "&amp;Техкарта[[#This Row],[Вид рубки]]</f>
        <v>47 кв (20 вид) 0 діл. 556698 СРВ</v>
      </c>
      <c r="BM626" s="682"/>
      <c r="BN626" s="636" t="s">
        <v>3784</v>
      </c>
      <c r="BO626" s="636" t="s">
        <v>3784</v>
      </c>
      <c r="BP626" s="636" t="s">
        <v>3784</v>
      </c>
      <c r="BQ626" s="636" t="s">
        <v>105</v>
      </c>
      <c r="BR626" s="636"/>
      <c r="BS626" s="636"/>
      <c r="BT626" s="636"/>
      <c r="BU626" s="636"/>
      <c r="BV626" s="636"/>
      <c r="BW626" s="636" t="s">
        <v>4549</v>
      </c>
      <c r="BX626" s="636"/>
      <c r="BY626" s="972"/>
    </row>
    <row r="627" spans="1:77">
      <c r="A627" s="636" t="s">
        <v>105</v>
      </c>
      <c r="B627" s="675" t="s">
        <v>112</v>
      </c>
      <c r="C627" s="687" t="s">
        <v>126</v>
      </c>
      <c r="D627" s="675">
        <v>0</v>
      </c>
      <c r="E627" s="675" t="s">
        <v>2305</v>
      </c>
      <c r="F627" s="675">
        <v>3</v>
      </c>
      <c r="G627" s="675" t="s">
        <v>2238</v>
      </c>
      <c r="H627" s="675">
        <v>81</v>
      </c>
      <c r="I627" s="676" t="s">
        <v>3809</v>
      </c>
      <c r="J627" s="677">
        <v>2</v>
      </c>
      <c r="K627" s="683">
        <v>141</v>
      </c>
      <c r="L627" s="677">
        <v>0</v>
      </c>
      <c r="M627" s="677">
        <v>0</v>
      </c>
      <c r="N627" s="677">
        <v>0</v>
      </c>
      <c r="O627" s="677">
        <v>0</v>
      </c>
      <c r="P627" s="677">
        <v>0</v>
      </c>
      <c r="Q627" s="677">
        <v>0</v>
      </c>
      <c r="R627" s="677">
        <v>0</v>
      </c>
      <c r="S627" s="677">
        <v>0</v>
      </c>
      <c r="T627" s="677">
        <v>0</v>
      </c>
      <c r="U627" s="677">
        <v>0</v>
      </c>
      <c r="V627" s="677">
        <v>0</v>
      </c>
      <c r="W627" s="677">
        <v>24</v>
      </c>
      <c r="X627" s="678"/>
      <c r="Y627" s="682"/>
      <c r="Z627" s="680"/>
      <c r="AA627" s="681">
        <v>123.32</v>
      </c>
      <c r="AB627" s="681">
        <v>29.978000000000002</v>
      </c>
      <c r="AC627" s="417">
        <v>3</v>
      </c>
      <c r="AD627" s="417"/>
      <c r="AE627" s="682" t="s">
        <v>4561</v>
      </c>
      <c r="AF627">
        <v>1</v>
      </c>
      <c r="AG627" s="767">
        <v>43101</v>
      </c>
      <c r="AH627" s="417"/>
      <c r="AI627" s="417"/>
      <c r="AJ627" s="768">
        <v>43419</v>
      </c>
      <c r="AK627" s="417"/>
      <c r="AL627" s="637" t="s">
        <v>3463</v>
      </c>
      <c r="AM627" s="417"/>
      <c r="AN627" s="417"/>
      <c r="AO627" s="636"/>
      <c r="AP627">
        <v>556698</v>
      </c>
      <c r="AQ627" s="769">
        <v>43419</v>
      </c>
      <c r="AR627" s="417"/>
      <c r="AS627" s="417"/>
      <c r="AT627" s="417"/>
      <c r="AU627" s="417"/>
      <c r="AV627" s="417"/>
      <c r="AW627" s="417"/>
      <c r="AX627" s="417"/>
      <c r="AY627" s="183" t="s">
        <v>4245</v>
      </c>
      <c r="AZ627" s="417"/>
      <c r="BA627" s="417"/>
      <c r="BB627" t="s">
        <v>4238</v>
      </c>
      <c r="BC627" s="636"/>
      <c r="BD627" s="417"/>
      <c r="BE627" s="612">
        <v>0</v>
      </c>
      <c r="BF627" s="613">
        <v>0</v>
      </c>
      <c r="BG627" s="614" t="s">
        <v>78</v>
      </c>
      <c r="BH627" s="682"/>
      <c r="BI627" s="417"/>
      <c r="BJ627" s="417">
        <v>7</v>
      </c>
      <c r="BK627" s="682" t="str">
        <f>Техкарта[[#This Row],[Кв-л]]&amp;" кв ("&amp;Substring(Техкарта[[#This Row],[Виділ]],"_",1)&amp;" вид) "&amp;Substring(Техкарта[[#This Row],[Виділ]],"_",2)&amp;" діл."</f>
        <v>81 кв (2 вид) 1 діл.</v>
      </c>
      <c r="BL627" s="682" t="str">
        <f>Техкарта[[#This Row],[ПолнаяДіл]] &amp;" "&amp;Техкарта[[#This Row],[ЛК]]&amp;" "&amp;Техкарта[[#This Row],[Вид рубки]]</f>
        <v>81 кв (2 вид) 1 діл. 556698 СРВ</v>
      </c>
      <c r="BM627" s="682"/>
      <c r="BN627" s="636" t="s">
        <v>3784</v>
      </c>
      <c r="BO627" s="636" t="s">
        <v>3784</v>
      </c>
      <c r="BP627" s="636" t="s">
        <v>3784</v>
      </c>
      <c r="BQ627" s="636" t="s">
        <v>105</v>
      </c>
      <c r="BR627" s="636"/>
      <c r="BS627" s="636"/>
      <c r="BT627" s="636"/>
      <c r="BU627" s="636"/>
      <c r="BV627" s="636"/>
      <c r="BW627" s="636" t="s">
        <v>4549</v>
      </c>
      <c r="BX627" s="636"/>
      <c r="BY627" s="972"/>
    </row>
    <row r="628" spans="1:77">
      <c r="A628" s="636" t="s">
        <v>105</v>
      </c>
      <c r="B628" s="675" t="s">
        <v>113</v>
      </c>
      <c r="C628" s="687" t="s">
        <v>126</v>
      </c>
      <c r="D628" s="675">
        <v>0</v>
      </c>
      <c r="E628" s="675" t="s">
        <v>2305</v>
      </c>
      <c r="F628" s="675">
        <v>3</v>
      </c>
      <c r="G628" s="675" t="s">
        <v>2238</v>
      </c>
      <c r="H628" s="675">
        <v>17</v>
      </c>
      <c r="I628" s="676" t="s">
        <v>3831</v>
      </c>
      <c r="J628" s="677">
        <v>4.4000000000000004</v>
      </c>
      <c r="K628" s="683">
        <v>611</v>
      </c>
      <c r="L628" s="677">
        <v>0</v>
      </c>
      <c r="M628" s="677">
        <v>0</v>
      </c>
      <c r="N628" s="677">
        <v>5</v>
      </c>
      <c r="O628" s="677">
        <v>0</v>
      </c>
      <c r="P628" s="677">
        <v>0</v>
      </c>
      <c r="Q628" s="677">
        <v>0</v>
      </c>
      <c r="R628" s="677">
        <v>0</v>
      </c>
      <c r="S628" s="677">
        <v>0</v>
      </c>
      <c r="T628" s="677">
        <v>0</v>
      </c>
      <c r="U628" s="677">
        <v>0</v>
      </c>
      <c r="V628" s="677">
        <v>0</v>
      </c>
      <c r="W628" s="677">
        <v>227</v>
      </c>
      <c r="X628" s="678"/>
      <c r="Y628" s="682"/>
      <c r="Z628" s="680"/>
      <c r="AA628" s="681">
        <v>83.381</v>
      </c>
      <c r="AB628" s="681">
        <v>29.978000000000002</v>
      </c>
      <c r="AC628" s="417">
        <v>22</v>
      </c>
      <c r="AD628" s="417"/>
      <c r="AE628" s="682" t="s">
        <v>4562</v>
      </c>
      <c r="AF628">
        <v>1</v>
      </c>
      <c r="AG628" s="767">
        <v>43101</v>
      </c>
      <c r="AH628" s="417"/>
      <c r="AI628" s="417"/>
      <c r="AJ628" s="768">
        <v>43430</v>
      </c>
      <c r="AK628" s="417"/>
      <c r="AL628" s="637" t="s">
        <v>3435</v>
      </c>
      <c r="AM628" s="417"/>
      <c r="AN628" s="417"/>
      <c r="AO628" s="636"/>
      <c r="AP628">
        <v>98</v>
      </c>
      <c r="AQ628" s="769">
        <v>43430</v>
      </c>
      <c r="AR628" s="417"/>
      <c r="AS628" s="417"/>
      <c r="AT628" s="417"/>
      <c r="AU628" s="417"/>
      <c r="AV628" s="417"/>
      <c r="AW628" s="417"/>
      <c r="AX628" s="417"/>
      <c r="AY628" s="183" t="s">
        <v>4245</v>
      </c>
      <c r="AZ628" s="417"/>
      <c r="BA628" s="417"/>
      <c r="BB628" t="s">
        <v>4238</v>
      </c>
      <c r="BC628" s="636"/>
      <c r="BD628" s="417"/>
      <c r="BE628" s="612">
        <v>0</v>
      </c>
      <c r="BF628" s="613">
        <v>0</v>
      </c>
      <c r="BG628" s="614" t="s">
        <v>78</v>
      </c>
      <c r="BH628" s="682"/>
      <c r="BI628" s="417"/>
      <c r="BJ628" s="417">
        <v>2</v>
      </c>
      <c r="BK628" s="682" t="str">
        <f>Техкарта[[#This Row],[Кв-л]]&amp;" кв ("&amp;Substring(Техкарта[[#This Row],[Виділ]],"_",1)&amp;" вид) "&amp;Substring(Техкарта[[#This Row],[Виділ]],"_",2)&amp;" діл."</f>
        <v>17 кв (4 вид) 0 діл.</v>
      </c>
      <c r="BL628" s="682" t="str">
        <f>Техкарта[[#This Row],[ПолнаяДіл]] &amp;" "&amp;Техкарта[[#This Row],[ЛК]]&amp;" "&amp;Техкарта[[#This Row],[Вид рубки]]</f>
        <v>17 кв (4 вид) 0 діл. 98 СРВ</v>
      </c>
      <c r="BM628" s="682"/>
      <c r="BN628" s="636" t="s">
        <v>3784</v>
      </c>
      <c r="BO628" s="636" t="s">
        <v>3784</v>
      </c>
      <c r="BP628" s="636" t="s">
        <v>3784</v>
      </c>
      <c r="BQ628" s="636" t="s">
        <v>105</v>
      </c>
      <c r="BR628" s="636"/>
      <c r="BS628" s="636"/>
      <c r="BT628" s="636"/>
      <c r="BU628" s="636"/>
      <c r="BV628" s="636"/>
      <c r="BW628" s="636" t="s">
        <v>4549</v>
      </c>
      <c r="BX628" s="636"/>
      <c r="BY628" s="972"/>
    </row>
    <row r="629" spans="1:77">
      <c r="A629" s="636" t="s">
        <v>105</v>
      </c>
      <c r="B629" s="675" t="s">
        <v>113</v>
      </c>
      <c r="C629" s="687" t="s">
        <v>126</v>
      </c>
      <c r="D629" s="675">
        <v>0</v>
      </c>
      <c r="E629" s="675" t="s">
        <v>2305</v>
      </c>
      <c r="F629" s="675">
        <v>3</v>
      </c>
      <c r="G629" s="675" t="s">
        <v>2238</v>
      </c>
      <c r="H629" s="675">
        <v>71</v>
      </c>
      <c r="I629" s="676" t="s">
        <v>3830</v>
      </c>
      <c r="J629" s="677">
        <v>15.4</v>
      </c>
      <c r="K629" s="683">
        <v>715</v>
      </c>
      <c r="L629" s="677">
        <v>0</v>
      </c>
      <c r="M629" s="677">
        <v>1</v>
      </c>
      <c r="N629" s="677">
        <v>23</v>
      </c>
      <c r="O629" s="677">
        <v>0</v>
      </c>
      <c r="P629" s="677">
        <v>0</v>
      </c>
      <c r="Q629" s="677">
        <v>0</v>
      </c>
      <c r="R629" s="677">
        <v>0</v>
      </c>
      <c r="S629" s="677">
        <v>0</v>
      </c>
      <c r="T629" s="677">
        <v>0</v>
      </c>
      <c r="U629" s="677">
        <v>0</v>
      </c>
      <c r="V629" s="677">
        <v>8</v>
      </c>
      <c r="W629" s="677">
        <v>239</v>
      </c>
      <c r="X629" s="678"/>
      <c r="Y629" s="682"/>
      <c r="Z629" s="680"/>
      <c r="AA629" s="681">
        <v>85.778999999999996</v>
      </c>
      <c r="AB629" s="681">
        <v>29.978000000000002</v>
      </c>
      <c r="AC629" s="417">
        <v>32</v>
      </c>
      <c r="AD629" s="417"/>
      <c r="AE629" s="682" t="s">
        <v>4563</v>
      </c>
      <c r="AF629">
        <v>1</v>
      </c>
      <c r="AG629" s="767">
        <v>43101</v>
      </c>
      <c r="AH629" s="417"/>
      <c r="AI629" s="417"/>
      <c r="AJ629" s="768">
        <v>43430</v>
      </c>
      <c r="AK629" s="417"/>
      <c r="AL629" s="637" t="s">
        <v>3474</v>
      </c>
      <c r="AM629" s="417"/>
      <c r="AN629" s="417"/>
      <c r="AO629" s="636"/>
      <c r="AP629">
        <v>98</v>
      </c>
      <c r="AQ629" s="769">
        <v>43430</v>
      </c>
      <c r="AR629" s="417"/>
      <c r="AS629" s="417"/>
      <c r="AT629" s="417"/>
      <c r="AU629" s="417"/>
      <c r="AV629" s="417"/>
      <c r="AW629" s="417"/>
      <c r="AX629" s="417"/>
      <c r="AY629" s="183" t="s">
        <v>4245</v>
      </c>
      <c r="AZ629" s="417"/>
      <c r="BA629" s="417"/>
      <c r="BB629" t="s">
        <v>4238</v>
      </c>
      <c r="BC629" s="636"/>
      <c r="BD629" s="417"/>
      <c r="BE629" s="612">
        <v>0</v>
      </c>
      <c r="BF629" s="613">
        <v>0</v>
      </c>
      <c r="BG629" s="614" t="s">
        <v>78</v>
      </c>
      <c r="BH629" s="682"/>
      <c r="BI629" s="417"/>
      <c r="BJ629" s="417">
        <v>3</v>
      </c>
      <c r="BK629" s="682" t="str">
        <f>Техкарта[[#This Row],[Кв-л]]&amp;" кв ("&amp;Substring(Техкарта[[#This Row],[Виділ]],"_",1)&amp;" вид) "&amp;Substring(Техкарта[[#This Row],[Виділ]],"_",2)&amp;" діл."</f>
        <v>71 кв (1 вид) 0 діл.</v>
      </c>
      <c r="BL629" s="682" t="str">
        <f>Техкарта[[#This Row],[ПолнаяДіл]] &amp;" "&amp;Техкарта[[#This Row],[ЛК]]&amp;" "&amp;Техкарта[[#This Row],[Вид рубки]]</f>
        <v>71 кв (1 вид) 0 діл. 98 СРВ</v>
      </c>
      <c r="BM629" s="682"/>
      <c r="BN629" s="636" t="s">
        <v>3784</v>
      </c>
      <c r="BO629" s="636" t="s">
        <v>3784</v>
      </c>
      <c r="BP629" s="636" t="s">
        <v>3784</v>
      </c>
      <c r="BQ629" s="636" t="s">
        <v>105</v>
      </c>
      <c r="BR629" s="636"/>
      <c r="BS629" s="636"/>
      <c r="BT629" s="636"/>
      <c r="BU629" s="636"/>
      <c r="BV629" s="636"/>
      <c r="BW629" s="636" t="s">
        <v>4549</v>
      </c>
      <c r="BX629" s="636"/>
      <c r="BY629" s="972"/>
    </row>
    <row r="630" spans="1:77">
      <c r="A630" s="636" t="s">
        <v>105</v>
      </c>
      <c r="B630" s="675" t="s">
        <v>114</v>
      </c>
      <c r="C630" s="687" t="s">
        <v>126</v>
      </c>
      <c r="D630" s="675">
        <v>0</v>
      </c>
      <c r="E630" s="675" t="s">
        <v>2305</v>
      </c>
      <c r="F630" s="675">
        <v>3</v>
      </c>
      <c r="G630" s="675" t="s">
        <v>2238</v>
      </c>
      <c r="H630" s="675">
        <v>39</v>
      </c>
      <c r="I630" s="676" t="s">
        <v>3830</v>
      </c>
      <c r="J630" s="677">
        <v>3.2</v>
      </c>
      <c r="K630" s="683">
        <v>158</v>
      </c>
      <c r="L630" s="677">
        <v>0</v>
      </c>
      <c r="M630" s="677">
        <v>0</v>
      </c>
      <c r="N630" s="677">
        <v>0</v>
      </c>
      <c r="O630" s="677">
        <v>0</v>
      </c>
      <c r="P630" s="677">
        <v>0</v>
      </c>
      <c r="Q630" s="677">
        <v>0</v>
      </c>
      <c r="R630" s="677">
        <v>0</v>
      </c>
      <c r="S630" s="677">
        <v>24</v>
      </c>
      <c r="T630" s="677">
        <v>1</v>
      </c>
      <c r="U630" s="677">
        <v>0</v>
      </c>
      <c r="V630" s="677">
        <v>1</v>
      </c>
      <c r="W630" s="677">
        <v>0</v>
      </c>
      <c r="X630" s="678"/>
      <c r="Y630" s="682"/>
      <c r="Z630" s="680"/>
      <c r="AA630" s="681">
        <v>124.652</v>
      </c>
      <c r="AB630" s="681">
        <v>29.978000000000002</v>
      </c>
      <c r="AC630" s="417">
        <v>3</v>
      </c>
      <c r="AD630" s="417"/>
      <c r="AE630" s="682" t="s">
        <v>4564</v>
      </c>
      <c r="AF630">
        <v>1</v>
      </c>
      <c r="AG630" s="767">
        <v>43101</v>
      </c>
      <c r="AH630" s="417"/>
      <c r="AI630" s="417"/>
      <c r="AJ630" s="768">
        <v>43430</v>
      </c>
      <c r="AK630" s="417"/>
      <c r="AL630" s="637" t="s">
        <v>3435</v>
      </c>
      <c r="AM630" s="417"/>
      <c r="AN630" s="417"/>
      <c r="AO630" s="636"/>
      <c r="AP630">
        <v>98</v>
      </c>
      <c r="AQ630" s="769">
        <v>43430</v>
      </c>
      <c r="AR630" s="417"/>
      <c r="AS630" s="417"/>
      <c r="AT630" s="417"/>
      <c r="AU630" s="417"/>
      <c r="AV630" s="417"/>
      <c r="AW630" s="417"/>
      <c r="AX630" s="417"/>
      <c r="AY630" s="183" t="s">
        <v>3424</v>
      </c>
      <c r="AZ630" s="417"/>
      <c r="BA630" s="417"/>
      <c r="BB630" t="s">
        <v>3583</v>
      </c>
      <c r="BC630" s="636"/>
      <c r="BD630" s="417"/>
      <c r="BE630" s="612">
        <v>0</v>
      </c>
      <c r="BF630" s="613">
        <v>0</v>
      </c>
      <c r="BG630" s="614" t="s">
        <v>78</v>
      </c>
      <c r="BH630" s="682"/>
      <c r="BI630" s="417"/>
      <c r="BJ630" s="417">
        <v>1</v>
      </c>
      <c r="BK630" s="682" t="str">
        <f>Техкарта[[#This Row],[Кв-л]]&amp;" кв ("&amp;Substring(Техкарта[[#This Row],[Виділ]],"_",1)&amp;" вид) "&amp;Substring(Техкарта[[#This Row],[Виділ]],"_",2)&amp;" діл."</f>
        <v>39 кв (1 вид) 0 діл.</v>
      </c>
      <c r="BL630" s="682" t="str">
        <f>Техкарта[[#This Row],[ПолнаяДіл]] &amp;" "&amp;Техкарта[[#This Row],[ЛК]]&amp;" "&amp;Техкарта[[#This Row],[Вид рубки]]</f>
        <v>39 кв (1 вид) 0 діл. 98 СРВ</v>
      </c>
      <c r="BM630" s="682"/>
      <c r="BN630" s="636" t="s">
        <v>3784</v>
      </c>
      <c r="BO630" s="636" t="s">
        <v>3784</v>
      </c>
      <c r="BP630" s="636" t="s">
        <v>3784</v>
      </c>
      <c r="BQ630" s="636" t="s">
        <v>105</v>
      </c>
      <c r="BR630" s="636"/>
      <c r="BS630" s="636"/>
      <c r="BT630" s="636"/>
      <c r="BU630" s="636"/>
      <c r="BV630" s="636"/>
      <c r="BW630" s="636" t="s">
        <v>4549</v>
      </c>
      <c r="BX630" s="636"/>
      <c r="BY630" s="972"/>
    </row>
    <row r="631" spans="1:77">
      <c r="A631" s="636" t="s">
        <v>105</v>
      </c>
      <c r="B631" s="675" t="s">
        <v>114</v>
      </c>
      <c r="C631" s="687" t="s">
        <v>126</v>
      </c>
      <c r="D631" s="675">
        <v>0</v>
      </c>
      <c r="E631" s="675" t="s">
        <v>2305</v>
      </c>
      <c r="F631" s="675">
        <v>3</v>
      </c>
      <c r="G631" s="675" t="s">
        <v>2238</v>
      </c>
      <c r="H631" s="675">
        <v>47</v>
      </c>
      <c r="I631" s="676" t="s">
        <v>3829</v>
      </c>
      <c r="J631" s="677">
        <v>2.6</v>
      </c>
      <c r="K631" s="683">
        <v>132</v>
      </c>
      <c r="L631" s="677">
        <v>0</v>
      </c>
      <c r="M631" s="677">
        <v>1</v>
      </c>
      <c r="N631" s="677">
        <v>1</v>
      </c>
      <c r="O631" s="677">
        <v>0</v>
      </c>
      <c r="P631" s="677">
        <v>0</v>
      </c>
      <c r="Q631" s="677">
        <v>0</v>
      </c>
      <c r="R631" s="677">
        <v>27</v>
      </c>
      <c r="S631" s="677">
        <v>5</v>
      </c>
      <c r="T631" s="677">
        <v>9</v>
      </c>
      <c r="U631" s="677">
        <v>3</v>
      </c>
      <c r="V631" s="677">
        <v>0</v>
      </c>
      <c r="W631" s="677">
        <v>0</v>
      </c>
      <c r="X631" s="678"/>
      <c r="Y631" s="682"/>
      <c r="Z631" s="680"/>
      <c r="AA631" s="681">
        <v>96.69</v>
      </c>
      <c r="AB631" s="681">
        <v>29.978000000000002</v>
      </c>
      <c r="AC631" s="417">
        <v>6</v>
      </c>
      <c r="AD631" s="417"/>
      <c r="AE631" s="682" t="s">
        <v>4565</v>
      </c>
      <c r="AF631">
        <v>1</v>
      </c>
      <c r="AG631" s="767">
        <v>43101</v>
      </c>
      <c r="AH631" s="417"/>
      <c r="AI631" s="417"/>
      <c r="AJ631" s="768">
        <v>43411</v>
      </c>
      <c r="AK631" s="417"/>
      <c r="AL631" s="637" t="s">
        <v>3436</v>
      </c>
      <c r="AM631" s="417"/>
      <c r="AN631" s="417"/>
      <c r="AO631" s="636"/>
      <c r="AP631">
        <v>556695</v>
      </c>
      <c r="AQ631" s="769">
        <v>43411</v>
      </c>
      <c r="AR631" s="417"/>
      <c r="AS631" s="417"/>
      <c r="AT631" s="417"/>
      <c r="AU631" s="417"/>
      <c r="AV631" s="417"/>
      <c r="AW631" s="417"/>
      <c r="AX631" s="417"/>
      <c r="AY631" s="183" t="s">
        <v>3424</v>
      </c>
      <c r="AZ631" s="417"/>
      <c r="BA631" s="417"/>
      <c r="BB631" t="s">
        <v>3583</v>
      </c>
      <c r="BC631" s="636"/>
      <c r="BD631" s="417"/>
      <c r="BE631" s="612">
        <v>0</v>
      </c>
      <c r="BF631" s="613">
        <v>0</v>
      </c>
      <c r="BG631" s="614" t="s">
        <v>78</v>
      </c>
      <c r="BH631" s="682"/>
      <c r="BI631" s="417"/>
      <c r="BJ631" s="417">
        <v>2</v>
      </c>
      <c r="BK631" s="682" t="str">
        <f>Техкарта[[#This Row],[Кв-л]]&amp;" кв ("&amp;Substring(Техкарта[[#This Row],[Виділ]],"_",1)&amp;" вид) "&amp;Substring(Техкарта[[#This Row],[Виділ]],"_",2)&amp;" діл."</f>
        <v>47 кв (3 вид) 0 діл.</v>
      </c>
      <c r="BL631" s="682" t="str">
        <f>Техкарта[[#This Row],[ПолнаяДіл]] &amp;" "&amp;Техкарта[[#This Row],[ЛК]]&amp;" "&amp;Техкарта[[#This Row],[Вид рубки]]</f>
        <v>47 кв (3 вид) 0 діл. 556695 СРВ</v>
      </c>
      <c r="BM631" s="682"/>
      <c r="BN631" s="636" t="s">
        <v>3784</v>
      </c>
      <c r="BO631" s="636" t="s">
        <v>3784</v>
      </c>
      <c r="BP631" s="636" t="s">
        <v>3784</v>
      </c>
      <c r="BQ631" s="636" t="s">
        <v>105</v>
      </c>
      <c r="BR631" s="636"/>
      <c r="BS631" s="636"/>
      <c r="BT631" s="636"/>
      <c r="BU631" s="636"/>
      <c r="BV631" s="636"/>
      <c r="BW631" s="636" t="s">
        <v>4549</v>
      </c>
      <c r="BX631" s="636"/>
      <c r="BY631" s="972"/>
    </row>
    <row r="632" spans="1:77">
      <c r="A632" s="636" t="s">
        <v>105</v>
      </c>
      <c r="B632" s="675" t="s">
        <v>114</v>
      </c>
      <c r="C632" s="687" t="s">
        <v>126</v>
      </c>
      <c r="D632" s="675">
        <v>0</v>
      </c>
      <c r="E632" s="675" t="s">
        <v>2305</v>
      </c>
      <c r="F632" s="675">
        <v>3</v>
      </c>
      <c r="G632" s="675" t="s">
        <v>2238</v>
      </c>
      <c r="H632" s="675">
        <v>77</v>
      </c>
      <c r="I632" s="676" t="s">
        <v>3832</v>
      </c>
      <c r="J632" s="677">
        <v>1.9</v>
      </c>
      <c r="K632" s="683">
        <v>80</v>
      </c>
      <c r="L632" s="677">
        <v>0</v>
      </c>
      <c r="M632" s="677">
        <v>0</v>
      </c>
      <c r="N632" s="677">
        <v>6</v>
      </c>
      <c r="O632" s="677">
        <v>0</v>
      </c>
      <c r="P632" s="677">
        <v>0</v>
      </c>
      <c r="Q632" s="677">
        <v>0</v>
      </c>
      <c r="R632" s="677">
        <v>1</v>
      </c>
      <c r="S632" s="677">
        <v>0</v>
      </c>
      <c r="T632" s="677">
        <v>25</v>
      </c>
      <c r="U632" s="677">
        <v>0</v>
      </c>
      <c r="V632" s="677">
        <v>0</v>
      </c>
      <c r="W632" s="677">
        <v>2</v>
      </c>
      <c r="X632" s="678"/>
      <c r="Y632" s="682"/>
      <c r="Z632" s="680"/>
      <c r="AA632" s="681">
        <v>79.385000000000005</v>
      </c>
      <c r="AB632" s="681">
        <v>29.978000000000002</v>
      </c>
      <c r="AC632" s="417">
        <v>3</v>
      </c>
      <c r="AD632" s="417"/>
      <c r="AE632" s="682" t="s">
        <v>4566</v>
      </c>
      <c r="AF632">
        <v>1</v>
      </c>
      <c r="AG632" s="767">
        <v>43101</v>
      </c>
      <c r="AH632" s="417"/>
      <c r="AI632" s="417"/>
      <c r="AJ632" s="768">
        <v>43411</v>
      </c>
      <c r="AK632" s="417"/>
      <c r="AL632" s="637" t="s">
        <v>3442</v>
      </c>
      <c r="AM632" s="417"/>
      <c r="AN632" s="417"/>
      <c r="AO632" s="636"/>
      <c r="AP632">
        <v>556695</v>
      </c>
      <c r="AQ632" s="769">
        <v>43411</v>
      </c>
      <c r="AR632" s="417"/>
      <c r="AS632" s="417"/>
      <c r="AT632" s="417"/>
      <c r="AU632" s="417"/>
      <c r="AV632" s="417"/>
      <c r="AW632" s="417"/>
      <c r="AX632" s="417"/>
      <c r="AY632" s="183" t="s">
        <v>3424</v>
      </c>
      <c r="AZ632" s="417"/>
      <c r="BA632" s="417"/>
      <c r="BB632" t="s">
        <v>3583</v>
      </c>
      <c r="BC632" s="636"/>
      <c r="BD632" s="417"/>
      <c r="BE632" s="612">
        <v>0</v>
      </c>
      <c r="BF632" s="613">
        <v>0</v>
      </c>
      <c r="BG632" s="614" t="s">
        <v>78</v>
      </c>
      <c r="BH632" s="682"/>
      <c r="BI632" s="417"/>
      <c r="BJ632" s="417">
        <v>3</v>
      </c>
      <c r="BK632" s="682" t="str">
        <f>Техкарта[[#This Row],[Кв-л]]&amp;" кв ("&amp;Substring(Техкарта[[#This Row],[Виділ]],"_",1)&amp;" вид) "&amp;Substring(Техкарта[[#This Row],[Виділ]],"_",2)&amp;" діл."</f>
        <v>77 кв (5 вид) 0 діл.</v>
      </c>
      <c r="BL632" s="682" t="str">
        <f>Техкарта[[#This Row],[ПолнаяДіл]] &amp;" "&amp;Техкарта[[#This Row],[ЛК]]&amp;" "&amp;Техкарта[[#This Row],[Вид рубки]]</f>
        <v>77 кв (5 вид) 0 діл. 556695 СРВ</v>
      </c>
      <c r="BM632" s="682"/>
      <c r="BN632" s="636" t="s">
        <v>3784</v>
      </c>
      <c r="BO632" s="636" t="s">
        <v>3784</v>
      </c>
      <c r="BP632" s="636" t="s">
        <v>3784</v>
      </c>
      <c r="BQ632" s="636" t="s">
        <v>105</v>
      </c>
      <c r="BR632" s="636"/>
      <c r="BS632" s="636"/>
      <c r="BT632" s="636"/>
      <c r="BU632" s="636"/>
      <c r="BV632" s="636"/>
      <c r="BW632" s="636" t="s">
        <v>4549</v>
      </c>
      <c r="BX632" s="636"/>
      <c r="BY632" s="972"/>
    </row>
    <row r="633" spans="1:77">
      <c r="A633" s="636" t="s">
        <v>105</v>
      </c>
      <c r="B633" s="675" t="s">
        <v>114</v>
      </c>
      <c r="C633" s="687" t="s">
        <v>126</v>
      </c>
      <c r="D633" s="675">
        <v>0</v>
      </c>
      <c r="E633" s="675" t="s">
        <v>2305</v>
      </c>
      <c r="F633" s="675">
        <v>3</v>
      </c>
      <c r="G633" s="675" t="s">
        <v>2238</v>
      </c>
      <c r="H633" s="675">
        <v>40</v>
      </c>
      <c r="I633" s="676" t="s">
        <v>3831</v>
      </c>
      <c r="J633" s="677">
        <v>1.5</v>
      </c>
      <c r="K633" s="683">
        <v>36</v>
      </c>
      <c r="L633" s="677">
        <v>0</v>
      </c>
      <c r="M633" s="677">
        <v>0</v>
      </c>
      <c r="N633" s="677">
        <v>10</v>
      </c>
      <c r="O633" s="677">
        <v>0</v>
      </c>
      <c r="P633" s="677">
        <v>0</v>
      </c>
      <c r="Q633" s="677">
        <v>0</v>
      </c>
      <c r="R633" s="677">
        <v>0</v>
      </c>
      <c r="S633" s="677">
        <v>0</v>
      </c>
      <c r="T633" s="677">
        <v>25</v>
      </c>
      <c r="U633" s="677">
        <v>0</v>
      </c>
      <c r="V633" s="677">
        <v>0</v>
      </c>
      <c r="W633" s="677">
        <v>3</v>
      </c>
      <c r="X633" s="678"/>
      <c r="Y633" s="682"/>
      <c r="Z633" s="680"/>
      <c r="AA633" s="681">
        <v>58.482999999999997</v>
      </c>
      <c r="AB633" s="681">
        <v>29.978000000000002</v>
      </c>
      <c r="AC633" s="417">
        <v>2</v>
      </c>
      <c r="AD633" s="417"/>
      <c r="AE633" s="682" t="s">
        <v>4569</v>
      </c>
      <c r="AF633">
        <v>1</v>
      </c>
      <c r="AG633" s="767">
        <v>43101</v>
      </c>
      <c r="AH633" s="417"/>
      <c r="AI633" s="417"/>
      <c r="AJ633" s="768">
        <v>43430</v>
      </c>
      <c r="AK633" s="417"/>
      <c r="AL633" s="637" t="s">
        <v>3448</v>
      </c>
      <c r="AM633" s="417"/>
      <c r="AN633" s="417"/>
      <c r="AO633" s="636"/>
      <c r="AP633">
        <v>100</v>
      </c>
      <c r="AQ633" s="769">
        <v>43430</v>
      </c>
      <c r="AR633" s="417"/>
      <c r="AS633" s="417"/>
      <c r="AT633" s="417"/>
      <c r="AU633" s="417"/>
      <c r="AV633" s="417"/>
      <c r="AW633" s="417"/>
      <c r="AX633" s="417"/>
      <c r="AY633" s="183" t="s">
        <v>3424</v>
      </c>
      <c r="AZ633" s="417"/>
      <c r="BA633" s="417"/>
      <c r="BB633" t="s">
        <v>3583</v>
      </c>
      <c r="BC633" s="636"/>
      <c r="BD633" s="417"/>
      <c r="BE633" s="612">
        <v>0</v>
      </c>
      <c r="BF633" s="613">
        <v>0</v>
      </c>
      <c r="BG633" s="614" t="s">
        <v>78</v>
      </c>
      <c r="BH633" s="682"/>
      <c r="BI633" s="417"/>
      <c r="BJ633" s="417">
        <v>6</v>
      </c>
      <c r="BK633" s="682" t="str">
        <f>Техкарта[[#This Row],[Кв-л]]&amp;" кв ("&amp;Substring(Техкарта[[#This Row],[Виділ]],"_",1)&amp;" вид) "&amp;Substring(Техкарта[[#This Row],[Виділ]],"_",2)&amp;" діл."</f>
        <v>40 кв (4 вид) 0 діл.</v>
      </c>
      <c r="BL633" s="682" t="str">
        <f>Техкарта[[#This Row],[ПолнаяДіл]] &amp;" "&amp;Техкарта[[#This Row],[ЛК]]&amp;" "&amp;Техкарта[[#This Row],[Вид рубки]]</f>
        <v>40 кв (4 вид) 0 діл. 100 СРВ</v>
      </c>
      <c r="BM633" s="682"/>
      <c r="BN633" s="636" t="s">
        <v>3784</v>
      </c>
      <c r="BO633" s="636" t="s">
        <v>3784</v>
      </c>
      <c r="BP633" s="636" t="s">
        <v>3784</v>
      </c>
      <c r="BQ633" s="636" t="s">
        <v>105</v>
      </c>
      <c r="BR633" s="636"/>
      <c r="BS633" s="636"/>
      <c r="BT633" s="636"/>
      <c r="BU633" s="636"/>
      <c r="BV633" s="636"/>
      <c r="BW633" s="636" t="s">
        <v>4549</v>
      </c>
      <c r="BX633" s="636"/>
      <c r="BY633" s="972"/>
    </row>
    <row r="634" spans="1:77">
      <c r="A634" s="636" t="s">
        <v>105</v>
      </c>
      <c r="B634" s="675" t="s">
        <v>114</v>
      </c>
      <c r="C634" s="687" t="s">
        <v>126</v>
      </c>
      <c r="D634" s="675">
        <v>0</v>
      </c>
      <c r="E634" s="675" t="s">
        <v>2305</v>
      </c>
      <c r="F634" s="675">
        <v>3</v>
      </c>
      <c r="G634" s="675" t="s">
        <v>2238</v>
      </c>
      <c r="H634" s="675">
        <v>70</v>
      </c>
      <c r="I634" s="676" t="s">
        <v>3832</v>
      </c>
      <c r="J634" s="677">
        <v>2.8</v>
      </c>
      <c r="K634" s="683">
        <v>118</v>
      </c>
      <c r="L634" s="677">
        <v>0</v>
      </c>
      <c r="M634" s="677">
        <v>0</v>
      </c>
      <c r="N634" s="677">
        <v>8</v>
      </c>
      <c r="O634" s="677">
        <v>0</v>
      </c>
      <c r="P634" s="677">
        <v>0</v>
      </c>
      <c r="Q634" s="677">
        <v>0</v>
      </c>
      <c r="R634" s="677">
        <v>0</v>
      </c>
      <c r="S634" s="677">
        <v>0</v>
      </c>
      <c r="T634" s="677">
        <v>36</v>
      </c>
      <c r="U634" s="677">
        <v>0</v>
      </c>
      <c r="V634" s="677">
        <v>0</v>
      </c>
      <c r="W634" s="677">
        <v>3</v>
      </c>
      <c r="X634" s="678"/>
      <c r="Y634" s="682"/>
      <c r="Z634" s="680"/>
      <c r="AA634" s="681">
        <v>83.896000000000001</v>
      </c>
      <c r="AB634" s="681">
        <v>29.978000000000002</v>
      </c>
      <c r="AC634" s="417">
        <v>3</v>
      </c>
      <c r="AD634" s="417"/>
      <c r="AE634" s="682" t="s">
        <v>4570</v>
      </c>
      <c r="AF634">
        <v>1</v>
      </c>
      <c r="AG634" s="767">
        <v>43101</v>
      </c>
      <c r="AH634" s="417"/>
      <c r="AI634" s="417"/>
      <c r="AJ634" s="768">
        <v>43430</v>
      </c>
      <c r="AK634" s="417"/>
      <c r="AL634" s="637" t="s">
        <v>3442</v>
      </c>
      <c r="AM634" s="417"/>
      <c r="AN634" s="417"/>
      <c r="AO634" s="636"/>
      <c r="AP634">
        <v>100</v>
      </c>
      <c r="AQ634" s="769">
        <v>43430</v>
      </c>
      <c r="AR634" s="417"/>
      <c r="AS634" s="417"/>
      <c r="AT634" s="417"/>
      <c r="AU634" s="417"/>
      <c r="AV634" s="417"/>
      <c r="AW634" s="417"/>
      <c r="AX634" s="417"/>
      <c r="AY634" s="183" t="s">
        <v>3424</v>
      </c>
      <c r="AZ634" s="417"/>
      <c r="BA634" s="417"/>
      <c r="BB634" t="s">
        <v>3583</v>
      </c>
      <c r="BC634" s="636"/>
      <c r="BD634" s="417"/>
      <c r="BE634" s="612">
        <v>0</v>
      </c>
      <c r="BF634" s="613">
        <v>0</v>
      </c>
      <c r="BG634" s="614" t="s">
        <v>78</v>
      </c>
      <c r="BH634" s="682"/>
      <c r="BI634" s="417"/>
      <c r="BJ634" s="417">
        <v>7</v>
      </c>
      <c r="BK634" s="682" t="str">
        <f>Техкарта[[#This Row],[Кв-л]]&amp;" кв ("&amp;Substring(Техкарта[[#This Row],[Виділ]],"_",1)&amp;" вид) "&amp;Substring(Техкарта[[#This Row],[Виділ]],"_",2)&amp;" діл."</f>
        <v>70 кв (5 вид) 0 діл.</v>
      </c>
      <c r="BL634" s="682" t="str">
        <f>Техкарта[[#This Row],[ПолнаяДіл]] &amp;" "&amp;Техкарта[[#This Row],[ЛК]]&amp;" "&amp;Техкарта[[#This Row],[Вид рубки]]</f>
        <v>70 кв (5 вид) 0 діл. 100 СРВ</v>
      </c>
      <c r="BM634" s="682"/>
      <c r="BN634" s="636" t="s">
        <v>3784</v>
      </c>
      <c r="BO634" s="636" t="s">
        <v>3784</v>
      </c>
      <c r="BP634" s="636" t="s">
        <v>3784</v>
      </c>
      <c r="BQ634" s="636" t="s">
        <v>105</v>
      </c>
      <c r="BR634" s="636"/>
      <c r="BS634" s="636"/>
      <c r="BT634" s="636"/>
      <c r="BU634" s="636"/>
      <c r="BV634" s="636"/>
      <c r="BW634" s="636" t="s">
        <v>4549</v>
      </c>
      <c r="BX634" s="636"/>
      <c r="BY634" s="972"/>
    </row>
    <row r="635" spans="1:77">
      <c r="A635" s="636" t="s">
        <v>105</v>
      </c>
      <c r="B635" s="675" t="s">
        <v>114</v>
      </c>
      <c r="C635" s="687" t="s">
        <v>126</v>
      </c>
      <c r="D635" s="675">
        <v>0</v>
      </c>
      <c r="E635" s="675" t="s">
        <v>2305</v>
      </c>
      <c r="F635" s="675">
        <v>3</v>
      </c>
      <c r="G635" s="675" t="s">
        <v>2238</v>
      </c>
      <c r="H635" s="675">
        <v>24</v>
      </c>
      <c r="I635" s="676" t="s">
        <v>3833</v>
      </c>
      <c r="J635" s="677">
        <v>5</v>
      </c>
      <c r="K635" s="683">
        <v>294</v>
      </c>
      <c r="L635" s="677">
        <v>0</v>
      </c>
      <c r="M635" s="677">
        <v>0</v>
      </c>
      <c r="N635" s="677">
        <v>8</v>
      </c>
      <c r="O635" s="677">
        <v>0</v>
      </c>
      <c r="P635" s="677">
        <v>0</v>
      </c>
      <c r="Q635" s="677">
        <v>0</v>
      </c>
      <c r="R635" s="677">
        <v>0</v>
      </c>
      <c r="S635" s="677">
        <v>0</v>
      </c>
      <c r="T635" s="677">
        <v>62</v>
      </c>
      <c r="U635" s="677">
        <v>0</v>
      </c>
      <c r="V635" s="677">
        <v>0</v>
      </c>
      <c r="W635" s="677">
        <v>3</v>
      </c>
      <c r="X635" s="678"/>
      <c r="Y635" s="682"/>
      <c r="Z635" s="680"/>
      <c r="AA635" s="681">
        <v>101.607</v>
      </c>
      <c r="AB635" s="681">
        <v>29.978000000000002</v>
      </c>
      <c r="AC635" s="417">
        <v>7</v>
      </c>
      <c r="AD635" s="417"/>
      <c r="AE635" s="682" t="s">
        <v>4567</v>
      </c>
      <c r="AF635">
        <v>1</v>
      </c>
      <c r="AG635" s="767">
        <v>43101</v>
      </c>
      <c r="AH635" s="417"/>
      <c r="AI635" s="417"/>
      <c r="AJ635" s="768">
        <v>43430</v>
      </c>
      <c r="AK635" s="417"/>
      <c r="AL635" s="637" t="s">
        <v>3436</v>
      </c>
      <c r="AM635" s="417"/>
      <c r="AN635" s="417"/>
      <c r="AO635" s="636"/>
      <c r="AP635">
        <v>100</v>
      </c>
      <c r="AQ635" s="769">
        <v>43430</v>
      </c>
      <c r="AR635" s="417"/>
      <c r="AS635" s="417"/>
      <c r="AT635" s="417"/>
      <c r="AU635" s="417"/>
      <c r="AV635" s="417"/>
      <c r="AW635" s="417"/>
      <c r="AX635" s="417"/>
      <c r="AY635" s="183" t="s">
        <v>3424</v>
      </c>
      <c r="AZ635" s="417"/>
      <c r="BA635" s="417"/>
      <c r="BB635" t="s">
        <v>3583</v>
      </c>
      <c r="BC635" s="636"/>
      <c r="BD635" s="417"/>
      <c r="BE635" s="612">
        <v>0</v>
      </c>
      <c r="BF635" s="613">
        <v>0</v>
      </c>
      <c r="BG635" s="614" t="s">
        <v>78</v>
      </c>
      <c r="BH635" s="682"/>
      <c r="BI635" s="417"/>
      <c r="BJ635" s="417">
        <v>4</v>
      </c>
      <c r="BK635" s="682" t="str">
        <f>Техкарта[[#This Row],[Кв-л]]&amp;" кв ("&amp;Substring(Техкарта[[#This Row],[Виділ]],"_",1)&amp;" вид) "&amp;Substring(Техкарта[[#This Row],[Виділ]],"_",2)&amp;" діл."</f>
        <v>24 кв (8 вид) 0 діл.</v>
      </c>
      <c r="BL635" s="682" t="str">
        <f>Техкарта[[#This Row],[ПолнаяДіл]] &amp;" "&amp;Техкарта[[#This Row],[ЛК]]&amp;" "&amp;Техкарта[[#This Row],[Вид рубки]]</f>
        <v>24 кв (8 вид) 0 діл. 100 СРВ</v>
      </c>
      <c r="BM635" s="682"/>
      <c r="BN635" s="636" t="s">
        <v>3784</v>
      </c>
      <c r="BO635" s="636" t="s">
        <v>3784</v>
      </c>
      <c r="BP635" s="636" t="s">
        <v>3784</v>
      </c>
      <c r="BQ635" s="636" t="s">
        <v>105</v>
      </c>
      <c r="BR635" s="636"/>
      <c r="BS635" s="636"/>
      <c r="BT635" s="636"/>
      <c r="BU635" s="636"/>
      <c r="BV635" s="636"/>
      <c r="BW635" s="636" t="s">
        <v>4549</v>
      </c>
      <c r="BX635" s="636"/>
      <c r="BY635" s="972"/>
    </row>
    <row r="636" spans="1:77">
      <c r="A636" s="636" t="s">
        <v>105</v>
      </c>
      <c r="B636" s="675" t="s">
        <v>114</v>
      </c>
      <c r="C636" s="687" t="s">
        <v>126</v>
      </c>
      <c r="D636" s="675">
        <v>0</v>
      </c>
      <c r="E636" s="675" t="s">
        <v>2305</v>
      </c>
      <c r="F636" s="675">
        <v>3</v>
      </c>
      <c r="G636" s="675" t="s">
        <v>2238</v>
      </c>
      <c r="H636" s="675">
        <v>40</v>
      </c>
      <c r="I636" s="676" t="s">
        <v>3830</v>
      </c>
      <c r="J636" s="677">
        <v>2.5</v>
      </c>
      <c r="K636" s="683">
        <v>97</v>
      </c>
      <c r="L636" s="677">
        <v>0</v>
      </c>
      <c r="M636" s="677">
        <v>0</v>
      </c>
      <c r="N636" s="677">
        <v>2</v>
      </c>
      <c r="O636" s="677">
        <v>0</v>
      </c>
      <c r="P636" s="677">
        <v>0</v>
      </c>
      <c r="Q636" s="677">
        <v>0</v>
      </c>
      <c r="R636" s="677">
        <v>0</v>
      </c>
      <c r="S636" s="677">
        <v>0</v>
      </c>
      <c r="T636" s="677">
        <v>29</v>
      </c>
      <c r="U636" s="677">
        <v>0</v>
      </c>
      <c r="V636" s="677">
        <v>0</v>
      </c>
      <c r="W636" s="677">
        <v>2</v>
      </c>
      <c r="X636" s="678"/>
      <c r="Y636" s="682"/>
      <c r="Z636" s="680"/>
      <c r="AA636" s="681">
        <v>98.171000000000006</v>
      </c>
      <c r="AB636" s="681">
        <v>29.978000000000002</v>
      </c>
      <c r="AC636" s="417">
        <v>3</v>
      </c>
      <c r="AD636" s="417"/>
      <c r="AE636" s="682" t="s">
        <v>4568</v>
      </c>
      <c r="AF636">
        <v>1</v>
      </c>
      <c r="AG636" s="767">
        <v>43101</v>
      </c>
      <c r="AH636" s="417"/>
      <c r="AI636" s="417"/>
      <c r="AJ636" s="768">
        <v>43430</v>
      </c>
      <c r="AK636" s="417"/>
      <c r="AL636" s="637" t="s">
        <v>3448</v>
      </c>
      <c r="AM636" s="417"/>
      <c r="AN636" s="417"/>
      <c r="AO636" s="636"/>
      <c r="AP636">
        <v>100</v>
      </c>
      <c r="AQ636" s="769">
        <v>43430</v>
      </c>
      <c r="AR636" s="417"/>
      <c r="AS636" s="417"/>
      <c r="AT636" s="417"/>
      <c r="AU636" s="417"/>
      <c r="AV636" s="417"/>
      <c r="AW636" s="417"/>
      <c r="AX636" s="417"/>
      <c r="AY636" s="183" t="s">
        <v>3424</v>
      </c>
      <c r="AZ636" s="417"/>
      <c r="BA636" s="417"/>
      <c r="BB636" t="s">
        <v>3583</v>
      </c>
      <c r="BC636" s="636"/>
      <c r="BD636" s="417"/>
      <c r="BE636" s="612">
        <v>0</v>
      </c>
      <c r="BF636" s="613">
        <v>0</v>
      </c>
      <c r="BG636" s="614" t="s">
        <v>78</v>
      </c>
      <c r="BH636" s="682"/>
      <c r="BI636" s="417"/>
      <c r="BJ636" s="417">
        <v>5</v>
      </c>
      <c r="BK636" s="682" t="str">
        <f>Техкарта[[#This Row],[Кв-л]]&amp;" кв ("&amp;Substring(Техкарта[[#This Row],[Виділ]],"_",1)&amp;" вид) "&amp;Substring(Техкарта[[#This Row],[Виділ]],"_",2)&amp;" діл."</f>
        <v>40 кв (1 вид) 0 діл.</v>
      </c>
      <c r="BL636" s="682" t="str">
        <f>Техкарта[[#This Row],[ПолнаяДіл]] &amp;" "&amp;Техкарта[[#This Row],[ЛК]]&amp;" "&amp;Техкарта[[#This Row],[Вид рубки]]</f>
        <v>40 кв (1 вид) 0 діл. 100 СРВ</v>
      </c>
      <c r="BM636" s="682"/>
      <c r="BN636" s="636" t="s">
        <v>3784</v>
      </c>
      <c r="BO636" s="636" t="s">
        <v>3784</v>
      </c>
      <c r="BP636" s="636" t="s">
        <v>3784</v>
      </c>
      <c r="BQ636" s="636" t="s">
        <v>105</v>
      </c>
      <c r="BR636" s="636"/>
      <c r="BS636" s="636"/>
      <c r="BT636" s="636"/>
      <c r="BU636" s="636"/>
      <c r="BV636" s="636"/>
      <c r="BW636" s="636" t="s">
        <v>4549</v>
      </c>
      <c r="BX636" s="636"/>
      <c r="BY636" s="972"/>
    </row>
    <row r="637" spans="1:77">
      <c r="A637" s="636" t="s">
        <v>3896</v>
      </c>
      <c r="B637" s="675" t="s">
        <v>114</v>
      </c>
      <c r="C637" s="687" t="s">
        <v>478</v>
      </c>
      <c r="D637" s="675">
        <v>0</v>
      </c>
      <c r="E637" s="675" t="s">
        <v>2311</v>
      </c>
      <c r="F637" s="675">
        <v>3</v>
      </c>
      <c r="G637" s="675" t="s">
        <v>79</v>
      </c>
      <c r="H637" s="675">
        <v>45</v>
      </c>
      <c r="I637" s="676" t="s">
        <v>4032</v>
      </c>
      <c r="J637" s="677">
        <v>0.2</v>
      </c>
      <c r="K637" s="683">
        <v>0</v>
      </c>
      <c r="L637" s="677"/>
      <c r="M637" s="677">
        <v>0</v>
      </c>
      <c r="N637" s="677">
        <v>40</v>
      </c>
      <c r="O637" s="677"/>
      <c r="P637" s="677"/>
      <c r="Q637" s="677">
        <v>0</v>
      </c>
      <c r="R637" s="677"/>
      <c r="S637" s="677">
        <v>0</v>
      </c>
      <c r="T637" s="677">
        <v>0</v>
      </c>
      <c r="U637" s="677"/>
      <c r="V637" s="677">
        <v>0</v>
      </c>
      <c r="W637" s="677">
        <v>0</v>
      </c>
      <c r="X637" s="678"/>
      <c r="Y637" s="682"/>
      <c r="Z637" s="680"/>
      <c r="AA637" s="681">
        <v>185.63</v>
      </c>
      <c r="AB637" s="681"/>
      <c r="AC637" s="417">
        <v>23</v>
      </c>
      <c r="AD637" s="417"/>
      <c r="AE637" s="682" t="s">
        <v>4571</v>
      </c>
      <c r="AF637">
        <v>1</v>
      </c>
      <c r="AG637" s="767">
        <v>43101</v>
      </c>
      <c r="AH637" s="417"/>
      <c r="AI637" s="417"/>
      <c r="AJ637" s="768">
        <v>43427</v>
      </c>
      <c r="AK637" s="417"/>
      <c r="AL637" s="637" t="s">
        <v>3442</v>
      </c>
      <c r="AM637" s="417"/>
      <c r="AN637" s="417"/>
      <c r="AO637" s="636"/>
      <c r="AP637">
        <v>97</v>
      </c>
      <c r="AQ637" s="769">
        <v>43427</v>
      </c>
      <c r="AR637" s="417">
        <v>0.3</v>
      </c>
      <c r="AS637" s="417"/>
      <c r="AT637" s="417"/>
      <c r="AU637" s="417"/>
      <c r="AV637" s="417"/>
      <c r="AW637" s="417"/>
      <c r="AX637" s="417"/>
      <c r="AY637" s="183" t="s">
        <v>3424</v>
      </c>
      <c r="AZ637" s="417"/>
      <c r="BA637" s="417"/>
      <c r="BB637" t="s">
        <v>3583</v>
      </c>
      <c r="BC637" s="636"/>
      <c r="BD637" s="417"/>
      <c r="BE637" s="612"/>
      <c r="BF637" s="613"/>
      <c r="BG637" s="614"/>
      <c r="BH637" s="682"/>
      <c r="BI637" s="417"/>
      <c r="BJ637" s="417">
        <v>8</v>
      </c>
      <c r="BK637" s="682" t="str">
        <f>Техкарта[[#This Row],[Кв-л]]&amp;" кв ("&amp;Substring(Техкарта[[#This Row],[Виділ]],"_",1)&amp;" вид) "&amp;Substring(Техкарта[[#This Row],[Виділ]],"_",2)&amp;" діл."</f>
        <v>45 кв (3 вид) 1 діл.</v>
      </c>
      <c r="BL637" s="682" t="str">
        <f>Техкарта[[#This Row],[ПолнаяДіл]] &amp;" "&amp;Техкарта[[#This Row],[ЛК]]&amp;" "&amp;Техкарта[[#This Row],[Вид рубки]]</f>
        <v>45 кв (3 вид) 1 діл. 97 РКП</v>
      </c>
      <c r="BM637" s="682"/>
      <c r="BN637" s="636"/>
      <c r="BO637" s="636"/>
      <c r="BP637" s="636"/>
      <c r="BQ637" s="636" t="s">
        <v>3896</v>
      </c>
      <c r="BR637" s="636">
        <v>2</v>
      </c>
      <c r="BS637" s="636"/>
      <c r="BT637" s="636"/>
      <c r="BU637" s="636"/>
      <c r="BV637" s="636"/>
      <c r="BW637" s="636" t="s">
        <v>4549</v>
      </c>
      <c r="BX637" s="636"/>
      <c r="BY637" s="972"/>
    </row>
    <row r="638" spans="1:77">
      <c r="A638" s="636" t="s">
        <v>3896</v>
      </c>
      <c r="B638" s="675" t="s">
        <v>114</v>
      </c>
      <c r="C638" s="687" t="s">
        <v>478</v>
      </c>
      <c r="D638" s="675">
        <v>0</v>
      </c>
      <c r="E638" s="675" t="s">
        <v>2311</v>
      </c>
      <c r="F638" s="675">
        <v>3</v>
      </c>
      <c r="G638" s="675" t="s">
        <v>79</v>
      </c>
      <c r="H638" s="675">
        <v>35</v>
      </c>
      <c r="I638" s="676" t="s">
        <v>3847</v>
      </c>
      <c r="J638" s="677">
        <v>0.2</v>
      </c>
      <c r="K638" s="683">
        <v>0</v>
      </c>
      <c r="L638" s="677"/>
      <c r="M638" s="677">
        <v>0</v>
      </c>
      <c r="N638" s="677">
        <v>40</v>
      </c>
      <c r="O638" s="677"/>
      <c r="P638" s="677"/>
      <c r="Q638" s="677">
        <v>0</v>
      </c>
      <c r="R638" s="677"/>
      <c r="S638" s="677">
        <v>0</v>
      </c>
      <c r="T638" s="677">
        <v>0</v>
      </c>
      <c r="U638" s="677"/>
      <c r="V638" s="677">
        <v>0</v>
      </c>
      <c r="W638" s="677">
        <v>0</v>
      </c>
      <c r="X638" s="678"/>
      <c r="Y638" s="682"/>
      <c r="Z638" s="680"/>
      <c r="AA638" s="681">
        <v>185.63</v>
      </c>
      <c r="AB638" s="681"/>
      <c r="AC638" s="417">
        <v>23</v>
      </c>
      <c r="AD638" s="417"/>
      <c r="AE638" s="682" t="s">
        <v>4572</v>
      </c>
      <c r="AF638">
        <v>1</v>
      </c>
      <c r="AG638" s="767">
        <v>43101</v>
      </c>
      <c r="AH638" s="417"/>
      <c r="AI638" s="417"/>
      <c r="AJ638" s="768">
        <v>43427</v>
      </c>
      <c r="AK638" s="417"/>
      <c r="AL638" s="637" t="s">
        <v>3442</v>
      </c>
      <c r="AM638" s="417"/>
      <c r="AN638" s="417"/>
      <c r="AO638" s="636"/>
      <c r="AP638">
        <v>97</v>
      </c>
      <c r="AQ638" s="769">
        <v>43427</v>
      </c>
      <c r="AR638" s="417">
        <v>0.3</v>
      </c>
      <c r="AS638" s="417"/>
      <c r="AT638" s="417"/>
      <c r="AU638" s="417"/>
      <c r="AV638" s="417"/>
      <c r="AW638" s="417"/>
      <c r="AX638" s="417"/>
      <c r="AY638" s="183" t="s">
        <v>3424</v>
      </c>
      <c r="AZ638" s="417"/>
      <c r="BA638" s="417"/>
      <c r="BB638" t="s">
        <v>3583</v>
      </c>
      <c r="BC638" s="636"/>
      <c r="BD638" s="417"/>
      <c r="BE638" s="612"/>
      <c r="BF638" s="613"/>
      <c r="BG638" s="614"/>
      <c r="BH638" s="682"/>
      <c r="BI638" s="417"/>
      <c r="BJ638" s="417">
        <v>9</v>
      </c>
      <c r="BK638" s="682" t="str">
        <f>Техкарта[[#This Row],[Кв-л]]&amp;" кв ("&amp;Substring(Техкарта[[#This Row],[Виділ]],"_",1)&amp;" вид) "&amp;Substring(Техкарта[[#This Row],[Виділ]],"_",2)&amp;" діл."</f>
        <v>35 кв (4 вид) 1 діл.</v>
      </c>
      <c r="BL638" s="682" t="str">
        <f>Техкарта[[#This Row],[ПолнаяДіл]] &amp;" "&amp;Техкарта[[#This Row],[ЛК]]&amp;" "&amp;Техкарта[[#This Row],[Вид рубки]]</f>
        <v>35 кв (4 вид) 1 діл. 97 РКП</v>
      </c>
      <c r="BM638" s="682"/>
      <c r="BN638" s="636"/>
      <c r="BO638" s="636"/>
      <c r="BP638" s="636"/>
      <c r="BQ638" s="636" t="s">
        <v>3896</v>
      </c>
      <c r="BR638" s="636">
        <v>2</v>
      </c>
      <c r="BS638" s="636"/>
      <c r="BT638" s="636"/>
      <c r="BU638" s="636"/>
      <c r="BV638" s="636"/>
      <c r="BW638" s="636" t="s">
        <v>4549</v>
      </c>
      <c r="BX638" s="636"/>
      <c r="BY638" s="972"/>
    </row>
    <row r="639" spans="1:77">
      <c r="A639" s="636" t="s">
        <v>3896</v>
      </c>
      <c r="B639" s="675" t="s">
        <v>114</v>
      </c>
      <c r="C639" s="687" t="s">
        <v>478</v>
      </c>
      <c r="D639" s="675">
        <v>0</v>
      </c>
      <c r="E639" s="675" t="s">
        <v>2311</v>
      </c>
      <c r="F639" s="675">
        <v>3</v>
      </c>
      <c r="G639" s="675" t="s">
        <v>79</v>
      </c>
      <c r="H639" s="675">
        <v>36</v>
      </c>
      <c r="I639" s="676" t="s">
        <v>3806</v>
      </c>
      <c r="J639" s="677">
        <v>0.2</v>
      </c>
      <c r="K639" s="683">
        <v>0</v>
      </c>
      <c r="L639" s="677"/>
      <c r="M639" s="677">
        <v>0</v>
      </c>
      <c r="N639" s="677">
        <v>40</v>
      </c>
      <c r="O639" s="677"/>
      <c r="P639" s="677"/>
      <c r="Q639" s="677">
        <v>0</v>
      </c>
      <c r="R639" s="677"/>
      <c r="S639" s="677">
        <v>0</v>
      </c>
      <c r="T639" s="677">
        <v>0</v>
      </c>
      <c r="U639" s="677"/>
      <c r="V639" s="677">
        <v>0</v>
      </c>
      <c r="W639" s="677">
        <v>0</v>
      </c>
      <c r="X639" s="678"/>
      <c r="Y639" s="682"/>
      <c r="Z639" s="680"/>
      <c r="AA639" s="681">
        <v>185.63</v>
      </c>
      <c r="AB639" s="681"/>
      <c r="AC639" s="417">
        <v>23</v>
      </c>
      <c r="AD639" s="417"/>
      <c r="AE639" s="682" t="s">
        <v>4573</v>
      </c>
      <c r="AF639">
        <v>1</v>
      </c>
      <c r="AG639" s="767">
        <v>43101</v>
      </c>
      <c r="AH639" s="417"/>
      <c r="AI639" s="417"/>
      <c r="AJ639" s="768">
        <v>43427</v>
      </c>
      <c r="AK639" s="417"/>
      <c r="AL639" s="637" t="s">
        <v>3442</v>
      </c>
      <c r="AM639" s="417"/>
      <c r="AN639" s="417"/>
      <c r="AO639" s="636"/>
      <c r="AP639">
        <v>97</v>
      </c>
      <c r="AQ639" s="769">
        <v>43427</v>
      </c>
      <c r="AR639" s="417">
        <v>0.3</v>
      </c>
      <c r="AS639" s="417"/>
      <c r="AT639" s="417"/>
      <c r="AU639" s="417"/>
      <c r="AV639" s="417"/>
      <c r="AW639" s="417"/>
      <c r="AX639" s="417"/>
      <c r="AY639" s="183" t="s">
        <v>3424</v>
      </c>
      <c r="AZ639" s="417"/>
      <c r="BA639" s="417"/>
      <c r="BB639" t="s">
        <v>3583</v>
      </c>
      <c r="BC639" s="636"/>
      <c r="BD639" s="417"/>
      <c r="BE639" s="612"/>
      <c r="BF639" s="613"/>
      <c r="BG639" s="614"/>
      <c r="BH639" s="682"/>
      <c r="BI639" s="417"/>
      <c r="BJ639" s="417">
        <v>10</v>
      </c>
      <c r="BK639" s="682" t="str">
        <f>Техкарта[[#This Row],[Кв-л]]&amp;" кв ("&amp;Substring(Техкарта[[#This Row],[Виділ]],"_",1)&amp;" вид) "&amp;Substring(Техкарта[[#This Row],[Виділ]],"_",2)&amp;" діл."</f>
        <v>36 кв (1 вид) 1 діл.</v>
      </c>
      <c r="BL639" s="682" t="str">
        <f>Техкарта[[#This Row],[ПолнаяДіл]] &amp;" "&amp;Техкарта[[#This Row],[ЛК]]&amp;" "&amp;Техкарта[[#This Row],[Вид рубки]]</f>
        <v>36 кв (1 вид) 1 діл. 97 РКП</v>
      </c>
      <c r="BM639" s="682"/>
      <c r="BN639" s="636"/>
      <c r="BO639" s="636"/>
      <c r="BP639" s="636"/>
      <c r="BQ639" s="636" t="s">
        <v>3896</v>
      </c>
      <c r="BR639" s="636">
        <v>2</v>
      </c>
      <c r="BS639" s="636"/>
      <c r="BT639" s="636"/>
      <c r="BU639" s="636"/>
      <c r="BV639" s="636"/>
      <c r="BW639" s="636" t="s">
        <v>4549</v>
      </c>
      <c r="BX639" s="636"/>
      <c r="BY639" s="972"/>
    </row>
    <row r="640" spans="1:77">
      <c r="A640" s="636" t="s">
        <v>3896</v>
      </c>
      <c r="B640" s="675" t="s">
        <v>114</v>
      </c>
      <c r="C640" s="687" t="s">
        <v>3844</v>
      </c>
      <c r="D640" s="675">
        <v>0</v>
      </c>
      <c r="E640" s="675" t="s">
        <v>2311</v>
      </c>
      <c r="F640" s="675">
        <v>3</v>
      </c>
      <c r="G640" s="675" t="s">
        <v>79</v>
      </c>
      <c r="H640" s="675">
        <v>28</v>
      </c>
      <c r="I640" s="676" t="s">
        <v>3830</v>
      </c>
      <c r="J640" s="677">
        <v>2.4</v>
      </c>
      <c r="K640" s="683">
        <v>0</v>
      </c>
      <c r="L640" s="677"/>
      <c r="M640" s="677">
        <v>0</v>
      </c>
      <c r="N640" s="677">
        <v>170</v>
      </c>
      <c r="O640" s="677"/>
      <c r="P640" s="677"/>
      <c r="Q640" s="677">
        <v>0</v>
      </c>
      <c r="R640" s="677"/>
      <c r="S640" s="677">
        <v>0</v>
      </c>
      <c r="T640" s="677">
        <v>0</v>
      </c>
      <c r="U640" s="677"/>
      <c r="V640" s="677">
        <v>0</v>
      </c>
      <c r="W640" s="677">
        <v>0</v>
      </c>
      <c r="X640" s="678"/>
      <c r="Y640" s="682"/>
      <c r="Z640" s="680"/>
      <c r="AA640" s="681">
        <v>204.24</v>
      </c>
      <c r="AB640" s="681"/>
      <c r="AC640" s="417">
        <v>23</v>
      </c>
      <c r="AD640" s="417"/>
      <c r="AE640" s="682" t="s">
        <v>4574</v>
      </c>
      <c r="AF640">
        <v>1</v>
      </c>
      <c r="AG640" s="767">
        <v>43101</v>
      </c>
      <c r="AH640" s="417"/>
      <c r="AI640" s="417"/>
      <c r="AJ640" s="768">
        <v>43432</v>
      </c>
      <c r="AK640" s="417"/>
      <c r="AL640" s="637" t="s">
        <v>3448</v>
      </c>
      <c r="AM640" s="417"/>
      <c r="AN640" s="417"/>
      <c r="AO640" s="636"/>
      <c r="AP640">
        <v>101</v>
      </c>
      <c r="AQ640" s="769">
        <v>43432</v>
      </c>
      <c r="AR640" s="417">
        <v>0.3</v>
      </c>
      <c r="AS640" s="417"/>
      <c r="AT640" s="417"/>
      <c r="AU640" s="417"/>
      <c r="AV640" s="417"/>
      <c r="AW640" s="417"/>
      <c r="AX640" s="417"/>
      <c r="AY640" s="183" t="s">
        <v>3424</v>
      </c>
      <c r="AZ640" s="417"/>
      <c r="BA640" s="417"/>
      <c r="BB640" t="s">
        <v>3583</v>
      </c>
      <c r="BC640" s="636"/>
      <c r="BD640" s="417"/>
      <c r="BE640" s="612"/>
      <c r="BF640" s="613"/>
      <c r="BG640" s="614"/>
      <c r="BH640" s="682"/>
      <c r="BI640" s="417"/>
      <c r="BJ640" s="417">
        <v>11</v>
      </c>
      <c r="BK640" s="682" t="str">
        <f>Техкарта[[#This Row],[Кв-л]]&amp;" кв ("&amp;Substring(Техкарта[[#This Row],[Виділ]],"_",1)&amp;" вид) "&amp;Substring(Техкарта[[#This Row],[Виділ]],"_",2)&amp;" діл."</f>
        <v>28 кв (1 вид) 0 діл.</v>
      </c>
      <c r="BL640" s="682" t="str">
        <f>Техкарта[[#This Row],[ПолнаяДіл]] &amp;" "&amp;Техкарта[[#This Row],[ЛК]]&amp;" "&amp;Техкарта[[#This Row],[Вид рубки]]</f>
        <v>28 кв (1 вид) 0 діл. 101 ЛД</v>
      </c>
      <c r="BM640" s="682"/>
      <c r="BN640" s="636"/>
      <c r="BO640" s="636"/>
      <c r="BP640" s="636"/>
      <c r="BQ640" s="636" t="s">
        <v>3896</v>
      </c>
      <c r="BR640" s="636">
        <v>2</v>
      </c>
      <c r="BS640" s="636"/>
      <c r="BT640" s="636"/>
      <c r="BU640" s="636"/>
      <c r="BV640" s="636"/>
      <c r="BW640" s="636" t="s">
        <v>4549</v>
      </c>
      <c r="BX640" s="636"/>
      <c r="BY640" s="972"/>
    </row>
    <row r="641" spans="1:77">
      <c r="A641" s="636" t="s">
        <v>3896</v>
      </c>
      <c r="B641" s="675" t="s">
        <v>115</v>
      </c>
      <c r="C641" s="687" t="s">
        <v>134</v>
      </c>
      <c r="D641" s="675">
        <v>0</v>
      </c>
      <c r="E641" s="675" t="s">
        <v>2311</v>
      </c>
      <c r="F641" s="675">
        <v>3</v>
      </c>
      <c r="G641" s="675" t="s">
        <v>79</v>
      </c>
      <c r="H641" s="675">
        <v>26</v>
      </c>
      <c r="I641" s="676" t="s">
        <v>3829</v>
      </c>
      <c r="J641" s="677">
        <v>5.4</v>
      </c>
      <c r="K641" s="683">
        <v>0</v>
      </c>
      <c r="L641" s="677"/>
      <c r="M641" s="677">
        <v>0</v>
      </c>
      <c r="N641" s="677">
        <v>170</v>
      </c>
      <c r="O641" s="677"/>
      <c r="P641" s="677"/>
      <c r="Q641" s="677">
        <v>583.33000000000004</v>
      </c>
      <c r="R641" s="677"/>
      <c r="S641" s="677">
        <v>0</v>
      </c>
      <c r="T641" s="677">
        <v>0</v>
      </c>
      <c r="U641" s="677"/>
      <c r="V641" s="677">
        <v>0</v>
      </c>
      <c r="W641" s="677">
        <v>0</v>
      </c>
      <c r="X641" s="678"/>
      <c r="Y641" s="682"/>
      <c r="Z641" s="680"/>
      <c r="AA641" s="681">
        <v>209.66</v>
      </c>
      <c r="AB641" s="681"/>
      <c r="AC641" s="417">
        <v>23</v>
      </c>
      <c r="AD641" s="417"/>
      <c r="AE641" s="682" t="s">
        <v>4575</v>
      </c>
      <c r="AF641">
        <v>1</v>
      </c>
      <c r="AG641" s="767">
        <v>43101</v>
      </c>
      <c r="AH641" s="417"/>
      <c r="AI641" s="417"/>
      <c r="AJ641" s="768">
        <v>43405</v>
      </c>
      <c r="AK641" s="417"/>
      <c r="AL641" s="637" t="s">
        <v>3450</v>
      </c>
      <c r="AM641" s="417"/>
      <c r="AN641" s="417"/>
      <c r="AO641" s="636"/>
      <c r="AP641">
        <v>556668</v>
      </c>
      <c r="AQ641" s="769">
        <v>43196</v>
      </c>
      <c r="AR641" s="417">
        <v>0.5</v>
      </c>
      <c r="AS641" s="417"/>
      <c r="AT641" s="417"/>
      <c r="AU641" s="417"/>
      <c r="AV641" s="417"/>
      <c r="AW641" s="417"/>
      <c r="AX641" s="417"/>
      <c r="AY641" s="183" t="s">
        <v>3362</v>
      </c>
      <c r="AZ641" s="417"/>
      <c r="BA641" s="417"/>
      <c r="BB641" t="s">
        <v>3585</v>
      </c>
      <c r="BC641" s="636"/>
      <c r="BD641" s="417"/>
      <c r="BE641" s="612"/>
      <c r="BF641" s="613"/>
      <c r="BG641" s="614"/>
      <c r="BH641" s="682"/>
      <c r="BI641" s="417"/>
      <c r="BJ641" s="417">
        <v>6</v>
      </c>
      <c r="BK641" s="682" t="str">
        <f>Техкарта[[#This Row],[Кв-л]]&amp;" кв ("&amp;Substring(Техкарта[[#This Row],[Виділ]],"_",1)&amp;" вид) "&amp;Substring(Техкарта[[#This Row],[Виділ]],"_",2)&amp;" діл."</f>
        <v>26 кв (3 вид) 0 діл.</v>
      </c>
      <c r="BL641" s="682" t="str">
        <f>Техкарта[[#This Row],[ПолнаяДіл]] &amp;" "&amp;Техкарта[[#This Row],[ЛК]]&amp;" "&amp;Техкарта[[#This Row],[Вид рубки]]</f>
        <v>26 кв (3 вид) 0 діл. 556668 ПРЧ</v>
      </c>
      <c r="BM641" s="682"/>
      <c r="BN641" s="636"/>
      <c r="BO641" s="636"/>
      <c r="BP641" s="636"/>
      <c r="BQ641" s="636" t="s">
        <v>3896</v>
      </c>
      <c r="BR641" s="636">
        <v>5</v>
      </c>
      <c r="BS641" s="636"/>
      <c r="BT641" s="636"/>
      <c r="BU641" s="636"/>
      <c r="BV641" s="636"/>
      <c r="BW641" s="636" t="s">
        <v>4549</v>
      </c>
      <c r="BX641" s="636"/>
      <c r="BY641" s="972"/>
    </row>
    <row r="642" spans="1:77">
      <c r="A642" s="636" t="s">
        <v>3896</v>
      </c>
      <c r="B642" s="675" t="s">
        <v>111</v>
      </c>
      <c r="C642" s="687" t="s">
        <v>3843</v>
      </c>
      <c r="D642" s="675">
        <v>0</v>
      </c>
      <c r="E642" s="675" t="s">
        <v>2311</v>
      </c>
      <c r="F642" s="675">
        <v>3</v>
      </c>
      <c r="G642" s="675" t="s">
        <v>79</v>
      </c>
      <c r="H642" s="675">
        <v>77</v>
      </c>
      <c r="I642" s="676" t="s">
        <v>3790</v>
      </c>
      <c r="J642" s="677">
        <v>2</v>
      </c>
      <c r="K642" s="683">
        <v>0</v>
      </c>
      <c r="L642" s="677"/>
      <c r="M642" s="677">
        <v>0</v>
      </c>
      <c r="N642" s="677">
        <v>250</v>
      </c>
      <c r="O642" s="677"/>
      <c r="P642" s="677"/>
      <c r="Q642" s="677">
        <v>0</v>
      </c>
      <c r="R642" s="677"/>
      <c r="S642" s="677">
        <v>0</v>
      </c>
      <c r="T642" s="677">
        <v>0</v>
      </c>
      <c r="U642" s="677"/>
      <c r="V642" s="677">
        <v>0</v>
      </c>
      <c r="W642" s="677">
        <v>0</v>
      </c>
      <c r="X642" s="678"/>
      <c r="Y642" s="682"/>
      <c r="Z642" s="680"/>
      <c r="AA642" s="681">
        <v>185.62</v>
      </c>
      <c r="AB642" s="681"/>
      <c r="AC642" s="417">
        <v>23</v>
      </c>
      <c r="AD642" s="417"/>
      <c r="AE642" s="682" t="s">
        <v>4576</v>
      </c>
      <c r="AF642">
        <v>1</v>
      </c>
      <c r="AG642" s="767">
        <v>43101</v>
      </c>
      <c r="AH642" s="417"/>
      <c r="AI642" s="417"/>
      <c r="AJ642" s="768">
        <v>43432</v>
      </c>
      <c r="AK642" s="417"/>
      <c r="AL642" s="637" t="s">
        <v>3451</v>
      </c>
      <c r="AM642" s="417"/>
      <c r="AN642" s="417"/>
      <c r="AO642" s="636"/>
      <c r="AP642">
        <v>103</v>
      </c>
      <c r="AQ642" s="769">
        <v>43432</v>
      </c>
      <c r="AR642" s="417">
        <v>0.3</v>
      </c>
      <c r="AS642" s="417"/>
      <c r="AT642" s="417"/>
      <c r="AU642" s="417"/>
      <c r="AV642" s="417"/>
      <c r="AW642" s="417"/>
      <c r="AX642" s="417"/>
      <c r="AY642" s="183" t="s">
        <v>3424</v>
      </c>
      <c r="AZ642" s="417"/>
      <c r="BA642" s="417"/>
      <c r="BB642" t="s">
        <v>3583</v>
      </c>
      <c r="BC642" s="636"/>
      <c r="BD642" s="417"/>
      <c r="BE642" s="612"/>
      <c r="BF642" s="613"/>
      <c r="BG642" s="614"/>
      <c r="BH642" s="682"/>
      <c r="BI642" s="417"/>
      <c r="BJ642" s="417">
        <v>3</v>
      </c>
      <c r="BK642" s="682" t="str">
        <f>Техкарта[[#This Row],[Кв-л]]&amp;" кв ("&amp;Substring(Техкарта[[#This Row],[Виділ]],"_",1)&amp;" вид) "&amp;Substring(Техкарта[[#This Row],[Виділ]],"_",2)&amp;" діл."</f>
        <v>77 кв (2 вид) 0 діл.</v>
      </c>
      <c r="BL642" s="682" t="str">
        <f>Техкарта[[#This Row],[ПолнаяДіл]] &amp;" "&amp;Техкарта[[#This Row],[ЛК]]&amp;" "&amp;Техкарта[[#This Row],[Вид рубки]]</f>
        <v>77 кв (2 вид) 0 діл. 103 ОСВ</v>
      </c>
      <c r="BM642" s="682"/>
      <c r="BN642" s="636"/>
      <c r="BO642" s="636"/>
      <c r="BP642" s="636"/>
      <c r="BQ642" s="636" t="s">
        <v>3896</v>
      </c>
      <c r="BR642" s="636">
        <v>2</v>
      </c>
      <c r="BS642" s="636"/>
      <c r="BT642" s="636"/>
      <c r="BU642" s="636"/>
      <c r="BV642" s="636"/>
      <c r="BW642" s="636" t="s">
        <v>4549</v>
      </c>
      <c r="BX642" s="636"/>
      <c r="BY642" s="972"/>
    </row>
    <row r="643" spans="1:77">
      <c r="A643" s="636" t="s">
        <v>105</v>
      </c>
      <c r="B643" s="675" t="s">
        <v>115</v>
      </c>
      <c r="C643" s="687" t="s">
        <v>126</v>
      </c>
      <c r="D643" s="675">
        <v>0</v>
      </c>
      <c r="E643" s="675" t="s">
        <v>2311</v>
      </c>
      <c r="F643" s="675">
        <v>3</v>
      </c>
      <c r="G643" s="675" t="s">
        <v>79</v>
      </c>
      <c r="H643" s="675">
        <v>110</v>
      </c>
      <c r="I643" s="676" t="s">
        <v>3799</v>
      </c>
      <c r="J643" s="677">
        <v>8.6999999999999993</v>
      </c>
      <c r="K643" s="683">
        <v>293</v>
      </c>
      <c r="L643" s="677"/>
      <c r="M643" s="677">
        <v>0</v>
      </c>
      <c r="N643" s="677">
        <v>8</v>
      </c>
      <c r="O643" s="677"/>
      <c r="P643" s="677"/>
      <c r="Q643" s="677">
        <v>0</v>
      </c>
      <c r="R643" s="677"/>
      <c r="S643" s="677">
        <v>0</v>
      </c>
      <c r="T643" s="677">
        <v>0</v>
      </c>
      <c r="U643" s="677">
        <v>21</v>
      </c>
      <c r="V643" s="677">
        <v>13</v>
      </c>
      <c r="W643" s="677">
        <v>71</v>
      </c>
      <c r="X643" s="678"/>
      <c r="Y643" s="682"/>
      <c r="Z643" s="680"/>
      <c r="AA643" s="681">
        <v>92.545000000000002</v>
      </c>
      <c r="AB643" s="681"/>
      <c r="AC643" s="417">
        <v>10</v>
      </c>
      <c r="AD643" s="417"/>
      <c r="AE643" s="682" t="s">
        <v>4577</v>
      </c>
      <c r="AF643">
        <v>1</v>
      </c>
      <c r="AG643" s="767">
        <v>43101</v>
      </c>
      <c r="AH643" s="417"/>
      <c r="AI643" s="417"/>
      <c r="AJ643" s="768">
        <v>43430</v>
      </c>
      <c r="AK643" s="417"/>
      <c r="AL643" s="637" t="s">
        <v>3452</v>
      </c>
      <c r="AM643" s="417"/>
      <c r="AN643" s="417"/>
      <c r="AO643" s="636"/>
      <c r="AP643">
        <v>99</v>
      </c>
      <c r="AQ643" s="769">
        <v>43430</v>
      </c>
      <c r="AR643" s="417">
        <v>0.5</v>
      </c>
      <c r="AS643" s="417"/>
      <c r="AT643" s="417"/>
      <c r="AU643" s="417"/>
      <c r="AV643" s="417"/>
      <c r="AW643" s="417"/>
      <c r="AX643" s="417"/>
      <c r="AY643" s="183" t="s">
        <v>3362</v>
      </c>
      <c r="AZ643" s="417"/>
      <c r="BA643" s="417"/>
      <c r="BB643" t="s">
        <v>3585</v>
      </c>
      <c r="BC643" s="636"/>
      <c r="BD643" s="417"/>
      <c r="BE643" s="612"/>
      <c r="BF643" s="613"/>
      <c r="BG643" s="614"/>
      <c r="BH643" s="682"/>
      <c r="BI643" s="417"/>
      <c r="BJ643" s="417">
        <v>7</v>
      </c>
      <c r="BK643" s="682" t="str">
        <f>Техкарта[[#This Row],[Кв-л]]&amp;" кв ("&amp;Substring(Техкарта[[#This Row],[Виділ]],"_",1)&amp;" вид) "&amp;Substring(Техкарта[[#This Row],[Виділ]],"_",2)&amp;" діл."</f>
        <v>110 кв (1 вид) 2 діл.</v>
      </c>
      <c r="BL643" s="682" t="str">
        <f>Техкарта[[#This Row],[ПолнаяДіл]] &amp;" "&amp;Техкарта[[#This Row],[ЛК]]&amp;" "&amp;Техкарта[[#This Row],[Вид рубки]]</f>
        <v>110 кв (1 вид) 2 діл. 99 СРВ</v>
      </c>
      <c r="BM643" s="682"/>
      <c r="BN643" s="636"/>
      <c r="BO643" s="636"/>
      <c r="BP643" s="636"/>
      <c r="BQ643" s="636" t="s">
        <v>105</v>
      </c>
      <c r="BR643" s="636">
        <v>2</v>
      </c>
      <c r="BS643" s="636"/>
      <c r="BT643" s="636"/>
      <c r="BU643" s="636"/>
      <c r="BV643" s="636"/>
      <c r="BW643" s="636" t="s">
        <v>4549</v>
      </c>
      <c r="BX643" s="636"/>
      <c r="BY643" s="972"/>
    </row>
    <row r="644" spans="1:77">
      <c r="A644" s="636" t="s">
        <v>105</v>
      </c>
      <c r="B644" s="675" t="s">
        <v>115</v>
      </c>
      <c r="C644" s="687" t="s">
        <v>126</v>
      </c>
      <c r="D644" s="675">
        <v>0</v>
      </c>
      <c r="E644" s="675" t="s">
        <v>2311</v>
      </c>
      <c r="F644" s="675">
        <v>3</v>
      </c>
      <c r="G644" s="675" t="s">
        <v>79</v>
      </c>
      <c r="H644" s="675">
        <v>124</v>
      </c>
      <c r="I644" s="676" t="s">
        <v>3830</v>
      </c>
      <c r="J644" s="677">
        <v>0.1</v>
      </c>
      <c r="K644" s="683">
        <v>45</v>
      </c>
      <c r="L644" s="677"/>
      <c r="M644" s="677">
        <v>0</v>
      </c>
      <c r="N644" s="677">
        <v>0</v>
      </c>
      <c r="O644" s="677"/>
      <c r="P644" s="677"/>
      <c r="Q644" s="677">
        <v>0</v>
      </c>
      <c r="R644" s="677"/>
      <c r="S644" s="677">
        <v>0</v>
      </c>
      <c r="T644" s="677">
        <v>0</v>
      </c>
      <c r="U644" s="677">
        <v>0</v>
      </c>
      <c r="V644" s="677">
        <v>13</v>
      </c>
      <c r="W644" s="677">
        <v>10</v>
      </c>
      <c r="X644" s="678"/>
      <c r="Y644" s="682"/>
      <c r="Z644" s="680"/>
      <c r="AA644" s="681">
        <v>74.009</v>
      </c>
      <c r="AB644" s="681"/>
      <c r="AC644" s="417">
        <v>2</v>
      </c>
      <c r="AD644" s="417"/>
      <c r="AE644" s="682" t="s">
        <v>4578</v>
      </c>
      <c r="AF644">
        <v>1</v>
      </c>
      <c r="AG644" s="767">
        <v>43101</v>
      </c>
      <c r="AH644" s="417"/>
      <c r="AI644" s="417"/>
      <c r="AJ644" s="768">
        <v>43430</v>
      </c>
      <c r="AK644" s="417"/>
      <c r="AL644" s="637" t="s">
        <v>3834</v>
      </c>
      <c r="AM644" s="417"/>
      <c r="AN644" s="417"/>
      <c r="AO644" s="636"/>
      <c r="AP644">
        <v>99</v>
      </c>
      <c r="AQ644" s="769">
        <v>43430</v>
      </c>
      <c r="AR644" s="417">
        <v>0.5</v>
      </c>
      <c r="AS644" s="417"/>
      <c r="AT644" s="417"/>
      <c r="AU644" s="417"/>
      <c r="AV644" s="417"/>
      <c r="AW644" s="417"/>
      <c r="AX644" s="417"/>
      <c r="AY644" s="183" t="s">
        <v>3362</v>
      </c>
      <c r="AZ644" s="417"/>
      <c r="BA644" s="417"/>
      <c r="BB644" t="s">
        <v>3585</v>
      </c>
      <c r="BC644" s="636"/>
      <c r="BD644" s="417"/>
      <c r="BE644" s="612"/>
      <c r="BF644" s="613"/>
      <c r="BG644" s="614"/>
      <c r="BH644" s="682"/>
      <c r="BI644" s="417"/>
      <c r="BJ644" s="417">
        <v>8</v>
      </c>
      <c r="BK644" s="682" t="str">
        <f>Техкарта[[#This Row],[Кв-л]]&amp;" кв ("&amp;Substring(Техкарта[[#This Row],[Виділ]],"_",1)&amp;" вид) "&amp;Substring(Техкарта[[#This Row],[Виділ]],"_",2)&amp;" діл."</f>
        <v>124 кв (1 вид) 0 діл.</v>
      </c>
      <c r="BL644" s="682" t="str">
        <f>Техкарта[[#This Row],[ПолнаяДіл]] &amp;" "&amp;Техкарта[[#This Row],[ЛК]]&amp;" "&amp;Техкарта[[#This Row],[Вид рубки]]</f>
        <v>124 кв (1 вид) 0 діл. 99 СРВ</v>
      </c>
      <c r="BM644" s="682"/>
      <c r="BN644" s="636"/>
      <c r="BO644" s="636"/>
      <c r="BP644" s="636"/>
      <c r="BQ644" s="636" t="s">
        <v>105</v>
      </c>
      <c r="BR644" s="636">
        <v>2</v>
      </c>
      <c r="BS644" s="636"/>
      <c r="BT644" s="636"/>
      <c r="BU644" s="636"/>
      <c r="BV644" s="636"/>
      <c r="BW644" s="636" t="s">
        <v>4549</v>
      </c>
      <c r="BX644" s="636"/>
      <c r="BY644" s="972"/>
    </row>
    <row r="645" spans="1:77">
      <c r="A645" s="636" t="s">
        <v>104</v>
      </c>
      <c r="B645" s="675" t="s">
        <v>112</v>
      </c>
      <c r="C645" s="687" t="s">
        <v>104</v>
      </c>
      <c r="D645" s="675">
        <v>0</v>
      </c>
      <c r="E645" s="675" t="s">
        <v>2305</v>
      </c>
      <c r="F645" s="675">
        <v>2</v>
      </c>
      <c r="G645" s="675" t="s">
        <v>2238</v>
      </c>
      <c r="H645" s="675">
        <v>23</v>
      </c>
      <c r="I645" s="676" t="s">
        <v>3792</v>
      </c>
      <c r="J645" s="677">
        <v>1.1000000000000001</v>
      </c>
      <c r="K645" s="683">
        <v>861</v>
      </c>
      <c r="L645" s="677">
        <v>1</v>
      </c>
      <c r="M645" s="677">
        <v>0</v>
      </c>
      <c r="N645" s="677">
        <v>214</v>
      </c>
      <c r="O645" s="677">
        <v>0</v>
      </c>
      <c r="P645" s="677">
        <v>0</v>
      </c>
      <c r="Q645" s="677">
        <v>22</v>
      </c>
      <c r="R645" s="677">
        <v>21</v>
      </c>
      <c r="S645" s="677">
        <v>4</v>
      </c>
      <c r="T645" s="677">
        <v>78</v>
      </c>
      <c r="U645" s="677">
        <v>7</v>
      </c>
      <c r="V645" s="677">
        <v>4</v>
      </c>
      <c r="W645" s="677">
        <v>53</v>
      </c>
      <c r="X645" s="678"/>
      <c r="Y645" s="682"/>
      <c r="Z645" s="680"/>
      <c r="AA645" s="681">
        <v>105.032</v>
      </c>
      <c r="AB645" s="681">
        <v>81.635000000000005</v>
      </c>
      <c r="AC645" s="417">
        <v>95</v>
      </c>
      <c r="AD645" s="417"/>
      <c r="AE645" s="682" t="s">
        <v>5340</v>
      </c>
      <c r="AF645">
        <v>1</v>
      </c>
      <c r="AG645" s="767">
        <v>43101</v>
      </c>
      <c r="AH645" s="417"/>
      <c r="AI645" s="417"/>
      <c r="AJ645" s="768">
        <v>43222</v>
      </c>
      <c r="AK645" s="417"/>
      <c r="AL645" s="637" t="s">
        <v>3478</v>
      </c>
      <c r="AM645" s="417"/>
      <c r="AN645" s="417"/>
      <c r="AO645" s="636"/>
      <c r="AP645">
        <v>556617</v>
      </c>
      <c r="AQ645" s="769">
        <v>43077</v>
      </c>
      <c r="AR645" s="417"/>
      <c r="AS645" s="417"/>
      <c r="AT645" s="417"/>
      <c r="AU645" s="417"/>
      <c r="AV645" s="417"/>
      <c r="AW645" s="417"/>
      <c r="AX645" s="417"/>
      <c r="AY645" s="183" t="s">
        <v>4245</v>
      </c>
      <c r="AZ645" s="417"/>
      <c r="BA645" s="417"/>
      <c r="BB645" t="s">
        <v>4238</v>
      </c>
      <c r="BC645" s="636"/>
      <c r="BD645" s="417"/>
      <c r="BE645" s="612">
        <v>5</v>
      </c>
      <c r="BF645" s="613">
        <v>40</v>
      </c>
      <c r="BG645" s="614" t="s">
        <v>78</v>
      </c>
      <c r="BH645" s="682"/>
      <c r="BI645" s="417"/>
      <c r="BJ645" s="417">
        <v>5</v>
      </c>
      <c r="BK645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45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45" s="682"/>
      <c r="BN645" s="636" t="s">
        <v>3784</v>
      </c>
      <c r="BO645" s="636" t="s">
        <v>3784</v>
      </c>
      <c r="BP645" s="636" t="s">
        <v>3784</v>
      </c>
      <c r="BQ645" s="636" t="s">
        <v>104</v>
      </c>
      <c r="BR645" s="636"/>
      <c r="BS645" s="636">
        <v>5</v>
      </c>
      <c r="BT645" s="636">
        <v>20</v>
      </c>
      <c r="BU645" s="636">
        <v>70</v>
      </c>
      <c r="BV645" s="636" t="s">
        <v>4994</v>
      </c>
      <c r="BW645" s="636" t="s">
        <v>4580</v>
      </c>
      <c r="BX645" s="636" t="s">
        <v>4992</v>
      </c>
      <c r="BY645" s="972"/>
    </row>
    <row r="646" spans="1:77">
      <c r="A646" s="636" t="s">
        <v>104</v>
      </c>
      <c r="B646" s="675" t="s">
        <v>112</v>
      </c>
      <c r="C646" s="687" t="s">
        <v>104</v>
      </c>
      <c r="D646" s="675">
        <v>0</v>
      </c>
      <c r="E646" s="675" t="s">
        <v>2305</v>
      </c>
      <c r="F646" s="675">
        <v>2</v>
      </c>
      <c r="G646" s="675" t="s">
        <v>2238</v>
      </c>
      <c r="H646" s="675">
        <v>16</v>
      </c>
      <c r="I646" s="676" t="s">
        <v>3832</v>
      </c>
      <c r="J646" s="677">
        <v>0.4</v>
      </c>
      <c r="K646" s="683">
        <v>161</v>
      </c>
      <c r="L646" s="677">
        <v>0</v>
      </c>
      <c r="M646" s="677">
        <v>0</v>
      </c>
      <c r="N646" s="677">
        <v>42</v>
      </c>
      <c r="O646" s="677">
        <v>0</v>
      </c>
      <c r="P646" s="677">
        <v>0</v>
      </c>
      <c r="Q646" s="677">
        <v>4</v>
      </c>
      <c r="R646" s="677">
        <v>12</v>
      </c>
      <c r="S646" s="677">
        <v>2</v>
      </c>
      <c r="T646" s="677">
        <v>44</v>
      </c>
      <c r="U646" s="677">
        <v>4</v>
      </c>
      <c r="V646" s="677">
        <v>2</v>
      </c>
      <c r="W646" s="677">
        <v>30</v>
      </c>
      <c r="X646" s="678"/>
      <c r="Y646" s="682"/>
      <c r="Z646" s="680"/>
      <c r="AA646" s="681">
        <v>74.477999999999994</v>
      </c>
      <c r="AB646" s="681">
        <v>31.867999999999999</v>
      </c>
      <c r="AC646" s="417">
        <v>8</v>
      </c>
      <c r="AD646" s="417"/>
      <c r="AE646" s="682" t="s">
        <v>4579</v>
      </c>
      <c r="AF646">
        <v>1</v>
      </c>
      <c r="AG646" s="767">
        <v>43101</v>
      </c>
      <c r="AH646" s="417"/>
      <c r="AI646" s="417"/>
      <c r="AJ646" s="768">
        <v>43349</v>
      </c>
      <c r="AK646" s="417"/>
      <c r="AL646" s="637" t="s">
        <v>3473</v>
      </c>
      <c r="AM646" s="417"/>
      <c r="AN646" s="417"/>
      <c r="AO646" s="636"/>
      <c r="AP646">
        <v>556617</v>
      </c>
      <c r="AQ646" s="769">
        <v>43077</v>
      </c>
      <c r="AR646" s="417"/>
      <c r="AS646" s="417"/>
      <c r="AT646" s="417"/>
      <c r="AU646" s="417"/>
      <c r="AV646" s="417"/>
      <c r="AW646" s="417"/>
      <c r="AX646" s="417"/>
      <c r="AY646" s="183" t="s">
        <v>4245</v>
      </c>
      <c r="AZ646" s="417"/>
      <c r="BA646" s="417"/>
      <c r="BB646" t="s">
        <v>4238</v>
      </c>
      <c r="BC646" s="636"/>
      <c r="BD646" s="417"/>
      <c r="BE646" s="612">
        <v>5</v>
      </c>
      <c r="BF646" s="613">
        <v>40</v>
      </c>
      <c r="BG646" s="614" t="s">
        <v>78</v>
      </c>
      <c r="BH646" s="682"/>
      <c r="BI646" s="417"/>
      <c r="BJ646" s="417">
        <v>4</v>
      </c>
      <c r="BK646" s="682" t="str">
        <f>Техкарта[[#This Row],[Кв-л]]&amp;" кв ("&amp;Substring(Техкарта[[#This Row],[Виділ]],"_",1)&amp;" вид) "&amp;Substring(Техкарта[[#This Row],[Виділ]],"_",2)&amp;" діл."</f>
        <v>16 кв (5 вид) 0 діл.</v>
      </c>
      <c r="BL646" s="682" t="str">
        <f>Техкарта[[#This Row],[ПолнаяДіл]] &amp;" "&amp;Техкарта[[#This Row],[ЛК]]&amp;" "&amp;Техкарта[[#This Row],[Вид рубки]]</f>
        <v>16 кв (5 вид) 0 діл. 556617 РГК</v>
      </c>
      <c r="BM646" s="682"/>
      <c r="BN646" s="636" t="s">
        <v>3784</v>
      </c>
      <c r="BO646" s="636" t="s">
        <v>3784</v>
      </c>
      <c r="BP646" s="636" t="s">
        <v>3784</v>
      </c>
      <c r="BQ646" s="636" t="s">
        <v>104</v>
      </c>
      <c r="BR646" s="636"/>
      <c r="BS646" s="636"/>
      <c r="BT646" s="636"/>
      <c r="BU646" s="636">
        <v>8</v>
      </c>
      <c r="BV646" s="636" t="s">
        <v>4994</v>
      </c>
      <c r="BW646" s="636" t="s">
        <v>4580</v>
      </c>
      <c r="BX646" s="636" t="s">
        <v>4992</v>
      </c>
      <c r="BY646" s="971" t="s">
        <v>5344</v>
      </c>
    </row>
    <row r="647" spans="1:77">
      <c r="A647" s="636" t="s">
        <v>105</v>
      </c>
      <c r="B647" s="675" t="s">
        <v>116</v>
      </c>
      <c r="C647" s="687" t="s">
        <v>3588</v>
      </c>
      <c r="D647" s="675">
        <v>0</v>
      </c>
      <c r="E647" s="675" t="s">
        <v>2305</v>
      </c>
      <c r="F647" s="675">
        <v>3</v>
      </c>
      <c r="G647" s="675" t="s">
        <v>2238</v>
      </c>
      <c r="H647" s="675">
        <v>54</v>
      </c>
      <c r="I647" s="676" t="s">
        <v>3806</v>
      </c>
      <c r="J647" s="677">
        <v>0.4</v>
      </c>
      <c r="K647" s="683">
        <v>47</v>
      </c>
      <c r="L647" s="677">
        <v>0</v>
      </c>
      <c r="M647" s="677">
        <v>0</v>
      </c>
      <c r="N647" s="677">
        <v>0</v>
      </c>
      <c r="O647" s="677">
        <v>0</v>
      </c>
      <c r="P647" s="677">
        <v>0</v>
      </c>
      <c r="Q647" s="677">
        <v>0</v>
      </c>
      <c r="R647" s="677">
        <v>0</v>
      </c>
      <c r="S647" s="677">
        <v>5</v>
      </c>
      <c r="T647" s="677">
        <v>0</v>
      </c>
      <c r="U647" s="677">
        <v>0</v>
      </c>
      <c r="V647" s="677">
        <v>0</v>
      </c>
      <c r="W647" s="677">
        <v>0</v>
      </c>
      <c r="X647" s="678"/>
      <c r="Y647" s="682"/>
      <c r="Z647" s="680"/>
      <c r="AA647" s="681">
        <v>124.059</v>
      </c>
      <c r="AB647" s="681">
        <v>29.978000000000002</v>
      </c>
      <c r="AC647" s="417">
        <v>1</v>
      </c>
      <c r="AD647" s="417"/>
      <c r="AE647" s="682" t="s">
        <v>4581</v>
      </c>
      <c r="AF647">
        <v>1</v>
      </c>
      <c r="AG647" s="767">
        <v>43101</v>
      </c>
      <c r="AH647" s="417"/>
      <c r="AI647" s="417"/>
      <c r="AJ647" s="768">
        <v>43405</v>
      </c>
      <c r="AK647" s="417"/>
      <c r="AL647" s="637" t="s">
        <v>3470</v>
      </c>
      <c r="AM647" s="417"/>
      <c r="AN647" s="417"/>
      <c r="AO647" s="636"/>
      <c r="AP647">
        <v>556702</v>
      </c>
      <c r="AQ647" s="769">
        <v>43234</v>
      </c>
      <c r="AR647" s="417"/>
      <c r="AS647" s="417"/>
      <c r="AT647" s="417"/>
      <c r="AU647" s="417"/>
      <c r="AV647" s="417"/>
      <c r="AW647" s="417"/>
      <c r="AX647" s="417"/>
      <c r="AY647" s="183" t="s">
        <v>4245</v>
      </c>
      <c r="AZ647" s="417"/>
      <c r="BA647" s="417"/>
      <c r="BB647" t="s">
        <v>4238</v>
      </c>
      <c r="BC647" s="636"/>
      <c r="BD647" s="417"/>
      <c r="BE647" s="612">
        <v>0</v>
      </c>
      <c r="BF647" s="613">
        <v>0</v>
      </c>
      <c r="BG647" s="614" t="s">
        <v>78</v>
      </c>
      <c r="BH647" s="682"/>
      <c r="BI647" s="417"/>
      <c r="BJ647" s="417">
        <v>13</v>
      </c>
      <c r="BK647" s="682" t="str">
        <f>Техкарта[[#This Row],[Кв-л]]&amp;" кв ("&amp;Substring(Техкарта[[#This Row],[Виділ]],"_",1)&amp;" вид) "&amp;Substring(Техкарта[[#This Row],[Виділ]],"_",2)&amp;" діл."</f>
        <v>54 кв (1 вид) 1 діл.</v>
      </c>
      <c r="BL647" s="682" t="str">
        <f>Техкарта[[#This Row],[ПолнаяДіл]] &amp;" "&amp;Техкарта[[#This Row],[ЛК]]&amp;" "&amp;Техкарта[[#This Row],[Вид рубки]]</f>
        <v>54 кв (1 вид) 1 діл. 556702 рубка в охоронній зоні ЛЕП</v>
      </c>
      <c r="BM647" s="682"/>
      <c r="BN647" s="636" t="s">
        <v>3784</v>
      </c>
      <c r="BO647" s="636" t="s">
        <v>3784</v>
      </c>
      <c r="BP647" s="636" t="s">
        <v>3784</v>
      </c>
      <c r="BQ647" s="636" t="s">
        <v>105</v>
      </c>
      <c r="BR647" s="636"/>
      <c r="BS647" s="636"/>
      <c r="BT647" s="636"/>
      <c r="BU647" s="636"/>
      <c r="BV647" s="636"/>
      <c r="BW647" s="636" t="s">
        <v>4580</v>
      </c>
      <c r="BX647" s="636"/>
      <c r="BY647" s="972"/>
    </row>
    <row r="648" spans="1:77">
      <c r="A648" s="636" t="s">
        <v>105</v>
      </c>
      <c r="B648" s="675" t="s">
        <v>113</v>
      </c>
      <c r="C648" s="687" t="s">
        <v>134</v>
      </c>
      <c r="D648" s="675">
        <v>0</v>
      </c>
      <c r="E648" s="675" t="s">
        <v>2305</v>
      </c>
      <c r="F648" s="675">
        <v>3</v>
      </c>
      <c r="G648" s="675" t="s">
        <v>2238</v>
      </c>
      <c r="H648" s="675">
        <v>90</v>
      </c>
      <c r="I648" s="676" t="s">
        <v>3832</v>
      </c>
      <c r="J648" s="677">
        <v>3.5</v>
      </c>
      <c r="K648" s="683">
        <v>0</v>
      </c>
      <c r="L648" s="677">
        <v>0</v>
      </c>
      <c r="M648" s="677">
        <v>0</v>
      </c>
      <c r="N648" s="677">
        <v>140</v>
      </c>
      <c r="O648" s="677">
        <v>0</v>
      </c>
      <c r="P648" s="677">
        <v>0</v>
      </c>
      <c r="Q648" s="677">
        <v>0</v>
      </c>
      <c r="R648" s="677">
        <v>0</v>
      </c>
      <c r="S648" s="677">
        <v>0</v>
      </c>
      <c r="T648" s="677">
        <v>0</v>
      </c>
      <c r="U648" s="677">
        <v>0</v>
      </c>
      <c r="V648" s="677">
        <v>0</v>
      </c>
      <c r="W648" s="677">
        <v>0</v>
      </c>
      <c r="X648" s="678"/>
      <c r="Y648" s="682"/>
      <c r="Z648" s="680"/>
      <c r="AA648" s="681">
        <v>261.72000000000003</v>
      </c>
      <c r="AB648" s="681">
        <v>29.978000000000002</v>
      </c>
      <c r="AC648" s="417">
        <v>3</v>
      </c>
      <c r="AD648" s="417"/>
      <c r="AE648" s="682" t="s">
        <v>4582</v>
      </c>
      <c r="AF648">
        <v>1</v>
      </c>
      <c r="AG648" s="767">
        <v>43101</v>
      </c>
      <c r="AH648" s="417"/>
      <c r="AI648" s="417"/>
      <c r="AJ648" s="768">
        <v>43405</v>
      </c>
      <c r="AK648" s="417"/>
      <c r="AL648" s="637" t="s">
        <v>3447</v>
      </c>
      <c r="AM648" s="417"/>
      <c r="AN648" s="417"/>
      <c r="AO648" s="636"/>
      <c r="AP648">
        <v>556639</v>
      </c>
      <c r="AQ648" s="769">
        <v>43102</v>
      </c>
      <c r="AR648" s="417">
        <v>0.3</v>
      </c>
      <c r="AS648" s="417"/>
      <c r="AT648" s="417"/>
      <c r="AU648" s="417"/>
      <c r="AV648" s="417"/>
      <c r="AW648" s="417"/>
      <c r="AX648" s="417"/>
      <c r="AY648" s="183" t="s">
        <v>4245</v>
      </c>
      <c r="AZ648" s="417"/>
      <c r="BA648" s="417"/>
      <c r="BB648" t="s">
        <v>4238</v>
      </c>
      <c r="BC648" s="636"/>
      <c r="BD648" s="417"/>
      <c r="BE648" s="612">
        <v>0</v>
      </c>
      <c r="BF648" s="613">
        <v>0</v>
      </c>
      <c r="BG648" s="614" t="s">
        <v>78</v>
      </c>
      <c r="BH648" s="682"/>
      <c r="BI648" s="417"/>
      <c r="BJ648" s="417">
        <v>5</v>
      </c>
      <c r="BK648" s="682" t="str">
        <f>Техкарта[[#This Row],[Кв-л]]&amp;" кв ("&amp;Substring(Техкарта[[#This Row],[Виділ]],"_",1)&amp;" вид) "&amp;Substring(Техкарта[[#This Row],[Виділ]],"_",2)&amp;" діл."</f>
        <v>90 кв (5 вид) 0 діл.</v>
      </c>
      <c r="BL648" s="682" t="str">
        <f>Техкарта[[#This Row],[ПолнаяДіл]] &amp;" "&amp;Техкарта[[#This Row],[ЛК]]&amp;" "&amp;Техкарта[[#This Row],[Вид рубки]]</f>
        <v>90 кв (5 вид) 0 діл. 556639 ПРЧ</v>
      </c>
      <c r="BM648" s="682"/>
      <c r="BN648" s="636" t="s">
        <v>3784</v>
      </c>
      <c r="BO648" s="636" t="s">
        <v>3784</v>
      </c>
      <c r="BP648" s="636" t="s">
        <v>3784</v>
      </c>
      <c r="BQ648" s="636" t="s">
        <v>105</v>
      </c>
      <c r="BR648" s="636">
        <v>2</v>
      </c>
      <c r="BS648" s="636"/>
      <c r="BT648" s="636"/>
      <c r="BU648" s="636"/>
      <c r="BV648" s="636"/>
      <c r="BW648" s="636" t="s">
        <v>4580</v>
      </c>
      <c r="BX648" s="636"/>
      <c r="BY648" s="972"/>
    </row>
    <row r="649" spans="1:77">
      <c r="A649" s="636" t="s">
        <v>3896</v>
      </c>
      <c r="B649" s="675" t="s">
        <v>115</v>
      </c>
      <c r="C649" s="687" t="s">
        <v>3843</v>
      </c>
      <c r="D649" s="675">
        <v>0</v>
      </c>
      <c r="E649" s="675" t="s">
        <v>2311</v>
      </c>
      <c r="F649" s="675">
        <v>3</v>
      </c>
      <c r="G649" s="675" t="s">
        <v>79</v>
      </c>
      <c r="H649" s="675">
        <v>38</v>
      </c>
      <c r="I649" s="676" t="s">
        <v>3829</v>
      </c>
      <c r="J649" s="677">
        <v>1.2</v>
      </c>
      <c r="K649" s="683">
        <v>0</v>
      </c>
      <c r="L649" s="677"/>
      <c r="M649" s="677">
        <v>0</v>
      </c>
      <c r="N649" s="677">
        <v>90</v>
      </c>
      <c r="O649" s="677"/>
      <c r="P649" s="677"/>
      <c r="Q649" s="677">
        <v>0</v>
      </c>
      <c r="R649" s="677"/>
      <c r="S649" s="677">
        <v>0</v>
      </c>
      <c r="T649" s="677">
        <v>0</v>
      </c>
      <c r="U649" s="677"/>
      <c r="V649" s="677">
        <v>0</v>
      </c>
      <c r="W649" s="677">
        <v>0</v>
      </c>
      <c r="X649" s="678"/>
      <c r="Y649" s="682"/>
      <c r="Z649" s="680"/>
      <c r="AA649" s="681">
        <v>204.25</v>
      </c>
      <c r="AB649" s="681"/>
      <c r="AC649" s="417">
        <v>0</v>
      </c>
      <c r="AD649" s="417"/>
      <c r="AE649" s="682" t="s">
        <v>4583</v>
      </c>
      <c r="AF649">
        <v>1</v>
      </c>
      <c r="AG649" s="767">
        <v>43101</v>
      </c>
      <c r="AH649" s="417"/>
      <c r="AI649" s="417"/>
      <c r="AJ649" s="768">
        <v>43433</v>
      </c>
      <c r="AK649" s="417"/>
      <c r="AL649" s="637" t="s">
        <v>3466</v>
      </c>
      <c r="AM649" s="417"/>
      <c r="AN649" s="417"/>
      <c r="AO649" s="636"/>
      <c r="AP649">
        <v>104</v>
      </c>
      <c r="AQ649" s="769">
        <v>43433</v>
      </c>
      <c r="AR649" s="417">
        <v>0.3</v>
      </c>
      <c r="AS649" s="417"/>
      <c r="AT649" s="417"/>
      <c r="AU649" s="417"/>
      <c r="AV649" s="417"/>
      <c r="AW649" s="417"/>
      <c r="AX649" s="417"/>
      <c r="AY649" s="183" t="s">
        <v>3362</v>
      </c>
      <c r="AZ649" s="417"/>
      <c r="BA649" s="417"/>
      <c r="BB649" t="s">
        <v>3585</v>
      </c>
      <c r="BC649" s="636"/>
      <c r="BD649" s="417"/>
      <c r="BE649" s="612"/>
      <c r="BF649" s="613"/>
      <c r="BG649" s="614"/>
      <c r="BH649" s="682"/>
      <c r="BI649" s="417"/>
      <c r="BJ649" s="417">
        <v>9</v>
      </c>
      <c r="BK649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49" s="682" t="str">
        <f>Техкарта[[#This Row],[ПолнаяДіл]] &amp;" "&amp;Техкарта[[#This Row],[ЛК]]&amp;" "&amp;Техкарта[[#This Row],[Вид рубки]]</f>
        <v>38 кв (3 вид) 0 діл. 104 ОСВ</v>
      </c>
      <c r="BM649" s="682"/>
      <c r="BN649" s="636"/>
      <c r="BO649" s="636"/>
      <c r="BP649" s="636"/>
      <c r="BQ649" s="636" t="s">
        <v>3896</v>
      </c>
      <c r="BR649" s="636">
        <v>2</v>
      </c>
      <c r="BS649" s="636"/>
      <c r="BT649" s="636"/>
      <c r="BU649" s="636"/>
      <c r="BV649" s="636"/>
      <c r="BW649" s="636" t="s">
        <v>4580</v>
      </c>
      <c r="BX649" s="636"/>
      <c r="BY649" s="972"/>
    </row>
    <row r="650" spans="1:77">
      <c r="A650" s="636" t="s">
        <v>3896</v>
      </c>
      <c r="B650" s="675" t="s">
        <v>115</v>
      </c>
      <c r="C650" s="687" t="s">
        <v>3843</v>
      </c>
      <c r="D650" s="675">
        <v>0</v>
      </c>
      <c r="E650" s="675" t="s">
        <v>2311</v>
      </c>
      <c r="F650" s="675">
        <v>3</v>
      </c>
      <c r="G650" s="675" t="s">
        <v>79</v>
      </c>
      <c r="H650" s="675">
        <v>38</v>
      </c>
      <c r="I650" s="676" t="s">
        <v>3829</v>
      </c>
      <c r="J650" s="677">
        <v>1.2</v>
      </c>
      <c r="K650" s="683">
        <v>0</v>
      </c>
      <c r="L650" s="677"/>
      <c r="M650" s="677">
        <v>0</v>
      </c>
      <c r="N650" s="677">
        <v>90</v>
      </c>
      <c r="O650" s="677"/>
      <c r="P650" s="677"/>
      <c r="Q650" s="677">
        <v>0</v>
      </c>
      <c r="R650" s="677"/>
      <c r="S650" s="677">
        <v>0</v>
      </c>
      <c r="T650" s="677">
        <v>0</v>
      </c>
      <c r="U650" s="677"/>
      <c r="V650" s="677">
        <v>0</v>
      </c>
      <c r="W650" s="677">
        <v>0</v>
      </c>
      <c r="X650" s="678"/>
      <c r="Y650" s="682"/>
      <c r="Z650" s="680"/>
      <c r="AA650" s="681">
        <v>204.25</v>
      </c>
      <c r="AB650" s="681"/>
      <c r="AC650" s="417">
        <v>0</v>
      </c>
      <c r="AD650" s="417"/>
      <c r="AE650" s="682" t="s">
        <v>4583</v>
      </c>
      <c r="AF650">
        <v>1</v>
      </c>
      <c r="AG650" s="767">
        <v>43101</v>
      </c>
      <c r="AH650" s="417"/>
      <c r="AI650" s="417"/>
      <c r="AJ650" s="768">
        <v>43433</v>
      </c>
      <c r="AK650" s="417"/>
      <c r="AL650" s="637" t="s">
        <v>3466</v>
      </c>
      <c r="AM650" s="417"/>
      <c r="AN650" s="417"/>
      <c r="AO650" s="636"/>
      <c r="AP650">
        <v>104</v>
      </c>
      <c r="AQ650" s="769">
        <v>43433</v>
      </c>
      <c r="AR650" s="417">
        <v>0.3</v>
      </c>
      <c r="AS650" s="417"/>
      <c r="AT650" s="417"/>
      <c r="AU650" s="417"/>
      <c r="AV650" s="417"/>
      <c r="AW650" s="417"/>
      <c r="AX650" s="417"/>
      <c r="AY650" s="183" t="s">
        <v>3362</v>
      </c>
      <c r="AZ650" s="417"/>
      <c r="BA650" s="417"/>
      <c r="BB650" t="s">
        <v>3585</v>
      </c>
      <c r="BC650" s="636"/>
      <c r="BD650" s="417"/>
      <c r="BE650" s="612"/>
      <c r="BF650" s="613"/>
      <c r="BG650" s="614"/>
      <c r="BH650" s="682"/>
      <c r="BI650" s="417"/>
      <c r="BJ650" s="417">
        <v>9</v>
      </c>
      <c r="BK650" s="682" t="str">
        <f>Техкарта[[#This Row],[Кв-л]]&amp;" кв ("&amp;Substring(Техкарта[[#This Row],[Виділ]],"_",1)&amp;" вид) "&amp;Substring(Техкарта[[#This Row],[Виділ]],"_",2)&amp;" діл."</f>
        <v>38 кв (3 вид) 0 діл.</v>
      </c>
      <c r="BL650" s="682" t="str">
        <f>Техкарта[[#This Row],[ПолнаяДіл]] &amp;" "&amp;Техкарта[[#This Row],[ЛК]]&amp;" "&amp;Техкарта[[#This Row],[Вид рубки]]</f>
        <v>38 кв (3 вид) 0 діл. 104 ОСВ</v>
      </c>
      <c r="BM650" s="682"/>
      <c r="BN650" s="636"/>
      <c r="BO650" s="636"/>
      <c r="BP650" s="636"/>
      <c r="BQ650" s="636" t="s">
        <v>3896</v>
      </c>
      <c r="BR650" s="636">
        <v>2</v>
      </c>
      <c r="BS650" s="636"/>
      <c r="BT650" s="636"/>
      <c r="BU650" s="636"/>
      <c r="BV650" s="636"/>
      <c r="BW650" s="636" t="s">
        <v>4580</v>
      </c>
      <c r="BX650" s="636"/>
      <c r="BY650" s="972"/>
    </row>
    <row r="651" spans="1:77">
      <c r="A651" s="636" t="s">
        <v>104</v>
      </c>
      <c r="B651" s="675" t="s">
        <v>112</v>
      </c>
      <c r="C651" s="687" t="s">
        <v>104</v>
      </c>
      <c r="D651" s="675">
        <v>0</v>
      </c>
      <c r="E651" s="675" t="s">
        <v>2305</v>
      </c>
      <c r="F651" s="675">
        <v>2</v>
      </c>
      <c r="G651" s="675" t="s">
        <v>2238</v>
      </c>
      <c r="H651" s="675">
        <v>23</v>
      </c>
      <c r="I651" s="676" t="s">
        <v>3792</v>
      </c>
      <c r="J651" s="677">
        <v>1.1000000000000001</v>
      </c>
      <c r="K651" s="683">
        <v>861</v>
      </c>
      <c r="L651" s="677">
        <v>1</v>
      </c>
      <c r="M651" s="677">
        <v>0</v>
      </c>
      <c r="N651" s="677">
        <v>214</v>
      </c>
      <c r="O651" s="677">
        <v>0</v>
      </c>
      <c r="P651" s="677">
        <v>0</v>
      </c>
      <c r="Q651" s="677">
        <v>22</v>
      </c>
      <c r="R651" s="677">
        <v>21</v>
      </c>
      <c r="S651" s="677">
        <v>4</v>
      </c>
      <c r="T651" s="677">
        <v>78</v>
      </c>
      <c r="U651" s="677">
        <v>7</v>
      </c>
      <c r="V651" s="677">
        <v>4</v>
      </c>
      <c r="W651" s="677">
        <v>53</v>
      </c>
      <c r="X651" s="678"/>
      <c r="Y651" s="682"/>
      <c r="Z651" s="680"/>
      <c r="AA651" s="681">
        <v>81.450999999999993</v>
      </c>
      <c r="AB651" s="681">
        <v>42.46</v>
      </c>
      <c r="AC651" s="417">
        <v>95</v>
      </c>
      <c r="AD651" s="417"/>
      <c r="AE651" s="682" t="s">
        <v>4170</v>
      </c>
      <c r="AF651">
        <v>1</v>
      </c>
      <c r="AG651" s="767">
        <v>43101</v>
      </c>
      <c r="AH651" s="417"/>
      <c r="AI651" s="417"/>
      <c r="AJ651" s="768">
        <v>43222</v>
      </c>
      <c r="AK651" s="417"/>
      <c r="AL651" s="637" t="s">
        <v>3478</v>
      </c>
      <c r="AM651" s="417"/>
      <c r="AN651" s="417"/>
      <c r="AO651" s="636"/>
      <c r="AP651">
        <v>556617</v>
      </c>
      <c r="AQ651" s="769">
        <v>43077</v>
      </c>
      <c r="AR651" s="417"/>
      <c r="AS651" s="417"/>
      <c r="AT651" s="417"/>
      <c r="AU651" s="417"/>
      <c r="AV651" s="417"/>
      <c r="AW651" s="417"/>
      <c r="AX651" s="417"/>
      <c r="AY651" s="183" t="s">
        <v>4245</v>
      </c>
      <c r="AZ651" s="417"/>
      <c r="BA651" s="417"/>
      <c r="BB651" t="s">
        <v>3585</v>
      </c>
      <c r="BC651" s="636"/>
      <c r="BD651" s="417"/>
      <c r="BE651" s="612">
        <v>5</v>
      </c>
      <c r="BF651" s="613">
        <v>40</v>
      </c>
      <c r="BG651" s="614" t="s">
        <v>78</v>
      </c>
      <c r="BH651" s="682"/>
      <c r="BI651" s="417"/>
      <c r="BJ651" s="417">
        <v>5</v>
      </c>
      <c r="BK651" s="682" t="str">
        <f>Техкарта[[#This Row],[Кв-л]]&amp;" кв ("&amp;Substring(Техкарта[[#This Row],[Виділ]],"_",1)&amp;" вид) "&amp;Substring(Техкарта[[#This Row],[Виділ]],"_",2)&amp;" діл."</f>
        <v>23 кв (13 вид) 0 діл.</v>
      </c>
      <c r="BL651" s="682" t="str">
        <f>Техкарта[[#This Row],[ПолнаяДіл]] &amp;" "&amp;Техкарта[[#This Row],[ЛК]]&amp;" "&amp;Техкарта[[#This Row],[Вид рубки]]</f>
        <v>23 кв (13 вид) 0 діл. 556617 РГК</v>
      </c>
      <c r="BM651" s="682"/>
      <c r="BN651" s="636" t="s">
        <v>3784</v>
      </c>
      <c r="BO651" s="636" t="s">
        <v>3784</v>
      </c>
      <c r="BP651" s="636" t="s">
        <v>3784</v>
      </c>
      <c r="BQ651" s="636" t="s">
        <v>104</v>
      </c>
      <c r="BR651" s="636"/>
      <c r="BS651" s="636">
        <v>5</v>
      </c>
      <c r="BT651" s="636">
        <v>20</v>
      </c>
      <c r="BU651" s="636">
        <v>70</v>
      </c>
      <c r="BV651" s="636" t="s">
        <v>4994</v>
      </c>
      <c r="BW651" s="636" t="s">
        <v>4580</v>
      </c>
      <c r="BX651" s="636" t="s">
        <v>4992</v>
      </c>
      <c r="BY651" s="972"/>
    </row>
    <row r="652" spans="1:77">
      <c r="AX652" t="s">
        <v>3362</v>
      </c>
    </row>
    <row r="653" spans="1:77" ht="15.75">
      <c r="BJ653" s="642"/>
    </row>
    <row r="654" spans="1:77" ht="15.75">
      <c r="AG654" s="474"/>
      <c r="BJ654" s="642"/>
    </row>
    <row r="655" spans="1:77" ht="15.75">
      <c r="AI655">
        <v>1</v>
      </c>
      <c r="BJ655" s="642"/>
    </row>
    <row r="656" spans="1:77" ht="15.75">
      <c r="BJ656" s="642"/>
    </row>
    <row r="657" spans="62:62" ht="15.75">
      <c r="BJ657" s="642"/>
    </row>
    <row r="658" spans="62:62" ht="15.75">
      <c r="BJ658" s="643"/>
    </row>
  </sheetData>
  <dataValidations count="3">
    <dataValidation type="list" allowBlank="1" showInputMessage="1" showErrorMessage="1" sqref="AY319:AY651">
      <formula1>INDIRECT("Виконавец[Сокр]")</formula1>
    </dataValidation>
    <dataValidation type="list" allowBlank="1" showInputMessage="1" showErrorMessage="1" sqref="C2:C651">
      <formula1>INDIRECT("ВідРубкиРД[6]")</formula1>
    </dataValidation>
    <dataValidation type="list" allowBlank="1" showInputMessage="1" showErrorMessage="1" sqref="E2:E651">
      <formula1>INDIRECT("ПородиИГруппи[список без груп порід]")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Мастера!$J$3:$J$53</xm:f>
          </x14:formula1>
          <xm:sqref>AL5:AL651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J450"/>
  <sheetViews>
    <sheetView topLeftCell="A187" workbookViewId="0">
      <selection activeCell="G73" sqref="G73"/>
    </sheetView>
  </sheetViews>
  <sheetFormatPr defaultRowHeight="15"/>
  <cols>
    <col min="2" max="2" width="19.28515625" customWidth="1"/>
    <col min="3" max="3" width="33.140625" customWidth="1"/>
    <col min="4" max="4" width="24" customWidth="1"/>
    <col min="5" max="5" width="14" customWidth="1"/>
    <col min="6" max="6" width="14.28515625" customWidth="1"/>
  </cols>
  <sheetData>
    <row r="1" spans="1:10">
      <c r="A1" t="s">
        <v>3409</v>
      </c>
      <c r="B1" t="s">
        <v>5425</v>
      </c>
      <c r="C1" t="s">
        <v>5116</v>
      </c>
      <c r="D1" t="s">
        <v>5426</v>
      </c>
      <c r="E1" t="s">
        <v>5427</v>
      </c>
      <c r="F1" t="s">
        <v>5428</v>
      </c>
      <c r="G1" t="s">
        <v>5429</v>
      </c>
      <c r="H1" t="s">
        <v>5430</v>
      </c>
      <c r="I1" t="s">
        <v>2173</v>
      </c>
      <c r="J1" t="s">
        <v>2280</v>
      </c>
    </row>
    <row r="2" spans="1:10">
      <c r="A2" t="s">
        <v>4584</v>
      </c>
      <c r="B2" s="474" t="str">
        <f ca="1">Форма!$J$6</f>
        <v>Вільхівецьке</v>
      </c>
      <c r="D2" t="str">
        <f>getFormula(NamedRanges[[#This Row],[RefersTo]])</f>
        <v>=Форма!$J$6</v>
      </c>
      <c r="E2" t="str">
        <f>regex(NamedRanges[[#This Row],[Формула]],"([=])(.*?)([!])","$2")</f>
        <v>Форма</v>
      </c>
      <c r="F2" t="str">
        <f>CellReflist(NamedRanges[[#This Row],[RefersTo]])</f>
        <v>$J$6</v>
      </c>
      <c r="G2" s="149" t="str">
        <f>regex(NamedRanges[[#This Row],[CellReflist]],"(\$)(.*[A-Z])","$2")</f>
        <v>J</v>
      </c>
      <c r="H2" s="149" t="str">
        <f>regex(NamedRanges[[#This Row],[CellReflist]],"[0-9].*")</f>
        <v>6</v>
      </c>
      <c r="I2" s="149" t="b">
        <f>regex(NamedRanges[[#This Row],[CellReflist]],"(.+?)?(:)(.+)?","$1")</f>
        <v>0</v>
      </c>
      <c r="J2" s="149" t="b">
        <f>regex(NamedRanges[[#This Row],[CellReflist]],"(.+?)?(:)(.+)?","$3")</f>
        <v>0</v>
      </c>
    </row>
    <row r="3" spans="1:10">
      <c r="A3" t="s">
        <v>2174</v>
      </c>
      <c r="B3" s="474" t="str">
        <f>"d"</f>
        <v>d</v>
      </c>
      <c r="D3" t="str">
        <f>getFormula(NamedRanges[[#This Row],[RefersTo]])</f>
        <v>="d"</v>
      </c>
      <c r="E3" t="b">
        <f>regex(NamedRanges[[#This Row],[Формула]],"([=])(.*?)([!])","$2")</f>
        <v>0</v>
      </c>
      <c r="F3">
        <f>CellReflist(NamedRanges[[#This Row],[RefersTo]])</f>
        <v>0</v>
      </c>
      <c r="G3" s="149" t="b">
        <f>regex(NamedRanges[[#This Row],[CellReflist]],"(\$)(.*[A-Z])","$2")</f>
        <v>0</v>
      </c>
      <c r="H3" s="149" t="str">
        <f>regex(NamedRanges[[#This Row],[CellReflist]],"[0-9].*")</f>
        <v>0</v>
      </c>
      <c r="I3" s="149" t="b">
        <f>regex(NamedRanges[[#This Row],[CellReflist]],"(.+?)?(:)(.+)?","$1")</f>
        <v>0</v>
      </c>
      <c r="J3" s="149" t="b">
        <f>regex(NamedRanges[[#This Row],[CellReflist]],"(.+?)?(:)(.+)?","$3")</f>
        <v>0</v>
      </c>
    </row>
    <row r="4" spans="1:10">
      <c r="A4" t="s">
        <v>4586</v>
      </c>
      <c r="B4" s="474" t="str">
        <f>РД!$H$1</f>
        <v>Шп</v>
      </c>
      <c r="D4" t="str">
        <f>getFormula(NamedRanges[[#This Row],[RefersTo]])</f>
        <v>=РД!$H$1</v>
      </c>
      <c r="E4" t="str">
        <f>regex(NamedRanges[[#This Row],[Формула]],"([=])(.*?)([!])","$2")</f>
        <v>РД</v>
      </c>
      <c r="F4" t="str">
        <f>CellReflist(NamedRanges[[#This Row],[RefersTo]])</f>
        <v>$H$1</v>
      </c>
      <c r="G4" s="149" t="str">
        <f>regex(NamedRanges[[#This Row],[CellReflist]],"(\$)(.*[A-Z])","$2")</f>
        <v>H</v>
      </c>
      <c r="H4" s="149" t="str">
        <f>regex(NamedRanges[[#This Row],[CellReflist]],"[0-9].*")</f>
        <v>1</v>
      </c>
      <c r="I4" s="149" t="b">
        <f>regex(NamedRanges[[#This Row],[CellReflist]],"(.+?)?(:)(.+)?","$1")</f>
        <v>0</v>
      </c>
      <c r="J4" s="149" t="b">
        <f>regex(NamedRanges[[#This Row],[CellReflist]],"(.+?)?(:)(.+)?","$3")</f>
        <v>0</v>
      </c>
    </row>
    <row r="5" spans="1:10">
      <c r="A5" t="s">
        <v>4588</v>
      </c>
      <c r="B5" s="474">
        <f>РД!$I$7</f>
        <v>0.14790996784565916</v>
      </c>
      <c r="D5" t="str">
        <f>getFormula(NamedRanges[[#This Row],[RefersTo]])</f>
        <v>=РД!$I$7</v>
      </c>
      <c r="E5" t="str">
        <f>regex(NamedRanges[[#This Row],[Формула]],"([=])(.*?)([!])","$2")</f>
        <v>РД</v>
      </c>
      <c r="F5" t="str">
        <f>CellReflist(NamedRanges[[#This Row],[RefersTo]])</f>
        <v>$I$7</v>
      </c>
      <c r="G5" s="149" t="str">
        <f>regex(NamedRanges[[#This Row],[CellReflist]],"(\$)(.*[A-Z])","$2")</f>
        <v>I</v>
      </c>
      <c r="H5" s="149" t="str">
        <f>regex(NamedRanges[[#This Row],[CellReflist]],"[0-9].*")</f>
        <v>7</v>
      </c>
      <c r="I5" s="149" t="b">
        <f>regex(NamedRanges[[#This Row],[CellReflist]],"(.+?)?(:)(.+)?","$1")</f>
        <v>0</v>
      </c>
      <c r="J5" s="149" t="b">
        <f>regex(NamedRanges[[#This Row],[CellReflist]],"(.+?)?(:)(.+)?","$3")</f>
        <v>0</v>
      </c>
    </row>
    <row r="6" spans="1:10">
      <c r="A6" t="s">
        <v>4590</v>
      </c>
      <c r="B6" s="474">
        <f>РД!$I$8</f>
        <v>0</v>
      </c>
      <c r="D6" t="str">
        <f>getFormula(NamedRanges[[#This Row],[RefersTo]])</f>
        <v>=РД!$I$8</v>
      </c>
      <c r="E6" t="str">
        <f>regex(NamedRanges[[#This Row],[Формула]],"([=])(.*?)([!])","$2")</f>
        <v>РД</v>
      </c>
      <c r="F6" t="str">
        <f>CellReflist(NamedRanges[[#This Row],[RefersTo]])</f>
        <v>$I$8</v>
      </c>
      <c r="G6" s="149" t="str">
        <f>regex(NamedRanges[[#This Row],[CellReflist]],"(\$)(.*[A-Z])","$2")</f>
        <v>I</v>
      </c>
      <c r="H6" s="149" t="str">
        <f>regex(NamedRanges[[#This Row],[CellReflist]],"[0-9].*")</f>
        <v>8</v>
      </c>
      <c r="I6" s="149" t="b">
        <f>regex(NamedRanges[[#This Row],[CellReflist]],"(.+?)?(:)(.+)?","$1")</f>
        <v>0</v>
      </c>
      <c r="J6" s="149" t="b">
        <f>regex(NamedRanges[[#This Row],[CellReflist]],"(.+?)?(:)(.+)?","$3")</f>
        <v>0</v>
      </c>
    </row>
    <row r="7" spans="1:10">
      <c r="A7" t="s">
        <v>4592</v>
      </c>
      <c r="B7" s="474">
        <f>РД!$I$13</f>
        <v>43102</v>
      </c>
      <c r="D7" t="str">
        <f>getFormula(NamedRanges[[#This Row],[RefersTo]])</f>
        <v>=РД!$I$13</v>
      </c>
      <c r="E7" t="str">
        <f>regex(NamedRanges[[#This Row],[Формула]],"([=])(.*?)([!])","$2")</f>
        <v>РД</v>
      </c>
      <c r="F7" t="str">
        <f>CellReflist(NamedRanges[[#This Row],[RefersTo]])</f>
        <v>$I$13</v>
      </c>
      <c r="G7" s="149" t="str">
        <f>regex(NamedRanges[[#This Row],[CellReflist]],"(\$)(.*[A-Z])","$2")</f>
        <v>I</v>
      </c>
      <c r="H7" s="149" t="str">
        <f>regex(NamedRanges[[#This Row],[CellReflist]],"[0-9].*")</f>
        <v>13</v>
      </c>
      <c r="I7" s="149" t="b">
        <f>regex(NamedRanges[[#This Row],[CellReflist]],"(.+?)?(:)(.+)?","$1")</f>
        <v>0</v>
      </c>
      <c r="J7" s="149" t="b">
        <f>regex(NamedRanges[[#This Row],[CellReflist]],"(.+?)?(:)(.+)?","$3")</f>
        <v>0</v>
      </c>
    </row>
    <row r="8" spans="1:10">
      <c r="A8" t="s">
        <v>4594</v>
      </c>
      <c r="B8" s="474">
        <f>РД!$P$9</f>
        <v>43222</v>
      </c>
      <c r="D8" t="str">
        <f>getFormula(NamedRanges[[#This Row],[RefersTo]])</f>
        <v>=РД!$P$9</v>
      </c>
      <c r="E8" t="str">
        <f>regex(NamedRanges[[#This Row],[Формула]],"([=])(.*?)([!])","$2")</f>
        <v>РД</v>
      </c>
      <c r="F8" t="str">
        <f>CellReflist(NamedRanges[[#This Row],[RefersTo]])</f>
        <v>$P$9</v>
      </c>
      <c r="G8" s="149" t="str">
        <f>regex(NamedRanges[[#This Row],[CellReflist]],"(\$)(.*[A-Z])","$2")</f>
        <v>P</v>
      </c>
      <c r="H8" s="149" t="str">
        <f>regex(NamedRanges[[#This Row],[CellReflist]],"[0-9].*")</f>
        <v>9</v>
      </c>
      <c r="I8" s="149" t="b">
        <f>regex(NamedRanges[[#This Row],[CellReflist]],"(.+?)?(:)(.+)?","$1")</f>
        <v>0</v>
      </c>
      <c r="J8" s="149" t="b">
        <f>regex(NamedRanges[[#This Row],[CellReflist]],"(.+?)?(:)(.+)?","$3")</f>
        <v>0</v>
      </c>
    </row>
    <row r="9" spans="1:10">
      <c r="A9" t="s">
        <v>4596</v>
      </c>
      <c r="B9" s="474" t="str">
        <f>РД!$P$12</f>
        <v>82 кв (4 вид) 0 діл.</v>
      </c>
      <c r="D9" t="str">
        <f>getFormula(NamedRanges[[#This Row],[RefersTo]])</f>
        <v>=РД!$P$12</v>
      </c>
      <c r="E9" t="str">
        <f>regex(NamedRanges[[#This Row],[Формула]],"([=])(.*?)([!])","$2")</f>
        <v>РД</v>
      </c>
      <c r="F9" t="str">
        <f>CellReflist(NamedRanges[[#This Row],[RefersTo]])</f>
        <v>$P$12</v>
      </c>
      <c r="G9" s="149" t="str">
        <f>regex(NamedRanges[[#This Row],[CellReflist]],"(\$)(.*[A-Z])","$2")</f>
        <v>P</v>
      </c>
      <c r="H9" s="149" t="str">
        <f>regex(NamedRanges[[#This Row],[CellReflist]],"[0-9].*")</f>
        <v>12</v>
      </c>
      <c r="I9" s="149" t="b">
        <f>regex(NamedRanges[[#This Row],[CellReflist]],"(.+?)?(:)(.+)?","$1")</f>
        <v>0</v>
      </c>
      <c r="J9" s="149" t="b">
        <f>regex(NamedRanges[[#This Row],[CellReflist]],"(.+?)?(:)(.+)?","$3")</f>
        <v>0</v>
      </c>
    </row>
    <row r="10" spans="1:10">
      <c r="A10" t="s">
        <v>4598</v>
      </c>
      <c r="B10" s="474" t="str">
        <f>РД!$B$13</f>
        <v>Дз</v>
      </c>
      <c r="D10" t="str">
        <f>getFormula(NamedRanges[[#This Row],[RefersTo]])</f>
        <v>=РД!$B$13</v>
      </c>
      <c r="E10" t="str">
        <f>regex(NamedRanges[[#This Row],[Формула]],"([=])(.*?)([!])","$2")</f>
        <v>РД</v>
      </c>
      <c r="F10" t="str">
        <f>CellReflist(NamedRanges[[#This Row],[RefersTo]])</f>
        <v>$B$13</v>
      </c>
      <c r="G10" s="149" t="str">
        <f>regex(NamedRanges[[#This Row],[CellReflist]],"(\$)(.*[A-Z])","$2")</f>
        <v>B</v>
      </c>
      <c r="H10" s="149" t="str">
        <f>regex(NamedRanges[[#This Row],[CellReflist]],"[0-9].*")</f>
        <v>13</v>
      </c>
      <c r="I10" s="149" t="b">
        <f>regex(NamedRanges[[#This Row],[CellReflist]],"(.+?)?(:)(.+)?","$1")</f>
        <v>0</v>
      </c>
      <c r="J10" s="149" t="b">
        <f>regex(NamedRanges[[#This Row],[CellReflist]],"(.+?)?(:)(.+)?","$3")</f>
        <v>0</v>
      </c>
    </row>
    <row r="11" spans="1:10">
      <c r="A11" t="s">
        <v>4600</v>
      </c>
      <c r="B11" s="474">
        <f>РД!$I$2</f>
        <v>311</v>
      </c>
      <c r="D11" t="str">
        <f>getFormula(NamedRanges[[#This Row],[RefersTo]])</f>
        <v>=РД!$I$2</v>
      </c>
      <c r="E11" t="str">
        <f>regex(NamedRanges[[#This Row],[Формула]],"([=])(.*?)([!])","$2")</f>
        <v>РД</v>
      </c>
      <c r="F11" t="str">
        <f>CellReflist(NamedRanges[[#This Row],[RefersTo]])</f>
        <v>$I$2</v>
      </c>
      <c r="G11" s="149" t="str">
        <f>regex(NamedRanges[[#This Row],[CellReflist]],"(\$)(.*[A-Z])","$2")</f>
        <v>I</v>
      </c>
      <c r="H11" s="149" t="str">
        <f>regex(NamedRanges[[#This Row],[CellReflist]],"[0-9].*")</f>
        <v>2</v>
      </c>
      <c r="I11" s="149" t="b">
        <f>regex(NamedRanges[[#This Row],[CellReflist]],"(.+?)?(:)(.+)?","$1")</f>
        <v>0</v>
      </c>
      <c r="J11" s="149" t="b">
        <f>regex(NamedRanges[[#This Row],[CellReflist]],"(.+?)?(:)(.+)?","$3")</f>
        <v>0</v>
      </c>
    </row>
    <row r="12" spans="1:10">
      <c r="A12" t="s">
        <v>4602</v>
      </c>
      <c r="B12" s="474">
        <f>РД!$I$9</f>
        <v>1</v>
      </c>
      <c r="D12" t="str">
        <f>getFormula(NamedRanges[[#This Row],[RefersTo]])</f>
        <v>=РД!$I$9</v>
      </c>
      <c r="E12" t="str">
        <f>regex(NamedRanges[[#This Row],[Формула]],"([=])(.*?)([!])","$2")</f>
        <v>РД</v>
      </c>
      <c r="F12" t="str">
        <f>CellReflist(NamedRanges[[#This Row],[RefersTo]])</f>
        <v>$I$9</v>
      </c>
      <c r="G12" s="149" t="str">
        <f>regex(NamedRanges[[#This Row],[CellReflist]],"(\$)(.*[A-Z])","$2")</f>
        <v>I</v>
      </c>
      <c r="H12" s="149" t="str">
        <f>regex(NamedRanges[[#This Row],[CellReflist]],"[0-9].*")</f>
        <v>9</v>
      </c>
      <c r="I12" s="149" t="b">
        <f>regex(NamedRanges[[#This Row],[CellReflist]],"(.+?)?(:)(.+)?","$1")</f>
        <v>0</v>
      </c>
      <c r="J12" s="149" t="b">
        <f>regex(NamedRanges[[#This Row],[CellReflist]],"(.+?)?(:)(.+)?","$3")</f>
        <v>0</v>
      </c>
    </row>
    <row r="13" spans="1:10">
      <c r="A13" t="s">
        <v>4604</v>
      </c>
      <c r="B13" s="474">
        <f>РД!$B$3</f>
        <v>82</v>
      </c>
      <c r="D13" t="str">
        <f>getFormula(NamedRanges[[#This Row],[RefersTo]])</f>
        <v>=РД!$B$3</v>
      </c>
      <c r="E13" t="str">
        <f>regex(NamedRanges[[#This Row],[Формула]],"([=])(.*?)([!])","$2")</f>
        <v>РД</v>
      </c>
      <c r="F13" t="str">
        <f>CellReflist(NamedRanges[[#This Row],[RefersTo]])</f>
        <v>$B$3</v>
      </c>
      <c r="G13" s="149" t="str">
        <f>regex(NamedRanges[[#This Row],[CellReflist]],"(\$)(.*[A-Z])","$2")</f>
        <v>B</v>
      </c>
      <c r="H13" s="149" t="str">
        <f>regex(NamedRanges[[#This Row],[CellReflist]],"[0-9].*")</f>
        <v>3</v>
      </c>
      <c r="I13" s="149" t="b">
        <f>regex(NamedRanges[[#This Row],[CellReflist]],"(.+?)?(:)(.+)?","$1")</f>
        <v>0</v>
      </c>
      <c r="J13" s="149" t="b">
        <f>regex(NamedRanges[[#This Row],[CellReflist]],"(.+?)?(:)(.+)?","$3")</f>
        <v>0</v>
      </c>
    </row>
    <row r="14" spans="1:10">
      <c r="A14" t="s">
        <v>4606</v>
      </c>
      <c r="B14" s="474">
        <f ca="1">РД!$I$11</f>
        <v>1</v>
      </c>
      <c r="D14" t="str">
        <f>getFormula(NamedRanges[[#This Row],[RefersTo]])</f>
        <v>=РД!$I$11</v>
      </c>
      <c r="E14" t="str">
        <f>regex(NamedRanges[[#This Row],[Формула]],"([=])(.*?)([!])","$2")</f>
        <v>РД</v>
      </c>
      <c r="F14" t="str">
        <f>CellReflist(NamedRanges[[#This Row],[RefersTo]])</f>
        <v>$I$11</v>
      </c>
      <c r="G14" s="149" t="str">
        <f>regex(NamedRanges[[#This Row],[CellReflist]],"(\$)(.*[A-Z])","$2")</f>
        <v>I</v>
      </c>
      <c r="H14" s="149" t="str">
        <f>regex(NamedRanges[[#This Row],[CellReflist]],"[0-9].*")</f>
        <v>11</v>
      </c>
      <c r="I14" s="149" t="b">
        <f>regex(NamedRanges[[#This Row],[CellReflist]],"(.+?)?(:)(.+)?","$1")</f>
        <v>0</v>
      </c>
      <c r="J14" s="149" t="b">
        <f>regex(NamedRanges[[#This Row],[CellReflist]],"(.+?)?(:)(.+)?","$3")</f>
        <v>0</v>
      </c>
    </row>
    <row r="15" spans="1:10">
      <c r="A15" t="s">
        <v>4608</v>
      </c>
      <c r="B15" s="474" t="str">
        <f>РД!$B$2</f>
        <v>Шполянське</v>
      </c>
      <c r="D15" t="str">
        <f>getFormula(NamedRanges[[#This Row],[RefersTo]])</f>
        <v>=РД!$B$2</v>
      </c>
      <c r="E15" t="str">
        <f>regex(NamedRanges[[#This Row],[Формула]],"([=])(.*?)([!])","$2")</f>
        <v>РД</v>
      </c>
      <c r="F15" t="str">
        <f>CellReflist(NamedRanges[[#This Row],[RefersTo]])</f>
        <v>$B$2</v>
      </c>
      <c r="G15" s="149" t="str">
        <f>regex(NamedRanges[[#This Row],[CellReflist]],"(\$)(.*[A-Z])","$2")</f>
        <v>B</v>
      </c>
      <c r="H15" s="149" t="str">
        <f>regex(NamedRanges[[#This Row],[CellReflist]],"[0-9].*")</f>
        <v>2</v>
      </c>
      <c r="I15" s="149" t="b">
        <f>regex(NamedRanges[[#This Row],[CellReflist]],"(.+?)?(:)(.+)?","$1")</f>
        <v>0</v>
      </c>
      <c r="J15" s="149" t="b">
        <f>regex(NamedRanges[[#This Row],[CellReflist]],"(.+?)?(:)(.+)?","$3")</f>
        <v>0</v>
      </c>
    </row>
    <row r="16" spans="1:10">
      <c r="A16" t="s">
        <v>4610</v>
      </c>
      <c r="B16" s="474">
        <f>РД!$I$5</f>
        <v>46</v>
      </c>
      <c r="D16" t="str">
        <f>getFormula(NamedRanges[[#This Row],[RefersTo]])</f>
        <v>=РД!$I$5</v>
      </c>
      <c r="E16" t="str">
        <f>regex(NamedRanges[[#This Row],[Формула]],"([=])(.*?)([!])","$2")</f>
        <v>РД</v>
      </c>
      <c r="F16" t="str">
        <f>CellReflist(NamedRanges[[#This Row],[RefersTo]])</f>
        <v>$I$5</v>
      </c>
      <c r="G16" s="149" t="str">
        <f>regex(NamedRanges[[#This Row],[CellReflist]],"(\$)(.*[A-Z])","$2")</f>
        <v>I</v>
      </c>
      <c r="H16" s="149" t="str">
        <f>regex(NamedRanges[[#This Row],[CellReflist]],"[0-9].*")</f>
        <v>5</v>
      </c>
      <c r="I16" s="149" t="b">
        <f>regex(NamedRanges[[#This Row],[CellReflist]],"(.+?)?(:)(.+)?","$1")</f>
        <v>0</v>
      </c>
      <c r="J16" s="149" t="b">
        <f>regex(NamedRanges[[#This Row],[CellReflist]],"(.+?)?(:)(.+)?","$3")</f>
        <v>0</v>
      </c>
    </row>
    <row r="17" spans="1:10">
      <c r="A17" t="s">
        <v>5400</v>
      </c>
      <c r="B17" s="474" t="str">
        <f>РеестрЛКЕОД!$A$4:$J$591</f>
        <v>СЛР</v>
      </c>
      <c r="D17" t="str">
        <f>getFormula(NamedRanges[[#This Row],[RefersTo]])</f>
        <v>=РеестрЛКЕОД!$A$4:$J$591</v>
      </c>
      <c r="E17" t="str">
        <f>regex(NamedRanges[[#This Row],[Формула]],"([=])(.*?)([!])","$2")</f>
        <v>РеестрЛКЕОД</v>
      </c>
      <c r="F17" t="str">
        <f>CellReflist(NamedRanges[[#This Row],[RefersTo]])</f>
        <v>$A$4:$J$591</v>
      </c>
      <c r="G17" s="149" t="str">
        <f>regex(NamedRanges[[#This Row],[CellReflist]],"(\$)(.*[A-Z])","$2")</f>
        <v>A$4:$J</v>
      </c>
      <c r="H17" s="149" t="str">
        <f>regex(NamedRanges[[#This Row],[CellReflist]],"[0-9].*")</f>
        <v>4:$J$591</v>
      </c>
      <c r="I17" s="149" t="str">
        <f>regex(NamedRanges[[#This Row],[CellReflist]],"(.+?)?(:)(.+)?","$1")</f>
        <v>$A$4</v>
      </c>
      <c r="J17" s="149" t="str">
        <f>regex(NamedRanges[[#This Row],[CellReflist]],"(.+?)?(:)(.+)?","$3")</f>
        <v>$J$591</v>
      </c>
    </row>
    <row r="18" spans="1:10">
      <c r="A18" t="s">
        <v>4612</v>
      </c>
      <c r="B18" s="474">
        <f>РД!$I$6</f>
        <v>11.19047619047619</v>
      </c>
      <c r="D18" t="str">
        <f>getFormula(NamedRanges[[#This Row],[RefersTo]])</f>
        <v>=РД!$I$6</v>
      </c>
      <c r="E18" t="str">
        <f>regex(NamedRanges[[#This Row],[Формула]],"([=])(.*?)([!])","$2")</f>
        <v>РД</v>
      </c>
      <c r="F18" t="str">
        <f>CellReflist(NamedRanges[[#This Row],[RefersTo]])</f>
        <v>$I$6</v>
      </c>
      <c r="G18" s="149" t="str">
        <f>regex(NamedRanges[[#This Row],[CellReflist]],"(\$)(.*[A-Z])","$2")</f>
        <v>I</v>
      </c>
      <c r="H18" s="149" t="str">
        <f>regex(NamedRanges[[#This Row],[CellReflist]],"[0-9].*")</f>
        <v>6</v>
      </c>
      <c r="I18" s="149" t="b">
        <f>regex(NamedRanges[[#This Row],[CellReflist]],"(.+?)?(:)(.+)?","$1")</f>
        <v>0</v>
      </c>
      <c r="J18" s="149" t="b">
        <f>regex(NamedRanges[[#This Row],[CellReflist]],"(.+?)?(:)(.+)?","$3")</f>
        <v>0</v>
      </c>
    </row>
    <row r="19" spans="1:10">
      <c r="A19" t="s">
        <v>4614</v>
      </c>
      <c r="B19" s="474">
        <f>РД!$G$1</f>
        <v>5</v>
      </c>
      <c r="D19" t="str">
        <f>getFormula(NamedRanges[[#This Row],[RefersTo]])</f>
        <v>=РД!$G$1</v>
      </c>
      <c r="E19" t="str">
        <f>regex(NamedRanges[[#This Row],[Формула]],"([=])(.*?)([!])","$2")</f>
        <v>РД</v>
      </c>
      <c r="F19" t="str">
        <f>CellReflist(NamedRanges[[#This Row],[RefersTo]])</f>
        <v>$G$1</v>
      </c>
      <c r="G19" s="149" t="str">
        <f>regex(NamedRanges[[#This Row],[CellReflist]],"(\$)(.*[A-Z])","$2")</f>
        <v>G</v>
      </c>
      <c r="H19" s="149" t="str">
        <f>regex(NamedRanges[[#This Row],[CellReflist]],"[0-9].*")</f>
        <v>1</v>
      </c>
      <c r="I19" s="149" t="b">
        <f>regex(NamedRanges[[#This Row],[CellReflist]],"(.+?)?(:)(.+)?","$1")</f>
        <v>0</v>
      </c>
      <c r="J19" s="149" t="b">
        <f>regex(NamedRanges[[#This Row],[CellReflist]],"(.+?)?(:)(.+)?","$3")</f>
        <v>0</v>
      </c>
    </row>
    <row r="20" spans="1:10">
      <c r="A20" t="s">
        <v>4616</v>
      </c>
      <c r="B20" s="474">
        <f>РД!$J$1</f>
        <v>1</v>
      </c>
      <c r="D20" t="str">
        <f>getFormula(NamedRanges[[#This Row],[RefersTo]])</f>
        <v>=РД!$J$1</v>
      </c>
      <c r="E20" t="str">
        <f>regex(NamedRanges[[#This Row],[Формула]],"([=])(.*?)([!])","$2")</f>
        <v>РД</v>
      </c>
      <c r="F20" t="str">
        <f>CellReflist(NamedRanges[[#This Row],[RefersTo]])</f>
        <v>$J$1</v>
      </c>
      <c r="G20" s="149" t="str">
        <f>regex(NamedRanges[[#This Row],[CellReflist]],"(\$)(.*[A-Z])","$2")</f>
        <v>J</v>
      </c>
      <c r="H20" s="149" t="str">
        <f>regex(NamedRanges[[#This Row],[CellReflist]],"[0-9].*")</f>
        <v>1</v>
      </c>
      <c r="I20" s="149" t="b">
        <f>regex(NamedRanges[[#This Row],[CellReflist]],"(.+?)?(:)(.+)?","$1")</f>
        <v>0</v>
      </c>
      <c r="J20" s="149" t="b">
        <f>regex(NamedRanges[[#This Row],[CellReflist]],"(.+?)?(:)(.+)?","$3")</f>
        <v>0</v>
      </c>
    </row>
    <row r="21" spans="1:10">
      <c r="A21" t="s">
        <v>4618</v>
      </c>
      <c r="B21" s="474">
        <f>РД!$I$4</f>
        <v>1</v>
      </c>
      <c r="D21" t="str">
        <f>getFormula(NamedRanges[[#This Row],[RefersTo]])</f>
        <v>=РД!$I$4</v>
      </c>
      <c r="E21" t="str">
        <f>regex(NamedRanges[[#This Row],[Формула]],"([=])(.*?)([!])","$2")</f>
        <v>РД</v>
      </c>
      <c r="F21" t="str">
        <f>CellReflist(NamedRanges[[#This Row],[RefersTo]])</f>
        <v>$I$4</v>
      </c>
      <c r="G21" s="149" t="str">
        <f>regex(NamedRanges[[#This Row],[CellReflist]],"(\$)(.*[A-Z])","$2")</f>
        <v>I</v>
      </c>
      <c r="H21" s="149" t="str">
        <f>regex(NamedRanges[[#This Row],[CellReflist]],"[0-9].*")</f>
        <v>4</v>
      </c>
      <c r="I21" s="149" t="b">
        <f>regex(NamedRanges[[#This Row],[CellReflist]],"(.+?)?(:)(.+)?","$1")</f>
        <v>0</v>
      </c>
      <c r="J21" s="149" t="b">
        <f>regex(NamedRanges[[#This Row],[CellReflist]],"(.+?)?(:)(.+)?","$3")</f>
        <v>0</v>
      </c>
    </row>
    <row r="22" spans="1:10">
      <c r="A22" t="s">
        <v>4620</v>
      </c>
      <c r="B22" s="474">
        <f>РД!$I$12</f>
        <v>556628</v>
      </c>
      <c r="D22" t="str">
        <f>getFormula(NamedRanges[[#This Row],[RefersTo]])</f>
        <v>=РД!$I$12</v>
      </c>
      <c r="E22" t="str">
        <f>regex(NamedRanges[[#This Row],[Формула]],"([=])(.*?)([!])","$2")</f>
        <v>РД</v>
      </c>
      <c r="F22" t="str">
        <f>CellReflist(NamedRanges[[#This Row],[RefersTo]])</f>
        <v>$I$12</v>
      </c>
      <c r="G22" s="149" t="str">
        <f>regex(NamedRanges[[#This Row],[CellReflist]],"(\$)(.*[A-Z])","$2")</f>
        <v>I</v>
      </c>
      <c r="H22" s="149" t="str">
        <f>regex(NamedRanges[[#This Row],[CellReflist]],"[0-9].*")</f>
        <v>12</v>
      </c>
      <c r="I22" s="149" t="b">
        <f>regex(NamedRanges[[#This Row],[CellReflist]],"(.+?)?(:)(.+)?","$1")</f>
        <v>0</v>
      </c>
      <c r="J22" s="149" t="b">
        <f>regex(NamedRanges[[#This Row],[CellReflist]],"(.+?)?(:)(.+)?","$3")</f>
        <v>0</v>
      </c>
    </row>
    <row r="23" spans="1:10">
      <c r="A23" t="s">
        <v>4622</v>
      </c>
      <c r="B23" s="474" t="str">
        <f>РД!$B$6</f>
        <v>РД</v>
      </c>
      <c r="D23" t="str">
        <f>getFormula(NamedRanges[[#This Row],[RefersTo]])</f>
        <v>=РД!$B$6</v>
      </c>
      <c r="E23" t="str">
        <f>regex(NamedRanges[[#This Row],[Формула]],"([=])(.*?)([!])","$2")</f>
        <v>РД</v>
      </c>
      <c r="F23" t="str">
        <f>CellReflist(NamedRanges[[#This Row],[RefersTo]])</f>
        <v>$B$6</v>
      </c>
      <c r="G23" s="149" t="str">
        <f>regex(NamedRanges[[#This Row],[CellReflist]],"(\$)(.*[A-Z])","$2")</f>
        <v>B</v>
      </c>
      <c r="H23" s="149" t="str">
        <f>regex(NamedRanges[[#This Row],[CellReflist]],"[0-9].*")</f>
        <v>6</v>
      </c>
      <c r="I23" s="149" t="b">
        <f>regex(NamedRanges[[#This Row],[CellReflist]],"(.+?)?(:)(.+)?","$1")</f>
        <v>0</v>
      </c>
      <c r="J23" s="149" t="b">
        <f>regex(NamedRanges[[#This Row],[CellReflist]],"(.+?)?(:)(.+)?","$3")</f>
        <v>0</v>
      </c>
    </row>
    <row r="24" spans="1:10">
      <c r="A24" t="s">
        <v>4624</v>
      </c>
      <c r="B24" s="474">
        <f>РД!$X$11</f>
        <v>0</v>
      </c>
      <c r="D24" t="str">
        <f>getFormula(NamedRanges[[#This Row],[RefersTo]])</f>
        <v>=РД!$X$11</v>
      </c>
      <c r="E24" t="str">
        <f>regex(NamedRanges[[#This Row],[Формула]],"([=])(.*?)([!])","$2")</f>
        <v>РД</v>
      </c>
      <c r="F24" t="str">
        <f>CellReflist(NamedRanges[[#This Row],[RefersTo]])</f>
        <v>$X$11</v>
      </c>
      <c r="G24" s="149" t="str">
        <f>regex(NamedRanges[[#This Row],[CellReflist]],"(\$)(.*[A-Z])","$2")</f>
        <v>X</v>
      </c>
      <c r="H24" s="149" t="str">
        <f>regex(NamedRanges[[#This Row],[CellReflist]],"[0-9].*")</f>
        <v>11</v>
      </c>
      <c r="I24" s="149" t="b">
        <f>regex(NamedRanges[[#This Row],[CellReflist]],"(.+?)?(:)(.+)?","$1")</f>
        <v>0</v>
      </c>
      <c r="J24" s="149" t="b">
        <f>regex(NamedRanges[[#This Row],[CellReflist]],"(.+?)?(:)(.+)?","$3")</f>
        <v>0</v>
      </c>
    </row>
    <row r="25" spans="1:10">
      <c r="A25" t="s">
        <v>4626</v>
      </c>
      <c r="B25" s="474">
        <f>РД!$B$5</f>
        <v>4.2</v>
      </c>
      <c r="D25" t="str">
        <f>getFormula(NamedRanges[[#This Row],[RefersTo]])</f>
        <v>=РД!$B$5</v>
      </c>
      <c r="E25" t="str">
        <f>regex(NamedRanges[[#This Row],[Формула]],"([=])(.*?)([!])","$2")</f>
        <v>РД</v>
      </c>
      <c r="F25" t="str">
        <f>CellReflist(NamedRanges[[#This Row],[RefersTo]])</f>
        <v>$B$5</v>
      </c>
      <c r="G25" s="149" t="str">
        <f>regex(NamedRanges[[#This Row],[CellReflist]],"(\$)(.*[A-Z])","$2")</f>
        <v>B</v>
      </c>
      <c r="H25" s="149" t="str">
        <f>regex(NamedRanges[[#This Row],[CellReflist]],"[0-9].*")</f>
        <v>5</v>
      </c>
      <c r="I25" s="149" t="b">
        <f>regex(NamedRanges[[#This Row],[CellReflist]],"(.+?)?(:)(.+)?","$1")</f>
        <v>0</v>
      </c>
      <c r="J25" s="149" t="b">
        <f>regex(NamedRanges[[#This Row],[CellReflist]],"(.+?)?(:)(.+)?","$3")</f>
        <v>0</v>
      </c>
    </row>
    <row r="26" spans="1:10">
      <c r="A26" t="s">
        <v>4628</v>
      </c>
      <c r="B26" s="474">
        <f>РД!$I$1</f>
        <v>12</v>
      </c>
      <c r="D26" t="str">
        <f>getFormula(NamedRanges[[#This Row],[RefersTo]])</f>
        <v>=РД!$I$1</v>
      </c>
      <c r="E26" t="str">
        <f>regex(NamedRanges[[#This Row],[Формула]],"([=])(.*?)([!])","$2")</f>
        <v>РД</v>
      </c>
      <c r="F26" t="str">
        <f>CellReflist(NamedRanges[[#This Row],[RefersTo]])</f>
        <v>$I$1</v>
      </c>
      <c r="G26" s="149" t="str">
        <f>regex(NamedRanges[[#This Row],[CellReflist]],"(\$)(.*[A-Z])","$2")</f>
        <v>I</v>
      </c>
      <c r="H26" s="149" t="str">
        <f>regex(NamedRanges[[#This Row],[CellReflist]],"[0-9].*")</f>
        <v>1</v>
      </c>
      <c r="I26" s="149" t="b">
        <f>regex(NamedRanges[[#This Row],[CellReflist]],"(.+?)?(:)(.+)?","$1")</f>
        <v>0</v>
      </c>
      <c r="J26" s="149" t="b">
        <f>regex(NamedRanges[[#This Row],[CellReflist]],"(.+?)?(:)(.+)?","$3")</f>
        <v>0</v>
      </c>
    </row>
    <row r="27" spans="1:10">
      <c r="A27" t="s">
        <v>2253</v>
      </c>
      <c r="B27" s="474" t="e">
        <f>КоэфРГК!$A$103:$M$112</f>
        <v>#VALUE!</v>
      </c>
      <c r="D27" t="str">
        <f>getFormula(NamedRanges[[#This Row],[RefersTo]])</f>
        <v>=КоэфРГК!$A$103:$M$112</v>
      </c>
      <c r="E27" t="str">
        <f>regex(NamedRanges[[#This Row],[Формула]],"([=])(.*?)([!])","$2")</f>
        <v>КоэфРГК</v>
      </c>
      <c r="F27" t="str">
        <f>CellReflist(NamedRanges[[#This Row],[RefersTo]])</f>
        <v>$A$103:$M$112</v>
      </c>
      <c r="G27" s="149" t="str">
        <f>regex(NamedRanges[[#This Row],[CellReflist]],"(\$)(.*[A-Z])","$2")</f>
        <v>A$103:$M</v>
      </c>
      <c r="H27" s="149" t="str">
        <f>regex(NamedRanges[[#This Row],[CellReflist]],"[0-9].*")</f>
        <v>103:$M$112</v>
      </c>
      <c r="I27" s="149" t="str">
        <f>regex(NamedRanges[[#This Row],[CellReflist]],"(.+?)?(:)(.+)?","$1")</f>
        <v>$A$103</v>
      </c>
      <c r="J27" s="149" t="str">
        <f>regex(NamedRanges[[#This Row],[CellReflist]],"(.+?)?(:)(.+)?","$3")</f>
        <v>$M$112</v>
      </c>
    </row>
    <row r="28" spans="1:10">
      <c r="A28" t="s">
        <v>4631</v>
      </c>
      <c r="B28" s="474" t="e">
        <f>КоэфРГК!$E$103:$E$112</f>
        <v>#VALUE!</v>
      </c>
      <c r="D28" t="str">
        <f>getFormula(NamedRanges[[#This Row],[RefersTo]])</f>
        <v>=КоэфРГК!$E$103:$E$112</v>
      </c>
      <c r="E28" t="str">
        <f>regex(NamedRanges[[#This Row],[Формула]],"([=])(.*?)([!])","$2")</f>
        <v>КоэфРГК</v>
      </c>
      <c r="F28" t="str">
        <f>CellReflist(NamedRanges[[#This Row],[RefersTo]])</f>
        <v>$E$103:$E$112</v>
      </c>
      <c r="G28" s="149" t="str">
        <f>regex(NamedRanges[[#This Row],[CellReflist]],"(\$)(.*[A-Z])","$2")</f>
        <v>E$103:$E</v>
      </c>
      <c r="H28" s="149" t="str">
        <f>regex(NamedRanges[[#This Row],[CellReflist]],"[0-9].*")</f>
        <v>103:$E$112</v>
      </c>
      <c r="I28" s="149" t="str">
        <f>regex(NamedRanges[[#This Row],[CellReflist]],"(.+?)?(:)(.+)?","$1")</f>
        <v>$E$103</v>
      </c>
      <c r="J28" s="149" t="str">
        <f>regex(NamedRanges[[#This Row],[CellReflist]],"(.+?)?(:)(.+)?","$3")</f>
        <v>$E$112</v>
      </c>
    </row>
    <row r="29" spans="1:10">
      <c r="A29" t="s">
        <v>4633</v>
      </c>
      <c r="B29" s="474">
        <f>РД!$I$10</f>
        <v>3</v>
      </c>
      <c r="D29" t="str">
        <f>getFormula(NamedRanges[[#This Row],[RefersTo]])</f>
        <v>=РД!$I$10</v>
      </c>
      <c r="E29" t="str">
        <f>regex(NamedRanges[[#This Row],[Формула]],"([=])(.*?)([!])","$2")</f>
        <v>РД</v>
      </c>
      <c r="F29" t="str">
        <f>CellReflist(NamedRanges[[#This Row],[RefersTo]])</f>
        <v>$I$10</v>
      </c>
      <c r="G29" s="149" t="str">
        <f>regex(NamedRanges[[#This Row],[CellReflist]],"(\$)(.*[A-Z])","$2")</f>
        <v>I</v>
      </c>
      <c r="H29" s="149" t="str">
        <f>regex(NamedRanges[[#This Row],[CellReflist]],"[0-9].*")</f>
        <v>10</v>
      </c>
      <c r="I29" s="149" t="b">
        <f>regex(NamedRanges[[#This Row],[CellReflist]],"(.+?)?(:)(.+)?","$1")</f>
        <v>0</v>
      </c>
      <c r="J29" s="149" t="b">
        <f>regex(NamedRanges[[#This Row],[CellReflist]],"(.+?)?(:)(.+)?","$3")</f>
        <v>0</v>
      </c>
    </row>
    <row r="30" spans="1:10">
      <c r="A30" t="s">
        <v>4635</v>
      </c>
      <c r="B30" s="474">
        <f>КоэфРГК!$B$100:$M$100</f>
        <v>200</v>
      </c>
      <c r="D30" t="str">
        <f>getFormula(NamedRanges[[#This Row],[RefersTo]])</f>
        <v>=КоэфРГК!$B$100:$M$100</v>
      </c>
      <c r="E30" t="str">
        <f>regex(NamedRanges[[#This Row],[Формула]],"([=])(.*?)([!])","$2")</f>
        <v>КоэфРГК</v>
      </c>
      <c r="F30" t="str">
        <f>CellReflist(NamedRanges[[#This Row],[RefersTo]])</f>
        <v>$B$100:$M$100</v>
      </c>
      <c r="G30" s="149" t="str">
        <f>regex(NamedRanges[[#This Row],[CellReflist]],"(\$)(.*[A-Z])","$2")</f>
        <v>B$100:$M</v>
      </c>
      <c r="H30" s="149" t="str">
        <f>regex(NamedRanges[[#This Row],[CellReflist]],"[0-9].*")</f>
        <v>100:$M$100</v>
      </c>
      <c r="I30" s="149" t="str">
        <f>regex(NamedRanges[[#This Row],[CellReflist]],"(.+?)?(:)(.+)?","$1")</f>
        <v>$B$100</v>
      </c>
      <c r="J30" s="149" t="str">
        <f>regex(NamedRanges[[#This Row],[CellReflist]],"(.+?)?(:)(.+)?","$3")</f>
        <v>$M$100</v>
      </c>
    </row>
    <row r="31" spans="1:10">
      <c r="A31" t="s">
        <v>4637</v>
      </c>
      <c r="B31" s="474" t="str">
        <f>РД!$X$1</f>
        <v>РД</v>
      </c>
      <c r="D31" t="str">
        <f>getFormula(NamedRanges[[#This Row],[RefersTo]])</f>
        <v>=РД!$X$1</v>
      </c>
      <c r="E31" t="str">
        <f>regex(NamedRanges[[#This Row],[Формула]],"([=])(.*?)([!])","$2")</f>
        <v>РД</v>
      </c>
      <c r="F31" t="str">
        <f>CellReflist(NamedRanges[[#This Row],[RefersTo]])</f>
        <v>$X$1</v>
      </c>
      <c r="G31" s="149" t="str">
        <f>regex(NamedRanges[[#This Row],[CellReflist]],"(\$)(.*[A-Z])","$2")</f>
        <v>X</v>
      </c>
      <c r="H31" s="149" t="str">
        <f>regex(NamedRanges[[#This Row],[CellReflist]],"[0-9].*")</f>
        <v>1</v>
      </c>
      <c r="I31" s="149" t="b">
        <f>regex(NamedRanges[[#This Row],[CellReflist]],"(.+?)?(:)(.+)?","$1")</f>
        <v>0</v>
      </c>
      <c r="J31" s="149" t="b">
        <f>regex(NamedRanges[[#This Row],[CellReflist]],"(.+?)?(:)(.+)?","$3")</f>
        <v>0</v>
      </c>
    </row>
    <row r="32" spans="1:10">
      <c r="A32" t="s">
        <v>4639</v>
      </c>
      <c r="B32" s="474">
        <f ca="1">РД!$L$60</f>
        <v>4827.3409999999994</v>
      </c>
      <c r="D32" t="str">
        <f>getFormula(NamedRanges[[#This Row],[RefersTo]])</f>
        <v>=РД!$L$60</v>
      </c>
      <c r="E32" t="str">
        <f>regex(NamedRanges[[#This Row],[Формула]],"([=])(.*?)([!])","$2")</f>
        <v>РД</v>
      </c>
      <c r="F32" t="str">
        <f>CellReflist(NamedRanges[[#This Row],[RefersTo]])</f>
        <v>$L$60</v>
      </c>
      <c r="G32" s="149" t="str">
        <f>regex(NamedRanges[[#This Row],[CellReflist]],"(\$)(.*[A-Z])","$2")</f>
        <v>L</v>
      </c>
      <c r="H32" s="149" t="str">
        <f>regex(NamedRanges[[#This Row],[CellReflist]],"[0-9].*")</f>
        <v>60</v>
      </c>
      <c r="I32" s="149" t="b">
        <f>regex(NamedRanges[[#This Row],[CellReflist]],"(.+?)?(:)(.+)?","$1")</f>
        <v>0</v>
      </c>
      <c r="J32" s="149" t="b">
        <f>regex(NamedRanges[[#This Row],[CellReflist]],"(.+?)?(:)(.+)?","$3")</f>
        <v>0</v>
      </c>
    </row>
    <row r="33" spans="1:10">
      <c r="A33" t="s">
        <v>4641</v>
      </c>
      <c r="B33" s="474">
        <f>РД!$F$29</f>
        <v>0</v>
      </c>
      <c r="D33" t="str">
        <f>getFormula(NamedRanges[[#This Row],[RefersTo]])</f>
        <v>=РД!$F$29</v>
      </c>
      <c r="E33" t="str">
        <f>regex(NamedRanges[[#This Row],[Формула]],"([=])(.*?)([!])","$2")</f>
        <v>РД</v>
      </c>
      <c r="F33" t="str">
        <f>CellReflist(NamedRanges[[#This Row],[RefersTo]])</f>
        <v>$F$29</v>
      </c>
      <c r="G33" s="149" t="str">
        <f>regex(NamedRanges[[#This Row],[CellReflist]],"(\$)(.*[A-Z])","$2")</f>
        <v>F</v>
      </c>
      <c r="H33" s="149" t="str">
        <f>regex(NamedRanges[[#This Row],[CellReflist]],"[0-9].*")</f>
        <v>29</v>
      </c>
      <c r="I33" s="149" t="b">
        <f>regex(NamedRanges[[#This Row],[CellReflist]],"(.+?)?(:)(.+)?","$1")</f>
        <v>0</v>
      </c>
      <c r="J33" s="149" t="b">
        <f>regex(NamedRanges[[#This Row],[CellReflist]],"(.+?)?(:)(.+)?","$3")</f>
        <v>0</v>
      </c>
    </row>
    <row r="34" spans="1:10">
      <c r="A34" t="s">
        <v>4643</v>
      </c>
      <c r="B34" s="474">
        <f>РД!$F$30</f>
        <v>0</v>
      </c>
      <c r="D34" t="str">
        <f>getFormula(NamedRanges[[#This Row],[RefersTo]])</f>
        <v>=РД!$F$30</v>
      </c>
      <c r="E34" t="str">
        <f>regex(NamedRanges[[#This Row],[Формула]],"([=])(.*?)([!])","$2")</f>
        <v>РД</v>
      </c>
      <c r="F34" t="str">
        <f>CellReflist(NamedRanges[[#This Row],[RefersTo]])</f>
        <v>$F$30</v>
      </c>
      <c r="G34" s="149" t="str">
        <f>regex(NamedRanges[[#This Row],[CellReflist]],"(\$)(.*[A-Z])","$2")</f>
        <v>F</v>
      </c>
      <c r="H34" s="149" t="str">
        <f>regex(NamedRanges[[#This Row],[CellReflist]],"[0-9].*")</f>
        <v>30</v>
      </c>
      <c r="I34" s="149" t="b">
        <f>regex(NamedRanges[[#This Row],[CellReflist]],"(.+?)?(:)(.+)?","$1")</f>
        <v>0</v>
      </c>
      <c r="J34" s="149" t="b">
        <f>regex(NamedRanges[[#This Row],[CellReflist]],"(.+?)?(:)(.+)?","$3")</f>
        <v>0</v>
      </c>
    </row>
    <row r="35" spans="1:10">
      <c r="A35" t="s">
        <v>4645</v>
      </c>
      <c r="B35" s="474">
        <f>РД!$F$31</f>
        <v>1</v>
      </c>
      <c r="D35" t="str">
        <f>getFormula(NamedRanges[[#This Row],[RefersTo]])</f>
        <v>=РД!$F$31</v>
      </c>
      <c r="E35" t="str">
        <f>regex(NamedRanges[[#This Row],[Формула]],"([=])(.*?)([!])","$2")</f>
        <v>РД</v>
      </c>
      <c r="F35" t="str">
        <f>CellReflist(NamedRanges[[#This Row],[RefersTo]])</f>
        <v>$F$31</v>
      </c>
      <c r="G35" s="149" t="str">
        <f>regex(NamedRanges[[#This Row],[CellReflist]],"(\$)(.*[A-Z])","$2")</f>
        <v>F</v>
      </c>
      <c r="H35" s="149" t="str">
        <f>regex(NamedRanges[[#This Row],[CellReflist]],"[0-9].*")</f>
        <v>31</v>
      </c>
      <c r="I35" s="149" t="b">
        <f>regex(NamedRanges[[#This Row],[CellReflist]],"(.+?)?(:)(.+)?","$1")</f>
        <v>0</v>
      </c>
      <c r="J35" s="149" t="b">
        <f>regex(NamedRanges[[#This Row],[CellReflist]],"(.+?)?(:)(.+)?","$3")</f>
        <v>0</v>
      </c>
    </row>
    <row r="36" spans="1:10">
      <c r="A36" t="s">
        <v>4647</v>
      </c>
      <c r="B36" s="474">
        <f>РД!$F$32</f>
        <v>0</v>
      </c>
      <c r="D36" t="str">
        <f>getFormula(NamedRanges[[#This Row],[RefersTo]])</f>
        <v>=РД!$F$32</v>
      </c>
      <c r="E36" t="str">
        <f>regex(NamedRanges[[#This Row],[Формула]],"([=])(.*?)([!])","$2")</f>
        <v>РД</v>
      </c>
      <c r="F36" t="str">
        <f>CellReflist(NamedRanges[[#This Row],[RefersTo]])</f>
        <v>$F$32</v>
      </c>
      <c r="G36" s="149" t="str">
        <f>regex(NamedRanges[[#This Row],[CellReflist]],"(\$)(.*[A-Z])","$2")</f>
        <v>F</v>
      </c>
      <c r="H36" s="149" t="str">
        <f>regex(NamedRanges[[#This Row],[CellReflist]],"[0-9].*")</f>
        <v>32</v>
      </c>
      <c r="I36" s="149" t="b">
        <f>regex(NamedRanges[[#This Row],[CellReflist]],"(.+?)?(:)(.+)?","$1")</f>
        <v>0</v>
      </c>
      <c r="J36" s="149" t="b">
        <f>regex(NamedRanges[[#This Row],[CellReflist]],"(.+?)?(:)(.+)?","$3")</f>
        <v>0</v>
      </c>
    </row>
    <row r="37" spans="1:10">
      <c r="A37" t="s">
        <v>4649</v>
      </c>
      <c r="B37" s="474">
        <f>РД!$F$33</f>
        <v>0</v>
      </c>
      <c r="D37" t="str">
        <f>getFormula(NamedRanges[[#This Row],[RefersTo]])</f>
        <v>=РД!$F$33</v>
      </c>
      <c r="E37" t="str">
        <f>regex(NamedRanges[[#This Row],[Формула]],"([=])(.*?)([!])","$2")</f>
        <v>РД</v>
      </c>
      <c r="F37" t="str">
        <f>CellReflist(NamedRanges[[#This Row],[RefersTo]])</f>
        <v>$F$33</v>
      </c>
      <c r="G37" s="149" t="str">
        <f>regex(NamedRanges[[#This Row],[CellReflist]],"(\$)(.*[A-Z])","$2")</f>
        <v>F</v>
      </c>
      <c r="H37" s="149" t="str">
        <f>regex(NamedRanges[[#This Row],[CellReflist]],"[0-9].*")</f>
        <v>33</v>
      </c>
      <c r="I37" s="149" t="b">
        <f>regex(NamedRanges[[#This Row],[CellReflist]],"(.+?)?(:)(.+)?","$1")</f>
        <v>0</v>
      </c>
      <c r="J37" s="149" t="b">
        <f>regex(NamedRanges[[#This Row],[CellReflist]],"(.+?)?(:)(.+)?","$3")</f>
        <v>0</v>
      </c>
    </row>
    <row r="38" spans="1:10">
      <c r="A38" t="s">
        <v>4651</v>
      </c>
      <c r="B38" s="474">
        <f>РД!$F$34</f>
        <v>0</v>
      </c>
      <c r="D38" t="str">
        <f>getFormula(NamedRanges[[#This Row],[RefersTo]])</f>
        <v>=РД!$F$34</v>
      </c>
      <c r="E38" t="str">
        <f>regex(NamedRanges[[#This Row],[Формула]],"([=])(.*?)([!])","$2")</f>
        <v>РД</v>
      </c>
      <c r="F38" t="str">
        <f>CellReflist(NamedRanges[[#This Row],[RefersTo]])</f>
        <v>$F$34</v>
      </c>
      <c r="G38" s="149" t="str">
        <f>regex(NamedRanges[[#This Row],[CellReflist]],"(\$)(.*[A-Z])","$2")</f>
        <v>F</v>
      </c>
      <c r="H38" s="149" t="str">
        <f>regex(NamedRanges[[#This Row],[CellReflist]],"[0-9].*")</f>
        <v>34</v>
      </c>
      <c r="I38" s="149" t="b">
        <f>regex(NamedRanges[[#This Row],[CellReflist]],"(.+?)?(:)(.+)?","$1")</f>
        <v>0</v>
      </c>
      <c r="J38" s="149" t="b">
        <f>regex(NamedRanges[[#This Row],[CellReflist]],"(.+?)?(:)(.+)?","$3")</f>
        <v>0</v>
      </c>
    </row>
    <row r="39" spans="1:10">
      <c r="A39" t="s">
        <v>4653</v>
      </c>
      <c r="B39" s="474">
        <f>РД!$F$35</f>
        <v>0</v>
      </c>
      <c r="D39" t="str">
        <f>getFormula(NamedRanges[[#This Row],[RefersTo]])</f>
        <v>=РД!$F$35</v>
      </c>
      <c r="E39" t="str">
        <f>regex(NamedRanges[[#This Row],[Формула]],"([=])(.*?)([!])","$2")</f>
        <v>РД</v>
      </c>
      <c r="F39" t="str">
        <f>CellReflist(NamedRanges[[#This Row],[RefersTo]])</f>
        <v>$F$35</v>
      </c>
      <c r="G39" s="149" t="str">
        <f>regex(NamedRanges[[#This Row],[CellReflist]],"(\$)(.*[A-Z])","$2")</f>
        <v>F</v>
      </c>
      <c r="H39" s="149" t="str">
        <f>regex(NamedRanges[[#This Row],[CellReflist]],"[0-9].*")</f>
        <v>35</v>
      </c>
      <c r="I39" s="149" t="b">
        <f>regex(NamedRanges[[#This Row],[CellReflist]],"(.+?)?(:)(.+)?","$1")</f>
        <v>0</v>
      </c>
      <c r="J39" s="149" t="b">
        <f>regex(NamedRanges[[#This Row],[CellReflist]],"(.+?)?(:)(.+)?","$3")</f>
        <v>0</v>
      </c>
    </row>
    <row r="40" spans="1:10">
      <c r="A40" t="s">
        <v>4655</v>
      </c>
      <c r="B40" s="474">
        <f>РД!$F$36</f>
        <v>0</v>
      </c>
      <c r="D40" t="str">
        <f>getFormula(NamedRanges[[#This Row],[RefersTo]])</f>
        <v>=РД!$F$36</v>
      </c>
      <c r="E40" t="str">
        <f>regex(NamedRanges[[#This Row],[Формула]],"([=])(.*?)([!])","$2")</f>
        <v>РД</v>
      </c>
      <c r="F40" t="str">
        <f>CellReflist(NamedRanges[[#This Row],[RefersTo]])</f>
        <v>$F$36</v>
      </c>
      <c r="G40" s="149" t="str">
        <f>regex(NamedRanges[[#This Row],[CellReflist]],"(\$)(.*[A-Z])","$2")</f>
        <v>F</v>
      </c>
      <c r="H40" s="149" t="str">
        <f>regex(NamedRanges[[#This Row],[CellReflist]],"[0-9].*")</f>
        <v>36</v>
      </c>
      <c r="I40" s="149" t="b">
        <f>regex(NamedRanges[[#This Row],[CellReflist]],"(.+?)?(:)(.+)?","$1")</f>
        <v>0</v>
      </c>
      <c r="J40" s="149" t="b">
        <f>regex(NamedRanges[[#This Row],[CellReflist]],"(.+?)?(:)(.+)?","$3")</f>
        <v>0</v>
      </c>
    </row>
    <row r="41" spans="1:10">
      <c r="A41" t="s">
        <v>4657</v>
      </c>
      <c r="B41" s="474">
        <f>РД!$F$37</f>
        <v>35</v>
      </c>
      <c r="D41" t="str">
        <f>getFormula(NamedRanges[[#This Row],[RefersTo]])</f>
        <v>=РД!$F$37</v>
      </c>
      <c r="E41" t="str">
        <f>regex(NamedRanges[[#This Row],[Формула]],"([=])(.*?)([!])","$2")</f>
        <v>РД</v>
      </c>
      <c r="F41" t="str">
        <f>CellReflist(NamedRanges[[#This Row],[RefersTo]])</f>
        <v>$F$37</v>
      </c>
      <c r="G41" s="149" t="str">
        <f>regex(NamedRanges[[#This Row],[CellReflist]],"(\$)(.*[A-Z])","$2")</f>
        <v>F</v>
      </c>
      <c r="H41" s="149" t="str">
        <f>regex(NamedRanges[[#This Row],[CellReflist]],"[0-9].*")</f>
        <v>37</v>
      </c>
      <c r="I41" s="149" t="b">
        <f>regex(NamedRanges[[#This Row],[CellReflist]],"(.+?)?(:)(.+)?","$1")</f>
        <v>0</v>
      </c>
      <c r="J41" s="149" t="b">
        <f>regex(NamedRanges[[#This Row],[CellReflist]],"(.+?)?(:)(.+)?","$3")</f>
        <v>0</v>
      </c>
    </row>
    <row r="42" spans="1:10">
      <c r="A42" t="s">
        <v>4659</v>
      </c>
      <c r="B42" s="474">
        <f>РД!$F$38</f>
        <v>0</v>
      </c>
      <c r="D42" t="str">
        <f>getFormula(NamedRanges[[#This Row],[RefersTo]])</f>
        <v>=РД!$F$38</v>
      </c>
      <c r="E42" t="str">
        <f>regex(NamedRanges[[#This Row],[Формула]],"([=])(.*?)([!])","$2")</f>
        <v>РД</v>
      </c>
      <c r="F42" t="str">
        <f>CellReflist(NamedRanges[[#This Row],[RefersTo]])</f>
        <v>$F$38</v>
      </c>
      <c r="G42" s="149" t="str">
        <f>regex(NamedRanges[[#This Row],[CellReflist]],"(\$)(.*[A-Z])","$2")</f>
        <v>F</v>
      </c>
      <c r="H42" s="149" t="str">
        <f>regex(NamedRanges[[#This Row],[CellReflist]],"[0-9].*")</f>
        <v>38</v>
      </c>
      <c r="I42" s="149" t="b">
        <f>regex(NamedRanges[[#This Row],[CellReflist]],"(.+?)?(:)(.+)?","$1")</f>
        <v>0</v>
      </c>
      <c r="J42" s="149" t="b">
        <f>regex(NamedRanges[[#This Row],[CellReflist]],"(.+?)?(:)(.+)?","$3")</f>
        <v>0</v>
      </c>
    </row>
    <row r="43" spans="1:10">
      <c r="A43" t="s">
        <v>4661</v>
      </c>
      <c r="B43" s="474">
        <f>РД!$F$39</f>
        <v>0</v>
      </c>
      <c r="D43" t="str">
        <f>getFormula(NamedRanges[[#This Row],[RefersTo]])</f>
        <v>=РД!$F$39</v>
      </c>
      <c r="E43" t="str">
        <f>regex(NamedRanges[[#This Row],[Формула]],"([=])(.*?)([!])","$2")</f>
        <v>РД</v>
      </c>
      <c r="F43" t="str">
        <f>CellReflist(NamedRanges[[#This Row],[RefersTo]])</f>
        <v>$F$39</v>
      </c>
      <c r="G43" s="149" t="str">
        <f>regex(NamedRanges[[#This Row],[CellReflist]],"(\$)(.*[A-Z])","$2")</f>
        <v>F</v>
      </c>
      <c r="H43" s="149" t="str">
        <f>regex(NamedRanges[[#This Row],[CellReflist]],"[0-9].*")</f>
        <v>39</v>
      </c>
      <c r="I43" s="149" t="b">
        <f>regex(NamedRanges[[#This Row],[CellReflist]],"(.+?)?(:)(.+)?","$1")</f>
        <v>0</v>
      </c>
      <c r="J43" s="149" t="b">
        <f>regex(NamedRanges[[#This Row],[CellReflist]],"(.+?)?(:)(.+)?","$3")</f>
        <v>0</v>
      </c>
    </row>
    <row r="44" spans="1:10">
      <c r="A44" t="s">
        <v>4663</v>
      </c>
      <c r="B44" s="474">
        <f>РД!$F$40</f>
        <v>10</v>
      </c>
      <c r="D44" t="str">
        <f>getFormula(NamedRanges[[#This Row],[RefersTo]])</f>
        <v>=РД!$F$40</v>
      </c>
      <c r="E44" t="str">
        <f>regex(NamedRanges[[#This Row],[Формула]],"([=])(.*?)([!])","$2")</f>
        <v>РД</v>
      </c>
      <c r="F44" t="str">
        <f>CellReflist(NamedRanges[[#This Row],[RefersTo]])</f>
        <v>$F$40</v>
      </c>
      <c r="G44" s="149" t="str">
        <f>regex(NamedRanges[[#This Row],[CellReflist]],"(\$)(.*[A-Z])","$2")</f>
        <v>F</v>
      </c>
      <c r="H44" s="149" t="str">
        <f>regex(NamedRanges[[#This Row],[CellReflist]],"[0-9].*")</f>
        <v>40</v>
      </c>
      <c r="I44" s="149" t="b">
        <f>regex(NamedRanges[[#This Row],[CellReflist]],"(.+?)?(:)(.+)?","$1")</f>
        <v>0</v>
      </c>
      <c r="J44" s="149" t="b">
        <f>regex(NamedRanges[[#This Row],[CellReflist]],"(.+?)?(:)(.+)?","$3")</f>
        <v>0</v>
      </c>
    </row>
    <row r="45" spans="1:10">
      <c r="A45" t="s">
        <v>4665</v>
      </c>
      <c r="B45" s="474" t="str">
        <f>РД!$O$1</f>
        <v>СТЛ-18</v>
      </c>
      <c r="D45" t="str">
        <f>getFormula(NamedRanges[[#This Row],[RefersTo]])</f>
        <v>=РД!$O$1</v>
      </c>
      <c r="E45" t="str">
        <f>regex(NamedRanges[[#This Row],[Формула]],"([=])(.*?)([!])","$2")</f>
        <v>РД</v>
      </c>
      <c r="F45" t="str">
        <f>CellReflist(NamedRanges[[#This Row],[RefersTo]])</f>
        <v>$O$1</v>
      </c>
      <c r="G45" s="149" t="str">
        <f>regex(NamedRanges[[#This Row],[CellReflist]],"(\$)(.*[A-Z])","$2")</f>
        <v>O</v>
      </c>
      <c r="H45" s="149" t="str">
        <f>regex(NamedRanges[[#This Row],[CellReflist]],"[0-9].*")</f>
        <v>1</v>
      </c>
      <c r="I45" s="149" t="b">
        <f>regex(NamedRanges[[#This Row],[CellReflist]],"(.+?)?(:)(.+)?","$1")</f>
        <v>0</v>
      </c>
      <c r="J45" s="149" t="b">
        <f>regex(NamedRanges[[#This Row],[CellReflist]],"(.+?)?(:)(.+)?","$3")</f>
        <v>0</v>
      </c>
    </row>
    <row r="46" spans="1:10">
      <c r="A46" t="s">
        <v>4667</v>
      </c>
      <c r="B46" s="474" t="str">
        <f>РД!$B$7</f>
        <v>Важкі</v>
      </c>
      <c r="D46" t="str">
        <f>getFormula(NamedRanges[[#This Row],[RefersTo]])</f>
        <v>=РД!$B$7</v>
      </c>
      <c r="E46" t="str">
        <f>regex(NamedRanges[[#This Row],[Формула]],"([=])(.*?)([!])","$2")</f>
        <v>РД</v>
      </c>
      <c r="F46" t="str">
        <f>CellReflist(NamedRanges[[#This Row],[RefersTo]])</f>
        <v>$B$7</v>
      </c>
      <c r="G46" s="149" t="str">
        <f>regex(NamedRanges[[#This Row],[CellReflist]],"(\$)(.*[A-Z])","$2")</f>
        <v>B</v>
      </c>
      <c r="H46" s="149" t="str">
        <f>regex(NamedRanges[[#This Row],[CellReflist]],"[0-9].*")</f>
        <v>7</v>
      </c>
      <c r="I46" s="149" t="b">
        <f>regex(NamedRanges[[#This Row],[CellReflist]],"(.+?)?(:)(.+)?","$1")</f>
        <v>0</v>
      </c>
      <c r="J46" s="149" t="b">
        <f>regex(NamedRanges[[#This Row],[CellReflist]],"(.+?)?(:)(.+)?","$3")</f>
        <v>0</v>
      </c>
    </row>
    <row r="47" spans="1:10">
      <c r="A47" t="s">
        <v>4669</v>
      </c>
      <c r="B47" s="474" t="str">
        <f>РД!$B$4</f>
        <v>4_0</v>
      </c>
      <c r="D47" t="str">
        <f>getFormula(NamedRanges[[#This Row],[RefersTo]])</f>
        <v>=РД!$B$4</v>
      </c>
      <c r="E47" t="str">
        <f>regex(NamedRanges[[#This Row],[Формула]],"([=])(.*?)([!])","$2")</f>
        <v>РД</v>
      </c>
      <c r="F47" t="str">
        <f>CellReflist(NamedRanges[[#This Row],[RefersTo]])</f>
        <v>$B$4</v>
      </c>
      <c r="G47" s="149" t="str">
        <f>regex(NamedRanges[[#This Row],[CellReflist]],"(\$)(.*[A-Z])","$2")</f>
        <v>B</v>
      </c>
      <c r="H47" s="149" t="str">
        <f>regex(NamedRanges[[#This Row],[CellReflist]],"[0-9].*")</f>
        <v>4</v>
      </c>
      <c r="I47" s="149" t="b">
        <f>regex(NamedRanges[[#This Row],[CellReflist]],"(.+?)?(:)(.+)?","$1")</f>
        <v>0</v>
      </c>
      <c r="J47" s="149" t="b">
        <f>regex(NamedRanges[[#This Row],[CellReflist]],"(.+?)?(:)(.+)?","$3")</f>
        <v>0</v>
      </c>
    </row>
    <row r="48" spans="1:10">
      <c r="A48" t="s">
        <v>4671</v>
      </c>
      <c r="B48" s="474" t="str">
        <f>РД!$P$11</f>
        <v>Перевозчиков О.В.</v>
      </c>
      <c r="D48" t="str">
        <f>getFormula(NamedRanges[[#This Row],[RefersTo]])</f>
        <v>=РД!$P$11</v>
      </c>
      <c r="E48" t="str">
        <f>regex(NamedRanges[[#This Row],[Формула]],"([=])(.*?)([!])","$2")</f>
        <v>РД</v>
      </c>
      <c r="F48" t="str">
        <f>CellReflist(NamedRanges[[#This Row],[RefersTo]])</f>
        <v>$P$11</v>
      </c>
      <c r="G48" s="149" t="str">
        <f>regex(NamedRanges[[#This Row],[CellReflist]],"(\$)(.*[A-Z])","$2")</f>
        <v>P</v>
      </c>
      <c r="H48" s="149" t="str">
        <f>regex(NamedRanges[[#This Row],[CellReflist]],"[0-9].*")</f>
        <v>11</v>
      </c>
      <c r="I48" s="149" t="b">
        <f>regex(NamedRanges[[#This Row],[CellReflist]],"(.+?)?(:)(.+)?","$1")</f>
        <v>0</v>
      </c>
      <c r="J48" s="149" t="b">
        <f>regex(NamedRanges[[#This Row],[CellReflist]],"(.+?)?(:)(.+)?","$3")</f>
        <v>0</v>
      </c>
    </row>
    <row r="49" spans="1:10">
      <c r="A49" t="s">
        <v>4673</v>
      </c>
      <c r="B49" s="474" t="str">
        <f>РД!$B$9</f>
        <v>Степовий</v>
      </c>
      <c r="D49" t="str">
        <f>getFormula(NamedRanges[[#This Row],[RefersTo]])</f>
        <v>=РД!$B$9</v>
      </c>
      <c r="E49" t="str">
        <f>regex(NamedRanges[[#This Row],[Формула]],"([=])(.*?)([!])","$2")</f>
        <v>РД</v>
      </c>
      <c r="F49" t="str">
        <f>CellReflist(NamedRanges[[#This Row],[RefersTo]])</f>
        <v>$B$9</v>
      </c>
      <c r="G49" s="149" t="str">
        <f>regex(NamedRanges[[#This Row],[CellReflist]],"(\$)(.*[A-Z])","$2")</f>
        <v>B</v>
      </c>
      <c r="H49" s="149" t="str">
        <f>regex(NamedRanges[[#This Row],[CellReflist]],"[0-9].*")</f>
        <v>9</v>
      </c>
      <c r="I49" s="149" t="b">
        <f>regex(NamedRanges[[#This Row],[CellReflist]],"(.+?)?(:)(.+)?","$1")</f>
        <v>0</v>
      </c>
      <c r="J49" s="149" t="b">
        <f>regex(NamedRanges[[#This Row],[CellReflist]],"(.+?)?(:)(.+)?","$3")</f>
        <v>0</v>
      </c>
    </row>
    <row r="50" spans="1:10">
      <c r="A50" t="s">
        <v>4675</v>
      </c>
      <c r="B50" s="474">
        <f>РД!$I$3</f>
        <v>47</v>
      </c>
      <c r="D50" t="str">
        <f>getFormula(NamedRanges[[#This Row],[RefersTo]])</f>
        <v>=РД!$I$3</v>
      </c>
      <c r="E50" t="str">
        <f>regex(NamedRanges[[#This Row],[Формула]],"([=])(.*?)([!])","$2")</f>
        <v>РД</v>
      </c>
      <c r="F50" t="str">
        <f>CellReflist(NamedRanges[[#This Row],[RefersTo]])</f>
        <v>$I$3</v>
      </c>
      <c r="G50" s="149" t="str">
        <f>regex(NamedRanges[[#This Row],[CellReflist]],"(\$)(.*[A-Z])","$2")</f>
        <v>I</v>
      </c>
      <c r="H50" s="149" t="str">
        <f>regex(NamedRanges[[#This Row],[CellReflist]],"[0-9].*")</f>
        <v>3</v>
      </c>
      <c r="I50" s="149" t="b">
        <f>regex(NamedRanges[[#This Row],[CellReflist]],"(.+?)?(:)(.+)?","$1")</f>
        <v>0</v>
      </c>
      <c r="J50" s="149" t="b">
        <f>regex(NamedRanges[[#This Row],[CellReflist]],"(.+?)?(:)(.+)?","$3")</f>
        <v>0</v>
      </c>
    </row>
    <row r="51" spans="1:10">
      <c r="A51" t="s">
        <v>5083</v>
      </c>
      <c r="B51" s="474">
        <f>ККЗ</f>
        <v>1.2150000000000001</v>
      </c>
      <c r="D51" t="str">
        <f>getFormula(NamedRanges[[#This Row],[RefersTo]])</f>
        <v>=ККЗ</v>
      </c>
      <c r="E51" t="b">
        <f>regex(NamedRanges[[#This Row],[Формула]],"([=])(.*?)([!])","$2")</f>
        <v>0</v>
      </c>
      <c r="F51">
        <f>CellReflist(NamedRanges[[#This Row],[RefersTo]])</f>
        <v>0</v>
      </c>
      <c r="G51" s="149" t="b">
        <f>regex(NamedRanges[[#This Row],[CellReflist]],"(\$)(.*[A-Z])","$2")</f>
        <v>0</v>
      </c>
      <c r="H51" s="149" t="str">
        <f>regex(NamedRanges[[#This Row],[CellReflist]],"[0-9].*")</f>
        <v>0</v>
      </c>
      <c r="I51" s="149" t="b">
        <f>regex(NamedRanges[[#This Row],[CellReflist]],"(.+?)?(:)(.+)?","$1")</f>
        <v>0</v>
      </c>
      <c r="J51" s="149" t="b">
        <f>regex(NamedRanges[[#This Row],[CellReflist]],"(.+?)?(:)(.+)?","$3")</f>
        <v>0</v>
      </c>
    </row>
    <row r="52" spans="1:10">
      <c r="A52" t="s">
        <v>5373</v>
      </c>
      <c r="B52" s="474" t="e">
        <f>РД_кошторис!$A$4:$K$18</f>
        <v>#VALUE!</v>
      </c>
      <c r="D52" t="str">
        <f>getFormula(NamedRanges[[#This Row],[RefersTo]])</f>
        <v>=РД_кошторис!$A$4:$K$18</v>
      </c>
      <c r="E52" t="str">
        <f>regex(NamedRanges[[#This Row],[Формула]],"([=])(.*?)([!])","$2")</f>
        <v>РД_кошторис</v>
      </c>
      <c r="F52" t="str">
        <f>CellReflist(NamedRanges[[#This Row],[RefersTo]])</f>
        <v>$A$4:$K$18</v>
      </c>
      <c r="G52" s="149" t="str">
        <f>regex(NamedRanges[[#This Row],[CellReflist]],"(\$)(.*[A-Z])","$2")</f>
        <v>A$4:$K</v>
      </c>
      <c r="H52" s="149" t="str">
        <f>regex(NamedRanges[[#This Row],[CellReflist]],"[0-9].*")</f>
        <v>4:$K$18</v>
      </c>
      <c r="I52" s="149" t="str">
        <f>regex(NamedRanges[[#This Row],[CellReflist]],"(.+?)?(:)(.+)?","$1")</f>
        <v>$A$4</v>
      </c>
      <c r="J52" s="149" t="str">
        <f>regex(NamedRanges[[#This Row],[CellReflist]],"(.+?)?(:)(.+)?","$3")</f>
        <v>$K$18</v>
      </c>
    </row>
    <row r="53" spans="1:10">
      <c r="A53" t="s">
        <v>5368</v>
      </c>
      <c r="B53" s="474" t="e">
        <f>РД_кошторис!$A$28:$I$36</f>
        <v>#VALUE!</v>
      </c>
      <c r="D53" t="str">
        <f>getFormula(NamedRanges[[#This Row],[RefersTo]])</f>
        <v>=РД_кошторис!$A$28:$I$36</v>
      </c>
      <c r="E53" t="str">
        <f>regex(NamedRanges[[#This Row],[Формула]],"([=])(.*?)([!])","$2")</f>
        <v>РД_кошторис</v>
      </c>
      <c r="F53" t="str">
        <f>CellReflist(NamedRanges[[#This Row],[RefersTo]])</f>
        <v>$A$28:$I$36</v>
      </c>
      <c r="G53" s="149" t="str">
        <f>regex(NamedRanges[[#This Row],[CellReflist]],"(\$)(.*[A-Z])","$2")</f>
        <v>A$28:$I</v>
      </c>
      <c r="H53" s="149" t="str">
        <f>regex(NamedRanges[[#This Row],[CellReflist]],"[0-9].*")</f>
        <v>28:$I$36</v>
      </c>
      <c r="I53" s="149" t="str">
        <f>regex(NamedRanges[[#This Row],[CellReflist]],"(.+?)?(:)(.+)?","$1")</f>
        <v>$A$28</v>
      </c>
      <c r="J53" s="149" t="str">
        <f>regex(NamedRanges[[#This Row],[CellReflist]],"(.+?)?(:)(.+)?","$3")</f>
        <v>$I$36</v>
      </c>
    </row>
    <row r="54" spans="1:10">
      <c r="A54" t="s">
        <v>5369</v>
      </c>
      <c r="B54" s="474" t="e">
        <f>РД_кошторис!$A$42:$I$49</f>
        <v>#VALUE!</v>
      </c>
      <c r="D54" t="str">
        <f>getFormula(NamedRanges[[#This Row],[RefersTo]])</f>
        <v>=РД_кошторис!$A$42:$I$49</v>
      </c>
      <c r="E54" t="str">
        <f>regex(NamedRanges[[#This Row],[Формула]],"([=])(.*?)([!])","$2")</f>
        <v>РД_кошторис</v>
      </c>
      <c r="F54" t="str">
        <f>CellReflist(NamedRanges[[#This Row],[RefersTo]])</f>
        <v>$A$42:$I$49</v>
      </c>
      <c r="G54" s="149" t="str">
        <f>regex(NamedRanges[[#This Row],[CellReflist]],"(\$)(.*[A-Z])","$2")</f>
        <v>A$42:$I</v>
      </c>
      <c r="H54" s="149" t="str">
        <f>regex(NamedRanges[[#This Row],[CellReflist]],"[0-9].*")</f>
        <v>42:$I$49</v>
      </c>
      <c r="I54" s="149" t="str">
        <f>regex(NamedRanges[[#This Row],[CellReflist]],"(.+?)?(:)(.+)?","$1")</f>
        <v>$A$42</v>
      </c>
      <c r="J54" s="149" t="str">
        <f>regex(NamedRanges[[#This Row],[CellReflist]],"(.+?)?(:)(.+)?","$3")</f>
        <v>$I$49</v>
      </c>
    </row>
    <row r="55" spans="1:10">
      <c r="A55" t="s">
        <v>4677</v>
      </c>
      <c r="B55" s="474">
        <f ca="1">РД!$B$8</f>
        <v>43101</v>
      </c>
      <c r="D55" t="str">
        <f>getFormula(NamedRanges[[#This Row],[RefersTo]])</f>
        <v>=РД!$B$8</v>
      </c>
      <c r="E55" t="str">
        <f>regex(NamedRanges[[#This Row],[Формула]],"([=])(.*?)([!])","$2")</f>
        <v>РД</v>
      </c>
      <c r="F55" t="str">
        <f>CellReflist(NamedRanges[[#This Row],[RefersTo]])</f>
        <v>$B$8</v>
      </c>
      <c r="G55" s="149" t="str">
        <f>regex(NamedRanges[[#This Row],[CellReflist]],"(\$)(.*[A-Z])","$2")</f>
        <v>B</v>
      </c>
      <c r="H55" s="149" t="str">
        <f>regex(NamedRanges[[#This Row],[CellReflist]],"[0-9].*")</f>
        <v>8</v>
      </c>
      <c r="I55" s="149" t="b">
        <f>regex(NamedRanges[[#This Row],[CellReflist]],"(.+?)?(:)(.+)?","$1")</f>
        <v>0</v>
      </c>
      <c r="J55" s="149" t="b">
        <f>regex(NamedRanges[[#This Row],[CellReflist]],"(.+?)?(:)(.+)?","$3")</f>
        <v>0</v>
      </c>
    </row>
    <row r="56" spans="1:10">
      <c r="A56" t="s">
        <v>5374</v>
      </c>
      <c r="B56" s="474">
        <f>КоэфРГК!$B$4:$M$4</f>
        <v>200</v>
      </c>
      <c r="D56" t="str">
        <f>getFormula(NamedRanges[[#This Row],[RefersTo]])</f>
        <v>=КоэфРГК!$B$4:$M$4</v>
      </c>
      <c r="E56" t="str">
        <f>regex(NamedRanges[[#This Row],[Формула]],"([=])(.*?)([!])","$2")</f>
        <v>КоэфРГК</v>
      </c>
      <c r="F56" t="str">
        <f>CellReflist(NamedRanges[[#This Row],[RefersTo]])</f>
        <v>$B$4:$M$4</v>
      </c>
      <c r="G56" s="149" t="str">
        <f>regex(NamedRanges[[#This Row],[CellReflist]],"(\$)(.*[A-Z])","$2")</f>
        <v>B$4:$M</v>
      </c>
      <c r="H56" s="149" t="str">
        <f>regex(NamedRanges[[#This Row],[CellReflist]],"[0-9].*")</f>
        <v>4:$M$4</v>
      </c>
      <c r="I56" s="149" t="str">
        <f>regex(NamedRanges[[#This Row],[CellReflist]],"(.+?)?(:)(.+)?","$1")</f>
        <v>$B$4</v>
      </c>
      <c r="J56" s="149" t="str">
        <f>regex(NamedRanges[[#This Row],[CellReflist]],"(.+?)?(:)(.+)?","$3")</f>
        <v>$M$4</v>
      </c>
    </row>
    <row r="57" spans="1:10">
      <c r="A57" t="s">
        <v>5401</v>
      </c>
      <c r="B57" s="474" t="e">
        <f>SheetNAme!$A$1:$A$3</f>
        <v>#VALUE!</v>
      </c>
      <c r="D57" t="str">
        <f>getFormula(NamedRanges[[#This Row],[RefersTo]])</f>
        <v>=SheetNAme!$A$1:$A$3</v>
      </c>
      <c r="E57" t="str">
        <f>regex(NamedRanges[[#This Row],[Формула]],"([=])(.*?)([!])","$2")</f>
        <v>SheetNAme</v>
      </c>
      <c r="F57" t="str">
        <f>CellReflist(NamedRanges[[#This Row],[RefersTo]])</f>
        <v>SheetNAme!$A$1:$A$3</v>
      </c>
      <c r="G57" s="149" t="str">
        <f>regex(NamedRanges[[#This Row],[CellReflist]],"(\$)(.*[A-Z])","$2")</f>
        <v>A$1:$A</v>
      </c>
      <c r="H57" s="149" t="str">
        <f>regex(NamedRanges[[#This Row],[CellReflist]],"[0-9].*")</f>
        <v>1:$A$3</v>
      </c>
      <c r="I57" s="149" t="str">
        <f>regex(NamedRanges[[#This Row],[CellReflist]],"(.+?)?(:)(.+)?","$1")</f>
        <v>SheetNAme!$A$1</v>
      </c>
      <c r="J57" s="149" t="str">
        <f>regex(NamedRanges[[#This Row],[CellReflist]],"(.+?)?(:)(.+)?","$3")</f>
        <v>$A$3</v>
      </c>
    </row>
    <row r="58" spans="1:10">
      <c r="A58" t="s">
        <v>5402</v>
      </c>
      <c r="B58" s="474" t="e">
        <f>ДілянкаПоЛК!$A$1:$L$2</f>
        <v>#VALUE!</v>
      </c>
      <c r="D58" t="str">
        <f>getFormula(NamedRanges[[#This Row],[RefersTo]])</f>
        <v>=ДілянкаПоЛК!$A$1:$L$2</v>
      </c>
      <c r="E58" t="str">
        <f>regex(NamedRanges[[#This Row],[Формула]],"([=])(.*?)([!])","$2")</f>
        <v>ДілянкаПоЛК</v>
      </c>
      <c r="F58" t="str">
        <f>CellReflist(NamedRanges[[#This Row],[RefersTo]])</f>
        <v>$A$1:$L$2</v>
      </c>
      <c r="G58" s="149" t="str">
        <f>regex(NamedRanges[[#This Row],[CellReflist]],"(\$)(.*[A-Z])","$2")</f>
        <v>A$1:$L</v>
      </c>
      <c r="H58" s="149" t="str">
        <f>regex(NamedRanges[[#This Row],[CellReflist]],"[0-9].*")</f>
        <v>1:$L$2</v>
      </c>
      <c r="I58" s="149" t="str">
        <f>regex(NamedRanges[[#This Row],[CellReflist]],"(.+?)?(:)(.+)?","$1")</f>
        <v>$A$1</v>
      </c>
      <c r="J58" s="149" t="str">
        <f>regex(NamedRanges[[#This Row],[CellReflist]],"(.+?)?(:)(.+)?","$3")</f>
        <v>$L$2</v>
      </c>
    </row>
    <row r="59" spans="1:10">
      <c r="A59" t="s">
        <v>5403</v>
      </c>
      <c r="B59" s="474" t="str">
        <f>ДоговораПодрядаЕОД!$A$1:$G$430</f>
        <v>Вільхівецьке</v>
      </c>
      <c r="D59" t="str">
        <f>getFormula(NamedRanges[[#This Row],[RefersTo]])</f>
        <v>=ДоговораПодрядаЕОД!$A$1:$G$430</v>
      </c>
      <c r="E59" t="str">
        <f>regex(NamedRanges[[#This Row],[Формула]],"([=])(.*?)([!])","$2")</f>
        <v>ДоговораПодрядаЕОД</v>
      </c>
      <c r="F59" t="str">
        <f>CellReflist(NamedRanges[[#This Row],[RefersTo]])</f>
        <v>$A$1:$G$430</v>
      </c>
      <c r="G59" s="149" t="str">
        <f>regex(NamedRanges[[#This Row],[CellReflist]],"(\$)(.*[A-Z])","$2")</f>
        <v>A$1:$G</v>
      </c>
      <c r="H59" s="149" t="str">
        <f>regex(NamedRanges[[#This Row],[CellReflist]],"[0-9].*")</f>
        <v>1:$G$430</v>
      </c>
      <c r="I59" s="149" t="str">
        <f>regex(NamedRanges[[#This Row],[CellReflist]],"(.+?)?(:)(.+)?","$1")</f>
        <v>$A$1</v>
      </c>
      <c r="J59" s="149" t="str">
        <f>regex(NamedRanges[[#This Row],[CellReflist]],"(.+?)?(:)(.+)?","$3")</f>
        <v>$G$430</v>
      </c>
    </row>
    <row r="60" spans="1:10">
      <c r="A60" t="s">
        <v>5404</v>
      </c>
      <c r="B60" s="474" t="e">
        <f>Лист10!$A$1:$A$2</f>
        <v>#VALUE!</v>
      </c>
      <c r="D60" t="str">
        <f>getFormula(NamedRanges[[#This Row],[RefersTo]])</f>
        <v>=Лист10!$A$1:$A$2</v>
      </c>
      <c r="E60" t="str">
        <f>regex(NamedRanges[[#This Row],[Формула]],"([=])(.*?)([!])","$2")</f>
        <v>Лист10</v>
      </c>
      <c r="F60" t="str">
        <f>CellReflist(NamedRanges[[#This Row],[RefersTo]])</f>
        <v>10!$A$1:$A$2</v>
      </c>
      <c r="G60" s="149" t="str">
        <f>regex(NamedRanges[[#This Row],[CellReflist]],"(\$)(.*[A-Z])","$2")</f>
        <v>A$1:$A</v>
      </c>
      <c r="H60" s="149" t="str">
        <f>regex(NamedRanges[[#This Row],[CellReflist]],"[0-9].*")</f>
        <v>10!$A$1:$A$2</v>
      </c>
      <c r="I60" s="149" t="str">
        <f>regex(NamedRanges[[#This Row],[CellReflist]],"(.+?)?(:)(.+)?","$1")</f>
        <v>10!$A$1</v>
      </c>
      <c r="J60" s="149" t="str">
        <f>regex(NamedRanges[[#This Row],[CellReflist]],"(.+?)?(:)(.+)?","$3")</f>
        <v>$A$2</v>
      </c>
    </row>
    <row r="61" spans="1:10">
      <c r="A61" t="s">
        <v>5405</v>
      </c>
      <c r="B61" s="474" t="e">
        <f>Лист11!$A$1:$B$4</f>
        <v>#VALUE!</v>
      </c>
      <c r="D61" t="str">
        <f>getFormula(NamedRanges[[#This Row],[RefersTo]])</f>
        <v>=Лист11!$A$1:$B$4</v>
      </c>
      <c r="E61" t="str">
        <f>regex(NamedRanges[[#This Row],[Формула]],"([=])(.*?)([!])","$2")</f>
        <v>Лист11</v>
      </c>
      <c r="F61" t="str">
        <f>CellReflist(NamedRanges[[#This Row],[RefersTo]])</f>
        <v>11!$A$1:$B$4</v>
      </c>
      <c r="G61" s="149" t="str">
        <f>regex(NamedRanges[[#This Row],[CellReflist]],"(\$)(.*[A-Z])","$2")</f>
        <v>A$1:$B</v>
      </c>
      <c r="H61" s="149" t="str">
        <f>regex(NamedRanges[[#This Row],[CellReflist]],"[0-9].*")</f>
        <v>11!$A$1:$B$4</v>
      </c>
      <c r="I61" s="149" t="str">
        <f>regex(NamedRanges[[#This Row],[CellReflist]],"(.+?)?(:)(.+)?","$1")</f>
        <v>11!$A$1</v>
      </c>
      <c r="J61" s="149" t="str">
        <f>regex(NamedRanges[[#This Row],[CellReflist]],"(.+?)?(:)(.+)?","$3")</f>
        <v>$B$4</v>
      </c>
    </row>
    <row r="62" spans="1:10">
      <c r="A62" t="s">
        <v>5406</v>
      </c>
      <c r="B62" s="474" t="e">
        <f>Лист12!$A$1:$B$4</f>
        <v>#VALUE!</v>
      </c>
      <c r="D62" t="str">
        <f>getFormula(NamedRanges[[#This Row],[RefersTo]])</f>
        <v>=Лист12!$A$1:$B$4</v>
      </c>
      <c r="E62" t="str">
        <f>regex(NamedRanges[[#This Row],[Формула]],"([=])(.*?)([!])","$2")</f>
        <v>Лист12</v>
      </c>
      <c r="F62" t="str">
        <f>CellReflist(NamedRanges[[#This Row],[RefersTo]])</f>
        <v>12!$A$1:$B$4</v>
      </c>
      <c r="G62" s="149" t="str">
        <f>regex(NamedRanges[[#This Row],[CellReflist]],"(\$)(.*[A-Z])","$2")</f>
        <v>A$1:$B</v>
      </c>
      <c r="H62" s="149" t="str">
        <f>regex(NamedRanges[[#This Row],[CellReflist]],"[0-9].*")</f>
        <v>12!$A$1:$B$4</v>
      </c>
      <c r="I62" s="149" t="str">
        <f>regex(NamedRanges[[#This Row],[CellReflist]],"(.+?)?(:)(.+)?","$1")</f>
        <v>12!$A$1</v>
      </c>
      <c r="J62" s="149" t="str">
        <f>regex(NamedRanges[[#This Row],[CellReflist]],"(.+?)?(:)(.+)?","$3")</f>
        <v>$B$4</v>
      </c>
    </row>
    <row r="63" spans="1:10">
      <c r="A63" t="s">
        <v>5407</v>
      </c>
      <c r="B63" s="474" t="e">
        <f>Лист13!$A$1:$C$2</f>
        <v>#VALUE!</v>
      </c>
      <c r="D63" t="str">
        <f>getFormula(NamedRanges[[#This Row],[RefersTo]])</f>
        <v>=Лист13!$A$1:$C$2</v>
      </c>
      <c r="E63" t="str">
        <f>regex(NamedRanges[[#This Row],[Формула]],"([=])(.*?)([!])","$2")</f>
        <v>Лист13</v>
      </c>
      <c r="F63" t="str">
        <f>CellReflist(NamedRanges[[#This Row],[RefersTo]])</f>
        <v>13!$A$1:$C$2</v>
      </c>
      <c r="G63" s="149" t="str">
        <f>regex(NamedRanges[[#This Row],[CellReflist]],"(\$)(.*[A-Z])","$2")</f>
        <v>A$1:$C</v>
      </c>
      <c r="H63" s="149" t="str">
        <f>regex(NamedRanges[[#This Row],[CellReflist]],"[0-9].*")</f>
        <v>13!$A$1:$C$2</v>
      </c>
      <c r="I63" s="149" t="str">
        <f>regex(NamedRanges[[#This Row],[CellReflist]],"(.+?)?(:)(.+)?","$1")</f>
        <v>13!$A$1</v>
      </c>
      <c r="J63" s="149" t="str">
        <f>regex(NamedRanges[[#This Row],[CellReflist]],"(.+?)?(:)(.+)?","$3")</f>
        <v>$C$2</v>
      </c>
    </row>
    <row r="64" spans="1:10">
      <c r="A64" t="s">
        <v>5408</v>
      </c>
      <c r="B64" s="474" t="e">
        <f>Лист14!$A$1:$G$2</f>
        <v>#VALUE!</v>
      </c>
      <c r="D64" t="str">
        <f>getFormula(NamedRanges[[#This Row],[RefersTo]])</f>
        <v>=Лист14!$A$1:$G$2</v>
      </c>
      <c r="E64" t="str">
        <f>regex(NamedRanges[[#This Row],[Формула]],"([=])(.*?)([!])","$2")</f>
        <v>Лист14</v>
      </c>
      <c r="F64" t="str">
        <f>CellReflist(NamedRanges[[#This Row],[RefersTo]])</f>
        <v>14!$A$1:$G$2</v>
      </c>
      <c r="G64" s="149" t="str">
        <f>regex(NamedRanges[[#This Row],[CellReflist]],"(\$)(.*[A-Z])","$2")</f>
        <v>A$1:$G</v>
      </c>
      <c r="H64" s="149" t="str">
        <f>regex(NamedRanges[[#This Row],[CellReflist]],"[0-9].*")</f>
        <v>14!$A$1:$G$2</v>
      </c>
      <c r="I64" s="149" t="str">
        <f>regex(NamedRanges[[#This Row],[CellReflist]],"(.+?)?(:)(.+)?","$1")</f>
        <v>14!$A$1</v>
      </c>
      <c r="J64" s="149" t="str">
        <f>regex(NamedRanges[[#This Row],[CellReflist]],"(.+?)?(:)(.+)?","$3")</f>
        <v>$G$2</v>
      </c>
    </row>
    <row r="65" spans="1:10">
      <c r="A65" t="s">
        <v>5409</v>
      </c>
      <c r="B65" s="474" t="e">
        <f>Лист2!$A$1:$A$2</f>
        <v>#VALUE!</v>
      </c>
      <c r="D65" t="str">
        <f>getFormula(NamedRanges[[#This Row],[RefersTo]])</f>
        <v>=Лист2!$A$1:$A$2</v>
      </c>
      <c r="E65" t="str">
        <f>regex(NamedRanges[[#This Row],[Формула]],"([=])(.*?)([!])","$2")</f>
        <v>Лист2</v>
      </c>
      <c r="F65" t="str">
        <f>CellReflist(NamedRanges[[#This Row],[RefersTo]])</f>
        <v>2!$A$1:$A$2</v>
      </c>
      <c r="G65" s="149" t="str">
        <f>regex(NamedRanges[[#This Row],[CellReflist]],"(\$)(.*[A-Z])","$2")</f>
        <v>A$1:$A</v>
      </c>
      <c r="H65" s="149" t="str">
        <f>regex(NamedRanges[[#This Row],[CellReflist]],"[0-9].*")</f>
        <v>2!$A$1:$A$2</v>
      </c>
      <c r="I65" s="149" t="str">
        <f>regex(NamedRanges[[#This Row],[CellReflist]],"(.+?)?(:)(.+)?","$1")</f>
        <v>2!$A$1</v>
      </c>
      <c r="J65" s="149" t="str">
        <f>regex(NamedRanges[[#This Row],[CellReflist]],"(.+?)?(:)(.+)?","$3")</f>
        <v>$A$2</v>
      </c>
    </row>
    <row r="66" spans="1:10">
      <c r="A66" t="s">
        <v>5410</v>
      </c>
      <c r="B66" s="474" t="str">
        <f>ЛК!$A$1:$B$106</f>
        <v>Козачанське</v>
      </c>
      <c r="D66" t="str">
        <f>getFormula(NamedRanges[[#This Row],[RefersTo]])</f>
        <v>=ЛК!$A$1:$B$106</v>
      </c>
      <c r="E66" t="str">
        <f>regex(NamedRanges[[#This Row],[Формула]],"([=])(.*?)([!])","$2")</f>
        <v>ЛК</v>
      </c>
      <c r="F66" t="str">
        <f>CellReflist(NamedRanges[[#This Row],[RefersTo]])</f>
        <v>$A$1:$B$106</v>
      </c>
      <c r="G66" s="149" t="str">
        <f>regex(NamedRanges[[#This Row],[CellReflist]],"(\$)(.*[A-Z])","$2")</f>
        <v>A$1:$B</v>
      </c>
      <c r="H66" s="149" t="str">
        <f>regex(NamedRanges[[#This Row],[CellReflist]],"[0-9].*")</f>
        <v>1:$B$106</v>
      </c>
      <c r="I66" s="149" t="str">
        <f>regex(NamedRanges[[#This Row],[CellReflist]],"(.+?)?(:)(.+)?","$1")</f>
        <v>$A$1</v>
      </c>
      <c r="J66" s="149" t="str">
        <f>regex(NamedRanges[[#This Row],[CellReflist]],"(.+?)?(:)(.+)?","$3")</f>
        <v>$B$106</v>
      </c>
    </row>
    <row r="67" spans="1:10">
      <c r="A67" t="s">
        <v>5411</v>
      </c>
      <c r="B67" s="474" t="str">
        <f>РеестрЛКЕОД!$A$4:$R$591</f>
        <v>СРВ</v>
      </c>
      <c r="D67" t="str">
        <f>getFormula(NamedRanges[[#This Row],[RefersTo]])</f>
        <v>=РеестрЛКЕОД!$A$4:$R$591</v>
      </c>
      <c r="E67" t="str">
        <f>regex(NamedRanges[[#This Row],[Формула]],"([=])(.*?)([!])","$2")</f>
        <v>РеестрЛКЕОД</v>
      </c>
      <c r="F67" t="str">
        <f>CellReflist(NamedRanges[[#This Row],[RefersTo]])</f>
        <v>$A$4:$R$591</v>
      </c>
      <c r="G67" s="149" t="str">
        <f>regex(NamedRanges[[#This Row],[CellReflist]],"(\$)(.*[A-Z])","$2")</f>
        <v>A$4:$R</v>
      </c>
      <c r="H67" s="149" t="str">
        <f>regex(NamedRanges[[#This Row],[CellReflist]],"[0-9].*")</f>
        <v>4:$R$591</v>
      </c>
      <c r="I67" s="149" t="str">
        <f>regex(NamedRanges[[#This Row],[CellReflist]],"(.+?)?(:)(.+)?","$1")</f>
        <v>$A$4</v>
      </c>
      <c r="J67" s="149" t="str">
        <f>regex(NamedRanges[[#This Row],[CellReflist]],"(.+?)?(:)(.+)?","$3")</f>
        <v>$R$591</v>
      </c>
    </row>
    <row r="68" spans="1:10">
      <c r="A68" t="s">
        <v>5412</v>
      </c>
      <c r="B68" s="474" t="str">
        <f>РеестрЛКЕОДConect!$A$1:$K$836</f>
        <v>ПРХ</v>
      </c>
      <c r="D68" t="str">
        <f>getFormula(NamedRanges[[#This Row],[RefersTo]])</f>
        <v>=РеестрЛКЕОДConect!$A$1:$K$836</v>
      </c>
      <c r="E68" t="str">
        <f>regex(NamedRanges[[#This Row],[Формула]],"([=])(.*?)([!])","$2")</f>
        <v>РеестрЛКЕОДConect</v>
      </c>
      <c r="F68" t="str">
        <f>CellReflist(NamedRanges[[#This Row],[RefersTo]])</f>
        <v>Conect!$A$1:$K$836</v>
      </c>
      <c r="G68" s="149" t="str">
        <f>regex(NamedRanges[[#This Row],[CellReflist]],"(\$)(.*[A-Z])","$2")</f>
        <v>A$1:$K</v>
      </c>
      <c r="H68" s="149" t="str">
        <f>regex(NamedRanges[[#This Row],[CellReflist]],"[0-9].*")</f>
        <v>1:$K$836</v>
      </c>
      <c r="I68" s="149" t="str">
        <f>regex(NamedRanges[[#This Row],[CellReflist]],"(.+?)?(:)(.+)?","$1")</f>
        <v>Conect!$A$1</v>
      </c>
      <c r="J68" s="149" t="str">
        <f>regex(NamedRanges[[#This Row],[CellReflist]],"(.+?)?(:)(.+)?","$3")</f>
        <v>$K$836</v>
      </c>
    </row>
    <row r="69" spans="1:10">
      <c r="A69" t="s">
        <v>2249</v>
      </c>
      <c r="B69" s="474" t="e">
        <f>КоэфРГК!$A$71:$M$81</f>
        <v>#VALUE!</v>
      </c>
      <c r="D69" t="str">
        <f>getFormula(NamedRanges[[#This Row],[RefersTo]])</f>
        <v>=КоэфРГК!$A$71:$M$81</v>
      </c>
      <c r="E69" t="str">
        <f>regex(NamedRanges[[#This Row],[Формула]],"([=])(.*?)([!])","$2")</f>
        <v>КоэфРГК</v>
      </c>
      <c r="F69" t="str">
        <f>CellReflist(NamedRanges[[#This Row],[RefersTo]])</f>
        <v>$A$71:$M$81</v>
      </c>
      <c r="G69" s="149" t="str">
        <f>regex(NamedRanges[[#This Row],[CellReflist]],"(\$)(.*[A-Z])","$2")</f>
        <v>A$71:$M</v>
      </c>
      <c r="H69" s="149" t="str">
        <f>regex(NamedRanges[[#This Row],[CellReflist]],"[0-9].*")</f>
        <v>71:$M$81</v>
      </c>
      <c r="I69" s="149" t="str">
        <f>regex(NamedRanges[[#This Row],[CellReflist]],"(.+?)?(:)(.+)?","$1")</f>
        <v>$A$71</v>
      </c>
      <c r="J69" s="149" t="str">
        <f>regex(NamedRanges[[#This Row],[CellReflist]],"(.+?)?(:)(.+)?","$3")</f>
        <v>$M$81</v>
      </c>
    </row>
    <row r="70" spans="1:10">
      <c r="A70" t="s">
        <v>4680</v>
      </c>
      <c r="B70" s="474" t="e">
        <f>КоэфРГК!$A$71:$A$80</f>
        <v>#VALUE!</v>
      </c>
      <c r="D70" t="str">
        <f>getFormula(NamedRanges[[#This Row],[RefersTo]])</f>
        <v>=КоэфРГК!$A$71:$A$80</v>
      </c>
      <c r="E70" t="str">
        <f>regex(NamedRanges[[#This Row],[Формула]],"([=])(.*?)([!])","$2")</f>
        <v>КоэфРГК</v>
      </c>
      <c r="F70" t="str">
        <f>CellReflist(NamedRanges[[#This Row],[RefersTo]])</f>
        <v>$A$71:$A$80</v>
      </c>
      <c r="G70" s="149" t="str">
        <f>regex(NamedRanges[[#This Row],[CellReflist]],"(\$)(.*[A-Z])","$2")</f>
        <v>A$71:$A</v>
      </c>
      <c r="H70" s="149" t="str">
        <f>regex(NamedRanges[[#This Row],[CellReflist]],"[0-9].*")</f>
        <v>71:$A$80</v>
      </c>
      <c r="I70" s="149" t="str">
        <f>regex(NamedRanges[[#This Row],[CellReflist]],"(.+?)?(:)(.+)?","$1")</f>
        <v>$A$71</v>
      </c>
      <c r="J70" s="149" t="str">
        <f>regex(NamedRanges[[#This Row],[CellReflist]],"(.+?)?(:)(.+)?","$3")</f>
        <v>$A$80</v>
      </c>
    </row>
    <row r="71" spans="1:10">
      <c r="A71" t="s">
        <v>2172</v>
      </c>
      <c r="B71" s="474" t="str">
        <f>"g"</f>
        <v>g</v>
      </c>
      <c r="D71" t="str">
        <f>getFormula(NamedRanges[[#This Row],[RefersTo]])</f>
        <v>="g"</v>
      </c>
      <c r="E71" t="b">
        <f>regex(NamedRanges[[#This Row],[Формула]],"([=])(.*?)([!])","$2")</f>
        <v>0</v>
      </c>
      <c r="F71">
        <f>CellReflist(NamedRanges[[#This Row],[RefersTo]])</f>
        <v>0</v>
      </c>
      <c r="G71" s="149" t="b">
        <f>regex(NamedRanges[[#This Row],[CellReflist]],"(\$)(.*[A-Z])","$2")</f>
        <v>0</v>
      </c>
      <c r="H71" s="149" t="str">
        <f>regex(NamedRanges[[#This Row],[CellReflist]],"[0-9].*")</f>
        <v>0</v>
      </c>
      <c r="I71" s="149" t="b">
        <f>regex(NamedRanges[[#This Row],[CellReflist]],"(.+?)?(:)(.+)?","$1")</f>
        <v>0</v>
      </c>
      <c r="J71" s="149" t="b">
        <f>regex(NamedRanges[[#This Row],[CellReflist]],"(.+?)?(:)(.+)?","$3")</f>
        <v>0</v>
      </c>
    </row>
    <row r="72" spans="1:10">
      <c r="A72" t="s">
        <v>3780</v>
      </c>
      <c r="B72" s="474" t="str">
        <f>РГК!$P$6</f>
        <v>Так</v>
      </c>
      <c r="D72" t="str">
        <f>getFormula(NamedRanges[[#This Row],[RefersTo]])</f>
        <v>=РГК!$P$6</v>
      </c>
      <c r="E72" t="str">
        <f>regex(NamedRanges[[#This Row],[Формула]],"([=])(.*?)([!])","$2")</f>
        <v>РГК</v>
      </c>
      <c r="F72" t="str">
        <f>CellReflist(NamedRanges[[#This Row],[RefersTo]])</f>
        <v>$P$6</v>
      </c>
      <c r="G72" s="149" t="str">
        <f>regex(NamedRanges[[#This Row],[CellReflist]],"(\$)(.*[A-Z])","$2")</f>
        <v>P</v>
      </c>
      <c r="H72" s="149" t="str">
        <f>regex(NamedRanges[[#This Row],[CellReflist]],"[0-9].*")</f>
        <v>6</v>
      </c>
      <c r="I72" s="149" t="b">
        <f>regex(NamedRanges[[#This Row],[CellReflist]],"(.+?)?(:)(.+)?","$1")</f>
        <v>0</v>
      </c>
      <c r="J72" s="149" t="b">
        <f>regex(NamedRanges[[#This Row],[CellReflist]],"(.+?)?(:)(.+)?","$3")</f>
        <v>0</v>
      </c>
    </row>
    <row r="73" spans="1:10">
      <c r="A73" t="s">
        <v>5375</v>
      </c>
      <c r="B73" s="474" t="str">
        <f>РГК!$P$10</f>
        <v>Без спалювання</v>
      </c>
      <c r="D73" t="str">
        <f>getFormula(NamedRanges[[#This Row],[RefersTo]])</f>
        <v>=РГК!$P$10</v>
      </c>
      <c r="E73" t="str">
        <f>regex(NamedRanges[[#This Row],[Формула]],"([=])(.*?)([!])","$2")</f>
        <v>РГК</v>
      </c>
      <c r="F73" t="str">
        <f>CellReflist(NamedRanges[[#This Row],[RefersTo]])</f>
        <v>$P$10</v>
      </c>
      <c r="G73" s="149" t="str">
        <f>regex(NamedRanges[[#This Row],[CellReflist]],"(\$)(.*[A-Z])","$2")</f>
        <v>P</v>
      </c>
      <c r="H73" s="149" t="str">
        <f>regex(NamedRanges[[#This Row],[CellReflist]],"[0-9].*")</f>
        <v>10</v>
      </c>
      <c r="I73" s="149" t="b">
        <f>regex(NamedRanges[[#This Row],[CellReflist]],"(.+?)?(:)(.+)?","$1")</f>
        <v>0</v>
      </c>
      <c r="J73" s="149" t="b">
        <f>regex(NamedRanges[[#This Row],[CellReflist]],"(.+?)?(:)(.+)?","$3")</f>
        <v>0</v>
      </c>
    </row>
    <row r="74" spans="1:10">
      <c r="A74" t="s">
        <v>3782</v>
      </c>
      <c r="B74" s="474" t="str">
        <f>РГК!$P$8</f>
        <v>Так</v>
      </c>
      <c r="D74" t="str">
        <f>getFormula(NamedRanges[[#This Row],[RefersTo]])</f>
        <v>=РГК!$P$8</v>
      </c>
      <c r="E74" t="str">
        <f>regex(NamedRanges[[#This Row],[Формула]],"([=])(.*?)([!])","$2")</f>
        <v>РГК</v>
      </c>
      <c r="F74" t="str">
        <f>CellReflist(NamedRanges[[#This Row],[RefersTo]])</f>
        <v>$P$8</v>
      </c>
      <c r="G74" s="149" t="str">
        <f>regex(NamedRanges[[#This Row],[CellReflist]],"(\$)(.*[A-Z])","$2")</f>
        <v>P</v>
      </c>
      <c r="H74" s="149" t="str">
        <f>regex(NamedRanges[[#This Row],[CellReflist]],"[0-9].*")</f>
        <v>8</v>
      </c>
      <c r="I74" s="149" t="b">
        <f>regex(NamedRanges[[#This Row],[CellReflist]],"(.+?)?(:)(.+)?","$1")</f>
        <v>0</v>
      </c>
      <c r="J74" s="149" t="b">
        <f>regex(NamedRanges[[#This Row],[CellReflist]],"(.+?)?(:)(.+)?","$3")</f>
        <v>0</v>
      </c>
    </row>
    <row r="75" spans="1:10">
      <c r="A75" t="s">
        <v>3781</v>
      </c>
      <c r="B75" s="474" t="str">
        <f>РГК!$P$7</f>
        <v>Так</v>
      </c>
      <c r="D75" t="str">
        <f>getFormula(NamedRanges[[#This Row],[RefersTo]])</f>
        <v>=РГК!$P$7</v>
      </c>
      <c r="E75" t="str">
        <f>regex(NamedRanges[[#This Row],[Формула]],"([=])(.*?)([!])","$2")</f>
        <v>РГК</v>
      </c>
      <c r="F75" t="str">
        <f>CellReflist(NamedRanges[[#This Row],[RefersTo]])</f>
        <v>$P$7</v>
      </c>
      <c r="G75" s="149" t="str">
        <f>regex(NamedRanges[[#This Row],[CellReflist]],"(\$)(.*[A-Z])","$2")</f>
        <v>P</v>
      </c>
      <c r="H75" s="149" t="str">
        <f>regex(NamedRanges[[#This Row],[CellReflist]],"[0-9].*")</f>
        <v>7</v>
      </c>
      <c r="I75" s="149" t="b">
        <f>regex(NamedRanges[[#This Row],[CellReflist]],"(.+?)?(:)(.+)?","$1")</f>
        <v>0</v>
      </c>
      <c r="J75" s="149" t="b">
        <f>regex(NamedRanges[[#This Row],[CellReflist]],"(.+?)?(:)(.+)?","$3")</f>
        <v>0</v>
      </c>
    </row>
    <row r="76" spans="1:10">
      <c r="A76" t="s">
        <v>4685</v>
      </c>
      <c r="B76" s="474" t="str">
        <f>РГК!$H$1</f>
        <v>Віл</v>
      </c>
      <c r="D76" t="str">
        <f>getFormula(NamedRanges[[#This Row],[RefersTo]])</f>
        <v>=РГК!$H$1</v>
      </c>
      <c r="E76" t="str">
        <f>regex(NamedRanges[[#This Row],[Формула]],"([=])(.*?)([!])","$2")</f>
        <v>РГК</v>
      </c>
      <c r="F76" t="str">
        <f>CellReflist(NamedRanges[[#This Row],[RefersTo]])</f>
        <v>$H$1</v>
      </c>
      <c r="G76" s="149" t="str">
        <f>regex(NamedRanges[[#This Row],[CellReflist]],"(\$)(.*[A-Z])","$2")</f>
        <v>H</v>
      </c>
      <c r="H76" s="149" t="str">
        <f>regex(NamedRanges[[#This Row],[CellReflist]],"[0-9].*")</f>
        <v>1</v>
      </c>
      <c r="I76" s="149" t="b">
        <f>regex(NamedRanges[[#This Row],[CellReflist]],"(.+?)?(:)(.+)?","$1")</f>
        <v>0</v>
      </c>
      <c r="J76" s="149" t="b">
        <f>regex(NamedRanges[[#This Row],[CellReflist]],"(.+?)?(:)(.+)?","$3")</f>
        <v>0</v>
      </c>
    </row>
    <row r="77" spans="1:10">
      <c r="A77" t="s">
        <v>4687</v>
      </c>
      <c r="B77" s="474">
        <f>РГК!$I$7</f>
        <v>0.84</v>
      </c>
      <c r="D77" t="str">
        <f>getFormula(NamedRanges[[#This Row],[RefersTo]])</f>
        <v>=РГК!$I$7</v>
      </c>
      <c r="E77" t="str">
        <f>regex(NamedRanges[[#This Row],[Формула]],"([=])(.*?)([!])","$2")</f>
        <v>РГК</v>
      </c>
      <c r="F77" t="str">
        <f>CellReflist(NamedRanges[[#This Row],[RefersTo]])</f>
        <v>$I$7</v>
      </c>
      <c r="G77" s="149" t="str">
        <f>regex(NamedRanges[[#This Row],[CellReflist]],"(\$)(.*[A-Z])","$2")</f>
        <v>I</v>
      </c>
      <c r="H77" s="149" t="str">
        <f>regex(NamedRanges[[#This Row],[CellReflist]],"[0-9].*")</f>
        <v>7</v>
      </c>
      <c r="I77" s="149" t="b">
        <f>regex(NamedRanges[[#This Row],[CellReflist]],"(.+?)?(:)(.+)?","$1")</f>
        <v>0</v>
      </c>
      <c r="J77" s="149" t="b">
        <f>regex(NamedRanges[[#This Row],[CellReflist]],"(.+?)?(:)(.+)?","$3")</f>
        <v>0</v>
      </c>
    </row>
    <row r="78" spans="1:10">
      <c r="A78" t="s">
        <v>4689</v>
      </c>
      <c r="B78" s="474">
        <f>РГК!$I$8</f>
        <v>0</v>
      </c>
      <c r="D78" t="str">
        <f>getFormula(NamedRanges[[#This Row],[RefersTo]])</f>
        <v>=РГК!$I$8</v>
      </c>
      <c r="E78" t="str">
        <f>regex(NamedRanges[[#This Row],[Формула]],"([=])(.*?)([!])","$2")</f>
        <v>РГК</v>
      </c>
      <c r="F78" t="str">
        <f>CellReflist(NamedRanges[[#This Row],[RefersTo]])</f>
        <v>$I$8</v>
      </c>
      <c r="G78" s="149" t="str">
        <f>regex(NamedRanges[[#This Row],[CellReflist]],"(\$)(.*[A-Z])","$2")</f>
        <v>I</v>
      </c>
      <c r="H78" s="149" t="str">
        <f>regex(NamedRanges[[#This Row],[CellReflist]],"[0-9].*")</f>
        <v>8</v>
      </c>
      <c r="I78" s="149" t="b">
        <f>regex(NamedRanges[[#This Row],[CellReflist]],"(.+?)?(:)(.+)?","$1")</f>
        <v>0</v>
      </c>
      <c r="J78" s="149" t="b">
        <f>regex(NamedRanges[[#This Row],[CellReflist]],"(.+?)?(:)(.+)?","$3")</f>
        <v>0</v>
      </c>
    </row>
    <row r="79" spans="1:10">
      <c r="A79" t="s">
        <v>4691</v>
      </c>
      <c r="B79" s="474" t="str">
        <f>РГК!$I$13</f>
        <v>08.12.2017</v>
      </c>
      <c r="D79" t="str">
        <f>getFormula(NamedRanges[[#This Row],[RefersTo]])</f>
        <v>=РГК!$I$13</v>
      </c>
      <c r="E79" t="str">
        <f>regex(NamedRanges[[#This Row],[Формула]],"([=])(.*?)([!])","$2")</f>
        <v>РГК</v>
      </c>
      <c r="F79" t="str">
        <f>CellReflist(NamedRanges[[#This Row],[RefersTo]])</f>
        <v>$I$13</v>
      </c>
      <c r="G79" s="149" t="str">
        <f>regex(NamedRanges[[#This Row],[CellReflist]],"(\$)(.*[A-Z])","$2")</f>
        <v>I</v>
      </c>
      <c r="H79" s="149" t="str">
        <f>regex(NamedRanges[[#This Row],[CellReflist]],"[0-9].*")</f>
        <v>13</v>
      </c>
      <c r="I79" s="149" t="b">
        <f>regex(NamedRanges[[#This Row],[CellReflist]],"(.+?)?(:)(.+)?","$1")</f>
        <v>0</v>
      </c>
      <c r="J79" s="149" t="b">
        <f>regex(NamedRanges[[#This Row],[CellReflist]],"(.+?)?(:)(.+)?","$3")</f>
        <v>0</v>
      </c>
    </row>
    <row r="80" spans="1:10">
      <c r="A80" t="s">
        <v>4693</v>
      </c>
      <c r="B80" s="474">
        <f>РГК!$P$9</f>
        <v>43102</v>
      </c>
      <c r="D80" t="str">
        <f>getFormula(NamedRanges[[#This Row],[RefersTo]])</f>
        <v>=РГК!$P$9</v>
      </c>
      <c r="E80" t="str">
        <f>regex(NamedRanges[[#This Row],[Формула]],"([=])(.*?)([!])","$2")</f>
        <v>РГК</v>
      </c>
      <c r="F80" t="str">
        <f>CellReflist(NamedRanges[[#This Row],[RefersTo]])</f>
        <v>$P$9</v>
      </c>
      <c r="G80" s="149" t="str">
        <f>regex(NamedRanges[[#This Row],[CellReflist]],"(\$)(.*[A-Z])","$2")</f>
        <v>P</v>
      </c>
      <c r="H80" s="149" t="str">
        <f>regex(NamedRanges[[#This Row],[CellReflist]],"[0-9].*")</f>
        <v>9</v>
      </c>
      <c r="I80" s="149" t="b">
        <f>regex(NamedRanges[[#This Row],[CellReflist]],"(.+?)?(:)(.+)?","$1")</f>
        <v>0</v>
      </c>
      <c r="J80" s="149" t="b">
        <f>regex(NamedRanges[[#This Row],[CellReflist]],"(.+?)?(:)(.+)?","$3")</f>
        <v>0</v>
      </c>
    </row>
    <row r="81" spans="1:10">
      <c r="A81" t="s">
        <v>4695</v>
      </c>
      <c r="B81" s="474" t="str">
        <f>РГК!$P$12</f>
        <v>52 кв (7 вид) 0 діл.</v>
      </c>
      <c r="D81" t="str">
        <f>getFormula(NamedRanges[[#This Row],[RefersTo]])</f>
        <v>=РГК!$P$12</v>
      </c>
      <c r="E81" t="str">
        <f>regex(NamedRanges[[#This Row],[Формула]],"([=])(.*?)([!])","$2")</f>
        <v>РГК</v>
      </c>
      <c r="F81" t="str">
        <f>CellReflist(NamedRanges[[#This Row],[RefersTo]])</f>
        <v>$P$12</v>
      </c>
      <c r="G81" s="149" t="str">
        <f>regex(NamedRanges[[#This Row],[CellReflist]],"(\$)(.*[A-Z])","$2")</f>
        <v>P</v>
      </c>
      <c r="H81" s="149" t="str">
        <f>regex(NamedRanges[[#This Row],[CellReflist]],"[0-9].*")</f>
        <v>12</v>
      </c>
      <c r="I81" s="149" t="b">
        <f>regex(NamedRanges[[#This Row],[CellReflist]],"(.+?)?(:)(.+)?","$1")</f>
        <v>0</v>
      </c>
      <c r="J81" s="149" t="b">
        <f>regex(NamedRanges[[#This Row],[CellReflist]],"(.+?)?(:)(.+)?","$3")</f>
        <v>0</v>
      </c>
    </row>
    <row r="82" spans="1:10">
      <c r="A82" t="s">
        <v>4697</v>
      </c>
      <c r="B82" s="474" t="str">
        <f>РГК!$B$13</f>
        <v>Дз</v>
      </c>
      <c r="D82" t="str">
        <f>getFormula(NamedRanges[[#This Row],[RefersTo]])</f>
        <v>=РГК!$B$13</v>
      </c>
      <c r="E82" t="str">
        <f>regex(NamedRanges[[#This Row],[Формула]],"([=])(.*?)([!])","$2")</f>
        <v>РГК</v>
      </c>
      <c r="F82" t="str">
        <f>CellReflist(NamedRanges[[#This Row],[RefersTo]])</f>
        <v>$B$13</v>
      </c>
      <c r="G82" s="149" t="str">
        <f>regex(NamedRanges[[#This Row],[CellReflist]],"(\$)(.*[A-Z])","$2")</f>
        <v>B</v>
      </c>
      <c r="H82" s="149" t="str">
        <f>regex(NamedRanges[[#This Row],[CellReflist]],"[0-9].*")</f>
        <v>13</v>
      </c>
      <c r="I82" s="149" t="b">
        <f>regex(NamedRanges[[#This Row],[CellReflist]],"(.+?)?(:)(.+)?","$1")</f>
        <v>0</v>
      </c>
      <c r="J82" s="149" t="b">
        <f>regex(NamedRanges[[#This Row],[CellReflist]],"(.+?)?(:)(.+)?","$3")</f>
        <v>0</v>
      </c>
    </row>
    <row r="83" spans="1:10">
      <c r="A83" t="s">
        <v>5376</v>
      </c>
      <c r="B83" s="474" t="str">
        <f>РГК!$Q$13</f>
        <v>Твердолистяні породи</v>
      </c>
      <c r="C83" t="s">
        <v>5413</v>
      </c>
      <c r="D83" t="str">
        <f>getFormula(NamedRanges[[#This Row],[RefersTo]])</f>
        <v>=РГК!$Q$13</v>
      </c>
      <c r="E83" t="str">
        <f>regex(NamedRanges[[#This Row],[Формула]],"([=])(.*?)([!])","$2")</f>
        <v>РГК</v>
      </c>
      <c r="F83" t="str">
        <f>CellReflist(NamedRanges[[#This Row],[RefersTo]])</f>
        <v>$Q$13</v>
      </c>
      <c r="G83" s="149" t="str">
        <f>regex(NamedRanges[[#This Row],[CellReflist]],"(\$)(.*[A-Z])","$2")</f>
        <v>Q</v>
      </c>
      <c r="H83" s="149" t="str">
        <f>regex(NamedRanges[[#This Row],[CellReflist]],"[0-9].*")</f>
        <v>13</v>
      </c>
      <c r="I83" s="149" t="b">
        <f>regex(NamedRanges[[#This Row],[CellReflist]],"(.+?)?(:)(.+)?","$1")</f>
        <v>0</v>
      </c>
      <c r="J83" s="149" t="b">
        <f>regex(NamedRanges[[#This Row],[CellReflist]],"(.+?)?(:)(.+)?","$3")</f>
        <v>0</v>
      </c>
    </row>
    <row r="84" spans="1:10">
      <c r="A84" t="s">
        <v>5377</v>
      </c>
      <c r="B84" s="474">
        <f>РГК!$U$10</f>
        <v>0</v>
      </c>
      <c r="D84" t="str">
        <f>getFormula(NamedRanges[[#This Row],[RefersTo]])</f>
        <v>=РГК!$U$10</v>
      </c>
      <c r="E84" t="str">
        <f>regex(NamedRanges[[#This Row],[Формула]],"([=])(.*?)([!])","$2")</f>
        <v>РГК</v>
      </c>
      <c r="F84" t="str">
        <f>CellReflist(NamedRanges[[#This Row],[RefersTo]])</f>
        <v>$U$10</v>
      </c>
      <c r="G84" s="149" t="str">
        <f>regex(NamedRanges[[#This Row],[CellReflist]],"(\$)(.*[A-Z])","$2")</f>
        <v>U</v>
      </c>
      <c r="H84" s="149" t="str">
        <f>regex(NamedRanges[[#This Row],[CellReflist]],"[0-9].*")</f>
        <v>10</v>
      </c>
      <c r="I84" s="149" t="b">
        <f>regex(NamedRanges[[#This Row],[CellReflist]],"(.+?)?(:)(.+)?","$1")</f>
        <v>0</v>
      </c>
      <c r="J84" s="149" t="b">
        <f>regex(NamedRanges[[#This Row],[CellReflist]],"(.+?)?(:)(.+)?","$3")</f>
        <v>0</v>
      </c>
    </row>
    <row r="85" spans="1:10">
      <c r="A85" t="s">
        <v>4699</v>
      </c>
      <c r="B85" s="474">
        <f>РГК!$I$2</f>
        <v>162</v>
      </c>
      <c r="D85" t="str">
        <f>getFormula(NamedRanges[[#This Row],[RefersTo]])</f>
        <v>=РГК!$I$2</v>
      </c>
      <c r="E85" t="str">
        <f>regex(NamedRanges[[#This Row],[Формула]],"([=])(.*?)([!])","$2")</f>
        <v>РГК</v>
      </c>
      <c r="F85" t="str">
        <f>CellReflist(NamedRanges[[#This Row],[RefersTo]])</f>
        <v>$I$2</v>
      </c>
      <c r="G85" s="149" t="str">
        <f>regex(NamedRanges[[#This Row],[CellReflist]],"(\$)(.*[A-Z])","$2")</f>
        <v>I</v>
      </c>
      <c r="H85" s="149" t="str">
        <f>regex(NamedRanges[[#This Row],[CellReflist]],"[0-9].*")</f>
        <v>2</v>
      </c>
      <c r="I85" s="149" t="b">
        <f>regex(NamedRanges[[#This Row],[CellReflist]],"(.+?)?(:)(.+)?","$1")</f>
        <v>0</v>
      </c>
      <c r="J85" s="149" t="b">
        <f>regex(NamedRanges[[#This Row],[CellReflist]],"(.+?)?(:)(.+)?","$3")</f>
        <v>0</v>
      </c>
    </row>
    <row r="86" spans="1:10">
      <c r="A86" t="s">
        <v>4701</v>
      </c>
      <c r="B86" s="474">
        <f>РГК!$I$9</f>
        <v>1</v>
      </c>
      <c r="D86" t="str">
        <f>getFormula(NamedRanges[[#This Row],[RefersTo]])</f>
        <v>=РГК!$I$9</v>
      </c>
      <c r="E86" t="str">
        <f>regex(NamedRanges[[#This Row],[Формула]],"([=])(.*?)([!])","$2")</f>
        <v>РГК</v>
      </c>
      <c r="F86" t="str">
        <f>CellReflist(NamedRanges[[#This Row],[RefersTo]])</f>
        <v>$I$9</v>
      </c>
      <c r="G86" s="149" t="str">
        <f>regex(NamedRanges[[#This Row],[CellReflist]],"(\$)(.*[A-Z])","$2")</f>
        <v>I</v>
      </c>
      <c r="H86" s="149" t="str">
        <f>regex(NamedRanges[[#This Row],[CellReflist]],"[0-9].*")</f>
        <v>9</v>
      </c>
      <c r="I86" s="149" t="b">
        <f>regex(NamedRanges[[#This Row],[CellReflist]],"(.+?)?(:)(.+)?","$1")</f>
        <v>0</v>
      </c>
      <c r="J86" s="149" t="b">
        <f>regex(NamedRanges[[#This Row],[CellReflist]],"(.+?)?(:)(.+)?","$3")</f>
        <v>0</v>
      </c>
    </row>
    <row r="87" spans="1:10">
      <c r="A87" t="s">
        <v>4703</v>
      </c>
      <c r="B87" s="474">
        <f>РГК!$B$3</f>
        <v>52</v>
      </c>
      <c r="D87" t="str">
        <f>getFormula(NamedRanges[[#This Row],[RefersTo]])</f>
        <v>=РГК!$B$3</v>
      </c>
      <c r="E87" t="str">
        <f>regex(NamedRanges[[#This Row],[Формула]],"([=])(.*?)([!])","$2")</f>
        <v>РГК</v>
      </c>
      <c r="F87" t="str">
        <f>CellReflist(NamedRanges[[#This Row],[RefersTo]])</f>
        <v>$B$3</v>
      </c>
      <c r="G87" s="149" t="str">
        <f>regex(NamedRanges[[#This Row],[CellReflist]],"(\$)(.*[A-Z])","$2")</f>
        <v>B</v>
      </c>
      <c r="H87" s="149" t="str">
        <f>regex(NamedRanges[[#This Row],[CellReflist]],"[0-9].*")</f>
        <v>3</v>
      </c>
      <c r="I87" s="149" t="b">
        <f>regex(NamedRanges[[#This Row],[CellReflist]],"(.+?)?(:)(.+)?","$1")</f>
        <v>0</v>
      </c>
      <c r="J87" s="149" t="b">
        <f>regex(NamedRanges[[#This Row],[CellReflist]],"(.+?)?(:)(.+)?","$3")</f>
        <v>0</v>
      </c>
    </row>
    <row r="88" spans="1:10">
      <c r="A88" t="s">
        <v>4705</v>
      </c>
      <c r="B88" s="474">
        <f>РГК!$I$11</f>
        <v>1.1000000000000001</v>
      </c>
      <c r="D88" t="str">
        <f>getFormula(NamedRanges[[#This Row],[RefersTo]])</f>
        <v>=РГК!$I$11</v>
      </c>
      <c r="E88" t="str">
        <f>regex(NamedRanges[[#This Row],[Формула]],"([=])(.*?)([!])","$2")</f>
        <v>РГК</v>
      </c>
      <c r="F88" t="str">
        <f>CellReflist(NamedRanges[[#This Row],[RefersTo]])</f>
        <v>$I$11</v>
      </c>
      <c r="G88" s="149" t="str">
        <f>regex(NamedRanges[[#This Row],[CellReflist]],"(\$)(.*[A-Z])","$2")</f>
        <v>I</v>
      </c>
      <c r="H88" s="149" t="str">
        <f>regex(NamedRanges[[#This Row],[CellReflist]],"[0-9].*")</f>
        <v>11</v>
      </c>
      <c r="I88" s="149" t="b">
        <f>regex(NamedRanges[[#This Row],[CellReflist]],"(.+?)?(:)(.+)?","$1")</f>
        <v>0</v>
      </c>
      <c r="J88" s="149" t="b">
        <f>regex(NamedRanges[[#This Row],[CellReflist]],"(.+?)?(:)(.+)?","$3")</f>
        <v>0</v>
      </c>
    </row>
    <row r="89" spans="1:10">
      <c r="A89" t="s">
        <v>4707</v>
      </c>
      <c r="B89" s="474" t="str">
        <f>РГК!$B$2</f>
        <v>Вільхівецьке</v>
      </c>
      <c r="D89" t="str">
        <f>getFormula(NamedRanges[[#This Row],[RefersTo]])</f>
        <v>=РГК!$B$2</v>
      </c>
      <c r="E89" t="str">
        <f>regex(NamedRanges[[#This Row],[Формула]],"([=])(.*?)([!])","$2")</f>
        <v>РГК</v>
      </c>
      <c r="F89" t="str">
        <f>CellReflist(NamedRanges[[#This Row],[RefersTo]])</f>
        <v>$B$2</v>
      </c>
      <c r="G89" s="149" t="str">
        <f>regex(NamedRanges[[#This Row],[CellReflist]],"(\$)(.*[A-Z])","$2")</f>
        <v>B</v>
      </c>
      <c r="H89" s="149" t="str">
        <f>regex(NamedRanges[[#This Row],[CellReflist]],"[0-9].*")</f>
        <v>2</v>
      </c>
      <c r="I89" s="149" t="b">
        <f>regex(NamedRanges[[#This Row],[CellReflist]],"(.+?)?(:)(.+)?","$1")</f>
        <v>0</v>
      </c>
      <c r="J89" s="149" t="b">
        <f>regex(NamedRanges[[#This Row],[CellReflist]],"(.+?)?(:)(.+)?","$3")</f>
        <v>0</v>
      </c>
    </row>
    <row r="90" spans="1:10">
      <c r="A90" t="s">
        <v>4709</v>
      </c>
      <c r="B90" s="474">
        <f>РГК!$I$5</f>
        <v>1272</v>
      </c>
      <c r="D90" t="str">
        <f>getFormula(NamedRanges[[#This Row],[RefersTo]])</f>
        <v>=РГК!$I$5</v>
      </c>
      <c r="E90" t="str">
        <f>regex(NamedRanges[[#This Row],[Формула]],"([=])(.*?)([!])","$2")</f>
        <v>РГК</v>
      </c>
      <c r="F90" t="str">
        <f>CellReflist(NamedRanges[[#This Row],[RefersTo]])</f>
        <v>$I$5</v>
      </c>
      <c r="G90" s="149" t="str">
        <f>regex(NamedRanges[[#This Row],[CellReflist]],"(\$)(.*[A-Z])","$2")</f>
        <v>I</v>
      </c>
      <c r="H90" s="149" t="str">
        <f>regex(NamedRanges[[#This Row],[CellReflist]],"[0-9].*")</f>
        <v>5</v>
      </c>
      <c r="I90" s="149" t="b">
        <f>regex(NamedRanges[[#This Row],[CellReflist]],"(.+?)?(:)(.+)?","$1")</f>
        <v>0</v>
      </c>
      <c r="J90" s="149" t="b">
        <f>regex(NamedRanges[[#This Row],[CellReflist]],"(.+?)?(:)(.+)?","$3")</f>
        <v>0</v>
      </c>
    </row>
    <row r="91" spans="1:10">
      <c r="A91" t="s">
        <v>4711</v>
      </c>
      <c r="B91" s="474">
        <f>РГК!$I$6</f>
        <v>342</v>
      </c>
      <c r="D91" t="str">
        <f>getFormula(NamedRanges[[#This Row],[RefersTo]])</f>
        <v>=РГК!$I$6</v>
      </c>
      <c r="E91" t="str">
        <f>regex(NamedRanges[[#This Row],[Формула]],"([=])(.*?)([!])","$2")</f>
        <v>РГК</v>
      </c>
      <c r="F91" t="str">
        <f>CellReflist(NamedRanges[[#This Row],[RefersTo]])</f>
        <v>$I$6</v>
      </c>
      <c r="G91" s="149" t="str">
        <f>regex(NamedRanges[[#This Row],[CellReflist]],"(\$)(.*[A-Z])","$2")</f>
        <v>I</v>
      </c>
      <c r="H91" s="149" t="str">
        <f>regex(NamedRanges[[#This Row],[CellReflist]],"[0-9].*")</f>
        <v>6</v>
      </c>
      <c r="I91" s="149" t="b">
        <f>regex(NamedRanges[[#This Row],[CellReflist]],"(.+?)?(:)(.+)?","$1")</f>
        <v>0</v>
      </c>
      <c r="J91" s="149" t="b">
        <f>regex(NamedRanges[[#This Row],[CellReflist]],"(.+?)?(:)(.+)?","$3")</f>
        <v>0</v>
      </c>
    </row>
    <row r="92" spans="1:10">
      <c r="A92" t="s">
        <v>4713</v>
      </c>
      <c r="B92" s="474">
        <f>РГК!$G$1</f>
        <v>1</v>
      </c>
      <c r="D92" t="str">
        <f>getFormula(NamedRanges[[#This Row],[RefersTo]])</f>
        <v>=РГК!$G$1</v>
      </c>
      <c r="E92" t="str">
        <f>regex(NamedRanges[[#This Row],[Формула]],"([=])(.*?)([!])","$2")</f>
        <v>РГК</v>
      </c>
      <c r="F92" t="str">
        <f>CellReflist(NamedRanges[[#This Row],[RefersTo]])</f>
        <v>$G$1</v>
      </c>
      <c r="G92" s="149" t="str">
        <f>regex(NamedRanges[[#This Row],[CellReflist]],"(\$)(.*[A-Z])","$2")</f>
        <v>G</v>
      </c>
      <c r="H92" s="149" t="str">
        <f>regex(NamedRanges[[#This Row],[CellReflist]],"[0-9].*")</f>
        <v>1</v>
      </c>
      <c r="I92" s="149" t="b">
        <f>regex(NamedRanges[[#This Row],[CellReflist]],"(.+?)?(:)(.+)?","$1")</f>
        <v>0</v>
      </c>
      <c r="J92" s="149" t="b">
        <f>regex(NamedRanges[[#This Row],[CellReflist]],"(.+?)?(:)(.+)?","$3")</f>
        <v>0</v>
      </c>
    </row>
    <row r="93" spans="1:10">
      <c r="A93" t="s">
        <v>4715</v>
      </c>
      <c r="B93" s="474">
        <f>РГК!$J$1</f>
        <v>12</v>
      </c>
      <c r="D93" t="str">
        <f>getFormula(NamedRanges[[#This Row],[RefersTo]])</f>
        <v>=РГК!$J$1</v>
      </c>
      <c r="E93" t="str">
        <f>regex(NamedRanges[[#This Row],[Формула]],"([=])(.*?)([!])","$2")</f>
        <v>РГК</v>
      </c>
      <c r="F93" t="str">
        <f>CellReflist(NamedRanges[[#This Row],[RefersTo]])</f>
        <v>$J$1</v>
      </c>
      <c r="G93" s="149" t="str">
        <f>regex(NamedRanges[[#This Row],[CellReflist]],"(\$)(.*[A-Z])","$2")</f>
        <v>J</v>
      </c>
      <c r="H93" s="149" t="str">
        <f>regex(NamedRanges[[#This Row],[CellReflist]],"[0-9].*")</f>
        <v>1</v>
      </c>
      <c r="I93" s="149" t="b">
        <f>regex(NamedRanges[[#This Row],[CellReflist]],"(.+?)?(:)(.+)?","$1")</f>
        <v>0</v>
      </c>
      <c r="J93" s="149" t="b">
        <f>regex(NamedRanges[[#This Row],[CellReflist]],"(.+?)?(:)(.+)?","$3")</f>
        <v>0</v>
      </c>
    </row>
    <row r="94" spans="1:10">
      <c r="A94" t="s">
        <v>4717</v>
      </c>
      <c r="B94" s="474">
        <f>РГК!$I$4</f>
        <v>8</v>
      </c>
      <c r="D94" t="str">
        <f>getFormula(NamedRanges[[#This Row],[RefersTo]])</f>
        <v>=РГК!$I$4</v>
      </c>
      <c r="E94" t="str">
        <f>regex(NamedRanges[[#This Row],[Формула]],"([=])(.*?)([!])","$2")</f>
        <v>РГК</v>
      </c>
      <c r="F94" t="str">
        <f>CellReflist(NamedRanges[[#This Row],[RefersTo]])</f>
        <v>$I$4</v>
      </c>
      <c r="G94" s="149" t="str">
        <f>regex(NamedRanges[[#This Row],[CellReflist]],"(\$)(.*[A-Z])","$2")</f>
        <v>I</v>
      </c>
      <c r="H94" s="149" t="str">
        <f>regex(NamedRanges[[#This Row],[CellReflist]],"[0-9].*")</f>
        <v>4</v>
      </c>
      <c r="I94" s="149" t="b">
        <f>regex(NamedRanges[[#This Row],[CellReflist]],"(.+?)?(:)(.+)?","$1")</f>
        <v>0</v>
      </c>
      <c r="J94" s="149" t="b">
        <f>regex(NamedRanges[[#This Row],[CellReflist]],"(.+?)?(:)(.+)?","$3")</f>
        <v>0</v>
      </c>
    </row>
    <row r="95" spans="1:10">
      <c r="A95" t="s">
        <v>4719</v>
      </c>
      <c r="B95" s="474">
        <f>РГК!$I$12</f>
        <v>556620</v>
      </c>
      <c r="D95" t="str">
        <f>getFormula(NamedRanges[[#This Row],[RefersTo]])</f>
        <v>=РГК!$I$12</v>
      </c>
      <c r="E95" t="str">
        <f>regex(NamedRanges[[#This Row],[Формула]],"([=])(.*?)([!])","$2")</f>
        <v>РГК</v>
      </c>
      <c r="F95" t="str">
        <f>CellReflist(NamedRanges[[#This Row],[RefersTo]])</f>
        <v>$I$12</v>
      </c>
      <c r="G95" s="149" t="str">
        <f>regex(NamedRanges[[#This Row],[CellReflist]],"(\$)(.*[A-Z])","$2")</f>
        <v>I</v>
      </c>
      <c r="H95" s="149" t="str">
        <f>regex(NamedRanges[[#This Row],[CellReflist]],"[0-9].*")</f>
        <v>12</v>
      </c>
      <c r="I95" s="149" t="b">
        <f>regex(NamedRanges[[#This Row],[CellReflist]],"(.+?)?(:)(.+)?","$1")</f>
        <v>0</v>
      </c>
      <c r="J95" s="149" t="b">
        <f>regex(NamedRanges[[#This Row],[CellReflist]],"(.+?)?(:)(.+)?","$3")</f>
        <v>0</v>
      </c>
    </row>
    <row r="96" spans="1:10">
      <c r="A96" t="s">
        <v>4721</v>
      </c>
      <c r="B96" s="474" t="str">
        <f>РГК!$B$6</f>
        <v>РГК</v>
      </c>
      <c r="D96" t="str">
        <f>getFormula(NamedRanges[[#This Row],[RefersTo]])</f>
        <v>=РГК!$B$6</v>
      </c>
      <c r="E96" t="str">
        <f>regex(NamedRanges[[#This Row],[Формула]],"([=])(.*?)([!])","$2")</f>
        <v>РГК</v>
      </c>
      <c r="F96" t="str">
        <f>CellReflist(NamedRanges[[#This Row],[RefersTo]])</f>
        <v>$B$6</v>
      </c>
      <c r="G96" s="149" t="str">
        <f>regex(NamedRanges[[#This Row],[CellReflist]],"(\$)(.*[A-Z])","$2")</f>
        <v>B</v>
      </c>
      <c r="H96" s="149" t="str">
        <f>regex(NamedRanges[[#This Row],[CellReflist]],"[0-9].*")</f>
        <v>6</v>
      </c>
      <c r="I96" s="149" t="b">
        <f>regex(NamedRanges[[#This Row],[CellReflist]],"(.+?)?(:)(.+)?","$1")</f>
        <v>0</v>
      </c>
      <c r="J96" s="149" t="b">
        <f>regex(NamedRanges[[#This Row],[CellReflist]],"(.+?)?(:)(.+)?","$3")</f>
        <v>0</v>
      </c>
    </row>
    <row r="97" spans="1:10">
      <c r="A97" t="s">
        <v>4723</v>
      </c>
      <c r="B97" s="474" t="str">
        <f>РГК!$Z$2</f>
        <v>1\Віл\3_12_ДПО-18</v>
      </c>
      <c r="D97" t="str">
        <f>getFormula(NamedRanges[[#This Row],[RefersTo]])</f>
        <v>=РГК!$Z$2</v>
      </c>
      <c r="E97" t="str">
        <f>regex(NamedRanges[[#This Row],[Формула]],"([=])(.*?)([!])","$2")</f>
        <v>РГК</v>
      </c>
      <c r="F97" t="str">
        <f>CellReflist(NamedRanges[[#This Row],[RefersTo]])</f>
        <v>$Z$2</v>
      </c>
      <c r="G97" s="149" t="str">
        <f>regex(NamedRanges[[#This Row],[CellReflist]],"(\$)(.*[A-Z])","$2")</f>
        <v>Z</v>
      </c>
      <c r="H97" s="149" t="str">
        <f>regex(NamedRanges[[#This Row],[CellReflist]],"[0-9].*")</f>
        <v>2</v>
      </c>
      <c r="I97" s="149" t="b">
        <f>regex(NamedRanges[[#This Row],[CellReflist]],"(.+?)?(:)(.+)?","$1")</f>
        <v>0</v>
      </c>
      <c r="J97" s="149" t="b">
        <f>regex(NamedRanges[[#This Row],[CellReflist]],"(.+?)?(:)(.+)?","$3")</f>
        <v>0</v>
      </c>
    </row>
    <row r="98" spans="1:10">
      <c r="A98" t="s">
        <v>5378</v>
      </c>
      <c r="B98" s="474" t="str">
        <f>РГК!$B$12</f>
        <v>з густим</v>
      </c>
      <c r="D98" t="str">
        <f>getFormula(NamedRanges[[#This Row],[RefersTo]])</f>
        <v>=РГК!$B$12</v>
      </c>
      <c r="E98" t="str">
        <f>regex(NamedRanges[[#This Row],[Формула]],"([=])(.*?)([!])","$2")</f>
        <v>РГК</v>
      </c>
      <c r="F98" t="str">
        <f>CellReflist(NamedRanges[[#This Row],[RefersTo]])</f>
        <v>$B$12</v>
      </c>
      <c r="G98" s="149" t="str">
        <f>regex(NamedRanges[[#This Row],[CellReflist]],"(\$)(.*[A-Z])","$2")</f>
        <v>B</v>
      </c>
      <c r="H98" s="149" t="str">
        <f>regex(NamedRanges[[#This Row],[CellReflist]],"[0-9].*")</f>
        <v>12</v>
      </c>
      <c r="I98" s="149" t="b">
        <f>regex(NamedRanges[[#This Row],[CellReflist]],"(.+?)?(:)(.+)?","$1")</f>
        <v>0</v>
      </c>
      <c r="J98" s="149" t="b">
        <f>regex(NamedRanges[[#This Row],[CellReflist]],"(.+?)?(:)(.+)?","$3")</f>
        <v>0</v>
      </c>
    </row>
    <row r="99" spans="1:10">
      <c r="A99" t="s">
        <v>4725</v>
      </c>
      <c r="B99" s="474">
        <f>РГК!$B$5</f>
        <v>0.3</v>
      </c>
      <c r="D99" t="str">
        <f>getFormula(NamedRanges[[#This Row],[RefersTo]])</f>
        <v>=РГК!$B$5</v>
      </c>
      <c r="E99" t="str">
        <f>regex(NamedRanges[[#This Row],[Формула]],"([=])(.*?)([!])","$2")</f>
        <v>РГК</v>
      </c>
      <c r="F99" t="str">
        <f>CellReflist(NamedRanges[[#This Row],[RefersTo]])</f>
        <v>$B$5</v>
      </c>
      <c r="G99" s="149" t="str">
        <f>regex(NamedRanges[[#This Row],[CellReflist]],"(\$)(.*[A-Z])","$2")</f>
        <v>B</v>
      </c>
      <c r="H99" s="149" t="str">
        <f>regex(NamedRanges[[#This Row],[CellReflist]],"[0-9].*")</f>
        <v>5</v>
      </c>
      <c r="I99" s="149" t="b">
        <f>regex(NamedRanges[[#This Row],[CellReflist]],"(.+?)?(:)(.+)?","$1")</f>
        <v>0</v>
      </c>
      <c r="J99" s="149" t="b">
        <f>regex(NamedRanges[[#This Row],[CellReflist]],"(.+?)?(:)(.+)?","$3")</f>
        <v>0</v>
      </c>
    </row>
    <row r="100" spans="1:10">
      <c r="A100" t="s">
        <v>4727</v>
      </c>
      <c r="B100" s="474">
        <f>РГК!$I$1</f>
        <v>3</v>
      </c>
      <c r="D100" t="str">
        <f>getFormula(NamedRanges[[#This Row],[RefersTo]])</f>
        <v>=РГК!$I$1</v>
      </c>
      <c r="E100" t="str">
        <f>regex(NamedRanges[[#This Row],[Формула]],"([=])(.*?)([!])","$2")</f>
        <v>РГК</v>
      </c>
      <c r="F100" t="str">
        <f>CellReflist(NamedRanges[[#This Row],[RefersTo]])</f>
        <v>$I$1</v>
      </c>
      <c r="G100" s="149" t="str">
        <f>regex(NamedRanges[[#This Row],[CellReflist]],"(\$)(.*[A-Z])","$2")</f>
        <v>I</v>
      </c>
      <c r="H100" s="149" t="str">
        <f>regex(NamedRanges[[#This Row],[CellReflist]],"[0-9].*")</f>
        <v>1</v>
      </c>
      <c r="I100" s="149" t="b">
        <f>regex(NamedRanges[[#This Row],[CellReflist]],"(.+?)?(:)(.+)?","$1")</f>
        <v>0</v>
      </c>
      <c r="J100" s="149" t="b">
        <f>regex(NamedRanges[[#This Row],[CellReflist]],"(.+?)?(:)(.+)?","$3")</f>
        <v>0</v>
      </c>
    </row>
    <row r="101" spans="1:10">
      <c r="A101" t="s">
        <v>4729</v>
      </c>
      <c r="B101" s="474">
        <f>РГК!$I$10</f>
        <v>2</v>
      </c>
      <c r="D101" t="str">
        <f>getFormula(NamedRanges[[#This Row],[RefersTo]])</f>
        <v>=РГК!$I$10</v>
      </c>
      <c r="E101" t="str">
        <f>regex(NamedRanges[[#This Row],[Формула]],"([=])(.*?)([!])","$2")</f>
        <v>РГК</v>
      </c>
      <c r="F101" t="str">
        <f>CellReflist(NamedRanges[[#This Row],[RefersTo]])</f>
        <v>$I$10</v>
      </c>
      <c r="G101" s="149" t="str">
        <f>regex(NamedRanges[[#This Row],[CellReflist]],"(\$)(.*[A-Z])","$2")</f>
        <v>I</v>
      </c>
      <c r="H101" s="149" t="str">
        <f>regex(NamedRanges[[#This Row],[CellReflist]],"[0-9].*")</f>
        <v>10</v>
      </c>
      <c r="I101" s="149" t="b">
        <f>regex(NamedRanges[[#This Row],[CellReflist]],"(.+?)?(:)(.+)?","$1")</f>
        <v>0</v>
      </c>
      <c r="J101" s="149" t="b">
        <f>regex(NamedRanges[[#This Row],[CellReflist]],"(.+?)?(:)(.+)?","$3")</f>
        <v>0</v>
      </c>
    </row>
    <row r="102" spans="1:10">
      <c r="A102" t="s">
        <v>4731</v>
      </c>
      <c r="B102" s="474" t="str">
        <f>РГК!$Z$1</f>
        <v>РГК</v>
      </c>
      <c r="D102" t="str">
        <f>getFormula(NamedRanges[[#This Row],[RefersTo]])</f>
        <v>=РГК!$Z$1</v>
      </c>
      <c r="E102" t="str">
        <f>regex(NamedRanges[[#This Row],[Формула]],"([=])(.*?)([!])","$2")</f>
        <v>РГК</v>
      </c>
      <c r="F102" t="str">
        <f>CellReflist(NamedRanges[[#This Row],[RefersTo]])</f>
        <v>$Z$1</v>
      </c>
      <c r="G102" s="149" t="str">
        <f>regex(NamedRanges[[#This Row],[CellReflist]],"(\$)(.*[A-Z])","$2")</f>
        <v>Z</v>
      </c>
      <c r="H102" s="149" t="str">
        <f>regex(NamedRanges[[#This Row],[CellReflist]],"[0-9].*")</f>
        <v>1</v>
      </c>
      <c r="I102" s="149" t="b">
        <f>regex(NamedRanges[[#This Row],[CellReflist]],"(.+?)?(:)(.+)?","$1")</f>
        <v>0</v>
      </c>
      <c r="J102" s="149" t="b">
        <f>regex(NamedRanges[[#This Row],[CellReflist]],"(.+?)?(:)(.+)?","$3")</f>
        <v>0</v>
      </c>
    </row>
    <row r="103" spans="1:10">
      <c r="A103" t="s">
        <v>4733</v>
      </c>
      <c r="B103" s="474">
        <f>РГК!$B$11</f>
        <v>40</v>
      </c>
      <c r="D103" t="str">
        <f>getFormula(NamedRanges[[#This Row],[RefersTo]])</f>
        <v>=РГК!$B$11</v>
      </c>
      <c r="E103" t="str">
        <f>regex(NamedRanges[[#This Row],[Формула]],"([=])(.*?)([!])","$2")</f>
        <v>РГК</v>
      </c>
      <c r="F103" t="str">
        <f>CellReflist(NamedRanges[[#This Row],[RefersTo]])</f>
        <v>$B$11</v>
      </c>
      <c r="G103" s="149" t="str">
        <f>regex(NamedRanges[[#This Row],[CellReflist]],"(\$)(.*[A-Z])","$2")</f>
        <v>B</v>
      </c>
      <c r="H103" s="149" t="str">
        <f>regex(NamedRanges[[#This Row],[CellReflist]],"[0-9].*")</f>
        <v>11</v>
      </c>
      <c r="I103" s="149" t="b">
        <f>regex(NamedRanges[[#This Row],[CellReflist]],"(.+?)?(:)(.+)?","$1")</f>
        <v>0</v>
      </c>
      <c r="J103" s="149" t="b">
        <f>regex(NamedRanges[[#This Row],[CellReflist]],"(.+?)?(:)(.+)?","$3")</f>
        <v>0</v>
      </c>
    </row>
    <row r="104" spans="1:10">
      <c r="A104" t="s">
        <v>4735</v>
      </c>
      <c r="B104" s="474">
        <f ca="1">РГК!$O$75</f>
        <v>6927.7610000000004</v>
      </c>
      <c r="D104" t="str">
        <f>getFormula(NamedRanges[[#This Row],[RefersTo]])</f>
        <v>=РГК!$O$75</v>
      </c>
      <c r="E104" t="str">
        <f>regex(NamedRanges[[#This Row],[Формула]],"([=])(.*?)([!])","$2")</f>
        <v>РГК</v>
      </c>
      <c r="F104" t="str">
        <f>CellReflist(NamedRanges[[#This Row],[RefersTo]])</f>
        <v>$O$75</v>
      </c>
      <c r="G104" s="149" t="str">
        <f>regex(NamedRanges[[#This Row],[CellReflist]],"(\$)(.*[A-Z])","$2")</f>
        <v>O</v>
      </c>
      <c r="H104" s="149" t="str">
        <f>regex(NamedRanges[[#This Row],[CellReflist]],"[0-9].*")</f>
        <v>75</v>
      </c>
      <c r="I104" s="149" t="b">
        <f>regex(NamedRanges[[#This Row],[CellReflist]],"(.+?)?(:)(.+)?","$1")</f>
        <v>0</v>
      </c>
      <c r="J104" s="149" t="b">
        <f>regex(NamedRanges[[#This Row],[CellReflist]],"(.+?)?(:)(.+)?","$3")</f>
        <v>0</v>
      </c>
    </row>
    <row r="105" spans="1:10">
      <c r="A105" t="s">
        <v>5379</v>
      </c>
      <c r="B105" s="474" t="str">
        <f>РГК!$Z$3</f>
        <v>52 кв (7 вид) 0 діл. 556620 РГК</v>
      </c>
      <c r="D105" t="str">
        <f>getFormula(NamedRanges[[#This Row],[RefersTo]])</f>
        <v>=РГК!$Z$3</v>
      </c>
      <c r="E105" t="str">
        <f>regex(NamedRanges[[#This Row],[Формула]],"([=])(.*?)([!])","$2")</f>
        <v>РГК</v>
      </c>
      <c r="F105" t="str">
        <f>CellReflist(NamedRanges[[#This Row],[RefersTo]])</f>
        <v>$Z$3</v>
      </c>
      <c r="G105" s="149" t="str">
        <f>regex(NamedRanges[[#This Row],[CellReflist]],"(\$)(.*[A-Z])","$2")</f>
        <v>Z</v>
      </c>
      <c r="H105" s="149" t="str">
        <f>regex(NamedRanges[[#This Row],[CellReflist]],"[0-9].*")</f>
        <v>3</v>
      </c>
      <c r="I105" s="149" t="b">
        <f>regex(NamedRanges[[#This Row],[CellReflist]],"(.+?)?(:)(.+)?","$1")</f>
        <v>0</v>
      </c>
      <c r="J105" s="149" t="b">
        <f>regex(NamedRanges[[#This Row],[CellReflist]],"(.+?)?(:)(.+)?","$3")</f>
        <v>0</v>
      </c>
    </row>
    <row r="106" spans="1:10">
      <c r="A106" t="s">
        <v>4737</v>
      </c>
      <c r="B106" s="474">
        <f>РГК!$F$39</f>
        <v>0</v>
      </c>
      <c r="D106" t="str">
        <f>getFormula(NamedRanges[[#This Row],[RefersTo]])</f>
        <v>=РГК!$F$39</v>
      </c>
      <c r="E106" t="str">
        <f>regex(NamedRanges[[#This Row],[Формула]],"([=])(.*?)([!])","$2")</f>
        <v>РГК</v>
      </c>
      <c r="F106" t="str">
        <f>CellReflist(NamedRanges[[#This Row],[RefersTo]])</f>
        <v>$F$39</v>
      </c>
      <c r="G106" s="149" t="str">
        <f>regex(NamedRanges[[#This Row],[CellReflist]],"(\$)(.*[A-Z])","$2")</f>
        <v>F</v>
      </c>
      <c r="H106" s="149" t="str">
        <f>regex(NamedRanges[[#This Row],[CellReflist]],"[0-9].*")</f>
        <v>39</v>
      </c>
      <c r="I106" s="149" t="b">
        <f>regex(NamedRanges[[#This Row],[CellReflist]],"(.+?)?(:)(.+)?","$1")</f>
        <v>0</v>
      </c>
      <c r="J106" s="149" t="b">
        <f>regex(NamedRanges[[#This Row],[CellReflist]],"(.+?)?(:)(.+)?","$3")</f>
        <v>0</v>
      </c>
    </row>
    <row r="107" spans="1:10">
      <c r="A107" t="s">
        <v>4739</v>
      </c>
      <c r="B107" s="474">
        <f>РГК!$F$40</f>
        <v>0</v>
      </c>
      <c r="D107" t="str">
        <f>getFormula(NamedRanges[[#This Row],[RefersTo]])</f>
        <v>=РГК!$F$40</v>
      </c>
      <c r="E107" t="str">
        <f>regex(NamedRanges[[#This Row],[Формула]],"([=])(.*?)([!])","$2")</f>
        <v>РГК</v>
      </c>
      <c r="F107" t="str">
        <f>CellReflist(NamedRanges[[#This Row],[RefersTo]])</f>
        <v>$F$40</v>
      </c>
      <c r="G107" s="149" t="str">
        <f>regex(NamedRanges[[#This Row],[CellReflist]],"(\$)(.*[A-Z])","$2")</f>
        <v>F</v>
      </c>
      <c r="H107" s="149" t="str">
        <f>regex(NamedRanges[[#This Row],[CellReflist]],"[0-9].*")</f>
        <v>40</v>
      </c>
      <c r="I107" s="149" t="b">
        <f>regex(NamedRanges[[#This Row],[CellReflist]],"(.+?)?(:)(.+)?","$1")</f>
        <v>0</v>
      </c>
      <c r="J107" s="149" t="b">
        <f>regex(NamedRanges[[#This Row],[CellReflist]],"(.+?)?(:)(.+)?","$3")</f>
        <v>0</v>
      </c>
    </row>
    <row r="108" spans="1:10">
      <c r="A108" t="s">
        <v>4741</v>
      </c>
      <c r="B108" s="474">
        <f>РГК!$F$41</f>
        <v>36</v>
      </c>
      <c r="D108" t="str">
        <f>getFormula(NamedRanges[[#This Row],[RefersTo]])</f>
        <v>=РГК!$F$41</v>
      </c>
      <c r="E108" t="str">
        <f>regex(NamedRanges[[#This Row],[Формула]],"([=])(.*?)([!])","$2")</f>
        <v>РГК</v>
      </c>
      <c r="F108" t="str">
        <f>CellReflist(NamedRanges[[#This Row],[RefersTo]])</f>
        <v>$F$41</v>
      </c>
      <c r="G108" s="149" t="str">
        <f>regex(NamedRanges[[#This Row],[CellReflist]],"(\$)(.*[A-Z])","$2")</f>
        <v>F</v>
      </c>
      <c r="H108" s="149" t="str">
        <f>regex(NamedRanges[[#This Row],[CellReflist]],"[0-9].*")</f>
        <v>41</v>
      </c>
      <c r="I108" s="149" t="b">
        <f>regex(NamedRanges[[#This Row],[CellReflist]],"(.+?)?(:)(.+)?","$1")</f>
        <v>0</v>
      </c>
      <c r="J108" s="149" t="b">
        <f>regex(NamedRanges[[#This Row],[CellReflist]],"(.+?)?(:)(.+)?","$3")</f>
        <v>0</v>
      </c>
    </row>
    <row r="109" spans="1:10">
      <c r="A109" t="s">
        <v>4743</v>
      </c>
      <c r="B109" s="474">
        <f>РГК!$F$42</f>
        <v>0</v>
      </c>
      <c r="D109" t="str">
        <f>getFormula(NamedRanges[[#This Row],[RefersTo]])</f>
        <v>=РГК!$F$42</v>
      </c>
      <c r="E109" t="str">
        <f>regex(NamedRanges[[#This Row],[Формула]],"([=])(.*?)([!])","$2")</f>
        <v>РГК</v>
      </c>
      <c r="F109" t="str">
        <f>CellReflist(NamedRanges[[#This Row],[RefersTo]])</f>
        <v>$F$42</v>
      </c>
      <c r="G109" s="149" t="str">
        <f>regex(NamedRanges[[#This Row],[CellReflist]],"(\$)(.*[A-Z])","$2")</f>
        <v>F</v>
      </c>
      <c r="H109" s="149" t="str">
        <f>regex(NamedRanges[[#This Row],[CellReflist]],"[0-9].*")</f>
        <v>42</v>
      </c>
      <c r="I109" s="149" t="b">
        <f>regex(NamedRanges[[#This Row],[CellReflist]],"(.+?)?(:)(.+)?","$1")</f>
        <v>0</v>
      </c>
      <c r="J109" s="149" t="b">
        <f>regex(NamedRanges[[#This Row],[CellReflist]],"(.+?)?(:)(.+)?","$3")</f>
        <v>0</v>
      </c>
    </row>
    <row r="110" spans="1:10">
      <c r="A110" t="s">
        <v>4745</v>
      </c>
      <c r="B110" s="474">
        <f>РГК!$F$43</f>
        <v>0</v>
      </c>
      <c r="D110" t="str">
        <f>getFormula(NamedRanges[[#This Row],[RefersTo]])</f>
        <v>=РГК!$F$43</v>
      </c>
      <c r="E110" t="str">
        <f>regex(NamedRanges[[#This Row],[Формула]],"([=])(.*?)([!])","$2")</f>
        <v>РГК</v>
      </c>
      <c r="F110" t="str">
        <f>CellReflist(NamedRanges[[#This Row],[RefersTo]])</f>
        <v>$F$43</v>
      </c>
      <c r="G110" s="149" t="str">
        <f>regex(NamedRanges[[#This Row],[CellReflist]],"(\$)(.*[A-Z])","$2")</f>
        <v>F</v>
      </c>
      <c r="H110" s="149" t="str">
        <f>regex(NamedRanges[[#This Row],[CellReflist]],"[0-9].*")</f>
        <v>43</v>
      </c>
      <c r="I110" s="149" t="b">
        <f>regex(NamedRanges[[#This Row],[CellReflist]],"(.+?)?(:)(.+)?","$1")</f>
        <v>0</v>
      </c>
      <c r="J110" s="149" t="b">
        <f>regex(NamedRanges[[#This Row],[CellReflist]],"(.+?)?(:)(.+)?","$3")</f>
        <v>0</v>
      </c>
    </row>
    <row r="111" spans="1:10">
      <c r="A111" t="s">
        <v>4747</v>
      </c>
      <c r="B111" s="474">
        <f>РГК!$F$44</f>
        <v>0</v>
      </c>
      <c r="D111" t="str">
        <f>getFormula(NamedRanges[[#This Row],[RefersTo]])</f>
        <v>=РГК!$F$44</v>
      </c>
      <c r="E111" t="str">
        <f>regex(NamedRanges[[#This Row],[Формула]],"([=])(.*?)([!])","$2")</f>
        <v>РГК</v>
      </c>
      <c r="F111" t="str">
        <f>CellReflist(NamedRanges[[#This Row],[RefersTo]])</f>
        <v>$F$44</v>
      </c>
      <c r="G111" s="149" t="str">
        <f>regex(NamedRanges[[#This Row],[CellReflist]],"(\$)(.*[A-Z])","$2")</f>
        <v>F</v>
      </c>
      <c r="H111" s="149" t="str">
        <f>regex(NamedRanges[[#This Row],[CellReflist]],"[0-9].*")</f>
        <v>44</v>
      </c>
      <c r="I111" s="149" t="b">
        <f>regex(NamedRanges[[#This Row],[CellReflist]],"(.+?)?(:)(.+)?","$1")</f>
        <v>0</v>
      </c>
      <c r="J111" s="149" t="b">
        <f>regex(NamedRanges[[#This Row],[CellReflist]],"(.+?)?(:)(.+)?","$3")</f>
        <v>0</v>
      </c>
    </row>
    <row r="112" spans="1:10">
      <c r="A112" t="s">
        <v>4749</v>
      </c>
      <c r="B112" s="474">
        <f>РГК!$F$45</f>
        <v>1</v>
      </c>
      <c r="D112" t="str">
        <f>getFormula(NamedRanges[[#This Row],[RefersTo]])</f>
        <v>=РГК!$F$45</v>
      </c>
      <c r="E112" t="str">
        <f>regex(NamedRanges[[#This Row],[Формула]],"([=])(.*?)([!])","$2")</f>
        <v>РГК</v>
      </c>
      <c r="F112" t="str">
        <f>CellReflist(NamedRanges[[#This Row],[RefersTo]])</f>
        <v>$F$45</v>
      </c>
      <c r="G112" s="149" t="str">
        <f>regex(NamedRanges[[#This Row],[CellReflist]],"(\$)(.*[A-Z])","$2")</f>
        <v>F</v>
      </c>
      <c r="H112" s="149" t="str">
        <f>regex(NamedRanges[[#This Row],[CellReflist]],"[0-9].*")</f>
        <v>45</v>
      </c>
      <c r="I112" s="149" t="b">
        <f>regex(NamedRanges[[#This Row],[CellReflist]],"(.+?)?(:)(.+)?","$1")</f>
        <v>0</v>
      </c>
      <c r="J112" s="149" t="b">
        <f>regex(NamedRanges[[#This Row],[CellReflist]],"(.+?)?(:)(.+)?","$3")</f>
        <v>0</v>
      </c>
    </row>
    <row r="113" spans="1:10">
      <c r="A113" t="s">
        <v>4751</v>
      </c>
      <c r="B113" s="474">
        <f>РГК!$F$46</f>
        <v>1</v>
      </c>
      <c r="D113" t="str">
        <f>getFormula(NamedRanges[[#This Row],[RefersTo]])</f>
        <v>=РГК!$F$46</v>
      </c>
      <c r="E113" t="str">
        <f>regex(NamedRanges[[#This Row],[Формула]],"([=])(.*?)([!])","$2")</f>
        <v>РГК</v>
      </c>
      <c r="F113" t="str">
        <f>CellReflist(NamedRanges[[#This Row],[RefersTo]])</f>
        <v>$F$46</v>
      </c>
      <c r="G113" s="149" t="str">
        <f>regex(NamedRanges[[#This Row],[CellReflist]],"(\$)(.*[A-Z])","$2")</f>
        <v>F</v>
      </c>
      <c r="H113" s="149" t="str">
        <f>regex(NamedRanges[[#This Row],[CellReflist]],"[0-9].*")</f>
        <v>46</v>
      </c>
      <c r="I113" s="149" t="b">
        <f>regex(NamedRanges[[#This Row],[CellReflist]],"(.+?)?(:)(.+)?","$1")</f>
        <v>0</v>
      </c>
      <c r="J113" s="149" t="b">
        <f>regex(NamedRanges[[#This Row],[CellReflist]],"(.+?)?(:)(.+)?","$3")</f>
        <v>0</v>
      </c>
    </row>
    <row r="114" spans="1:10">
      <c r="A114" t="s">
        <v>4753</v>
      </c>
      <c r="B114" s="474">
        <f>РГК!$F$47</f>
        <v>26</v>
      </c>
      <c r="D114" t="str">
        <f>getFormula(NamedRanges[[#This Row],[RefersTo]])</f>
        <v>=РГК!$F$47</v>
      </c>
      <c r="E114" t="str">
        <f>regex(NamedRanges[[#This Row],[Формула]],"([=])(.*?)([!])","$2")</f>
        <v>РГК</v>
      </c>
      <c r="F114" t="str">
        <f>CellReflist(NamedRanges[[#This Row],[RefersTo]])</f>
        <v>$F$47</v>
      </c>
      <c r="G114" s="149" t="str">
        <f>regex(NamedRanges[[#This Row],[CellReflist]],"(\$)(.*[A-Z])","$2")</f>
        <v>F</v>
      </c>
      <c r="H114" s="149" t="str">
        <f>regex(NamedRanges[[#This Row],[CellReflist]],"[0-9].*")</f>
        <v>47</v>
      </c>
      <c r="I114" s="149" t="b">
        <f>regex(NamedRanges[[#This Row],[CellReflist]],"(.+?)?(:)(.+)?","$1")</f>
        <v>0</v>
      </c>
      <c r="J114" s="149" t="b">
        <f>regex(NamedRanges[[#This Row],[CellReflist]],"(.+?)?(:)(.+)?","$3")</f>
        <v>0</v>
      </c>
    </row>
    <row r="115" spans="1:10">
      <c r="A115" t="s">
        <v>4755</v>
      </c>
      <c r="B115" s="474">
        <f>РГК!$F$48</f>
        <v>0</v>
      </c>
      <c r="D115" t="str">
        <f>getFormula(NamedRanges[[#This Row],[RefersTo]])</f>
        <v>=РГК!$F$48</v>
      </c>
      <c r="E115" t="str">
        <f>regex(NamedRanges[[#This Row],[Формула]],"([=])(.*?)([!])","$2")</f>
        <v>РГК</v>
      </c>
      <c r="F115" t="str">
        <f>CellReflist(NamedRanges[[#This Row],[RefersTo]])</f>
        <v>$F$48</v>
      </c>
      <c r="G115" s="149" t="str">
        <f>regex(NamedRanges[[#This Row],[CellReflist]],"(\$)(.*[A-Z])","$2")</f>
        <v>F</v>
      </c>
      <c r="H115" s="149" t="str">
        <f>regex(NamedRanges[[#This Row],[CellReflist]],"[0-9].*")</f>
        <v>48</v>
      </c>
      <c r="I115" s="149" t="b">
        <f>regex(NamedRanges[[#This Row],[CellReflist]],"(.+?)?(:)(.+)?","$1")</f>
        <v>0</v>
      </c>
      <c r="J115" s="149" t="b">
        <f>regex(NamedRanges[[#This Row],[CellReflist]],"(.+?)?(:)(.+)?","$3")</f>
        <v>0</v>
      </c>
    </row>
    <row r="116" spans="1:10">
      <c r="A116" t="s">
        <v>4757</v>
      </c>
      <c r="B116" s="474">
        <f>РГК!$F$49</f>
        <v>1</v>
      </c>
      <c r="D116" t="str">
        <f>getFormula(NamedRanges[[#This Row],[RefersTo]])</f>
        <v>=РГК!$F$49</v>
      </c>
      <c r="E116" t="str">
        <f>regex(NamedRanges[[#This Row],[Формула]],"([=])(.*?)([!])","$2")</f>
        <v>РГК</v>
      </c>
      <c r="F116" t="str">
        <f>CellReflist(NamedRanges[[#This Row],[RefersTo]])</f>
        <v>$F$49</v>
      </c>
      <c r="G116" s="149" t="str">
        <f>regex(NamedRanges[[#This Row],[CellReflist]],"(\$)(.*[A-Z])","$2")</f>
        <v>F</v>
      </c>
      <c r="H116" s="149" t="str">
        <f>regex(NamedRanges[[#This Row],[CellReflist]],"[0-9].*")</f>
        <v>49</v>
      </c>
      <c r="I116" s="149" t="b">
        <f>regex(NamedRanges[[#This Row],[CellReflist]],"(.+?)?(:)(.+)?","$1")</f>
        <v>0</v>
      </c>
      <c r="J116" s="149" t="b">
        <f>regex(NamedRanges[[#This Row],[CellReflist]],"(.+?)?(:)(.+)?","$3")</f>
        <v>0</v>
      </c>
    </row>
    <row r="117" spans="1:10">
      <c r="A117" t="s">
        <v>4759</v>
      </c>
      <c r="B117" s="474">
        <f>РГК!$F$50</f>
        <v>18</v>
      </c>
      <c r="D117" t="str">
        <f>getFormula(NamedRanges[[#This Row],[RefersTo]])</f>
        <v>=РГК!$F$50</v>
      </c>
      <c r="E117" t="str">
        <f>regex(NamedRanges[[#This Row],[Формула]],"([=])(.*?)([!])","$2")</f>
        <v>РГК</v>
      </c>
      <c r="F117" t="str">
        <f>CellReflist(NamedRanges[[#This Row],[RefersTo]])</f>
        <v>$F$50</v>
      </c>
      <c r="G117" s="149" t="str">
        <f>regex(NamedRanges[[#This Row],[CellReflist]],"(\$)(.*[A-Z])","$2")</f>
        <v>F</v>
      </c>
      <c r="H117" s="149" t="str">
        <f>regex(NamedRanges[[#This Row],[CellReflist]],"[0-9].*")</f>
        <v>50</v>
      </c>
      <c r="I117" s="149" t="b">
        <f>regex(NamedRanges[[#This Row],[CellReflist]],"(.+?)?(:)(.+)?","$1")</f>
        <v>0</v>
      </c>
      <c r="J117" s="149" t="b">
        <f>regex(NamedRanges[[#This Row],[CellReflist]],"(.+?)?(:)(.+)?","$3")</f>
        <v>0</v>
      </c>
    </row>
    <row r="118" spans="1:10">
      <c r="A118" t="s">
        <v>5380</v>
      </c>
      <c r="B118" s="474">
        <f>РГК!$F$60</f>
        <v>0</v>
      </c>
      <c r="D118" t="str">
        <f>getFormula(NamedRanges[[#This Row],[RefersTo]])</f>
        <v>=РГК!$F$60</v>
      </c>
      <c r="E118" t="str">
        <f>regex(NamedRanges[[#This Row],[Формула]],"([=])(.*?)([!])","$2")</f>
        <v>РГК</v>
      </c>
      <c r="F118" t="str">
        <f>CellReflist(NamedRanges[[#This Row],[RefersTo]])</f>
        <v>$F$60</v>
      </c>
      <c r="G118" s="149" t="str">
        <f>regex(NamedRanges[[#This Row],[CellReflist]],"(\$)(.*[A-Z])","$2")</f>
        <v>F</v>
      </c>
      <c r="H118" s="149" t="str">
        <f>regex(NamedRanges[[#This Row],[CellReflist]],"[0-9].*")</f>
        <v>60</v>
      </c>
      <c r="I118" s="149" t="b">
        <f>regex(NamedRanges[[#This Row],[CellReflist]],"(.+?)?(:)(.+)?","$1")</f>
        <v>0</v>
      </c>
      <c r="J118" s="149" t="b">
        <f>regex(NamedRanges[[#This Row],[CellReflist]],"(.+?)?(:)(.+)?","$3")</f>
        <v>0</v>
      </c>
    </row>
    <row r="119" spans="1:10">
      <c r="A119" t="s">
        <v>5381</v>
      </c>
      <c r="B119" s="474">
        <f>РГК!$F$61</f>
        <v>0</v>
      </c>
      <c r="D119" t="str">
        <f>getFormula(NamedRanges[[#This Row],[RefersTo]])</f>
        <v>=РГК!$F$61</v>
      </c>
      <c r="E119" t="str">
        <f>regex(NamedRanges[[#This Row],[Формула]],"([=])(.*?)([!])","$2")</f>
        <v>РГК</v>
      </c>
      <c r="F119" t="str">
        <f>CellReflist(NamedRanges[[#This Row],[RefersTo]])</f>
        <v>$F$61</v>
      </c>
      <c r="G119" s="149" t="str">
        <f>regex(NamedRanges[[#This Row],[CellReflist]],"(\$)(.*[A-Z])","$2")</f>
        <v>F</v>
      </c>
      <c r="H119" s="149" t="str">
        <f>regex(NamedRanges[[#This Row],[CellReflist]],"[0-9].*")</f>
        <v>61</v>
      </c>
      <c r="I119" s="149" t="b">
        <f>regex(NamedRanges[[#This Row],[CellReflist]],"(.+?)?(:)(.+)?","$1")</f>
        <v>0</v>
      </c>
      <c r="J119" s="149" t="b">
        <f>regex(NamedRanges[[#This Row],[CellReflist]],"(.+?)?(:)(.+)?","$3")</f>
        <v>0</v>
      </c>
    </row>
    <row r="120" spans="1:10">
      <c r="A120" t="s">
        <v>5382</v>
      </c>
      <c r="B120" s="474">
        <f>РГК!$F$62</f>
        <v>8</v>
      </c>
      <c r="D120" t="str">
        <f>getFormula(NamedRanges[[#This Row],[RefersTo]])</f>
        <v>=РГК!$F$62</v>
      </c>
      <c r="E120" t="str">
        <f>regex(NamedRanges[[#This Row],[Формула]],"([=])(.*?)([!])","$2")</f>
        <v>РГК</v>
      </c>
      <c r="F120" t="str">
        <f>CellReflist(NamedRanges[[#This Row],[RefersTo]])</f>
        <v>$F$62</v>
      </c>
      <c r="G120" s="149" t="str">
        <f>regex(NamedRanges[[#This Row],[CellReflist]],"(\$)(.*[A-Z])","$2")</f>
        <v>F</v>
      </c>
      <c r="H120" s="149" t="str">
        <f>regex(NamedRanges[[#This Row],[CellReflist]],"[0-9].*")</f>
        <v>62</v>
      </c>
      <c r="I120" s="149" t="b">
        <f>regex(NamedRanges[[#This Row],[CellReflist]],"(.+?)?(:)(.+)?","$1")</f>
        <v>0</v>
      </c>
      <c r="J120" s="149" t="b">
        <f>regex(NamedRanges[[#This Row],[CellReflist]],"(.+?)?(:)(.+)?","$3")</f>
        <v>0</v>
      </c>
    </row>
    <row r="121" spans="1:10">
      <c r="A121" t="s">
        <v>4761</v>
      </c>
      <c r="B121" s="474" t="str">
        <f>РГК!$O$1</f>
        <v>ДПО-18</v>
      </c>
      <c r="D121" t="str">
        <f>getFormula(NamedRanges[[#This Row],[RefersTo]])</f>
        <v>=РГК!$O$1</v>
      </c>
      <c r="E121" t="str">
        <f>regex(NamedRanges[[#This Row],[Формула]],"([=])(.*?)([!])","$2")</f>
        <v>РГК</v>
      </c>
      <c r="F121" t="str">
        <f>CellReflist(NamedRanges[[#This Row],[RefersTo]])</f>
        <v>$O$1</v>
      </c>
      <c r="G121" s="149" t="str">
        <f>regex(NamedRanges[[#This Row],[CellReflist]],"(\$)(.*[A-Z])","$2")</f>
        <v>O</v>
      </c>
      <c r="H121" s="149" t="str">
        <f>regex(NamedRanges[[#This Row],[CellReflist]],"[0-9].*")</f>
        <v>1</v>
      </c>
      <c r="I121" s="149" t="b">
        <f>regex(NamedRanges[[#This Row],[CellReflist]],"(.+?)?(:)(.+)?","$1")</f>
        <v>0</v>
      </c>
      <c r="J121" s="149" t="b">
        <f>regex(NamedRanges[[#This Row],[CellReflist]],"(.+?)?(:)(.+)?","$3")</f>
        <v>0</v>
      </c>
    </row>
    <row r="122" spans="1:10">
      <c r="A122" t="s">
        <v>4763</v>
      </c>
      <c r="B122" s="474" t="str">
        <f>РГК!$B$7</f>
        <v>Важкі</v>
      </c>
      <c r="D122" t="str">
        <f>getFormula(NamedRanges[[#This Row],[RefersTo]])</f>
        <v>=РГК!$B$7</v>
      </c>
      <c r="E122" t="str">
        <f>regex(NamedRanges[[#This Row],[Формула]],"([=])(.*?)([!])","$2")</f>
        <v>РГК</v>
      </c>
      <c r="F122" t="str">
        <f>CellReflist(NamedRanges[[#This Row],[RefersTo]])</f>
        <v>$B$7</v>
      </c>
      <c r="G122" s="149" t="str">
        <f>regex(NamedRanges[[#This Row],[CellReflist]],"(\$)(.*[A-Z])","$2")</f>
        <v>B</v>
      </c>
      <c r="H122" s="149" t="str">
        <f>regex(NamedRanges[[#This Row],[CellReflist]],"[0-9].*")</f>
        <v>7</v>
      </c>
      <c r="I122" s="149" t="b">
        <f>regex(NamedRanges[[#This Row],[CellReflist]],"(.+?)?(:)(.+)?","$1")</f>
        <v>0</v>
      </c>
      <c r="J122" s="149" t="b">
        <f>regex(NamedRanges[[#This Row],[CellReflist]],"(.+?)?(:)(.+)?","$3")</f>
        <v>0</v>
      </c>
    </row>
    <row r="123" spans="1:10">
      <c r="A123" t="s">
        <v>4765</v>
      </c>
      <c r="B123" s="474" t="str">
        <f>РГК!$B$4</f>
        <v>7_0</v>
      </c>
      <c r="D123" t="str">
        <f>getFormula(NamedRanges[[#This Row],[RefersTo]])</f>
        <v>=РГК!$B$4</v>
      </c>
      <c r="E123" t="str">
        <f>regex(NamedRanges[[#This Row],[Формула]],"([=])(.*?)([!])","$2")</f>
        <v>РГК</v>
      </c>
      <c r="F123" t="str">
        <f>CellReflist(NamedRanges[[#This Row],[RefersTo]])</f>
        <v>$B$4</v>
      </c>
      <c r="G123" s="149" t="str">
        <f>regex(NamedRanges[[#This Row],[CellReflist]],"(\$)(.*[A-Z])","$2")</f>
        <v>B</v>
      </c>
      <c r="H123" s="149" t="str">
        <f>regex(NamedRanges[[#This Row],[CellReflist]],"[0-9].*")</f>
        <v>4</v>
      </c>
      <c r="I123" s="149" t="b">
        <f>regex(NamedRanges[[#This Row],[CellReflist]],"(.+?)?(:)(.+)?","$1")</f>
        <v>0</v>
      </c>
      <c r="J123" s="149" t="b">
        <f>regex(NamedRanges[[#This Row],[CellReflist]],"(.+?)?(:)(.+)?","$3")</f>
        <v>0</v>
      </c>
    </row>
    <row r="124" spans="1:10">
      <c r="A124" t="s">
        <v>4767</v>
      </c>
      <c r="B124" s="474" t="str">
        <f>РГК!$P$11</f>
        <v>Поліщук П.В.</v>
      </c>
      <c r="D124" t="str">
        <f>getFormula(NamedRanges[[#This Row],[RefersTo]])</f>
        <v>=РГК!$P$11</v>
      </c>
      <c r="E124" t="str">
        <f>regex(NamedRanges[[#This Row],[Формула]],"([=])(.*?)([!])","$2")</f>
        <v>РГК</v>
      </c>
      <c r="F124" t="str">
        <f>CellReflist(NamedRanges[[#This Row],[RefersTo]])</f>
        <v>$P$11</v>
      </c>
      <c r="G124" s="149" t="str">
        <f>regex(NamedRanges[[#This Row],[CellReflist]],"(\$)(.*[A-Z])","$2")</f>
        <v>P</v>
      </c>
      <c r="H124" s="149" t="str">
        <f>regex(NamedRanges[[#This Row],[CellReflist]],"[0-9].*")</f>
        <v>11</v>
      </c>
      <c r="I124" s="149" t="b">
        <f>regex(NamedRanges[[#This Row],[CellReflist]],"(.+?)?(:)(.+)?","$1")</f>
        <v>0</v>
      </c>
      <c r="J124" s="149" t="b">
        <f>regex(NamedRanges[[#This Row],[CellReflist]],"(.+?)?(:)(.+)?","$3")</f>
        <v>0</v>
      </c>
    </row>
    <row r="125" spans="1:10">
      <c r="A125" t="s">
        <v>5383</v>
      </c>
      <c r="B125" s="474">
        <f ca="1">РГК!$F$69</f>
        <v>83.466999999999999</v>
      </c>
      <c r="D125" t="str">
        <f>getFormula(NamedRanges[[#This Row],[RefersTo]])</f>
        <v>=РГК!$F$69</v>
      </c>
      <c r="E125" t="str">
        <f>regex(NamedRanges[[#This Row],[Формула]],"([=])(.*?)([!])","$2")</f>
        <v>РГК</v>
      </c>
      <c r="F125" t="str">
        <f>CellReflist(NamedRanges[[#This Row],[RefersTo]])</f>
        <v>$F$69</v>
      </c>
      <c r="G125" s="149" t="str">
        <f>regex(NamedRanges[[#This Row],[CellReflist]],"(\$)(.*[A-Z])","$2")</f>
        <v>F</v>
      </c>
      <c r="H125" s="149" t="str">
        <f>regex(NamedRanges[[#This Row],[CellReflist]],"[0-9].*")</f>
        <v>69</v>
      </c>
      <c r="I125" s="149" t="b">
        <f>regex(NamedRanges[[#This Row],[CellReflist]],"(.+?)?(:)(.+)?","$1")</f>
        <v>0</v>
      </c>
      <c r="J125" s="149" t="b">
        <f>regex(NamedRanges[[#This Row],[CellReflist]],"(.+?)?(:)(.+)?","$3")</f>
        <v>0</v>
      </c>
    </row>
    <row r="126" spans="1:10">
      <c r="A126" t="s">
        <v>5384</v>
      </c>
      <c r="B126" s="474">
        <f ca="1">РГК!$F$71</f>
        <v>43.048000000000002</v>
      </c>
      <c r="D126" t="str">
        <f>getFormula(NamedRanges[[#This Row],[RefersTo]])</f>
        <v>=РГК!$F$71</v>
      </c>
      <c r="E126" t="str">
        <f>regex(NamedRanges[[#This Row],[Формула]],"([=])(.*?)([!])","$2")</f>
        <v>РГК</v>
      </c>
      <c r="F126" t="str">
        <f>CellReflist(NamedRanges[[#This Row],[RefersTo]])</f>
        <v>$F$71</v>
      </c>
      <c r="G126" s="149" t="str">
        <f>regex(NamedRanges[[#This Row],[CellReflist]],"(\$)(.*[A-Z])","$2")</f>
        <v>F</v>
      </c>
      <c r="H126" s="149" t="str">
        <f>regex(NamedRanges[[#This Row],[CellReflist]],"[0-9].*")</f>
        <v>71</v>
      </c>
      <c r="I126" s="149" t="b">
        <f>regex(NamedRanges[[#This Row],[CellReflist]],"(.+?)?(:)(.+)?","$1")</f>
        <v>0</v>
      </c>
      <c r="J126" s="149" t="b">
        <f>regex(NamedRanges[[#This Row],[CellReflist]],"(.+?)?(:)(.+)?","$3")</f>
        <v>0</v>
      </c>
    </row>
    <row r="127" spans="1:10">
      <c r="A127" t="s">
        <v>4769</v>
      </c>
      <c r="B127" s="474">
        <f>РГК!$B$10</f>
        <v>5</v>
      </c>
      <c r="D127" t="str">
        <f>getFormula(NamedRanges[[#This Row],[RefersTo]])</f>
        <v>=РГК!$B$10</v>
      </c>
      <c r="E127" t="str">
        <f>regex(NamedRanges[[#This Row],[Формула]],"([=])(.*?)([!])","$2")</f>
        <v>РГК</v>
      </c>
      <c r="F127" t="str">
        <f>CellReflist(NamedRanges[[#This Row],[RefersTo]])</f>
        <v>$B$10</v>
      </c>
      <c r="G127" s="149" t="str">
        <f>regex(NamedRanges[[#This Row],[CellReflist]],"(\$)(.*[A-Z])","$2")</f>
        <v>B</v>
      </c>
      <c r="H127" s="149" t="str">
        <f>regex(NamedRanges[[#This Row],[CellReflist]],"[0-9].*")</f>
        <v>10</v>
      </c>
      <c r="I127" s="149" t="b">
        <f>regex(NamedRanges[[#This Row],[CellReflist]],"(.+?)?(:)(.+)?","$1")</f>
        <v>0</v>
      </c>
      <c r="J127" s="149" t="b">
        <f>regex(NamedRanges[[#This Row],[CellReflist]],"(.+?)?(:)(.+)?","$3")</f>
        <v>0</v>
      </c>
    </row>
    <row r="128" spans="1:10">
      <c r="A128" t="s">
        <v>4771</v>
      </c>
      <c r="B128" s="474" t="str">
        <f>РГК!$B$9</f>
        <v>Морозова</v>
      </c>
      <c r="D128" t="str">
        <f>getFormula(NamedRanges[[#This Row],[RefersTo]])</f>
        <v>=РГК!$B$9</v>
      </c>
      <c r="E128" t="str">
        <f>regex(NamedRanges[[#This Row],[Формула]],"([=])(.*?)([!])","$2")</f>
        <v>РГК</v>
      </c>
      <c r="F128" t="str">
        <f>CellReflist(NamedRanges[[#This Row],[RefersTo]])</f>
        <v>$B$9</v>
      </c>
      <c r="G128" s="149" t="str">
        <f>regex(NamedRanges[[#This Row],[CellReflist]],"(\$)(.*[A-Z])","$2")</f>
        <v>B</v>
      </c>
      <c r="H128" s="149" t="str">
        <f>regex(NamedRanges[[#This Row],[CellReflist]],"[0-9].*")</f>
        <v>9</v>
      </c>
      <c r="I128" s="149" t="b">
        <f>regex(NamedRanges[[#This Row],[CellReflist]],"(.+?)?(:)(.+)?","$1")</f>
        <v>0</v>
      </c>
      <c r="J128" s="149" t="b">
        <f>regex(NamedRanges[[#This Row],[CellReflist]],"(.+?)?(:)(.+)?","$3")</f>
        <v>0</v>
      </c>
    </row>
    <row r="129" spans="1:10">
      <c r="A129" t="s">
        <v>4773</v>
      </c>
      <c r="B129" s="474" t="str">
        <f>РГК!$P$13</f>
        <v>слабка</v>
      </c>
      <c r="D129" t="str">
        <f>getFormula(NamedRanges[[#This Row],[RefersTo]])</f>
        <v>=РГК!$P$13</v>
      </c>
      <c r="E129" t="str">
        <f>regex(NamedRanges[[#This Row],[Формула]],"([=])(.*?)([!])","$2")</f>
        <v>РГК</v>
      </c>
      <c r="F129" t="str">
        <f>CellReflist(NamedRanges[[#This Row],[RefersTo]])</f>
        <v>$P$13</v>
      </c>
      <c r="G129" s="149" t="str">
        <f>regex(NamedRanges[[#This Row],[CellReflist]],"(\$)(.*[A-Z])","$2")</f>
        <v>P</v>
      </c>
      <c r="H129" s="149" t="str">
        <f>regex(NamedRanges[[#This Row],[CellReflist]],"[0-9].*")</f>
        <v>13</v>
      </c>
      <c r="I129" s="149" t="b">
        <f>regex(NamedRanges[[#This Row],[CellReflist]],"(.+?)?(:)(.+)?","$1")</f>
        <v>0</v>
      </c>
      <c r="J129" s="149" t="b">
        <f>regex(NamedRanges[[#This Row],[CellReflist]],"(.+?)?(:)(.+)?","$3")</f>
        <v>0</v>
      </c>
    </row>
    <row r="130" spans="1:10">
      <c r="A130" t="s">
        <v>4775</v>
      </c>
      <c r="B130" s="474">
        <f>РГК!$I$3</f>
        <v>1280</v>
      </c>
      <c r="D130" t="str">
        <f>getFormula(NamedRanges[[#This Row],[RefersTo]])</f>
        <v>=РГК!$I$3</v>
      </c>
      <c r="E130" t="str">
        <f>regex(NamedRanges[[#This Row],[Формула]],"([=])(.*?)([!])","$2")</f>
        <v>РГК</v>
      </c>
      <c r="F130" t="str">
        <f>CellReflist(NamedRanges[[#This Row],[RefersTo]])</f>
        <v>$I$3</v>
      </c>
      <c r="G130" s="149" t="str">
        <f>regex(NamedRanges[[#This Row],[CellReflist]],"(\$)(.*[A-Z])","$2")</f>
        <v>I</v>
      </c>
      <c r="H130" s="149" t="str">
        <f>regex(NamedRanges[[#This Row],[CellReflist]],"[0-9].*")</f>
        <v>3</v>
      </c>
      <c r="I130" s="149" t="b">
        <f>regex(NamedRanges[[#This Row],[CellReflist]],"(.+?)?(:)(.+)?","$1")</f>
        <v>0</v>
      </c>
      <c r="J130" s="149" t="b">
        <f>regex(NamedRanges[[#This Row],[CellReflist]],"(.+?)?(:)(.+)?","$3")</f>
        <v>0</v>
      </c>
    </row>
    <row r="131" spans="1:10">
      <c r="A131" t="s">
        <v>5385</v>
      </c>
      <c r="B131" s="474">
        <f>gT_11+gT_21+gT_31+gT_41</f>
        <v>1</v>
      </c>
      <c r="D131" t="str">
        <f>getFormula(NamedRanges[[#This Row],[RefersTo]])</f>
        <v>=gT_11+gT_21+gT_31+gT_41</v>
      </c>
      <c r="E131" t="b">
        <f>regex(NamedRanges[[#This Row],[Формула]],"([=])(.*?)([!])","$2")</f>
        <v>0</v>
      </c>
      <c r="F131">
        <f>CellReflist(NamedRanges[[#This Row],[RefersTo]])</f>
        <v>0</v>
      </c>
      <c r="G131" s="149" t="b">
        <f>regex(NamedRanges[[#This Row],[CellReflist]],"(\$)(.*[A-Z])","$2")</f>
        <v>0</v>
      </c>
      <c r="H131" s="149" t="str">
        <f>regex(NamedRanges[[#This Row],[CellReflist]],"[0-9].*")</f>
        <v>0</v>
      </c>
      <c r="I131" s="149" t="b">
        <f>regex(NamedRanges[[#This Row],[CellReflist]],"(.+?)?(:)(.+)?","$1")</f>
        <v>0</v>
      </c>
      <c r="J131" s="149" t="b">
        <f>regex(NamedRanges[[#This Row],[CellReflist]],"(.+?)?(:)(.+)?","$3")</f>
        <v>0</v>
      </c>
    </row>
    <row r="132" spans="1:10">
      <c r="A132" t="s">
        <v>5386</v>
      </c>
      <c r="B132" s="474">
        <f>gT_21+gT_22+gT_23</f>
        <v>0</v>
      </c>
      <c r="D132" t="str">
        <f>getFormula(NamedRanges[[#This Row],[RefersTo]])</f>
        <v>=gT_21+gT_22+gT_23</v>
      </c>
      <c r="E132" t="b">
        <f>regex(NamedRanges[[#This Row],[Формула]],"([=])(.*?)([!])","$2")</f>
        <v>0</v>
      </c>
      <c r="F132">
        <f>CellReflist(NamedRanges[[#This Row],[RefersTo]])</f>
        <v>0</v>
      </c>
      <c r="G132" s="149" t="b">
        <f>regex(NamedRanges[[#This Row],[CellReflist]],"(\$)(.*[A-Z])","$2")</f>
        <v>0</v>
      </c>
      <c r="H132" s="149" t="str">
        <f>regex(NamedRanges[[#This Row],[CellReflist]],"[0-9].*")</f>
        <v>0</v>
      </c>
      <c r="I132" s="149" t="b">
        <f>regex(NamedRanges[[#This Row],[CellReflist]],"(.+?)?(:)(.+)?","$1")</f>
        <v>0</v>
      </c>
      <c r="J132" s="149" t="b">
        <f>regex(NamedRanges[[#This Row],[CellReflist]],"(.+?)?(:)(.+)?","$3")</f>
        <v>0</v>
      </c>
    </row>
    <row r="133" spans="1:10">
      <c r="A133" t="s">
        <v>5387</v>
      </c>
      <c r="B133" s="474">
        <f>gT_11+gT_12+gT_13</f>
        <v>36</v>
      </c>
      <c r="D133" t="str">
        <f>getFormula(NamedRanges[[#This Row],[RefersTo]])</f>
        <v>=gT_11+gT_12+gT_13</v>
      </c>
      <c r="E133" t="b">
        <f>regex(NamedRanges[[#This Row],[Формула]],"([=])(.*?)([!])","$2")</f>
        <v>0</v>
      </c>
      <c r="F133">
        <f>CellReflist(NamedRanges[[#This Row],[RefersTo]])</f>
        <v>0</v>
      </c>
      <c r="G133" s="149" t="b">
        <f>regex(NamedRanges[[#This Row],[CellReflist]],"(\$)(.*[A-Z])","$2")</f>
        <v>0</v>
      </c>
      <c r="H133" s="149" t="str">
        <f>regex(NamedRanges[[#This Row],[CellReflist]],"[0-9].*")</f>
        <v>0</v>
      </c>
      <c r="I133" s="149" t="b">
        <f>regex(NamedRanges[[#This Row],[CellReflist]],"(.+?)?(:)(.+)?","$1")</f>
        <v>0</v>
      </c>
      <c r="J133" s="149" t="b">
        <f>regex(NamedRanges[[#This Row],[CellReflist]],"(.+?)?(:)(.+)?","$3")</f>
        <v>0</v>
      </c>
    </row>
    <row r="134" spans="1:10">
      <c r="A134" t="s">
        <v>5388</v>
      </c>
      <c r="B134" s="474">
        <f>gT_12+gT_22+gT_32+gT_42</f>
        <v>2</v>
      </c>
      <c r="D134" t="str">
        <f>getFormula(NamedRanges[[#This Row],[RefersTo]])</f>
        <v>=gT_12+gT_22+gT_32+gT_42</v>
      </c>
      <c r="E134" t="b">
        <f>regex(NamedRanges[[#This Row],[Формула]],"([=])(.*?)([!])","$2")</f>
        <v>0</v>
      </c>
      <c r="F134">
        <f>CellReflist(NamedRanges[[#This Row],[RefersTo]])</f>
        <v>0</v>
      </c>
      <c r="G134" s="149" t="b">
        <f>regex(NamedRanges[[#This Row],[CellReflist]],"(\$)(.*[A-Z])","$2")</f>
        <v>0</v>
      </c>
      <c r="H134" s="149" t="str">
        <f>regex(NamedRanges[[#This Row],[CellReflist]],"[0-9].*")</f>
        <v>0</v>
      </c>
      <c r="I134" s="149" t="b">
        <f>regex(NamedRanges[[#This Row],[CellReflist]],"(.+?)?(:)(.+)?","$1")</f>
        <v>0</v>
      </c>
      <c r="J134" s="149" t="b">
        <f>regex(NamedRanges[[#This Row],[CellReflist]],"(.+?)?(:)(.+)?","$3")</f>
        <v>0</v>
      </c>
    </row>
    <row r="135" spans="1:10">
      <c r="A135" t="s">
        <v>5389</v>
      </c>
      <c r="B135" s="474">
        <f>gT_41+gT_42+gT_43</f>
        <v>19</v>
      </c>
      <c r="D135" t="str">
        <f>getFormula(NamedRanges[[#This Row],[RefersTo]])</f>
        <v>=gT_41+gT_42+gT_43</v>
      </c>
      <c r="E135" t="b">
        <f>regex(NamedRanges[[#This Row],[Формула]],"([=])(.*?)([!])","$2")</f>
        <v>0</v>
      </c>
      <c r="F135">
        <f>CellReflist(NamedRanges[[#This Row],[RefersTo]])</f>
        <v>0</v>
      </c>
      <c r="G135" s="149" t="b">
        <f>regex(NamedRanges[[#This Row],[CellReflist]],"(\$)(.*[A-Z])","$2")</f>
        <v>0</v>
      </c>
      <c r="H135" s="149" t="str">
        <f>regex(NamedRanges[[#This Row],[CellReflist]],"[0-9].*")</f>
        <v>0</v>
      </c>
      <c r="I135" s="149" t="b">
        <f>regex(NamedRanges[[#This Row],[CellReflist]],"(.+?)?(:)(.+)?","$1")</f>
        <v>0</v>
      </c>
      <c r="J135" s="149" t="b">
        <f>regex(NamedRanges[[#This Row],[CellReflist]],"(.+?)?(:)(.+)?","$3")</f>
        <v>0</v>
      </c>
    </row>
    <row r="136" spans="1:10">
      <c r="A136" t="s">
        <v>5390</v>
      </c>
      <c r="B136" s="474">
        <f>gT_31+gT_32+gT_33</f>
        <v>28</v>
      </c>
      <c r="D136" t="str">
        <f>getFormula(NamedRanges[[#This Row],[RefersTo]])</f>
        <v>=gT_31+gT_32+gT_33</v>
      </c>
      <c r="E136" t="b">
        <f>regex(NamedRanges[[#This Row],[Формула]],"([=])(.*?)([!])","$2")</f>
        <v>0</v>
      </c>
      <c r="F136">
        <f>CellReflist(NamedRanges[[#This Row],[RefersTo]])</f>
        <v>0</v>
      </c>
      <c r="G136" s="149" t="b">
        <f>regex(NamedRanges[[#This Row],[CellReflist]],"(\$)(.*[A-Z])","$2")</f>
        <v>0</v>
      </c>
      <c r="H136" s="149" t="str">
        <f>regex(NamedRanges[[#This Row],[CellReflist]],"[0-9].*")</f>
        <v>0</v>
      </c>
      <c r="I136" s="149" t="b">
        <f>regex(NamedRanges[[#This Row],[CellReflist]],"(.+?)?(:)(.+)?","$1")</f>
        <v>0</v>
      </c>
      <c r="J136" s="149" t="b">
        <f>regex(NamedRanges[[#This Row],[CellReflist]],"(.+?)?(:)(.+)?","$3")</f>
        <v>0</v>
      </c>
    </row>
    <row r="137" spans="1:10">
      <c r="A137" t="s">
        <v>5391</v>
      </c>
      <c r="B137" s="474">
        <f>gT_13+gT_23+gT_33+gT_43</f>
        <v>80</v>
      </c>
      <c r="D137" t="str">
        <f>getFormula(NamedRanges[[#This Row],[RefersTo]])</f>
        <v>=gT_13+gT_23+gT_33+gT_43</v>
      </c>
      <c r="E137" t="b">
        <f>regex(NamedRanges[[#This Row],[Формула]],"([=])(.*?)([!])","$2")</f>
        <v>0</v>
      </c>
      <c r="F137">
        <f>CellReflist(NamedRanges[[#This Row],[RefersTo]])</f>
        <v>0</v>
      </c>
      <c r="G137" s="149" t="b">
        <f>regex(NamedRanges[[#This Row],[CellReflist]],"(\$)(.*[A-Z])","$2")</f>
        <v>0</v>
      </c>
      <c r="H137" s="149" t="str">
        <f>regex(NamedRanges[[#This Row],[CellReflist]],"[0-9].*")</f>
        <v>0</v>
      </c>
      <c r="I137" s="149" t="b">
        <f>regex(NamedRanges[[#This Row],[CellReflist]],"(.+?)?(:)(.+)?","$1")</f>
        <v>0</v>
      </c>
      <c r="J137" s="149" t="b">
        <f>regex(NamedRanges[[#This Row],[CellReflist]],"(.+?)?(:)(.+)?","$3")</f>
        <v>0</v>
      </c>
    </row>
    <row r="138" spans="1:10">
      <c r="A138" t="s">
        <v>5392</v>
      </c>
      <c r="B138" s="474">
        <f>ККЗ</f>
        <v>1.2150000000000001</v>
      </c>
      <c r="D138" t="str">
        <f>getFormula(NamedRanges[[#This Row],[RefersTo]])</f>
        <v>=ККЗ</v>
      </c>
      <c r="E138" t="b">
        <f>regex(NamedRanges[[#This Row],[Формула]],"([=])(.*?)([!])","$2")</f>
        <v>0</v>
      </c>
      <c r="F138">
        <f>CellReflist(NamedRanges[[#This Row],[RefersTo]])</f>
        <v>0</v>
      </c>
      <c r="G138" s="149" t="b">
        <f>regex(NamedRanges[[#This Row],[CellReflist]],"(\$)(.*[A-Z])","$2")</f>
        <v>0</v>
      </c>
      <c r="H138" s="149" t="str">
        <f>regex(NamedRanges[[#This Row],[CellReflist]],"[0-9].*")</f>
        <v>0</v>
      </c>
      <c r="I138" s="149" t="b">
        <f>regex(NamedRanges[[#This Row],[CellReflist]],"(.+?)?(:)(.+)?","$1")</f>
        <v>0</v>
      </c>
      <c r="J138" s="149" t="b">
        <f>regex(NamedRanges[[#This Row],[CellReflist]],"(.+?)?(:)(.+)?","$3")</f>
        <v>0</v>
      </c>
    </row>
    <row r="139" spans="1:10">
      <c r="A139" t="s">
        <v>5393</v>
      </c>
      <c r="B139" s="474" t="e">
        <f>РГК_кошторис!$A$4:$J$19</f>
        <v>#VALUE!</v>
      </c>
      <c r="D139" t="str">
        <f>getFormula(NamedRanges[[#This Row],[RefersTo]])</f>
        <v>=РГК_кошторис!$A$4:$J$19</v>
      </c>
      <c r="E139" t="str">
        <f>regex(NamedRanges[[#This Row],[Формула]],"([=])(.*?)([!])","$2")</f>
        <v>РГК_кошторис</v>
      </c>
      <c r="F139" t="str">
        <f>CellReflist(NamedRanges[[#This Row],[RefersTo]])</f>
        <v>$A$4:$J$19</v>
      </c>
      <c r="G139" s="149" t="str">
        <f>regex(NamedRanges[[#This Row],[CellReflist]],"(\$)(.*[A-Z])","$2")</f>
        <v>A$4:$J</v>
      </c>
      <c r="H139" s="149" t="str">
        <f>regex(NamedRanges[[#This Row],[CellReflist]],"[0-9].*")</f>
        <v>4:$J$19</v>
      </c>
      <c r="I139" s="149" t="str">
        <f>regex(NamedRanges[[#This Row],[CellReflist]],"(.+?)?(:)(.+)?","$1")</f>
        <v>$A$4</v>
      </c>
      <c r="J139" s="149" t="str">
        <f>regex(NamedRanges[[#This Row],[CellReflist]],"(.+?)?(:)(.+)?","$3")</f>
        <v>$J$19</v>
      </c>
    </row>
    <row r="140" spans="1:10">
      <c r="A140" t="s">
        <v>4777</v>
      </c>
      <c r="B140" s="474">
        <f>РГК!$B$8</f>
        <v>43101</v>
      </c>
      <c r="D140" t="str">
        <f>getFormula(NamedRanges[[#This Row],[RefersTo]])</f>
        <v>=РГК!$B$8</v>
      </c>
      <c r="E140" t="str">
        <f>regex(NamedRanges[[#This Row],[Формула]],"([=])(.*?)([!])","$2")</f>
        <v>РГК</v>
      </c>
      <c r="F140" t="str">
        <f>CellReflist(NamedRanges[[#This Row],[RefersTo]])</f>
        <v>$B$8</v>
      </c>
      <c r="G140" s="149" t="str">
        <f>regex(NamedRanges[[#This Row],[CellReflist]],"(\$)(.*[A-Z])","$2")</f>
        <v>B</v>
      </c>
      <c r="H140" s="149" t="str">
        <f>regex(NamedRanges[[#This Row],[CellReflist]],"[0-9].*")</f>
        <v>8</v>
      </c>
      <c r="I140" s="149" t="b">
        <f>regex(NamedRanges[[#This Row],[CellReflist]],"(.+?)?(:)(.+)?","$1")</f>
        <v>0</v>
      </c>
      <c r="J140" s="149" t="b">
        <f>regex(NamedRanges[[#This Row],[CellReflist]],"(.+?)?(:)(.+)?","$3")</f>
        <v>0</v>
      </c>
    </row>
    <row r="141" spans="1:10">
      <c r="A141" t="s">
        <v>5394</v>
      </c>
      <c r="B141" s="474" t="str">
        <f>"k"</f>
        <v>k</v>
      </c>
      <c r="D141" t="str">
        <f>getFormula(NamedRanges[[#This Row],[RefersTo]])</f>
        <v>="k"</v>
      </c>
      <c r="E141" t="b">
        <f>regex(NamedRanges[[#This Row],[Формула]],"([=])(.*?)([!])","$2")</f>
        <v>0</v>
      </c>
      <c r="F141">
        <f>CellReflist(NamedRanges[[#This Row],[RefersTo]])</f>
        <v>0</v>
      </c>
      <c r="G141" s="149" t="b">
        <f>regex(NamedRanges[[#This Row],[CellReflist]],"(\$)(.*[A-Z])","$2")</f>
        <v>0</v>
      </c>
      <c r="H141" s="149" t="str">
        <f>regex(NamedRanges[[#This Row],[CellReflist]],"[0-9].*")</f>
        <v>0</v>
      </c>
      <c r="I141" s="149" t="b">
        <f>regex(NamedRanges[[#This Row],[CellReflist]],"(.+?)?(:)(.+)?","$1")</f>
        <v>0</v>
      </c>
      <c r="J141" s="149" t="b">
        <f>regex(NamedRanges[[#This Row],[CellReflist]],"(.+?)?(:)(.+)?","$3")</f>
        <v>0</v>
      </c>
    </row>
    <row r="142" spans="1:10">
      <c r="A142" t="s">
        <v>2258</v>
      </c>
      <c r="B142" s="474">
        <f>КоэфРГК!$A$195:$E$195</f>
        <v>8.4</v>
      </c>
      <c r="D142" t="str">
        <f>getFormula(NamedRanges[[#This Row],[RefersTo]])</f>
        <v>=КоэфРГК!$A$195:$E$195</v>
      </c>
      <c r="E142" t="str">
        <f>regex(NamedRanges[[#This Row],[Формула]],"([=])(.*?)([!])","$2")</f>
        <v>КоэфРГК</v>
      </c>
      <c r="F142" t="str">
        <f>CellReflist(NamedRanges[[#This Row],[RefersTo]])</f>
        <v>$A$195:$E$195</v>
      </c>
      <c r="G142" s="149" t="str">
        <f>regex(NamedRanges[[#This Row],[CellReflist]],"(\$)(.*[A-Z])","$2")</f>
        <v>A$195:$E</v>
      </c>
      <c r="H142" s="149" t="str">
        <f>regex(NamedRanges[[#This Row],[CellReflist]],"[0-9].*")</f>
        <v>195:$E$195</v>
      </c>
      <c r="I142" s="149" t="str">
        <f>regex(NamedRanges[[#This Row],[CellReflist]],"(.+?)?(:)(.+)?","$1")</f>
        <v>$A$195</v>
      </c>
      <c r="J142" s="149" t="str">
        <f>regex(NamedRanges[[#This Row],[CellReflist]],"(.+?)?(:)(.+)?","$3")</f>
        <v>$E$195</v>
      </c>
    </row>
    <row r="143" spans="1:10">
      <c r="A143" t="s">
        <v>4780</v>
      </c>
      <c r="B143" s="474">
        <f>КоэфРГК!$C$195</f>
        <v>6.7</v>
      </c>
      <c r="D143" t="str">
        <f>getFormula(NamedRanges[[#This Row],[RefersTo]])</f>
        <v>=КоэфРГК!$C$195</v>
      </c>
      <c r="E143" t="str">
        <f>regex(NamedRanges[[#This Row],[Формула]],"([=])(.*?)([!])","$2")</f>
        <v>КоэфРГК</v>
      </c>
      <c r="F143" t="str">
        <f>CellReflist(NamedRanges[[#This Row],[RefersTo]])</f>
        <v>$C$195</v>
      </c>
      <c r="G143" s="149" t="str">
        <f>regex(NamedRanges[[#This Row],[CellReflist]],"(\$)(.*[A-Z])","$2")</f>
        <v>C</v>
      </c>
      <c r="H143" s="149" t="str">
        <f>regex(NamedRanges[[#This Row],[CellReflist]],"[0-9].*")</f>
        <v>195</v>
      </c>
      <c r="I143" s="149" t="b">
        <f>regex(NamedRanges[[#This Row],[CellReflist]],"(.+?)?(:)(.+)?","$1")</f>
        <v>0</v>
      </c>
      <c r="J143" s="149" t="b">
        <f>regex(NamedRanges[[#This Row],[CellReflist]],"(.+?)?(:)(.+)?","$3")</f>
        <v>0</v>
      </c>
    </row>
    <row r="144" spans="1:10">
      <c r="A144" t="s">
        <v>4782</v>
      </c>
      <c r="B144" s="474">
        <f>КоэфРГК!$B$195</f>
        <v>8.4</v>
      </c>
      <c r="D144" t="str">
        <f>getFormula(NamedRanges[[#This Row],[RefersTo]])</f>
        <v>=КоэфРГК!$B$195</v>
      </c>
      <c r="E144" t="str">
        <f>regex(NamedRanges[[#This Row],[Формула]],"([=])(.*?)([!])","$2")</f>
        <v>КоэфРГК</v>
      </c>
      <c r="F144" t="str">
        <f>CellReflist(NamedRanges[[#This Row],[RefersTo]])</f>
        <v>$B$195</v>
      </c>
      <c r="G144" s="149" t="str">
        <f>regex(NamedRanges[[#This Row],[CellReflist]],"(\$)(.*[A-Z])","$2")</f>
        <v>B</v>
      </c>
      <c r="H144" s="149" t="str">
        <f>regex(NamedRanges[[#This Row],[CellReflist]],"[0-9].*")</f>
        <v>195</v>
      </c>
      <c r="I144" s="149" t="b">
        <f>regex(NamedRanges[[#This Row],[CellReflist]],"(.+?)?(:)(.+)?","$1")</f>
        <v>0</v>
      </c>
      <c r="J144" s="149" t="b">
        <f>regex(NamedRanges[[#This Row],[CellReflist]],"(.+?)?(:)(.+)?","$3")</f>
        <v>0</v>
      </c>
    </row>
    <row r="145" spans="1:10">
      <c r="A145" t="s">
        <v>4784</v>
      </c>
      <c r="B145" s="474">
        <f>КоэфРГК!$E$195</f>
        <v>5.7</v>
      </c>
      <c r="D145" t="str">
        <f>getFormula(NamedRanges[[#This Row],[RefersTo]])</f>
        <v>=КоэфРГК!$E$195</v>
      </c>
      <c r="E145" t="str">
        <f>regex(NamedRanges[[#This Row],[Формула]],"([=])(.*?)([!])","$2")</f>
        <v>КоэфРГК</v>
      </c>
      <c r="F145" t="str">
        <f>CellReflist(NamedRanges[[#This Row],[RefersTo]])</f>
        <v>$E$195</v>
      </c>
      <c r="G145" s="149" t="str">
        <f>regex(NamedRanges[[#This Row],[CellReflist]],"(\$)(.*[A-Z])","$2")</f>
        <v>E</v>
      </c>
      <c r="H145" s="149" t="str">
        <f>regex(NamedRanges[[#This Row],[CellReflist]],"[0-9].*")</f>
        <v>195</v>
      </c>
      <c r="I145" s="149" t="b">
        <f>regex(NamedRanges[[#This Row],[CellReflist]],"(.+?)?(:)(.+)?","$1")</f>
        <v>0</v>
      </c>
      <c r="J145" s="149" t="b">
        <f>regex(NamedRanges[[#This Row],[CellReflist]],"(.+?)?(:)(.+)?","$3")</f>
        <v>0</v>
      </c>
    </row>
    <row r="146" spans="1:10">
      <c r="A146" t="s">
        <v>4786</v>
      </c>
      <c r="B146" s="474">
        <f>КоэфРГК!$D$195</f>
        <v>7.1</v>
      </c>
      <c r="D146" t="str">
        <f>getFormula(NamedRanges[[#This Row],[RefersTo]])</f>
        <v>=КоэфРГК!$D$195</v>
      </c>
      <c r="E146" t="str">
        <f>regex(NamedRanges[[#This Row],[Формула]],"([=])(.*?)([!])","$2")</f>
        <v>КоэфРГК</v>
      </c>
      <c r="F146" t="str">
        <f>CellReflist(NamedRanges[[#This Row],[RefersTo]])</f>
        <v>$D$195</v>
      </c>
      <c r="G146" s="149" t="str">
        <f>regex(NamedRanges[[#This Row],[CellReflist]],"(\$)(.*[A-Z])","$2")</f>
        <v>D</v>
      </c>
      <c r="H146" s="149" t="str">
        <f>regex(NamedRanges[[#This Row],[CellReflist]],"[0-9].*")</f>
        <v>195</v>
      </c>
      <c r="I146" s="149" t="b">
        <f>regex(NamedRanges[[#This Row],[CellReflist]],"(.+?)?(:)(.+)?","$1")</f>
        <v>0</v>
      </c>
      <c r="J146" s="149" t="b">
        <f>regex(NamedRanges[[#This Row],[CellReflist]],"(.+?)?(:)(.+)?","$3")</f>
        <v>0</v>
      </c>
    </row>
    <row r="147" spans="1:10">
      <c r="A147" t="s">
        <v>4788</v>
      </c>
      <c r="B147" s="474" t="e">
        <f ca="1">OFFSET(Лісництва!$A$1,0,0,COUNTA(Лісництва!$A$1:$A$65535),COUNTA(Лісництва!$A$1:$IU$1))</f>
        <v>#VALUE!</v>
      </c>
      <c r="D147" t="str">
        <f>getFormula(NamedRanges[[#This Row],[RefersTo]])</f>
        <v>=OFFSET(Лісництва!$A$1,0,0,COUNTA(Лісництва!$A$1:$A$65535),COUNTA(Лісництва!$A$1:$IU$1))</v>
      </c>
      <c r="E147" t="str">
        <f>regex(NamedRanges[[#This Row],[Формула]],"([=])(.*?)([!])","$2")</f>
        <v>OFFSET(Лісництва</v>
      </c>
      <c r="F147" t="str">
        <f>CellReflist(NamedRanges[[#This Row],[RefersTo]])</f>
        <v>$A$1,$A$1:$A$65535,$A$1:$IU$1</v>
      </c>
      <c r="G147" s="149" t="str">
        <f>regex(NamedRanges[[#This Row],[CellReflist]],"(\$)(.*[A-Z])","$2")</f>
        <v>A$1,$A$1:$A$65535,$A$1:$IU</v>
      </c>
      <c r="H147" s="149" t="str">
        <f>regex(NamedRanges[[#This Row],[CellReflist]],"[0-9].*")</f>
        <v>1,$A$1:$A$65535,$A$1:$IU$1</v>
      </c>
      <c r="I147" s="149" t="str">
        <f>regex(NamedRanges[[#This Row],[CellReflist]],"(.+?)?(:)(.+)?","$1")</f>
        <v>$A$1,$A$1</v>
      </c>
      <c r="J147" s="149" t="str">
        <f>regex(NamedRanges[[#This Row],[CellReflist]],"(.+?)?(:)(.+)?","$3")</f>
        <v>$A$65535,$A$1:$IU$1</v>
      </c>
    </row>
    <row r="148" spans="1:10">
      <c r="A148" t="s">
        <v>2175</v>
      </c>
      <c r="B148" s="474" t="str">
        <f>"m"</f>
        <v>m</v>
      </c>
      <c r="D148" t="str">
        <f>getFormula(NamedRanges[[#This Row],[RefersTo]])</f>
        <v>="m"</v>
      </c>
      <c r="E148" t="b">
        <f>regex(NamedRanges[[#This Row],[Формула]],"([=])(.*?)([!])","$2")</f>
        <v>0</v>
      </c>
      <c r="F148">
        <f>CellReflist(NamedRanges[[#This Row],[RefersTo]])</f>
        <v>0</v>
      </c>
      <c r="G148" s="149" t="b">
        <f>regex(NamedRanges[[#This Row],[CellReflist]],"(\$)(.*[A-Z])","$2")</f>
        <v>0</v>
      </c>
      <c r="H148" s="149" t="str">
        <f>regex(NamedRanges[[#This Row],[CellReflist]],"[0-9].*")</f>
        <v>0</v>
      </c>
      <c r="I148" s="149" t="b">
        <f>regex(NamedRanges[[#This Row],[CellReflist]],"(.+?)?(:)(.+)?","$1")</f>
        <v>0</v>
      </c>
      <c r="J148" s="149" t="b">
        <f>regex(NamedRanges[[#This Row],[CellReflist]],"(.+?)?(:)(.+)?","$3")</f>
        <v>0</v>
      </c>
    </row>
    <row r="149" spans="1:10">
      <c r="A149" t="s">
        <v>4790</v>
      </c>
      <c r="B149" s="474" t="e">
        <f ca="1">OFFSET(Мастера!$C$1,0,0,COUNTA(Мастера!$C$1:$C$65535),1)</f>
        <v>#VALUE!</v>
      </c>
      <c r="D149" t="str">
        <f>getFormula(NamedRanges[[#This Row],[RefersTo]])</f>
        <v>=OFFSET(Мастера!$C$1,0,0,COUNTA(Мастера!$C$1:$C$65535),1)</v>
      </c>
      <c r="E149" t="str">
        <f>regex(NamedRanges[[#This Row],[Формула]],"([=])(.*?)([!])","$2")</f>
        <v>OFFSET(Мастера</v>
      </c>
      <c r="F149" t="str">
        <f>CellReflist(NamedRanges[[#This Row],[RefersTo]])</f>
        <v>$C$1,$C$1:$C$65535</v>
      </c>
      <c r="G149" s="149" t="str">
        <f>regex(NamedRanges[[#This Row],[CellReflist]],"(\$)(.*[A-Z])","$2")</f>
        <v>C$1,$C$1:$C</v>
      </c>
      <c r="H149" s="149" t="str">
        <f>regex(NamedRanges[[#This Row],[CellReflist]],"[0-9].*")</f>
        <v>1,$C$1:$C$65535</v>
      </c>
      <c r="I149" s="149" t="str">
        <f>regex(NamedRanges[[#This Row],[CellReflist]],"(.+?)?(:)(.+)?","$1")</f>
        <v>$C$1,$C$1</v>
      </c>
      <c r="J149" s="149" t="str">
        <f>regex(NamedRanges[[#This Row],[CellReflist]],"(.+?)?(:)(.+)?","$3")</f>
        <v>$C$65535</v>
      </c>
    </row>
    <row r="150" spans="1:10">
      <c r="A150" t="s">
        <v>4792</v>
      </c>
      <c r="B150" s="474" t="e">
        <f ca="1">OFFSET(Мастера!$A$1,0,0,COUNTA(Мастера!$A$1:$A$65535),1)</f>
        <v>#VALUE!</v>
      </c>
      <c r="D150" t="str">
        <f>getFormula(NamedRanges[[#This Row],[RefersTo]])</f>
        <v>=OFFSET(Мастера!$A$1,0,0,COUNTA(Мастера!$A$1:$A$65535),1)</v>
      </c>
      <c r="E150" t="str">
        <f>regex(NamedRanges[[#This Row],[Формула]],"([=])(.*?)([!])","$2")</f>
        <v>OFFSET(Мастера</v>
      </c>
      <c r="F150" t="str">
        <f>CellReflist(NamedRanges[[#This Row],[RefersTo]])</f>
        <v>$A$1,$A$1:$A$65535</v>
      </c>
      <c r="G150" s="149" t="str">
        <f>regex(NamedRanges[[#This Row],[CellReflist]],"(\$)(.*[A-Z])","$2")</f>
        <v>A$1,$A$1:$A</v>
      </c>
      <c r="H150" s="149" t="str">
        <f>regex(NamedRanges[[#This Row],[CellReflist]],"[0-9].*")</f>
        <v>1,$A$1:$A$65535</v>
      </c>
      <c r="I150" s="149" t="str">
        <f>regex(NamedRanges[[#This Row],[CellReflist]],"(.+?)?(:)(.+)?","$1")</f>
        <v>$A$1,$A$1</v>
      </c>
      <c r="J150" s="149" t="str">
        <f>regex(NamedRanges[[#This Row],[CellReflist]],"(.+?)?(:)(.+)?","$3")</f>
        <v>$A$65535</v>
      </c>
    </row>
    <row r="151" spans="1:10">
      <c r="A151" t="s">
        <v>4794</v>
      </c>
      <c r="B151" s="474" t="e">
        <f ca="1">OFFSET(Мастера!$B$1,0,0,COUNTA(Мастера!$B$1:$B$65535),1)</f>
        <v>#VALUE!</v>
      </c>
      <c r="D151" t="str">
        <f>getFormula(NamedRanges[[#This Row],[RefersTo]])</f>
        <v>=OFFSET(Мастера!$B$1,0,0,COUNTA(Мастера!$B$1:$B$65535),1)</v>
      </c>
      <c r="E151" t="str">
        <f>regex(NamedRanges[[#This Row],[Формула]],"([=])(.*?)([!])","$2")</f>
        <v>OFFSET(Мастера</v>
      </c>
      <c r="F151" t="str">
        <f>CellReflist(NamedRanges[[#This Row],[RefersTo]])</f>
        <v>$B$1,$B$1:$B$65535</v>
      </c>
      <c r="G151" s="149" t="str">
        <f>regex(NamedRanges[[#This Row],[CellReflist]],"(\$)(.*[A-Z])","$2")</f>
        <v>B$1,$B$1:$B</v>
      </c>
      <c r="H151" s="149" t="str">
        <f>regex(NamedRanges[[#This Row],[CellReflist]],"[0-9].*")</f>
        <v>1,$B$1:$B$65535</v>
      </c>
      <c r="I151" s="149" t="str">
        <f>regex(NamedRanges[[#This Row],[CellReflist]],"(.+?)?(:)(.+)?","$1")</f>
        <v>$B$1,$B$1</v>
      </c>
      <c r="J151" s="149" t="str">
        <f>regex(NamedRanges[[#This Row],[CellReflist]],"(.+?)?(:)(.+)?","$3")</f>
        <v>$B$65535</v>
      </c>
    </row>
    <row r="152" spans="1:10">
      <c r="A152" t="s">
        <v>4796</v>
      </c>
      <c r="B152" s="474" t="e">
        <f ca="1">OFFSET(Мастера!$D$1,0,0,COUNTA(Мастера!$D$1:$D$65535),1)</f>
        <v>#VALUE!</v>
      </c>
      <c r="D152" t="str">
        <f>getFormula(NamedRanges[[#This Row],[RefersTo]])</f>
        <v>=OFFSET(Мастера!$D$1,0,0,COUNTA(Мастера!$D$1:$D$65535),1)</v>
      </c>
      <c r="E152" t="str">
        <f>regex(NamedRanges[[#This Row],[Формула]],"([=])(.*?)([!])","$2")</f>
        <v>OFFSET(Мастера</v>
      </c>
      <c r="F152" t="str">
        <f>CellReflist(NamedRanges[[#This Row],[RefersTo]])</f>
        <v>$D$1,$D$1:$D$65535</v>
      </c>
      <c r="G152" s="149" t="str">
        <f>regex(NamedRanges[[#This Row],[CellReflist]],"(\$)(.*[A-Z])","$2")</f>
        <v>D$1,$D$1:$D</v>
      </c>
      <c r="H152" s="149" t="str">
        <f>regex(NamedRanges[[#This Row],[CellReflist]],"[0-9].*")</f>
        <v>1,$D$1:$D$65535</v>
      </c>
      <c r="I152" s="149" t="str">
        <f>regex(NamedRanges[[#This Row],[CellReflist]],"(.+?)?(:)(.+)?","$1")</f>
        <v>$D$1,$D$1</v>
      </c>
      <c r="J152" s="149" t="str">
        <f>regex(NamedRanges[[#This Row],[CellReflist]],"(.+?)?(:)(.+)?","$3")</f>
        <v>$D$65535</v>
      </c>
    </row>
    <row r="153" spans="1:10">
      <c r="A153" t="s">
        <v>4798</v>
      </c>
      <c r="B153" s="474" t="e">
        <f ca="1">OFFSET(Мастера!$E$1,0,0,COUNTA(Мастера!$E$1:$E$65535),1)</f>
        <v>#VALUE!</v>
      </c>
      <c r="D153" t="str">
        <f>getFormula(NamedRanges[[#This Row],[RefersTo]])</f>
        <v>=OFFSET(Мастера!$E$1,0,0,COUNTA(Мастера!$E$1:$E$65535),1)</v>
      </c>
      <c r="E153" t="str">
        <f>regex(NamedRanges[[#This Row],[Формула]],"([=])(.*?)([!])","$2")</f>
        <v>OFFSET(Мастера</v>
      </c>
      <c r="F153" t="str">
        <f>CellReflist(NamedRanges[[#This Row],[RefersTo]])</f>
        <v>$E$1,$E$1:$E$65535</v>
      </c>
      <c r="G153" s="149" t="str">
        <f>regex(NamedRanges[[#This Row],[CellReflist]],"(\$)(.*[A-Z])","$2")</f>
        <v>E$1,$E$1:$E</v>
      </c>
      <c r="H153" s="149" t="str">
        <f>regex(NamedRanges[[#This Row],[CellReflist]],"[0-9].*")</f>
        <v>1,$E$1:$E$65535</v>
      </c>
      <c r="I153" s="149" t="str">
        <f>regex(NamedRanges[[#This Row],[CellReflist]],"(.+?)?(:)(.+)?","$1")</f>
        <v>$E$1,$E$1</v>
      </c>
      <c r="J153" s="149" t="str">
        <f>regex(NamedRanges[[#This Row],[CellReflist]],"(.+?)?(:)(.+)?","$3")</f>
        <v>$E$65535</v>
      </c>
    </row>
    <row r="154" spans="1:10">
      <c r="A154" t="s">
        <v>4800</v>
      </c>
      <c r="B154" s="474" t="e">
        <f ca="1">OFFSET(Мастера!$F$1,0,0,COUNTA(Мастера!$F$1:$F$65535),1)</f>
        <v>#VALUE!</v>
      </c>
      <c r="D154" t="str">
        <f>getFormula(NamedRanges[[#This Row],[RefersTo]])</f>
        <v>=OFFSET(Мастера!$F$1,0,0,COUNTA(Мастера!$F$1:$F$65535),1)</v>
      </c>
      <c r="E154" t="str">
        <f>regex(NamedRanges[[#This Row],[Формула]],"([=])(.*?)([!])","$2")</f>
        <v>OFFSET(Мастера</v>
      </c>
      <c r="F154" t="str">
        <f>CellReflist(NamedRanges[[#This Row],[RefersTo]])</f>
        <v>$F$1,$F$1:$F$65535</v>
      </c>
      <c r="G154" s="149" t="str">
        <f>regex(NamedRanges[[#This Row],[CellReflist]],"(\$)(.*[A-Z])","$2")</f>
        <v>F$1,$F$1:$F</v>
      </c>
      <c r="H154" s="149" t="str">
        <f>regex(NamedRanges[[#This Row],[CellReflist]],"[0-9].*")</f>
        <v>1,$F$1:$F$65535</v>
      </c>
      <c r="I154" s="149" t="str">
        <f>regex(NamedRanges[[#This Row],[CellReflist]],"(.+?)?(:)(.+)?","$1")</f>
        <v>$F$1,$F$1</v>
      </c>
      <c r="J154" s="149" t="str">
        <f>regex(NamedRanges[[#This Row],[CellReflist]],"(.+?)?(:)(.+)?","$3")</f>
        <v>$F$65535</v>
      </c>
    </row>
    <row r="155" spans="1:10">
      <c r="A155" t="s">
        <v>4802</v>
      </c>
      <c r="B155" s="474" t="str">
        <f>Молодняки!$H$1</f>
        <v>Шп</v>
      </c>
      <c r="D155" t="str">
        <f>getFormula(NamedRanges[[#This Row],[RefersTo]])</f>
        <v>=Молодняки!$H$1</v>
      </c>
      <c r="E155" t="str">
        <f>regex(NamedRanges[[#This Row],[Формула]],"([=])(.*?)([!])","$2")</f>
        <v>Молодняки</v>
      </c>
      <c r="F155" t="str">
        <f>CellReflist(NamedRanges[[#This Row],[RefersTo]])</f>
        <v>$H$1</v>
      </c>
      <c r="G155" s="149" t="str">
        <f>regex(NamedRanges[[#This Row],[CellReflist]],"(\$)(.*[A-Z])","$2")</f>
        <v>H</v>
      </c>
      <c r="H155" s="149" t="str">
        <f>regex(NamedRanges[[#This Row],[CellReflist]],"[0-9].*")</f>
        <v>1</v>
      </c>
      <c r="I155" s="149" t="b">
        <f>regex(NamedRanges[[#This Row],[CellReflist]],"(.+?)?(:)(.+)?","$1")</f>
        <v>0</v>
      </c>
      <c r="J155" s="149" t="b">
        <f>regex(NamedRanges[[#This Row],[CellReflist]],"(.+?)?(:)(.+)?","$3")</f>
        <v>0</v>
      </c>
    </row>
    <row r="156" spans="1:10">
      <c r="A156" t="s">
        <v>4804</v>
      </c>
      <c r="B156" s="474">
        <f>Молодняки!$I$8</f>
        <v>0</v>
      </c>
      <c r="D156" t="str">
        <f>getFormula(NamedRanges[[#This Row],[RefersTo]])</f>
        <v>=Молодняки!$I$8</v>
      </c>
      <c r="E156" t="str">
        <f>regex(NamedRanges[[#This Row],[Формула]],"([=])(.*?)([!])","$2")</f>
        <v>Молодняки</v>
      </c>
      <c r="F156" t="str">
        <f>CellReflist(NamedRanges[[#This Row],[RefersTo]])</f>
        <v>$I$8</v>
      </c>
      <c r="G156" s="149" t="str">
        <f>regex(NamedRanges[[#This Row],[CellReflist]],"(\$)(.*[A-Z])","$2")</f>
        <v>I</v>
      </c>
      <c r="H156" s="149" t="str">
        <f>regex(NamedRanges[[#This Row],[CellReflist]],"[0-9].*")</f>
        <v>8</v>
      </c>
      <c r="I156" s="149" t="b">
        <f>regex(NamedRanges[[#This Row],[CellReflist]],"(.+?)?(:)(.+)?","$1")</f>
        <v>0</v>
      </c>
      <c r="J156" s="149" t="b">
        <f>regex(NamedRanges[[#This Row],[CellReflist]],"(.+?)?(:)(.+)?","$3")</f>
        <v>0</v>
      </c>
    </row>
    <row r="157" spans="1:10">
      <c r="A157" t="s">
        <v>4806</v>
      </c>
      <c r="B157" s="474">
        <f>Молодняки!$I$13</f>
        <v>43433</v>
      </c>
      <c r="D157" t="str">
        <f>getFormula(NamedRanges[[#This Row],[RefersTo]])</f>
        <v>=Молодняки!$I$13</v>
      </c>
      <c r="E157" t="str">
        <f>regex(NamedRanges[[#This Row],[Формула]],"([=])(.*?)([!])","$2")</f>
        <v>Молодняки</v>
      </c>
      <c r="F157" t="str">
        <f>CellReflist(NamedRanges[[#This Row],[RefersTo]])</f>
        <v>$I$13</v>
      </c>
      <c r="G157" s="149" t="str">
        <f>regex(NamedRanges[[#This Row],[CellReflist]],"(\$)(.*[A-Z])","$2")</f>
        <v>I</v>
      </c>
      <c r="H157" s="149" t="str">
        <f>regex(NamedRanges[[#This Row],[CellReflist]],"[0-9].*")</f>
        <v>13</v>
      </c>
      <c r="I157" s="149" t="b">
        <f>regex(NamedRanges[[#This Row],[CellReflist]],"(.+?)?(:)(.+)?","$1")</f>
        <v>0</v>
      </c>
      <c r="J157" s="149" t="b">
        <f>regex(NamedRanges[[#This Row],[CellReflist]],"(.+?)?(:)(.+)?","$3")</f>
        <v>0</v>
      </c>
    </row>
    <row r="158" spans="1:10">
      <c r="A158" t="s">
        <v>4808</v>
      </c>
      <c r="B158" s="474">
        <f>Молодняки!$P$9</f>
        <v>43433</v>
      </c>
      <c r="D158" t="str">
        <f>getFormula(NamedRanges[[#This Row],[RefersTo]])</f>
        <v>=Молодняки!$P$9</v>
      </c>
      <c r="E158" t="str">
        <f>regex(NamedRanges[[#This Row],[Формула]],"([=])(.*?)([!])","$2")</f>
        <v>Молодняки</v>
      </c>
      <c r="F158" t="str">
        <f>CellReflist(NamedRanges[[#This Row],[RefersTo]])</f>
        <v>$P$9</v>
      </c>
      <c r="G158" s="149" t="str">
        <f>regex(NamedRanges[[#This Row],[CellReflist]],"(\$)(.*[A-Z])","$2")</f>
        <v>P</v>
      </c>
      <c r="H158" s="149" t="str">
        <f>regex(NamedRanges[[#This Row],[CellReflist]],"[0-9].*")</f>
        <v>9</v>
      </c>
      <c r="I158" s="149" t="b">
        <f>regex(NamedRanges[[#This Row],[CellReflist]],"(.+?)?(:)(.+)?","$1")</f>
        <v>0</v>
      </c>
      <c r="J158" s="149" t="b">
        <f>regex(NamedRanges[[#This Row],[CellReflist]],"(.+?)?(:)(.+)?","$3")</f>
        <v>0</v>
      </c>
    </row>
    <row r="159" spans="1:10">
      <c r="A159" t="s">
        <v>4810</v>
      </c>
      <c r="B159" s="474" t="str">
        <f>Молодняки!$P$12</f>
        <v>38 кв (3 вид) 0 діл.</v>
      </c>
      <c r="D159" t="str">
        <f>getFormula(NamedRanges[[#This Row],[RefersTo]])</f>
        <v>=Молодняки!$P$12</v>
      </c>
      <c r="E159" t="str">
        <f>regex(NamedRanges[[#This Row],[Формула]],"([=])(.*?)([!])","$2")</f>
        <v>Молодняки</v>
      </c>
      <c r="F159" t="str">
        <f>CellReflist(NamedRanges[[#This Row],[RefersTo]])</f>
        <v>$P$12</v>
      </c>
      <c r="G159" s="149" t="str">
        <f>regex(NamedRanges[[#This Row],[CellReflist]],"(\$)(.*[A-Z])","$2")</f>
        <v>P</v>
      </c>
      <c r="H159" s="149" t="str">
        <f>regex(NamedRanges[[#This Row],[CellReflist]],"[0-9].*")</f>
        <v>12</v>
      </c>
      <c r="I159" s="149" t="b">
        <f>regex(NamedRanges[[#This Row],[CellReflist]],"(.+?)?(:)(.+)?","$1")</f>
        <v>0</v>
      </c>
      <c r="J159" s="149" t="b">
        <f>regex(NamedRanges[[#This Row],[CellReflist]],"(.+?)?(:)(.+)?","$3")</f>
        <v>0</v>
      </c>
    </row>
    <row r="160" spans="1:10">
      <c r="A160" t="s">
        <v>4812</v>
      </c>
      <c r="B160" s="474">
        <f>Молодняки!$P$10</f>
        <v>2</v>
      </c>
      <c r="D160" t="str">
        <f>getFormula(NamedRanges[[#This Row],[RefersTo]])</f>
        <v>=Молодняки!$P$10</v>
      </c>
      <c r="E160" t="str">
        <f>regex(NamedRanges[[#This Row],[Формула]],"([=])(.*?)([!])","$2")</f>
        <v>Молодняки</v>
      </c>
      <c r="F160" t="str">
        <f>CellReflist(NamedRanges[[#This Row],[RefersTo]])</f>
        <v>$P$10</v>
      </c>
      <c r="G160" s="149" t="str">
        <f>regex(NamedRanges[[#This Row],[CellReflist]],"(\$)(.*[A-Z])","$2")</f>
        <v>P</v>
      </c>
      <c r="H160" s="149" t="str">
        <f>regex(NamedRanges[[#This Row],[CellReflist]],"[0-9].*")</f>
        <v>10</v>
      </c>
      <c r="I160" s="149" t="b">
        <f>regex(NamedRanges[[#This Row],[CellReflist]],"(.+?)?(:)(.+)?","$1")</f>
        <v>0</v>
      </c>
      <c r="J160" s="149" t="b">
        <f>regex(NamedRanges[[#This Row],[CellReflist]],"(.+?)?(:)(.+)?","$3")</f>
        <v>0</v>
      </c>
    </row>
    <row r="161" spans="1:10">
      <c r="A161" t="s">
        <v>4814</v>
      </c>
      <c r="B161" s="474" t="str">
        <f>Молодняки!$B$13</f>
        <v>Сз</v>
      </c>
      <c r="D161" t="str">
        <f>getFormula(NamedRanges[[#This Row],[RefersTo]])</f>
        <v>=Молодняки!$B$13</v>
      </c>
      <c r="E161" t="str">
        <f>regex(NamedRanges[[#This Row],[Формула]],"([=])(.*?)([!])","$2")</f>
        <v>Молодняки</v>
      </c>
      <c r="F161" t="str">
        <f>CellReflist(NamedRanges[[#This Row],[RefersTo]])</f>
        <v>$B$13</v>
      </c>
      <c r="G161" s="149" t="str">
        <f>regex(NamedRanges[[#This Row],[CellReflist]],"(\$)(.*[A-Z])","$2")</f>
        <v>B</v>
      </c>
      <c r="H161" s="149" t="str">
        <f>regex(NamedRanges[[#This Row],[CellReflist]],"[0-9].*")</f>
        <v>13</v>
      </c>
      <c r="I161" s="149" t="b">
        <f>regex(NamedRanges[[#This Row],[CellReflist]],"(.+?)?(:)(.+)?","$1")</f>
        <v>0</v>
      </c>
      <c r="J161" s="149" t="b">
        <f>regex(NamedRanges[[#This Row],[CellReflist]],"(.+?)?(:)(.+)?","$3")</f>
        <v>0</v>
      </c>
    </row>
    <row r="162" spans="1:10">
      <c r="A162" t="s">
        <v>4816</v>
      </c>
      <c r="B162" s="474">
        <f>Молодняки!$Q$13</f>
        <v>0.3</v>
      </c>
      <c r="D162" t="str">
        <f>getFormula(NamedRanges[[#This Row],[RefersTo]])</f>
        <v>=Молодняки!$Q$13</v>
      </c>
      <c r="E162" t="str">
        <f>regex(NamedRanges[[#This Row],[Формула]],"([=])(.*?)([!])","$2")</f>
        <v>Молодняки</v>
      </c>
      <c r="F162" t="str">
        <f>CellReflist(NamedRanges[[#This Row],[RefersTo]])</f>
        <v>$Q$13</v>
      </c>
      <c r="G162" s="149" t="str">
        <f>regex(NamedRanges[[#This Row],[CellReflist]],"(\$)(.*[A-Z])","$2")</f>
        <v>Q</v>
      </c>
      <c r="H162" s="149" t="str">
        <f>regex(NamedRanges[[#This Row],[CellReflist]],"[0-9].*")</f>
        <v>13</v>
      </c>
      <c r="I162" s="149" t="b">
        <f>regex(NamedRanges[[#This Row],[CellReflist]],"(.+?)?(:)(.+)?","$1")</f>
        <v>0</v>
      </c>
      <c r="J162" s="149" t="b">
        <f>regex(NamedRanges[[#This Row],[CellReflist]],"(.+?)?(:)(.+)?","$3")</f>
        <v>0</v>
      </c>
    </row>
    <row r="163" spans="1:10">
      <c r="A163" t="s">
        <v>5395</v>
      </c>
      <c r="B163" s="474">
        <f>Молодняки!$I$9</f>
        <v>0.12</v>
      </c>
      <c r="D163" t="str">
        <f>getFormula(NamedRanges[[#This Row],[RefersTo]])</f>
        <v>=Молодняки!$I$9</v>
      </c>
      <c r="E163" t="str">
        <f>regex(NamedRanges[[#This Row],[Формула]],"([=])(.*?)([!])","$2")</f>
        <v>Молодняки</v>
      </c>
      <c r="F163" t="str">
        <f>CellReflist(NamedRanges[[#This Row],[RefersTo]])</f>
        <v>$I$9</v>
      </c>
      <c r="G163" s="149" t="str">
        <f>regex(NamedRanges[[#This Row],[CellReflist]],"(\$)(.*[A-Z])","$2")</f>
        <v>I</v>
      </c>
      <c r="H163" s="149" t="str">
        <f>regex(NamedRanges[[#This Row],[CellReflist]],"[0-9].*")</f>
        <v>9</v>
      </c>
      <c r="I163" s="149" t="b">
        <f>regex(NamedRanges[[#This Row],[CellReflist]],"(.+?)?(:)(.+)?","$1")</f>
        <v>0</v>
      </c>
      <c r="J163" s="149" t="b">
        <f>regex(NamedRanges[[#This Row],[CellReflist]],"(.+?)?(:)(.+)?","$3")</f>
        <v>0</v>
      </c>
    </row>
    <row r="164" spans="1:10">
      <c r="A164" t="s">
        <v>4818</v>
      </c>
      <c r="B164" s="474">
        <f>Молодняки!$B$3</f>
        <v>38</v>
      </c>
      <c r="D164" t="str">
        <f>getFormula(NamedRanges[[#This Row],[RefersTo]])</f>
        <v>=Молодняки!$B$3</v>
      </c>
      <c r="E164" t="str">
        <f>regex(NamedRanges[[#This Row],[Формула]],"([=])(.*?)([!])","$2")</f>
        <v>Молодняки</v>
      </c>
      <c r="F164" t="str">
        <f>CellReflist(NamedRanges[[#This Row],[RefersTo]])</f>
        <v>$B$3</v>
      </c>
      <c r="G164" s="149" t="str">
        <f>regex(NamedRanges[[#This Row],[CellReflist]],"(\$)(.*[A-Z])","$2")</f>
        <v>B</v>
      </c>
      <c r="H164" s="149" t="str">
        <f>regex(NamedRanges[[#This Row],[CellReflist]],"[0-9].*")</f>
        <v>3</v>
      </c>
      <c r="I164" s="149" t="b">
        <f>regex(NamedRanges[[#This Row],[CellReflist]],"(.+?)?(:)(.+)?","$1")</f>
        <v>0</v>
      </c>
      <c r="J164" s="149" t="b">
        <f>regex(NamedRanges[[#This Row],[CellReflist]],"(.+?)?(:)(.+)?","$3")</f>
        <v>0</v>
      </c>
    </row>
    <row r="165" spans="1:10">
      <c r="A165" t="s">
        <v>4820</v>
      </c>
      <c r="B165" s="474">
        <f>Молодняки!$I$11</f>
        <v>1</v>
      </c>
      <c r="D165" t="str">
        <f>getFormula(NamedRanges[[#This Row],[RefersTo]])</f>
        <v>=Молодняки!$I$11</v>
      </c>
      <c r="E165" t="str">
        <f>regex(NamedRanges[[#This Row],[Формула]],"([=])(.*?)([!])","$2")</f>
        <v>Молодняки</v>
      </c>
      <c r="F165" t="str">
        <f>CellReflist(NamedRanges[[#This Row],[RefersTo]])</f>
        <v>$I$11</v>
      </c>
      <c r="G165" s="149" t="str">
        <f>regex(NamedRanges[[#This Row],[CellReflist]],"(\$)(.*[A-Z])","$2")</f>
        <v>I</v>
      </c>
      <c r="H165" s="149" t="str">
        <f>regex(NamedRanges[[#This Row],[CellReflist]],"[0-9].*")</f>
        <v>11</v>
      </c>
      <c r="I165" s="149" t="b">
        <f>regex(NamedRanges[[#This Row],[CellReflist]],"(.+?)?(:)(.+)?","$1")</f>
        <v>0</v>
      </c>
      <c r="J165" s="149" t="b">
        <f>regex(NamedRanges[[#This Row],[CellReflist]],"(.+?)?(:)(.+)?","$3")</f>
        <v>0</v>
      </c>
    </row>
    <row r="166" spans="1:10">
      <c r="A166" t="s">
        <v>4822</v>
      </c>
      <c r="B166" s="474" t="str">
        <f>Молодняки!$B$2</f>
        <v>Шполянське</v>
      </c>
      <c r="D166" t="str">
        <f>getFormula(NamedRanges[[#This Row],[RefersTo]])</f>
        <v>=Молодняки!$B$2</v>
      </c>
      <c r="E166" t="str">
        <f>regex(NamedRanges[[#This Row],[Формула]],"([=])(.*?)([!])","$2")</f>
        <v>Молодняки</v>
      </c>
      <c r="F166" t="str">
        <f>CellReflist(NamedRanges[[#This Row],[RefersTo]])</f>
        <v>$B$2</v>
      </c>
      <c r="G166" s="149" t="str">
        <f>regex(NamedRanges[[#This Row],[CellReflist]],"(\$)(.*[A-Z])","$2")</f>
        <v>B</v>
      </c>
      <c r="H166" s="149" t="str">
        <f>regex(NamedRanges[[#This Row],[CellReflist]],"[0-9].*")</f>
        <v>2</v>
      </c>
      <c r="I166" s="149" t="b">
        <f>regex(NamedRanges[[#This Row],[CellReflist]],"(.+?)?(:)(.+)?","$1")</f>
        <v>0</v>
      </c>
      <c r="J166" s="149" t="b">
        <f>regex(NamedRanges[[#This Row],[CellReflist]],"(.+?)?(:)(.+)?","$3")</f>
        <v>0</v>
      </c>
    </row>
    <row r="167" spans="1:10">
      <c r="A167" t="s">
        <v>4824</v>
      </c>
      <c r="B167" s="474">
        <f>Молодняки!$I$6</f>
        <v>22</v>
      </c>
      <c r="D167" t="str">
        <f>getFormula(NamedRanges[[#This Row],[RefersTo]])</f>
        <v>=Молодняки!$I$6</v>
      </c>
      <c r="E167" t="str">
        <f>regex(NamedRanges[[#This Row],[Формула]],"([=])(.*?)([!])","$2")</f>
        <v>Молодняки</v>
      </c>
      <c r="F167" t="str">
        <f>CellReflist(NamedRanges[[#This Row],[RefersTo]])</f>
        <v>$I$6</v>
      </c>
      <c r="G167" s="149" t="str">
        <f>regex(NamedRanges[[#This Row],[CellReflist]],"(\$)(.*[A-Z])","$2")</f>
        <v>I</v>
      </c>
      <c r="H167" s="149" t="str">
        <f>regex(NamedRanges[[#This Row],[CellReflist]],"[0-9].*")</f>
        <v>6</v>
      </c>
      <c r="I167" s="149" t="b">
        <f>regex(NamedRanges[[#This Row],[CellReflist]],"(.+?)?(:)(.+)?","$1")</f>
        <v>0</v>
      </c>
      <c r="J167" s="149" t="b">
        <f>regex(NamedRanges[[#This Row],[CellReflist]],"(.+?)?(:)(.+)?","$3")</f>
        <v>0</v>
      </c>
    </row>
    <row r="168" spans="1:10">
      <c r="A168" t="s">
        <v>4826</v>
      </c>
      <c r="B168" s="474">
        <f>Молодняки!$G$1</f>
        <v>11</v>
      </c>
      <c r="D168" t="str">
        <f>getFormula(NamedRanges[[#This Row],[RefersTo]])</f>
        <v>=Молодняки!$G$1</v>
      </c>
      <c r="E168" t="str">
        <f>regex(NamedRanges[[#This Row],[Формула]],"([=])(.*?)([!])","$2")</f>
        <v>Молодняки</v>
      </c>
      <c r="F168" t="str">
        <f>CellReflist(NamedRanges[[#This Row],[RefersTo]])</f>
        <v>$G$1</v>
      </c>
      <c r="G168" s="149" t="str">
        <f>regex(NamedRanges[[#This Row],[CellReflist]],"(\$)(.*[A-Z])","$2")</f>
        <v>G</v>
      </c>
      <c r="H168" s="149" t="str">
        <f>regex(NamedRanges[[#This Row],[CellReflist]],"[0-9].*")</f>
        <v>1</v>
      </c>
      <c r="I168" s="149" t="b">
        <f>regex(NamedRanges[[#This Row],[CellReflist]],"(.+?)?(:)(.+)?","$1")</f>
        <v>0</v>
      </c>
      <c r="J168" s="149" t="b">
        <f>regex(NamedRanges[[#This Row],[CellReflist]],"(.+?)?(:)(.+)?","$3")</f>
        <v>0</v>
      </c>
    </row>
    <row r="169" spans="1:10">
      <c r="A169" t="s">
        <v>4828</v>
      </c>
      <c r="B169" s="474">
        <f>Молодняки!$J$1</f>
        <v>11</v>
      </c>
      <c r="D169" t="str">
        <f>getFormula(NamedRanges[[#This Row],[RefersTo]])</f>
        <v>=Молодняки!$J$1</v>
      </c>
      <c r="E169" t="str">
        <f>regex(NamedRanges[[#This Row],[Формула]],"([=])(.*?)([!])","$2")</f>
        <v>Молодняки</v>
      </c>
      <c r="F169" t="str">
        <f>CellReflist(NamedRanges[[#This Row],[RefersTo]])</f>
        <v>$J$1</v>
      </c>
      <c r="G169" s="149" t="str">
        <f>regex(NamedRanges[[#This Row],[CellReflist]],"(\$)(.*[A-Z])","$2")</f>
        <v>J</v>
      </c>
      <c r="H169" s="149" t="str">
        <f>regex(NamedRanges[[#This Row],[CellReflist]],"[0-9].*")</f>
        <v>1</v>
      </c>
      <c r="I169" s="149" t="b">
        <f>regex(NamedRanges[[#This Row],[CellReflist]],"(.+?)?(:)(.+)?","$1")</f>
        <v>0</v>
      </c>
      <c r="J169" s="149" t="b">
        <f>regex(NamedRanges[[#This Row],[CellReflist]],"(.+?)?(:)(.+)?","$3")</f>
        <v>0</v>
      </c>
    </row>
    <row r="170" spans="1:10">
      <c r="A170" t="s">
        <v>4830</v>
      </c>
      <c r="B170" s="474">
        <f>Молодняки!$I$12</f>
        <v>104</v>
      </c>
      <c r="D170" t="str">
        <f>getFormula(NamedRanges[[#This Row],[RefersTo]])</f>
        <v>=Молодняки!$I$12</v>
      </c>
      <c r="E170" t="str">
        <f>regex(NamedRanges[[#This Row],[Формула]],"([=])(.*?)([!])","$2")</f>
        <v>Молодняки</v>
      </c>
      <c r="F170" t="str">
        <f>CellReflist(NamedRanges[[#This Row],[RefersTo]])</f>
        <v>$I$12</v>
      </c>
      <c r="G170" s="149" t="str">
        <f>regex(NamedRanges[[#This Row],[CellReflist]],"(\$)(.*[A-Z])","$2")</f>
        <v>I</v>
      </c>
      <c r="H170" s="149" t="str">
        <f>regex(NamedRanges[[#This Row],[CellReflist]],"[0-9].*")</f>
        <v>12</v>
      </c>
      <c r="I170" s="149" t="b">
        <f>regex(NamedRanges[[#This Row],[CellReflist]],"(.+?)?(:)(.+)?","$1")</f>
        <v>0</v>
      </c>
      <c r="J170" s="149" t="b">
        <f>regex(NamedRanges[[#This Row],[CellReflist]],"(.+?)?(:)(.+)?","$3")</f>
        <v>0</v>
      </c>
    </row>
    <row r="171" spans="1:10">
      <c r="A171" t="s">
        <v>4832</v>
      </c>
      <c r="B171" s="474" t="str">
        <f>Молодняки!$B$6</f>
        <v>Молодняки</v>
      </c>
      <c r="D171" t="str">
        <f>getFormula(NamedRanges[[#This Row],[RefersTo]])</f>
        <v>=Молодняки!$B$6</v>
      </c>
      <c r="E171" t="str">
        <f>regex(NamedRanges[[#This Row],[Формула]],"([=])(.*?)([!])","$2")</f>
        <v>Молодняки</v>
      </c>
      <c r="F171" t="str">
        <f>CellReflist(NamedRanges[[#This Row],[RefersTo]])</f>
        <v>$B$6</v>
      </c>
      <c r="G171" s="149" t="str">
        <f>regex(NamedRanges[[#This Row],[CellReflist]],"(\$)(.*[A-Z])","$2")</f>
        <v>B</v>
      </c>
      <c r="H171" s="149" t="str">
        <f>regex(NamedRanges[[#This Row],[CellReflist]],"[0-9].*")</f>
        <v>6</v>
      </c>
      <c r="I171" s="149" t="b">
        <f>regex(NamedRanges[[#This Row],[CellReflist]],"(.+?)?(:)(.+)?","$1")</f>
        <v>0</v>
      </c>
      <c r="J171" s="149" t="b">
        <f>regex(NamedRanges[[#This Row],[CellReflist]],"(.+?)?(:)(.+)?","$3")</f>
        <v>0</v>
      </c>
    </row>
    <row r="172" spans="1:10">
      <c r="A172" t="s">
        <v>4834</v>
      </c>
      <c r="B172" s="474">
        <f>Молодняки!$U$12</f>
        <v>0</v>
      </c>
      <c r="D172" t="str">
        <f>getFormula(NamedRanges[[#This Row],[RefersTo]])</f>
        <v>=Молодняки!$U$12</v>
      </c>
      <c r="E172" t="str">
        <f>regex(NamedRanges[[#This Row],[Формула]],"([=])(.*?)([!])","$2")</f>
        <v>Молодняки</v>
      </c>
      <c r="F172" t="str">
        <f>CellReflist(NamedRanges[[#This Row],[RefersTo]])</f>
        <v>$U$12</v>
      </c>
      <c r="G172" s="149" t="str">
        <f>regex(NamedRanges[[#This Row],[CellReflist]],"(\$)(.*[A-Z])","$2")</f>
        <v>U</v>
      </c>
      <c r="H172" s="149" t="str">
        <f>regex(NamedRanges[[#This Row],[CellReflist]],"[0-9].*")</f>
        <v>12</v>
      </c>
      <c r="I172" s="149" t="b">
        <f>regex(NamedRanges[[#This Row],[CellReflist]],"(.+?)?(:)(.+)?","$1")</f>
        <v>0</v>
      </c>
      <c r="J172" s="149" t="b">
        <f>regex(NamedRanges[[#This Row],[CellReflist]],"(.+?)?(:)(.+)?","$3")</f>
        <v>0</v>
      </c>
    </row>
    <row r="173" spans="1:10">
      <c r="A173" t="s">
        <v>4836</v>
      </c>
      <c r="B173" s="474">
        <f>Молодняки!$B$5</f>
        <v>1.2</v>
      </c>
      <c r="D173" t="str">
        <f>getFormula(NamedRanges[[#This Row],[RefersTo]])</f>
        <v>=Молодняки!$B$5</v>
      </c>
      <c r="E173" t="str">
        <f>regex(NamedRanges[[#This Row],[Формула]],"([=])(.*?)([!])","$2")</f>
        <v>Молодняки</v>
      </c>
      <c r="F173" t="str">
        <f>CellReflist(NamedRanges[[#This Row],[RefersTo]])</f>
        <v>$B$5</v>
      </c>
      <c r="G173" s="149" t="str">
        <f>regex(NamedRanges[[#This Row],[CellReflist]],"(\$)(.*[A-Z])","$2")</f>
        <v>B</v>
      </c>
      <c r="H173" s="149" t="str">
        <f>regex(NamedRanges[[#This Row],[CellReflist]],"[0-9].*")</f>
        <v>5</v>
      </c>
      <c r="I173" s="149" t="b">
        <f>regex(NamedRanges[[#This Row],[CellReflist]],"(.+?)?(:)(.+)?","$1")</f>
        <v>0</v>
      </c>
      <c r="J173" s="149" t="b">
        <f>regex(NamedRanges[[#This Row],[CellReflist]],"(.+?)?(:)(.+)?","$3")</f>
        <v>0</v>
      </c>
    </row>
    <row r="174" spans="1:10">
      <c r="A174" t="s">
        <v>4838</v>
      </c>
      <c r="B174" s="474">
        <f>Молодняки!$I$1</f>
        <v>9</v>
      </c>
      <c r="D174" t="str">
        <f>getFormula(NamedRanges[[#This Row],[RefersTo]])</f>
        <v>=Молодняки!$I$1</v>
      </c>
      <c r="E174" t="str">
        <f>regex(NamedRanges[[#This Row],[Формула]],"([=])(.*?)([!])","$2")</f>
        <v>Молодняки</v>
      </c>
      <c r="F174" t="str">
        <f>CellReflist(NamedRanges[[#This Row],[RefersTo]])</f>
        <v>$I$1</v>
      </c>
      <c r="G174" s="149" t="str">
        <f>regex(NamedRanges[[#This Row],[CellReflist]],"(\$)(.*[A-Z])","$2")</f>
        <v>I</v>
      </c>
      <c r="H174" s="149" t="str">
        <f>regex(NamedRanges[[#This Row],[CellReflist]],"[0-9].*")</f>
        <v>1</v>
      </c>
      <c r="I174" s="149" t="b">
        <f>regex(NamedRanges[[#This Row],[CellReflist]],"(.+?)?(:)(.+)?","$1")</f>
        <v>0</v>
      </c>
      <c r="J174" s="149" t="b">
        <f>regex(NamedRanges[[#This Row],[CellReflist]],"(.+?)?(:)(.+)?","$3")</f>
        <v>0</v>
      </c>
    </row>
    <row r="175" spans="1:10">
      <c r="A175" t="s">
        <v>4842</v>
      </c>
      <c r="B175" s="474">
        <f>Молодняки!$E$20</f>
        <v>0</v>
      </c>
      <c r="D175" t="str">
        <f>getFormula(NamedRanges[[#This Row],[RefersTo]])</f>
        <v>=Молодняки!$E$20</v>
      </c>
      <c r="E175" t="str">
        <f>regex(NamedRanges[[#This Row],[Формула]],"([=])(.*?)([!])","$2")</f>
        <v>Молодняки</v>
      </c>
      <c r="F175" t="str">
        <f>CellReflist(NamedRanges[[#This Row],[RefersTo]])</f>
        <v>$E$20</v>
      </c>
      <c r="G175" s="149" t="str">
        <f>regex(NamedRanges[[#This Row],[CellReflist]],"(\$)(.*[A-Z])","$2")</f>
        <v>E</v>
      </c>
      <c r="H175" s="149" t="str">
        <f>regex(NamedRanges[[#This Row],[CellReflist]],"[0-9].*")</f>
        <v>20</v>
      </c>
      <c r="I175" s="149" t="b">
        <f>regex(NamedRanges[[#This Row],[CellReflist]],"(.+?)?(:)(.+)?","$1")</f>
        <v>0</v>
      </c>
      <c r="J175" s="149" t="b">
        <f>regex(NamedRanges[[#This Row],[CellReflist]],"(.+?)?(:)(.+)?","$3")</f>
        <v>0</v>
      </c>
    </row>
    <row r="176" spans="1:10">
      <c r="A176" t="s">
        <v>4844</v>
      </c>
      <c r="B176" s="474">
        <f>Молодняки!$E$21</f>
        <v>0</v>
      </c>
      <c r="D176" t="str">
        <f>getFormula(NamedRanges[[#This Row],[RefersTo]])</f>
        <v>=Молодняки!$E$21</v>
      </c>
      <c r="E176" t="str">
        <f>regex(NamedRanges[[#This Row],[Формула]],"([=])(.*?)([!])","$2")</f>
        <v>Молодняки</v>
      </c>
      <c r="F176" t="str">
        <f>CellReflist(NamedRanges[[#This Row],[RefersTo]])</f>
        <v>$E$21</v>
      </c>
      <c r="G176" s="149" t="str">
        <f>regex(NamedRanges[[#This Row],[CellReflist]],"(\$)(.*[A-Z])","$2")</f>
        <v>E</v>
      </c>
      <c r="H176" s="149" t="str">
        <f>regex(NamedRanges[[#This Row],[CellReflist]],"[0-9].*")</f>
        <v>21</v>
      </c>
      <c r="I176" s="149" t="b">
        <f>regex(NamedRanges[[#This Row],[CellReflist]],"(.+?)?(:)(.+)?","$1")</f>
        <v>0</v>
      </c>
      <c r="J176" s="149" t="b">
        <f>regex(NamedRanges[[#This Row],[CellReflist]],"(.+?)?(:)(.+)?","$3")</f>
        <v>0</v>
      </c>
    </row>
    <row r="177" spans="1:10">
      <c r="A177" t="s">
        <v>4846</v>
      </c>
      <c r="B177" s="474">
        <f>Молодняки!$E$22</f>
        <v>0</v>
      </c>
      <c r="D177" t="str">
        <f>getFormula(NamedRanges[[#This Row],[RefersTo]])</f>
        <v>=Молодняки!$E$22</v>
      </c>
      <c r="E177" t="str">
        <f>regex(NamedRanges[[#This Row],[Формула]],"([=])(.*?)([!])","$2")</f>
        <v>Молодняки</v>
      </c>
      <c r="F177" t="str">
        <f>CellReflist(NamedRanges[[#This Row],[RefersTo]])</f>
        <v>$E$22</v>
      </c>
      <c r="G177" s="149" t="str">
        <f>regex(NamedRanges[[#This Row],[CellReflist]],"(\$)(.*[A-Z])","$2")</f>
        <v>E</v>
      </c>
      <c r="H177" s="149" t="str">
        <f>regex(NamedRanges[[#This Row],[CellReflist]],"[0-9].*")</f>
        <v>22</v>
      </c>
      <c r="I177" s="149" t="b">
        <f>regex(NamedRanges[[#This Row],[CellReflist]],"(.+?)?(:)(.+)?","$1")</f>
        <v>0</v>
      </c>
      <c r="J177" s="149" t="b">
        <f>regex(NamedRanges[[#This Row],[CellReflist]],"(.+?)?(:)(.+)?","$3")</f>
        <v>0</v>
      </c>
    </row>
    <row r="178" spans="1:10">
      <c r="A178" t="s">
        <v>4848</v>
      </c>
      <c r="B178" s="474">
        <f>Молодняки!$E$23</f>
        <v>0</v>
      </c>
      <c r="D178" t="str">
        <f>getFormula(NamedRanges[[#This Row],[RefersTo]])</f>
        <v>=Молодняки!$E$23</v>
      </c>
      <c r="E178" t="str">
        <f>regex(NamedRanges[[#This Row],[Формула]],"([=])(.*?)([!])","$2")</f>
        <v>Молодняки</v>
      </c>
      <c r="F178" t="str">
        <f>CellReflist(NamedRanges[[#This Row],[RefersTo]])</f>
        <v>$E$23</v>
      </c>
      <c r="G178" s="149" t="str">
        <f>regex(NamedRanges[[#This Row],[CellReflist]],"(\$)(.*[A-Z])","$2")</f>
        <v>E</v>
      </c>
      <c r="H178" s="149" t="str">
        <f>regex(NamedRanges[[#This Row],[CellReflist]],"[0-9].*")</f>
        <v>23</v>
      </c>
      <c r="I178" s="149" t="b">
        <f>regex(NamedRanges[[#This Row],[CellReflist]],"(.+?)?(:)(.+)?","$1")</f>
        <v>0</v>
      </c>
      <c r="J178" s="149" t="b">
        <f>regex(NamedRanges[[#This Row],[CellReflist]],"(.+?)?(:)(.+)?","$3")</f>
        <v>0</v>
      </c>
    </row>
    <row r="179" spans="1:10">
      <c r="A179" t="s">
        <v>4850</v>
      </c>
      <c r="B179" s="474">
        <f>Молодняки!$E$24</f>
        <v>0</v>
      </c>
      <c r="D179" t="str">
        <f>getFormula(NamedRanges[[#This Row],[RefersTo]])</f>
        <v>=Молодняки!$E$24</v>
      </c>
      <c r="E179" t="str">
        <f>regex(NamedRanges[[#This Row],[Формула]],"([=])(.*?)([!])","$2")</f>
        <v>Молодняки</v>
      </c>
      <c r="F179" t="str">
        <f>CellReflist(NamedRanges[[#This Row],[RefersTo]])</f>
        <v>$E$24</v>
      </c>
      <c r="G179" s="149" t="str">
        <f>regex(NamedRanges[[#This Row],[CellReflist]],"(\$)(.*[A-Z])","$2")</f>
        <v>E</v>
      </c>
      <c r="H179" s="149" t="str">
        <f>regex(NamedRanges[[#This Row],[CellReflist]],"[0-9].*")</f>
        <v>24</v>
      </c>
      <c r="I179" s="149" t="b">
        <f>regex(NamedRanges[[#This Row],[CellReflist]],"(.+?)?(:)(.+)?","$1")</f>
        <v>0</v>
      </c>
      <c r="J179" s="149" t="b">
        <f>regex(NamedRanges[[#This Row],[CellReflist]],"(.+?)?(:)(.+)?","$3")</f>
        <v>0</v>
      </c>
    </row>
    <row r="180" spans="1:10">
      <c r="A180" t="s">
        <v>4852</v>
      </c>
      <c r="B180" s="474">
        <f>Молодняки!$E$25</f>
        <v>220</v>
      </c>
      <c r="D180" t="str">
        <f>getFormula(NamedRanges[[#This Row],[RefersTo]])</f>
        <v>=Молодняки!$E$25</v>
      </c>
      <c r="E180" t="str">
        <f>regex(NamedRanges[[#This Row],[Формула]],"([=])(.*?)([!])","$2")</f>
        <v>Молодняки</v>
      </c>
      <c r="F180" t="str">
        <f>CellReflist(NamedRanges[[#This Row],[RefersTo]])</f>
        <v>$E$25</v>
      </c>
      <c r="G180" s="149" t="str">
        <f>regex(NamedRanges[[#This Row],[CellReflist]],"(\$)(.*[A-Z])","$2")</f>
        <v>E</v>
      </c>
      <c r="H180" s="149" t="str">
        <f>regex(NamedRanges[[#This Row],[CellReflist]],"[0-9].*")</f>
        <v>25</v>
      </c>
      <c r="I180" s="149" t="b">
        <f>regex(NamedRanges[[#This Row],[CellReflist]],"(.+?)?(:)(.+)?","$1")</f>
        <v>0</v>
      </c>
      <c r="J180" s="149" t="b">
        <f>regex(NamedRanges[[#This Row],[CellReflist]],"(.+?)?(:)(.+)?","$3")</f>
        <v>0</v>
      </c>
    </row>
    <row r="181" spans="1:10">
      <c r="A181" t="s">
        <v>4854</v>
      </c>
      <c r="B181" s="474">
        <f>Молодняки!$E$26</f>
        <v>0</v>
      </c>
      <c r="D181" t="str">
        <f>getFormula(NamedRanges[[#This Row],[RefersTo]])</f>
        <v>=Молодняки!$E$26</v>
      </c>
      <c r="E181" t="str">
        <f>regex(NamedRanges[[#This Row],[Формула]],"([=])(.*?)([!])","$2")</f>
        <v>Молодняки</v>
      </c>
      <c r="F181" t="str">
        <f>CellReflist(NamedRanges[[#This Row],[RefersTo]])</f>
        <v>$E$26</v>
      </c>
      <c r="G181" s="149" t="str">
        <f>regex(NamedRanges[[#This Row],[CellReflist]],"(\$)(.*[A-Z])","$2")</f>
        <v>E</v>
      </c>
      <c r="H181" s="149" t="str">
        <f>regex(NamedRanges[[#This Row],[CellReflist]],"[0-9].*")</f>
        <v>26</v>
      </c>
      <c r="I181" s="149" t="b">
        <f>regex(NamedRanges[[#This Row],[CellReflist]],"(.+?)?(:)(.+)?","$1")</f>
        <v>0</v>
      </c>
      <c r="J181" s="149" t="b">
        <f>regex(NamedRanges[[#This Row],[CellReflist]],"(.+?)?(:)(.+)?","$3")</f>
        <v>0</v>
      </c>
    </row>
    <row r="182" spans="1:10">
      <c r="A182" t="s">
        <v>4856</v>
      </c>
      <c r="B182" s="474">
        <f>Молодняки!$E$27</f>
        <v>0</v>
      </c>
      <c r="D182" t="str">
        <f>getFormula(NamedRanges[[#This Row],[RefersTo]])</f>
        <v>=Молодняки!$E$27</v>
      </c>
      <c r="E182" t="str">
        <f>regex(NamedRanges[[#This Row],[Формула]],"([=])(.*?)([!])","$2")</f>
        <v>Молодняки</v>
      </c>
      <c r="F182" t="str">
        <f>CellReflist(NamedRanges[[#This Row],[RefersTo]])</f>
        <v>$E$27</v>
      </c>
      <c r="G182" s="149" t="str">
        <f>regex(NamedRanges[[#This Row],[CellReflist]],"(\$)(.*[A-Z])","$2")</f>
        <v>E</v>
      </c>
      <c r="H182" s="149" t="str">
        <f>regex(NamedRanges[[#This Row],[CellReflist]],"[0-9].*")</f>
        <v>27</v>
      </c>
      <c r="I182" s="149" t="b">
        <f>regex(NamedRanges[[#This Row],[CellReflist]],"(.+?)?(:)(.+)?","$1")</f>
        <v>0</v>
      </c>
      <c r="J182" s="149" t="b">
        <f>regex(NamedRanges[[#This Row],[CellReflist]],"(.+?)?(:)(.+)?","$3")</f>
        <v>0</v>
      </c>
    </row>
    <row r="183" spans="1:10">
      <c r="A183" t="s">
        <v>4858</v>
      </c>
      <c r="B183" s="474">
        <f>Молодняки!$E$28</f>
        <v>0</v>
      </c>
      <c r="D183" t="str">
        <f>getFormula(NamedRanges[[#This Row],[RefersTo]])</f>
        <v>=Молодняки!$E$28</v>
      </c>
      <c r="E183" t="str">
        <f>regex(NamedRanges[[#This Row],[Формула]],"([=])(.*?)([!])","$2")</f>
        <v>Молодняки</v>
      </c>
      <c r="F183" t="str">
        <f>CellReflist(NamedRanges[[#This Row],[RefersTo]])</f>
        <v>$E$28</v>
      </c>
      <c r="G183" s="149" t="str">
        <f>regex(NamedRanges[[#This Row],[CellReflist]],"(\$)(.*[A-Z])","$2")</f>
        <v>E</v>
      </c>
      <c r="H183" s="149" t="str">
        <f>regex(NamedRanges[[#This Row],[CellReflist]],"[0-9].*")</f>
        <v>28</v>
      </c>
      <c r="I183" s="149" t="b">
        <f>regex(NamedRanges[[#This Row],[CellReflist]],"(.+?)?(:)(.+)?","$1")</f>
        <v>0</v>
      </c>
      <c r="J183" s="149" t="b">
        <f>regex(NamedRanges[[#This Row],[CellReflist]],"(.+?)?(:)(.+)?","$3")</f>
        <v>0</v>
      </c>
    </row>
    <row r="184" spans="1:10">
      <c r="A184" t="s">
        <v>4860</v>
      </c>
      <c r="B184" s="474">
        <f>Молодняки!$E$29</f>
        <v>0</v>
      </c>
      <c r="D184" t="str">
        <f>getFormula(NamedRanges[[#This Row],[RefersTo]])</f>
        <v>=Молодняки!$E$29</v>
      </c>
      <c r="E184" t="str">
        <f>regex(NamedRanges[[#This Row],[Формула]],"([=])(.*?)([!])","$2")</f>
        <v>Молодняки</v>
      </c>
      <c r="F184" t="str">
        <f>CellReflist(NamedRanges[[#This Row],[RefersTo]])</f>
        <v>$E$29</v>
      </c>
      <c r="G184" s="149" t="str">
        <f>regex(NamedRanges[[#This Row],[CellReflist]],"(\$)(.*[A-Z])","$2")</f>
        <v>E</v>
      </c>
      <c r="H184" s="149" t="str">
        <f>regex(NamedRanges[[#This Row],[CellReflist]],"[0-9].*")</f>
        <v>29</v>
      </c>
      <c r="I184" s="149" t="b">
        <f>regex(NamedRanges[[#This Row],[CellReflist]],"(.+?)?(:)(.+)?","$1")</f>
        <v>0</v>
      </c>
      <c r="J184" s="149" t="b">
        <f>regex(NamedRanges[[#This Row],[CellReflist]],"(.+?)?(:)(.+)?","$3")</f>
        <v>0</v>
      </c>
    </row>
    <row r="185" spans="1:10">
      <c r="A185" t="s">
        <v>4862</v>
      </c>
      <c r="B185" s="474">
        <f>Молодняки!$E$30</f>
        <v>0</v>
      </c>
      <c r="D185" t="str">
        <f>getFormula(NamedRanges[[#This Row],[RefersTo]])</f>
        <v>=Молодняки!$E$30</v>
      </c>
      <c r="E185" t="str">
        <f>regex(NamedRanges[[#This Row],[Формула]],"([=])(.*?)([!])","$2")</f>
        <v>Молодняки</v>
      </c>
      <c r="F185" t="str">
        <f>CellReflist(NamedRanges[[#This Row],[RefersTo]])</f>
        <v>$E$30</v>
      </c>
      <c r="G185" s="149" t="str">
        <f>regex(NamedRanges[[#This Row],[CellReflist]],"(\$)(.*[A-Z])","$2")</f>
        <v>E</v>
      </c>
      <c r="H185" s="149" t="str">
        <f>regex(NamedRanges[[#This Row],[CellReflist]],"[0-9].*")</f>
        <v>30</v>
      </c>
      <c r="I185" s="149" t="b">
        <f>regex(NamedRanges[[#This Row],[CellReflist]],"(.+?)?(:)(.+)?","$1")</f>
        <v>0</v>
      </c>
      <c r="J185" s="149" t="b">
        <f>regex(NamedRanges[[#This Row],[CellReflist]],"(.+?)?(:)(.+)?","$3")</f>
        <v>0</v>
      </c>
    </row>
    <row r="186" spans="1:10">
      <c r="A186" t="s">
        <v>4864</v>
      </c>
      <c r="B186" s="474">
        <f>Молодняки!$E$31</f>
        <v>0</v>
      </c>
      <c r="D186" t="str">
        <f>getFormula(NamedRanges[[#This Row],[RefersTo]])</f>
        <v>=Молодняки!$E$31</v>
      </c>
      <c r="E186" t="str">
        <f>regex(NamedRanges[[#This Row],[Формула]],"([=])(.*?)([!])","$2")</f>
        <v>Молодняки</v>
      </c>
      <c r="F186" t="str">
        <f>CellReflist(NamedRanges[[#This Row],[RefersTo]])</f>
        <v>$E$31</v>
      </c>
      <c r="G186" s="149" t="str">
        <f>regex(NamedRanges[[#This Row],[CellReflist]],"(\$)(.*[A-Z])","$2")</f>
        <v>E</v>
      </c>
      <c r="H186" s="149" t="str">
        <f>regex(NamedRanges[[#This Row],[CellReflist]],"[0-9].*")</f>
        <v>31</v>
      </c>
      <c r="I186" s="149" t="b">
        <f>regex(NamedRanges[[#This Row],[CellReflist]],"(.+?)?(:)(.+)?","$1")</f>
        <v>0</v>
      </c>
      <c r="J186" s="149" t="b">
        <f>regex(NamedRanges[[#This Row],[CellReflist]],"(.+?)?(:)(.+)?","$3")</f>
        <v>0</v>
      </c>
    </row>
    <row r="187" spans="1:10">
      <c r="A187" t="s">
        <v>4866</v>
      </c>
      <c r="B187" s="474" t="str">
        <f>Молодняки!$K$1</f>
        <v>СТЛ-18</v>
      </c>
      <c r="D187" t="str">
        <f>getFormula(NamedRanges[[#This Row],[RefersTo]])</f>
        <v>=Молодняки!$K$1</v>
      </c>
      <c r="E187" t="str">
        <f>regex(NamedRanges[[#This Row],[Формула]],"([=])(.*?)([!])","$2")</f>
        <v>Молодняки</v>
      </c>
      <c r="F187" t="str">
        <f>CellReflist(NamedRanges[[#This Row],[RefersTo]])</f>
        <v>$K$1</v>
      </c>
      <c r="G187" s="149" t="str">
        <f>regex(NamedRanges[[#This Row],[CellReflist]],"(\$)(.*[A-Z])","$2")</f>
        <v>K</v>
      </c>
      <c r="H187" s="149" t="str">
        <f>regex(NamedRanges[[#This Row],[CellReflist]],"[0-9].*")</f>
        <v>1</v>
      </c>
      <c r="I187" s="149" t="b">
        <f>regex(NamedRanges[[#This Row],[CellReflist]],"(.+?)?(:)(.+)?","$1")</f>
        <v>0</v>
      </c>
      <c r="J187" s="149" t="b">
        <f>regex(NamedRanges[[#This Row],[CellReflist]],"(.+?)?(:)(.+)?","$3")</f>
        <v>0</v>
      </c>
    </row>
    <row r="188" spans="1:10">
      <c r="A188" t="s">
        <v>4868</v>
      </c>
      <c r="B188" s="474" t="str">
        <f>Молодняки!$B$7</f>
        <v>важкі</v>
      </c>
      <c r="D188" t="str">
        <f>getFormula(NamedRanges[[#This Row],[RefersTo]])</f>
        <v>=Молодняки!$B$7</v>
      </c>
      <c r="E188" t="str">
        <f>regex(NamedRanges[[#This Row],[Формула]],"([=])(.*?)([!])","$2")</f>
        <v>Молодняки</v>
      </c>
      <c r="F188" t="str">
        <f>CellReflist(NamedRanges[[#This Row],[RefersTo]])</f>
        <v>$B$7</v>
      </c>
      <c r="G188" s="149" t="str">
        <f>regex(NamedRanges[[#This Row],[CellReflist]],"(\$)(.*[A-Z])","$2")</f>
        <v>B</v>
      </c>
      <c r="H188" s="149" t="str">
        <f>regex(NamedRanges[[#This Row],[CellReflist]],"[0-9].*")</f>
        <v>7</v>
      </c>
      <c r="I188" s="149" t="b">
        <f>regex(NamedRanges[[#This Row],[CellReflist]],"(.+?)?(:)(.+)?","$1")</f>
        <v>0</v>
      </c>
      <c r="J188" s="149" t="b">
        <f>regex(NamedRanges[[#This Row],[CellReflist]],"(.+?)?(:)(.+)?","$3")</f>
        <v>0</v>
      </c>
    </row>
    <row r="189" spans="1:10">
      <c r="A189" t="s">
        <v>4870</v>
      </c>
      <c r="B189" s="474" t="str">
        <f>Молодняки!$B$4</f>
        <v>3_0</v>
      </c>
      <c r="D189" t="str">
        <f>getFormula(NamedRanges[[#This Row],[RefersTo]])</f>
        <v>=Молодняки!$B$4</v>
      </c>
      <c r="E189" t="str">
        <f>regex(NamedRanges[[#This Row],[Формула]],"([=])(.*?)([!])","$2")</f>
        <v>Молодняки</v>
      </c>
      <c r="F189" t="str">
        <f>CellReflist(NamedRanges[[#This Row],[RefersTo]])</f>
        <v>$B$4</v>
      </c>
      <c r="G189" s="149" t="str">
        <f>regex(NamedRanges[[#This Row],[CellReflist]],"(\$)(.*[A-Z])","$2")</f>
        <v>B</v>
      </c>
      <c r="H189" s="149" t="str">
        <f>regex(NamedRanges[[#This Row],[CellReflist]],"[0-9].*")</f>
        <v>4</v>
      </c>
      <c r="I189" s="149" t="b">
        <f>regex(NamedRanges[[#This Row],[CellReflist]],"(.+?)?(:)(.+)?","$1")</f>
        <v>0</v>
      </c>
      <c r="J189" s="149" t="b">
        <f>regex(NamedRanges[[#This Row],[CellReflist]],"(.+?)?(:)(.+)?","$3")</f>
        <v>0</v>
      </c>
    </row>
    <row r="190" spans="1:10">
      <c r="A190" t="s">
        <v>4872</v>
      </c>
      <c r="B190" s="474" t="str">
        <f>Молодняки!$P$11</f>
        <v>Перегон В.М.</v>
      </c>
      <c r="D190" t="str">
        <f>getFormula(NamedRanges[[#This Row],[RefersTo]])</f>
        <v>=Молодняки!$P$11</v>
      </c>
      <c r="E190" t="str">
        <f>regex(NamedRanges[[#This Row],[Формула]],"([=])(.*?)([!])","$2")</f>
        <v>Молодняки</v>
      </c>
      <c r="F190" t="str">
        <f>CellReflist(NamedRanges[[#This Row],[RefersTo]])</f>
        <v>$P$11</v>
      </c>
      <c r="G190" s="149" t="str">
        <f>regex(NamedRanges[[#This Row],[CellReflist]],"(\$)(.*[A-Z])","$2")</f>
        <v>P</v>
      </c>
      <c r="H190" s="149" t="str">
        <f>regex(NamedRanges[[#This Row],[CellReflist]],"[0-9].*")</f>
        <v>11</v>
      </c>
      <c r="I190" s="149" t="b">
        <f>regex(NamedRanges[[#This Row],[CellReflist]],"(.+?)?(:)(.+)?","$1")</f>
        <v>0</v>
      </c>
      <c r="J190" s="149" t="b">
        <f>regex(NamedRanges[[#This Row],[CellReflist]],"(.+?)?(:)(.+)?","$3")</f>
        <v>0</v>
      </c>
    </row>
    <row r="191" spans="1:10">
      <c r="A191" t="s">
        <v>4874</v>
      </c>
      <c r="B191" s="474" t="str">
        <f>Молодняки!$B$9</f>
        <v>Степовий</v>
      </c>
      <c r="D191" t="str">
        <f>getFormula(NamedRanges[[#This Row],[RefersTo]])</f>
        <v>=Молодняки!$B$9</v>
      </c>
      <c r="E191" t="str">
        <f>regex(NamedRanges[[#This Row],[Формула]],"([=])(.*?)([!])","$2")</f>
        <v>Молодняки</v>
      </c>
      <c r="F191" t="str">
        <f>CellReflist(NamedRanges[[#This Row],[RefersTo]])</f>
        <v>$B$9</v>
      </c>
      <c r="G191" s="149" t="str">
        <f>regex(NamedRanges[[#This Row],[CellReflist]],"(\$)(.*[A-Z])","$2")</f>
        <v>B</v>
      </c>
      <c r="H191" s="149" t="str">
        <f>regex(NamedRanges[[#This Row],[CellReflist]],"[0-9].*")</f>
        <v>9</v>
      </c>
      <c r="I191" s="149" t="b">
        <f>regex(NamedRanges[[#This Row],[CellReflist]],"(.+?)?(:)(.+)?","$1")</f>
        <v>0</v>
      </c>
      <c r="J191" s="149" t="b">
        <f>regex(NamedRanges[[#This Row],[CellReflist]],"(.+?)?(:)(.+)?","$3")</f>
        <v>0</v>
      </c>
    </row>
    <row r="192" spans="1:10">
      <c r="A192" t="s">
        <v>4876</v>
      </c>
      <c r="B192" s="474">
        <f>Молодняки!$I$3</f>
        <v>26.4</v>
      </c>
      <c r="D192" t="str">
        <f>getFormula(NamedRanges[[#This Row],[RefersTo]])</f>
        <v>=Молодняки!$I$3</v>
      </c>
      <c r="E192" t="str">
        <f>regex(NamedRanges[[#This Row],[Формула]],"([=])(.*?)([!])","$2")</f>
        <v>Молодняки</v>
      </c>
      <c r="F192" t="str">
        <f>CellReflist(NamedRanges[[#This Row],[RefersTo]])</f>
        <v>$I$3</v>
      </c>
      <c r="G192" s="149" t="str">
        <f>regex(NamedRanges[[#This Row],[CellReflist]],"(\$)(.*[A-Z])","$2")</f>
        <v>I</v>
      </c>
      <c r="H192" s="149" t="str">
        <f>regex(NamedRanges[[#This Row],[CellReflist]],"[0-9].*")</f>
        <v>3</v>
      </c>
      <c r="I192" s="149" t="b">
        <f>regex(NamedRanges[[#This Row],[CellReflist]],"(.+?)?(:)(.+)?","$1")</f>
        <v>0</v>
      </c>
      <c r="J192" s="149" t="b">
        <f>regex(NamedRanges[[#This Row],[CellReflist]],"(.+?)?(:)(.+)?","$3")</f>
        <v>0</v>
      </c>
    </row>
    <row r="193" spans="1:10">
      <c r="A193" t="s">
        <v>5082</v>
      </c>
      <c r="B193" s="474">
        <f>ККЗ</f>
        <v>1.2150000000000001</v>
      </c>
      <c r="D193" t="str">
        <f>getFormula(NamedRanges[[#This Row],[RefersTo]])</f>
        <v>=ККЗ</v>
      </c>
      <c r="E193" t="b">
        <f>regex(NamedRanges[[#This Row],[Формула]],"([=])(.*?)([!])","$2")</f>
        <v>0</v>
      </c>
      <c r="F193">
        <f>CellReflist(NamedRanges[[#This Row],[RefersTo]])</f>
        <v>0</v>
      </c>
      <c r="G193" s="149" t="b">
        <f>regex(NamedRanges[[#This Row],[CellReflist]],"(\$)(.*[A-Z])","$2")</f>
        <v>0</v>
      </c>
      <c r="H193" s="149" t="str">
        <f>regex(NamedRanges[[#This Row],[CellReflist]],"[0-9].*")</f>
        <v>0</v>
      </c>
      <c r="I193" s="149" t="b">
        <f>regex(NamedRanges[[#This Row],[CellReflist]],"(.+?)?(:)(.+)?","$1")</f>
        <v>0</v>
      </c>
      <c r="J193" s="149" t="b">
        <f>regex(NamedRanges[[#This Row],[CellReflist]],"(.+?)?(:)(.+)?","$3")</f>
        <v>0</v>
      </c>
    </row>
    <row r="194" spans="1:10">
      <c r="A194" t="s">
        <v>5372</v>
      </c>
      <c r="B194" s="474" t="e">
        <f>Молодняки_кошторис!$A$4:$K$10</f>
        <v>#VALUE!</v>
      </c>
      <c r="D194" t="str">
        <f>getFormula(NamedRanges[[#This Row],[RefersTo]])</f>
        <v>=Молодняки_кошторис!$A$4:$K$10</v>
      </c>
      <c r="E194" t="str">
        <f>regex(NamedRanges[[#This Row],[Формула]],"([=])(.*?)([!])","$2")</f>
        <v>Молодняки_кошторис</v>
      </c>
      <c r="F194" t="str">
        <f>CellReflist(NamedRanges[[#This Row],[RefersTo]])</f>
        <v>$A$4:$K$10</v>
      </c>
      <c r="G194" s="149" t="str">
        <f>regex(NamedRanges[[#This Row],[CellReflist]],"(\$)(.*[A-Z])","$2")</f>
        <v>A$4:$K</v>
      </c>
      <c r="H194" s="149" t="str">
        <f>regex(NamedRanges[[#This Row],[CellReflist]],"[0-9].*")</f>
        <v>4:$K$10</v>
      </c>
      <c r="I194" s="149" t="str">
        <f>regex(NamedRanges[[#This Row],[CellReflist]],"(.+?)?(:)(.+)?","$1")</f>
        <v>$A$4</v>
      </c>
      <c r="J194" s="149" t="str">
        <f>regex(NamedRanges[[#This Row],[CellReflist]],"(.+?)?(:)(.+)?","$3")</f>
        <v>$K$10</v>
      </c>
    </row>
    <row r="195" spans="1:10">
      <c r="A195" t="s">
        <v>5396</v>
      </c>
      <c r="B195" s="474" t="e">
        <f>Молодняки_кошторис!$A$20:$I$24</f>
        <v>#VALUE!</v>
      </c>
      <c r="D195" t="str">
        <f>getFormula(NamedRanges[[#This Row],[RefersTo]])</f>
        <v>=Молодняки_кошторис!$A$20:$I$24</v>
      </c>
      <c r="E195" t="str">
        <f>regex(NamedRanges[[#This Row],[Формула]],"([=])(.*?)([!])","$2")</f>
        <v>Молодняки_кошторис</v>
      </c>
      <c r="F195" t="str">
        <f>CellReflist(NamedRanges[[#This Row],[RefersTo]])</f>
        <v>$A$20:$I$24</v>
      </c>
      <c r="G195" s="149" t="str">
        <f>regex(NamedRanges[[#This Row],[CellReflist]],"(\$)(.*[A-Z])","$2")</f>
        <v>A$20:$I</v>
      </c>
      <c r="H195" s="149" t="str">
        <f>regex(NamedRanges[[#This Row],[CellReflist]],"[0-9].*")</f>
        <v>20:$I$24</v>
      </c>
      <c r="I195" s="149" t="str">
        <f>regex(NamedRanges[[#This Row],[CellReflist]],"(.+?)?(:)(.+)?","$1")</f>
        <v>$A$20</v>
      </c>
      <c r="J195" s="149" t="str">
        <f>regex(NamedRanges[[#This Row],[CellReflist]],"(.+?)?(:)(.+)?","$3")</f>
        <v>$I$24</v>
      </c>
    </row>
    <row r="196" spans="1:10">
      <c r="A196" t="s">
        <v>5397</v>
      </c>
      <c r="B196" s="474" t="e">
        <f>Молодняки_кошторис!$A$30:$I$32</f>
        <v>#VALUE!</v>
      </c>
      <c r="D196" t="str">
        <f>getFormula(NamedRanges[[#This Row],[RefersTo]])</f>
        <v>=Молодняки_кошторис!$A$30:$I$32</v>
      </c>
      <c r="E196" t="str">
        <f>regex(NamedRanges[[#This Row],[Формула]],"([=])(.*?)([!])","$2")</f>
        <v>Молодняки_кошторис</v>
      </c>
      <c r="F196" t="str">
        <f>CellReflist(NamedRanges[[#This Row],[RefersTo]])</f>
        <v>$A$30:$I$32</v>
      </c>
      <c r="G196" s="149" t="str">
        <f>regex(NamedRanges[[#This Row],[CellReflist]],"(\$)(.*[A-Z])","$2")</f>
        <v>A$30:$I</v>
      </c>
      <c r="H196" s="149" t="str">
        <f>regex(NamedRanges[[#This Row],[CellReflist]],"[0-9].*")</f>
        <v>30:$I$32</v>
      </c>
      <c r="I196" s="149" t="str">
        <f>regex(NamedRanges[[#This Row],[CellReflist]],"(.+?)?(:)(.+)?","$1")</f>
        <v>$A$30</v>
      </c>
      <c r="J196" s="149" t="str">
        <f>regex(NamedRanges[[#This Row],[CellReflist]],"(.+?)?(:)(.+)?","$3")</f>
        <v>$I$32</v>
      </c>
    </row>
    <row r="197" spans="1:10">
      <c r="A197" t="s">
        <v>4878</v>
      </c>
      <c r="B197" s="474">
        <f ca="1">Молодняки!$B$8</f>
        <v>43101</v>
      </c>
      <c r="D197" t="str">
        <f>getFormula(NamedRanges[[#This Row],[RefersTo]])</f>
        <v>=Молодняки!$B$8</v>
      </c>
      <c r="E197" t="str">
        <f>regex(NamedRanges[[#This Row],[Формула]],"([=])(.*?)([!])","$2")</f>
        <v>Молодняки</v>
      </c>
      <c r="F197" t="str">
        <f>CellReflist(NamedRanges[[#This Row],[RefersTo]])</f>
        <v>$B$8</v>
      </c>
      <c r="G197" s="149" t="str">
        <f>regex(NamedRanges[[#This Row],[CellReflist]],"(\$)(.*[A-Z])","$2")</f>
        <v>B</v>
      </c>
      <c r="H197" s="149" t="str">
        <f>regex(NamedRanges[[#This Row],[CellReflist]],"[0-9].*")</f>
        <v>8</v>
      </c>
      <c r="I197" s="149" t="b">
        <f>regex(NamedRanges[[#This Row],[CellReflist]],"(.+?)?(:)(.+)?","$1")</f>
        <v>0</v>
      </c>
      <c r="J197" s="149" t="b">
        <f>regex(NamedRanges[[#This Row],[CellReflist]],"(.+?)?(:)(.+)?","$3")</f>
        <v>0</v>
      </c>
    </row>
    <row r="198" spans="1:10">
      <c r="A198" t="s">
        <v>2236</v>
      </c>
      <c r="B198" s="474" t="e">
        <f>КоэфРГК!$A$23:$M$32</f>
        <v>#VALUE!</v>
      </c>
      <c r="D198" t="str">
        <f>getFormula(NamedRanges[[#This Row],[RefersTo]])</f>
        <v>=КоэфРГК!$A$23:$M$32</v>
      </c>
      <c r="E198" t="str">
        <f>regex(NamedRanges[[#This Row],[Формула]],"([=])(.*?)([!])","$2")</f>
        <v>КоэфРГК</v>
      </c>
      <c r="F198" t="str">
        <f>CellReflist(NamedRanges[[#This Row],[RefersTo]])</f>
        <v>$A$23:$M$32</v>
      </c>
      <c r="G198" s="149" t="str">
        <f>regex(NamedRanges[[#This Row],[CellReflist]],"(\$)(.*[A-Z])","$2")</f>
        <v>A$23:$M</v>
      </c>
      <c r="H198" s="149" t="str">
        <f>regex(NamedRanges[[#This Row],[CellReflist]],"[0-9].*")</f>
        <v>23:$M$32</v>
      </c>
      <c r="I198" s="149" t="str">
        <f>regex(NamedRanges[[#This Row],[CellReflist]],"(.+?)?(:)(.+)?","$1")</f>
        <v>$A$23</v>
      </c>
      <c r="J198" s="149" t="str">
        <f>regex(NamedRanges[[#This Row],[CellReflist]],"(.+?)?(:)(.+)?","$3")</f>
        <v>$M$32</v>
      </c>
    </row>
    <row r="199" spans="1:10">
      <c r="A199" t="s">
        <v>4881</v>
      </c>
      <c r="B199" s="474" t="e">
        <f>КоэфРГК!$A$23:$A$32</f>
        <v>#VALUE!</v>
      </c>
      <c r="D199" t="str">
        <f>getFormula(NamedRanges[[#This Row],[RefersTo]])</f>
        <v>=КоэфРГК!$A$23:$A$32</v>
      </c>
      <c r="E199" t="str">
        <f>regex(NamedRanges[[#This Row],[Формула]],"([=])(.*?)([!])","$2")</f>
        <v>КоэфРГК</v>
      </c>
      <c r="F199" t="str">
        <f>CellReflist(NamedRanges[[#This Row],[RefersTo]])</f>
        <v>$A$23:$A$32</v>
      </c>
      <c r="G199" s="149" t="str">
        <f>regex(NamedRanges[[#This Row],[CellReflist]],"(\$)(.*[A-Z])","$2")</f>
        <v>A$23:$A</v>
      </c>
      <c r="H199" s="149" t="str">
        <f>regex(NamedRanges[[#This Row],[CellReflist]],"[0-9].*")</f>
        <v>23:$A$32</v>
      </c>
      <c r="I199" s="149" t="str">
        <f>regex(NamedRanges[[#This Row],[CellReflist]],"(.+?)?(:)(.+)?","$1")</f>
        <v>$A$23</v>
      </c>
      <c r="J199" s="149" t="str">
        <f>regex(NamedRanges[[#This Row],[CellReflist]],"(.+?)?(:)(.+)?","$3")</f>
        <v>$A$32</v>
      </c>
    </row>
    <row r="200" spans="1:10">
      <c r="A200" t="s">
        <v>2245</v>
      </c>
      <c r="B200" s="474" t="e">
        <f>КоэфРГК!$A$39:$M$48</f>
        <v>#VALUE!</v>
      </c>
      <c r="D200" t="str">
        <f>getFormula(NamedRanges[[#This Row],[RefersTo]])</f>
        <v>=КоэфРГК!$A$39:$M$48</v>
      </c>
      <c r="E200" t="str">
        <f>regex(NamedRanges[[#This Row],[Формула]],"([=])(.*?)([!])","$2")</f>
        <v>КоэфРГК</v>
      </c>
      <c r="F200" t="str">
        <f>CellReflist(NamedRanges[[#This Row],[RefersTo]])</f>
        <v>$A$39:$M$48</v>
      </c>
      <c r="G200" s="149" t="str">
        <f>regex(NamedRanges[[#This Row],[CellReflist]],"(\$)(.*[A-Z])","$2")</f>
        <v>A$39:$M</v>
      </c>
      <c r="H200" s="149" t="str">
        <f>regex(NamedRanges[[#This Row],[CellReflist]],"[0-9].*")</f>
        <v>39:$M$48</v>
      </c>
      <c r="I200" s="149" t="str">
        <f>regex(NamedRanges[[#This Row],[CellReflist]],"(.+?)?(:)(.+)?","$1")</f>
        <v>$A$39</v>
      </c>
      <c r="J200" s="149" t="str">
        <f>regex(NamedRanges[[#This Row],[CellReflist]],"(.+?)?(:)(.+)?","$3")</f>
        <v>$M$48</v>
      </c>
    </row>
    <row r="201" spans="1:10">
      <c r="A201" t="s">
        <v>4884</v>
      </c>
      <c r="B201" s="474" t="e">
        <f>КоэфРГК!$A$39:$A$48</f>
        <v>#VALUE!</v>
      </c>
      <c r="D201" t="str">
        <f>getFormula(NamedRanges[[#This Row],[RefersTo]])</f>
        <v>=КоэфРГК!$A$39:$A$48</v>
      </c>
      <c r="E201" t="str">
        <f>regex(NamedRanges[[#This Row],[Формула]],"([=])(.*?)([!])","$2")</f>
        <v>КоэфРГК</v>
      </c>
      <c r="F201" t="str">
        <f>CellReflist(NamedRanges[[#This Row],[RefersTo]])</f>
        <v>$A$39:$A$48</v>
      </c>
      <c r="G201" s="149" t="str">
        <f>regex(NamedRanges[[#This Row],[CellReflist]],"(\$)(.*[A-Z])","$2")</f>
        <v>A$39:$A</v>
      </c>
      <c r="H201" s="149" t="str">
        <f>regex(NamedRanges[[#This Row],[CellReflist]],"[0-9].*")</f>
        <v>39:$A$48</v>
      </c>
      <c r="I201" s="149" t="str">
        <f>regex(NamedRanges[[#This Row],[CellReflist]],"(.+?)?(:)(.+)?","$1")</f>
        <v>$A$39</v>
      </c>
      <c r="J201" s="149" t="str">
        <f>regex(NamedRanges[[#This Row],[CellReflist]],"(.+?)?(:)(.+)?","$3")</f>
        <v>$A$48</v>
      </c>
    </row>
    <row r="202" spans="1:10">
      <c r="A202" t="s">
        <v>3903</v>
      </c>
      <c r="B202" s="474" t="e">
        <f>КоэфРГК!$A$214:$D$219</f>
        <v>#VALUE!</v>
      </c>
      <c r="D202" t="str">
        <f>getFormula(NamedRanges[[#This Row],[RefersTo]])</f>
        <v>=КоэфРГК!$A$214:$D$219</v>
      </c>
      <c r="E202" t="str">
        <f>regex(NamedRanges[[#This Row],[Формула]],"([=])(.*?)([!])","$2")</f>
        <v>КоэфРГК</v>
      </c>
      <c r="F202" t="str">
        <f>CellReflist(NamedRanges[[#This Row],[RefersTo]])</f>
        <v>$A$214:$D$219</v>
      </c>
      <c r="G202" s="149" t="str">
        <f>regex(NamedRanges[[#This Row],[CellReflist]],"(\$)(.*[A-Z])","$2")</f>
        <v>A$214:$D</v>
      </c>
      <c r="H202" s="149" t="str">
        <f>regex(NamedRanges[[#This Row],[CellReflist]],"[0-9].*")</f>
        <v>214:$D$219</v>
      </c>
      <c r="I202" s="149" t="str">
        <f>regex(NamedRanges[[#This Row],[CellReflist]],"(.+?)?(:)(.+)?","$1")</f>
        <v>$A$214</v>
      </c>
      <c r="J202" s="149" t="str">
        <f>regex(NamedRanges[[#This Row],[CellReflist]],"(.+?)?(:)(.+)?","$3")</f>
        <v>$D$219</v>
      </c>
    </row>
    <row r="203" spans="1:10">
      <c r="A203" t="s">
        <v>4887</v>
      </c>
      <c r="B203" s="474">
        <f>КоэфРГК!$A$213:$B$213</f>
        <v>100</v>
      </c>
      <c r="D203" t="str">
        <f>getFormula(NamedRanges[[#This Row],[RefersTo]])</f>
        <v>=КоэфРГК!$A$213:$B$213</v>
      </c>
      <c r="E203" t="str">
        <f>regex(NamedRanges[[#This Row],[Формула]],"([=])(.*?)([!])","$2")</f>
        <v>КоэфРГК</v>
      </c>
      <c r="F203" t="str">
        <f>CellReflist(NamedRanges[[#This Row],[RefersTo]])</f>
        <v>$A$213:$B$213</v>
      </c>
      <c r="G203" s="149" t="str">
        <f>regex(NamedRanges[[#This Row],[CellReflist]],"(\$)(.*[A-Z])","$2")</f>
        <v>A$213:$B</v>
      </c>
      <c r="H203" s="149" t="str">
        <f>regex(NamedRanges[[#This Row],[CellReflist]],"[0-9].*")</f>
        <v>213:$B$213</v>
      </c>
      <c r="I203" s="149" t="str">
        <f>regex(NamedRanges[[#This Row],[CellReflist]],"(.+?)?(:)(.+)?","$1")</f>
        <v>$A$213</v>
      </c>
      <c r="J203" s="149" t="str">
        <f>regex(NamedRanges[[#This Row],[CellReflist]],"(.+?)?(:)(.+)?","$3")</f>
        <v>$B$213</v>
      </c>
    </row>
    <row r="204" spans="1:10">
      <c r="A204" t="s">
        <v>5398</v>
      </c>
      <c r="B204" s="474" t="str">
        <f>РГК!$AD$22</f>
        <v>Сумм</v>
      </c>
      <c r="D204" t="str">
        <f>getFormula(NamedRanges[[#This Row],[RefersTo]])</f>
        <v>=РГК!$AD$22</v>
      </c>
      <c r="E204" t="str">
        <f>regex(NamedRanges[[#This Row],[Формула]],"([=])(.*?)([!])","$2")</f>
        <v>РГК</v>
      </c>
      <c r="F204" t="str">
        <f>CellReflist(NamedRanges[[#This Row],[RefersTo]])</f>
        <v>$AD$22</v>
      </c>
      <c r="G204" s="149" t="str">
        <f>regex(NamedRanges[[#This Row],[CellReflist]],"(\$)(.*[A-Z])","$2")</f>
        <v>AD</v>
      </c>
      <c r="H204" s="149" t="str">
        <f>regex(NamedRanges[[#This Row],[CellReflist]],"[0-9].*")</f>
        <v>22</v>
      </c>
      <c r="I204" s="149" t="b">
        <f>regex(NamedRanges[[#This Row],[CellReflist]],"(.+?)?(:)(.+)?","$1")</f>
        <v>0</v>
      </c>
      <c r="J204" s="149" t="b">
        <f>regex(NamedRanges[[#This Row],[CellReflist]],"(.+?)?(:)(.+)?","$3")</f>
        <v>0</v>
      </c>
    </row>
    <row r="205" spans="1:10">
      <c r="A205" t="s">
        <v>4889</v>
      </c>
      <c r="B205" s="474" t="str">
        <f>"Кнопка 2"</f>
        <v>Кнопка 2</v>
      </c>
      <c r="D205" t="str">
        <f>getFormula(NamedRanges[[#This Row],[RefersTo]])</f>
        <v>="Кнопка 2"</v>
      </c>
      <c r="E205" t="b">
        <f>regex(NamedRanges[[#This Row],[Формула]],"([=])(.*?)([!])","$2")</f>
        <v>0</v>
      </c>
      <c r="F205">
        <f>CellReflist(NamedRanges[[#This Row],[RefersTo]])</f>
        <v>0</v>
      </c>
      <c r="G205" s="149" t="b">
        <f>regex(NamedRanges[[#This Row],[CellReflist]],"(\$)(.*[A-Z])","$2")</f>
        <v>0</v>
      </c>
      <c r="H205" s="149" t="str">
        <f>regex(NamedRanges[[#This Row],[CellReflist]],"[0-9].*")</f>
        <v>0</v>
      </c>
      <c r="I205" s="149" t="b">
        <f>regex(NamedRanges[[#This Row],[CellReflist]],"(.+?)?(:)(.+)?","$1")</f>
        <v>0</v>
      </c>
      <c r="J205" s="149" t="b">
        <f>regex(NamedRanges[[#This Row],[CellReflist]],"(.+?)?(:)(.+)?","$3")</f>
        <v>0</v>
      </c>
    </row>
    <row r="206" spans="1:10">
      <c r="A206" t="s">
        <v>2247</v>
      </c>
      <c r="B206" s="474" t="e">
        <f>КоэфРГК!$A$55:$M$64</f>
        <v>#VALUE!</v>
      </c>
      <c r="D206" t="str">
        <f>getFormula(NamedRanges[[#This Row],[RefersTo]])</f>
        <v>=КоэфРГК!$A$55:$M$64</v>
      </c>
      <c r="E206" t="str">
        <f>regex(NamedRanges[[#This Row],[Формула]],"([=])(.*?)([!])","$2")</f>
        <v>КоэфРГК</v>
      </c>
      <c r="F206" t="str">
        <f>CellReflist(NamedRanges[[#This Row],[RefersTo]])</f>
        <v>$A$55:$M$64</v>
      </c>
      <c r="G206" s="149" t="str">
        <f>regex(NamedRanges[[#This Row],[CellReflist]],"(\$)(.*[A-Z])","$2")</f>
        <v>A$55:$M</v>
      </c>
      <c r="H206" s="149" t="str">
        <f>regex(NamedRanges[[#This Row],[CellReflist]],"[0-9].*")</f>
        <v>55:$M$64</v>
      </c>
      <c r="I206" s="149" t="str">
        <f>regex(NamedRanges[[#This Row],[CellReflist]],"(.+?)?(:)(.+)?","$1")</f>
        <v>$A$55</v>
      </c>
      <c r="J206" s="149" t="str">
        <f>regex(NamedRanges[[#This Row],[CellReflist]],"(.+?)?(:)(.+)?","$3")</f>
        <v>$M$64</v>
      </c>
    </row>
    <row r="207" spans="1:10">
      <c r="A207" t="s">
        <v>4892</v>
      </c>
      <c r="B207" s="474" t="e">
        <f>КоэфРГК!$A$55:$A$64</f>
        <v>#VALUE!</v>
      </c>
      <c r="D207" t="str">
        <f>getFormula(NamedRanges[[#This Row],[RefersTo]])</f>
        <v>=КоэфРГК!$A$55:$A$64</v>
      </c>
      <c r="E207" t="str">
        <f>regex(NamedRanges[[#This Row],[Формула]],"([=])(.*?)([!])","$2")</f>
        <v>КоэфРГК</v>
      </c>
      <c r="F207" t="str">
        <f>CellReflist(NamedRanges[[#This Row],[RefersTo]])</f>
        <v>$A$55:$A$64</v>
      </c>
      <c r="G207" s="149" t="str">
        <f>regex(NamedRanges[[#This Row],[CellReflist]],"(\$)(.*[A-Z])","$2")</f>
        <v>A$55:$A</v>
      </c>
      <c r="H207" s="149" t="str">
        <f>regex(NamedRanges[[#This Row],[CellReflist]],"[0-9].*")</f>
        <v>55:$A$64</v>
      </c>
      <c r="I207" s="149" t="str">
        <f>regex(NamedRanges[[#This Row],[CellReflist]],"(.+?)?(:)(.+)?","$1")</f>
        <v>$A$55</v>
      </c>
      <c r="J207" s="149" t="str">
        <f>regex(NamedRanges[[#This Row],[CellReflist]],"(.+?)?(:)(.+)?","$3")</f>
        <v>$A$64</v>
      </c>
    </row>
    <row r="208" spans="1:10">
      <c r="A208" t="s">
        <v>2261</v>
      </c>
      <c r="B208" s="474" t="e">
        <f>КоэфРГК!$A$160:$G$169</f>
        <v>#VALUE!</v>
      </c>
      <c r="D208" t="str">
        <f>getFormula(NamedRanges[[#This Row],[RefersTo]])</f>
        <v>=КоэфРГК!$A$160:$G$169</v>
      </c>
      <c r="E208" t="str">
        <f>regex(NamedRanges[[#This Row],[Формула]],"([=])(.*?)([!])","$2")</f>
        <v>КоэфРГК</v>
      </c>
      <c r="F208" t="str">
        <f>CellReflist(NamedRanges[[#This Row],[RefersTo]])</f>
        <v>$A$160:$G$169</v>
      </c>
      <c r="G208" s="149" t="str">
        <f>regex(NamedRanges[[#This Row],[CellReflist]],"(\$)(.*[A-Z])","$2")</f>
        <v>A$160:$G</v>
      </c>
      <c r="H208" s="149" t="str">
        <f>regex(NamedRanges[[#This Row],[CellReflist]],"[0-9].*")</f>
        <v>160:$G$169</v>
      </c>
      <c r="I208" s="149" t="str">
        <f>regex(NamedRanges[[#This Row],[CellReflist]],"(.+?)?(:)(.+)?","$1")</f>
        <v>$A$160</v>
      </c>
      <c r="J208" s="149" t="str">
        <f>regex(NamedRanges[[#This Row],[CellReflist]],"(.+?)?(:)(.+)?","$3")</f>
        <v>$G$169</v>
      </c>
    </row>
    <row r="209" spans="1:10">
      <c r="A209" t="s">
        <v>4895</v>
      </c>
      <c r="B209" s="474" t="e">
        <f>КоэфРГК!$A$160:$A$169</f>
        <v>#VALUE!</v>
      </c>
      <c r="D209" t="str">
        <f>getFormula(NamedRanges[[#This Row],[RefersTo]])</f>
        <v>=КоэфРГК!$A$160:$A$169</v>
      </c>
      <c r="E209" t="str">
        <f>regex(NamedRanges[[#This Row],[Формула]],"([=])(.*?)([!])","$2")</f>
        <v>КоэфРГК</v>
      </c>
      <c r="F209" t="str">
        <f>CellReflist(NamedRanges[[#This Row],[RefersTo]])</f>
        <v>$A$160:$A$169</v>
      </c>
      <c r="G209" s="149" t="str">
        <f>regex(NamedRanges[[#This Row],[CellReflist]],"(\$)(.*[A-Z])","$2")</f>
        <v>A$160:$A</v>
      </c>
      <c r="H209" s="149" t="str">
        <f>regex(NamedRanges[[#This Row],[CellReflist]],"[0-9].*")</f>
        <v>160:$A$169</v>
      </c>
      <c r="I209" s="149" t="str">
        <f>regex(NamedRanges[[#This Row],[CellReflist]],"(.+?)?(:)(.+)?","$1")</f>
        <v>$A$160</v>
      </c>
      <c r="J209" s="149" t="str">
        <f>regex(NamedRanges[[#This Row],[CellReflist]],"(.+?)?(:)(.+)?","$3")</f>
        <v>$A$169</v>
      </c>
    </row>
    <row r="210" spans="1:10">
      <c r="A210" t="s">
        <v>4897</v>
      </c>
      <c r="B210" s="474">
        <f>ЗР!$B$1:$F$1</f>
        <v>8</v>
      </c>
      <c r="D210" t="str">
        <f>getFormula(NamedRanges[[#This Row],[RefersTo]])</f>
        <v>=ЗР!$B$1:$F$1</v>
      </c>
      <c r="E210" t="str">
        <f>regex(NamedRanges[[#This Row],[Формула]],"([=])(.*?)([!])","$2")</f>
        <v>ЗР</v>
      </c>
      <c r="F210" t="str">
        <f>CellReflist(NamedRanges[[#This Row],[RefersTo]])</f>
        <v>$B$1:$F$1</v>
      </c>
      <c r="G210" s="149" t="str">
        <f>regex(NamedRanges[[#This Row],[CellReflist]],"(\$)(.*[A-Z])","$2")</f>
        <v>B$1:$F</v>
      </c>
      <c r="H210" s="149" t="str">
        <f>regex(NamedRanges[[#This Row],[CellReflist]],"[0-9].*")</f>
        <v>1:$F$1</v>
      </c>
      <c r="I210" s="149" t="str">
        <f>regex(NamedRanges[[#This Row],[CellReflist]],"(.+?)?(:)(.+)?","$1")</f>
        <v>$B$1</v>
      </c>
      <c r="J210" s="149" t="str">
        <f>regex(NamedRanges[[#This Row],[CellReflist]],"(.+?)?(:)(.+)?","$3")</f>
        <v>$F$1</v>
      </c>
    </row>
    <row r="211" spans="1:10">
      <c r="A211" t="s">
        <v>4899</v>
      </c>
      <c r="B211" s="474">
        <f ca="1">Расчет!$M$3</f>
        <v>52</v>
      </c>
      <c r="D211" t="str">
        <f>getFormula(NamedRanges[[#This Row],[RefersTo]])</f>
        <v>=Расчет!$M$3</v>
      </c>
      <c r="E211" t="str">
        <f>regex(NamedRanges[[#This Row],[Формула]],"([=])(.*?)([!])","$2")</f>
        <v>Расчет</v>
      </c>
      <c r="F211" t="str">
        <f>CellReflist(NamedRanges[[#This Row],[RefersTo]])</f>
        <v>$M$3</v>
      </c>
      <c r="G211" s="149" t="str">
        <f>regex(NamedRanges[[#This Row],[CellReflist]],"(\$)(.*[A-Z])","$2")</f>
        <v>M</v>
      </c>
      <c r="H211" s="149" t="str">
        <f>regex(NamedRanges[[#This Row],[CellReflist]],"[0-9].*")</f>
        <v>3</v>
      </c>
      <c r="I211" s="149" t="b">
        <f>regex(NamedRanges[[#This Row],[CellReflist]],"(.+?)?(:)(.+)?","$1")</f>
        <v>0</v>
      </c>
      <c r="J211" s="149" t="b">
        <f>regex(NamedRanges[[#This Row],[CellReflist]],"(.+?)?(:)(.+)?","$3")</f>
        <v>0</v>
      </c>
    </row>
    <row r="212" spans="1:10">
      <c r="A212" t="s">
        <v>4901</v>
      </c>
      <c r="B212" s="474" t="str">
        <f ca="1">Расчет!$J$3</f>
        <v>Вільхівецьке</v>
      </c>
      <c r="D212" t="str">
        <f>getFormula(NamedRanges[[#This Row],[RefersTo]])</f>
        <v>=Расчет!$J$3</v>
      </c>
      <c r="E212" t="str">
        <f>regex(NamedRanges[[#This Row],[Формула]],"([=])(.*?)([!])","$2")</f>
        <v>Расчет</v>
      </c>
      <c r="F212" t="str">
        <f>CellReflist(NamedRanges[[#This Row],[RefersTo]])</f>
        <v>$J$3</v>
      </c>
      <c r="G212" s="149" t="str">
        <f>regex(NamedRanges[[#This Row],[CellReflist]],"(\$)(.*[A-Z])","$2")</f>
        <v>J</v>
      </c>
      <c r="H212" s="149" t="str">
        <f>regex(NamedRanges[[#This Row],[CellReflist]],"[0-9].*")</f>
        <v>3</v>
      </c>
      <c r="I212" s="149" t="b">
        <f>regex(NamedRanges[[#This Row],[CellReflist]],"(.+?)?(:)(.+)?","$1")</f>
        <v>0</v>
      </c>
      <c r="J212" s="149" t="b">
        <f>regex(NamedRanges[[#This Row],[CellReflist]],"(.+?)?(:)(.+)?","$3")</f>
        <v>0</v>
      </c>
    </row>
    <row r="213" spans="1:10">
      <c r="A213" t="s">
        <v>4903</v>
      </c>
      <c r="B213" s="474">
        <f ca="1">Расчет!$Q$3</f>
        <v>0.3</v>
      </c>
      <c r="D213" t="str">
        <f>getFormula(NamedRanges[[#This Row],[RefersTo]])</f>
        <v>=Расчет!$Q$3</v>
      </c>
      <c r="E213" t="str">
        <f>regex(NamedRanges[[#This Row],[Формула]],"([=])(.*?)([!])","$2")</f>
        <v>Расчет</v>
      </c>
      <c r="F213" t="str">
        <f>CellReflist(NamedRanges[[#This Row],[RefersTo]])</f>
        <v>$Q$3</v>
      </c>
      <c r="G213" s="149" t="str">
        <f>regex(NamedRanges[[#This Row],[CellReflist]],"(\$)(.*[A-Z])","$2")</f>
        <v>Q</v>
      </c>
      <c r="H213" s="149" t="str">
        <f>regex(NamedRanges[[#This Row],[CellReflist]],"[0-9].*")</f>
        <v>3</v>
      </c>
      <c r="I213" s="149" t="b">
        <f>regex(NamedRanges[[#This Row],[CellReflist]],"(.+?)?(:)(.+)?","$1")</f>
        <v>0</v>
      </c>
      <c r="J213" s="149" t="b">
        <f>regex(NamedRanges[[#This Row],[CellReflist]],"(.+?)?(:)(.+)?","$3")</f>
        <v>0</v>
      </c>
    </row>
    <row r="214" spans="1:10">
      <c r="A214" t="s">
        <v>4905</v>
      </c>
      <c r="B214" s="474" t="str">
        <f ca="1">Расчет!$O$3</f>
        <v>7_0</v>
      </c>
      <c r="D214" t="str">
        <f>getFormula(NamedRanges[[#This Row],[RefersTo]])</f>
        <v>=Расчет!$O$3</v>
      </c>
      <c r="E214" t="str">
        <f>regex(NamedRanges[[#This Row],[Формула]],"([=])(.*?)([!])","$2")</f>
        <v>Расчет</v>
      </c>
      <c r="F214" t="str">
        <f>CellReflist(NamedRanges[[#This Row],[RefersTo]])</f>
        <v>$O$3</v>
      </c>
      <c r="G214" s="149" t="str">
        <f>regex(NamedRanges[[#This Row],[CellReflist]],"(\$)(.*[A-Z])","$2")</f>
        <v>O</v>
      </c>
      <c r="H214" s="149" t="str">
        <f>regex(NamedRanges[[#This Row],[CellReflist]],"[0-9].*")</f>
        <v>3</v>
      </c>
      <c r="I214" s="149" t="b">
        <f>regex(NamedRanges[[#This Row],[CellReflist]],"(.+?)?(:)(.+)?","$1")</f>
        <v>0</v>
      </c>
      <c r="J214" s="149" t="b">
        <f>regex(NamedRanges[[#This Row],[CellReflist]],"(.+?)?(:)(.+)?","$3")</f>
        <v>0</v>
      </c>
    </row>
    <row r="215" spans="1:10">
      <c r="A215" t="s">
        <v>2260</v>
      </c>
      <c r="B215" s="474" t="e">
        <f>КоэфРГК!$A$140:$E$153</f>
        <v>#VALUE!</v>
      </c>
      <c r="D215" t="str">
        <f>getFormula(NamedRanges[[#This Row],[RefersTo]])</f>
        <v>=КоэфРГК!$A$140:$E$153</v>
      </c>
      <c r="E215" t="str">
        <f>regex(NamedRanges[[#This Row],[Формула]],"([=])(.*?)([!])","$2")</f>
        <v>КоэфРГК</v>
      </c>
      <c r="F215" t="str">
        <f>CellReflist(NamedRanges[[#This Row],[RefersTo]])</f>
        <v>$A$140:$E$153</v>
      </c>
      <c r="G215" s="149" t="str">
        <f>regex(NamedRanges[[#This Row],[CellReflist]],"(\$)(.*[A-Z])","$2")</f>
        <v>A$140:$E</v>
      </c>
      <c r="H215" s="149" t="str">
        <f>regex(NamedRanges[[#This Row],[CellReflist]],"[0-9].*")</f>
        <v>140:$E$153</v>
      </c>
      <c r="I215" s="149" t="str">
        <f>regex(NamedRanges[[#This Row],[CellReflist]],"(.+?)?(:)(.+)?","$1")</f>
        <v>$A$140</v>
      </c>
      <c r="J215" s="149" t="str">
        <f>regex(NamedRanges[[#This Row],[CellReflist]],"(.+?)?(:)(.+)?","$3")</f>
        <v>$E$153</v>
      </c>
    </row>
    <row r="216" spans="1:10">
      <c r="A216" t="s">
        <v>4908</v>
      </c>
      <c r="B216" s="474" t="e">
        <f>КоэфРГК!$A$140:$A$153</f>
        <v>#VALUE!</v>
      </c>
      <c r="D216" t="str">
        <f>getFormula(NamedRanges[[#This Row],[RefersTo]])</f>
        <v>=КоэфРГК!$A$140:$A$153</v>
      </c>
      <c r="E216" t="str">
        <f>regex(NamedRanges[[#This Row],[Формула]],"([=])(.*?)([!])","$2")</f>
        <v>КоэфРГК</v>
      </c>
      <c r="F216" t="str">
        <f>CellReflist(NamedRanges[[#This Row],[RefersTo]])</f>
        <v>$A$140:$A$153</v>
      </c>
      <c r="G216" s="149" t="str">
        <f>regex(NamedRanges[[#This Row],[CellReflist]],"(\$)(.*[A-Z])","$2")</f>
        <v>A$140:$A</v>
      </c>
      <c r="H216" s="149" t="str">
        <f>regex(NamedRanges[[#This Row],[CellReflist]],"[0-9].*")</f>
        <v>140:$A$153</v>
      </c>
      <c r="I216" s="149" t="str">
        <f>regex(NamedRanges[[#This Row],[CellReflist]],"(.+?)?(:)(.+)?","$1")</f>
        <v>$A$140</v>
      </c>
      <c r="J216" s="149" t="str">
        <f>regex(NamedRanges[[#This Row],[CellReflist]],"(.+?)?(:)(.+)?","$3")</f>
        <v>$A$153</v>
      </c>
    </row>
    <row r="217" spans="1:10">
      <c r="A217" t="s">
        <v>2256</v>
      </c>
      <c r="B217" s="474" t="e">
        <f>КоэфРГК!$A$119:$M$128</f>
        <v>#VALUE!</v>
      </c>
      <c r="D217" t="str">
        <f>getFormula(NamedRanges[[#This Row],[RefersTo]])</f>
        <v>=КоэфРГК!$A$119:$M$128</v>
      </c>
      <c r="E217" t="str">
        <f>regex(NamedRanges[[#This Row],[Формула]],"([=])(.*?)([!])","$2")</f>
        <v>КоэфРГК</v>
      </c>
      <c r="F217" t="str">
        <f>CellReflist(NamedRanges[[#This Row],[RefersTo]])</f>
        <v>$A$119:$M$128</v>
      </c>
      <c r="G217" s="149" t="str">
        <f>regex(NamedRanges[[#This Row],[CellReflist]],"(\$)(.*[A-Z])","$2")</f>
        <v>A$119:$M</v>
      </c>
      <c r="H217" s="149" t="str">
        <f>regex(NamedRanges[[#This Row],[CellReflist]],"[0-9].*")</f>
        <v>119:$M$128</v>
      </c>
      <c r="I217" s="149" t="str">
        <f>regex(NamedRanges[[#This Row],[CellReflist]],"(.+?)?(:)(.+)?","$1")</f>
        <v>$A$119</v>
      </c>
      <c r="J217" s="149" t="str">
        <f>regex(NamedRanges[[#This Row],[CellReflist]],"(.+?)?(:)(.+)?","$3")</f>
        <v>$M$128</v>
      </c>
    </row>
    <row r="218" spans="1:10">
      <c r="A218" t="s">
        <v>4911</v>
      </c>
      <c r="B218" s="474" t="e">
        <f>КоэфРГК!$A$119:$A$128</f>
        <v>#VALUE!</v>
      </c>
      <c r="D218" t="str">
        <f>getFormula(NamedRanges[[#This Row],[RefersTo]])</f>
        <v>=КоэфРГК!$A$119:$A$128</v>
      </c>
      <c r="E218" t="str">
        <f>regex(NamedRanges[[#This Row],[Формула]],"([=])(.*?)([!])","$2")</f>
        <v>КоэфРГК</v>
      </c>
      <c r="F218" t="str">
        <f>CellReflist(NamedRanges[[#This Row],[RefersTo]])</f>
        <v>$A$119:$A$128</v>
      </c>
      <c r="G218" s="149" t="str">
        <f>regex(NamedRanges[[#This Row],[CellReflist]],"(\$)(.*[A-Z])","$2")</f>
        <v>A$119:$A</v>
      </c>
      <c r="H218" s="149" t="str">
        <f>regex(NamedRanges[[#This Row],[CellReflist]],"[0-9].*")</f>
        <v>119:$A$128</v>
      </c>
      <c r="I218" s="149" t="str">
        <f>regex(NamedRanges[[#This Row],[CellReflist]],"(.+?)?(:)(.+)?","$1")</f>
        <v>$A$119</v>
      </c>
      <c r="J218" s="149" t="str">
        <f>regex(NamedRanges[[#This Row],[CellReflist]],"(.+?)?(:)(.+)?","$3")</f>
        <v>$A$128</v>
      </c>
    </row>
    <row r="219" spans="1:10">
      <c r="A219" t="s">
        <v>5071</v>
      </c>
      <c r="B219" s="474" t="str">
        <f>"T_"</f>
        <v>T_</v>
      </c>
      <c r="D219" t="str">
        <f>getFormula(NamedRanges[[#This Row],[RefersTo]])</f>
        <v>="T_"</v>
      </c>
      <c r="E219" t="b">
        <f>regex(NamedRanges[[#This Row],[Формула]],"([=])(.*?)([!])","$2")</f>
        <v>0</v>
      </c>
      <c r="F219">
        <f>CellReflist(NamedRanges[[#This Row],[RefersTo]])</f>
        <v>0</v>
      </c>
      <c r="G219" s="149" t="b">
        <f>regex(NamedRanges[[#This Row],[CellReflist]],"(\$)(.*[A-Z])","$2")</f>
        <v>0</v>
      </c>
      <c r="H219" s="149" t="str">
        <f>regex(NamedRanges[[#This Row],[CellReflist]],"[0-9].*")</f>
        <v>0</v>
      </c>
      <c r="I219" s="149" t="b">
        <f>regex(NamedRanges[[#This Row],[CellReflist]],"(.+?)?(:)(.+)?","$1")</f>
        <v>0</v>
      </c>
      <c r="J219" s="149" t="b">
        <f>regex(NamedRanges[[#This Row],[CellReflist]],"(.+?)?(:)(.+)?","$3")</f>
        <v>0</v>
      </c>
    </row>
    <row r="220" spans="1:10">
      <c r="A220" t="s">
        <v>2251</v>
      </c>
      <c r="B220" s="474" t="e">
        <f>КоэфРГК!$A$87:$M$96</f>
        <v>#VALUE!</v>
      </c>
      <c r="D220" t="str">
        <f>getFormula(NamedRanges[[#This Row],[RefersTo]])</f>
        <v>=КоэфРГК!$A$87:$M$96</v>
      </c>
      <c r="E220" t="str">
        <f>regex(NamedRanges[[#This Row],[Формула]],"([=])(.*?)([!])","$2")</f>
        <v>КоэфРГК</v>
      </c>
      <c r="F220" t="str">
        <f>CellReflist(NamedRanges[[#This Row],[RefersTo]])</f>
        <v>$A$87:$M$96</v>
      </c>
      <c r="G220" s="149" t="str">
        <f>regex(NamedRanges[[#This Row],[CellReflist]],"(\$)(.*[A-Z])","$2")</f>
        <v>A$87:$M</v>
      </c>
      <c r="H220" s="149" t="str">
        <f>regex(NamedRanges[[#This Row],[CellReflist]],"[0-9].*")</f>
        <v>87:$M$96</v>
      </c>
      <c r="I220" s="149" t="str">
        <f>regex(NamedRanges[[#This Row],[CellReflist]],"(.+?)?(:)(.+)?","$1")</f>
        <v>$A$87</v>
      </c>
      <c r="J220" s="149" t="str">
        <f>regex(NamedRanges[[#This Row],[CellReflist]],"(.+?)?(:)(.+)?","$3")</f>
        <v>$M$96</v>
      </c>
    </row>
    <row r="221" spans="1:10">
      <c r="A221" t="s">
        <v>4914</v>
      </c>
      <c r="B221" s="474" t="e">
        <f>КоэфРГК!$A$87:$A$96</f>
        <v>#VALUE!</v>
      </c>
      <c r="D221" t="str">
        <f>getFormula(NamedRanges[[#This Row],[RefersTo]])</f>
        <v>=КоэфРГК!$A$87:$A$96</v>
      </c>
      <c r="E221" t="str">
        <f>regex(NamedRanges[[#This Row],[Формула]],"([=])(.*?)([!])","$2")</f>
        <v>КоэфРГК</v>
      </c>
      <c r="F221" t="str">
        <f>CellReflist(NamedRanges[[#This Row],[RefersTo]])</f>
        <v>$A$87:$A$96</v>
      </c>
      <c r="G221" s="149" t="str">
        <f>regex(NamedRanges[[#This Row],[CellReflist]],"(\$)(.*[A-Z])","$2")</f>
        <v>A$87:$A</v>
      </c>
      <c r="H221" s="149" t="str">
        <f>regex(NamedRanges[[#This Row],[CellReflist]],"[0-9].*")</f>
        <v>87:$A$96</v>
      </c>
      <c r="I221" s="149" t="str">
        <f>regex(NamedRanges[[#This Row],[CellReflist]],"(.+?)?(:)(.+)?","$1")</f>
        <v>$A$87</v>
      </c>
      <c r="J221" s="149" t="str">
        <f>regex(NamedRanges[[#This Row],[CellReflist]],"(.+?)?(:)(.+)?","$3")</f>
        <v>$A$96</v>
      </c>
    </row>
    <row r="222" spans="1:10">
      <c r="A222" t="s">
        <v>2255</v>
      </c>
      <c r="B222" s="474" t="e">
        <f>КоэфРГК!$A$180:$E$189</f>
        <v>#VALUE!</v>
      </c>
      <c r="D222" t="str">
        <f>getFormula(NamedRanges[[#This Row],[RefersTo]])</f>
        <v>=КоэфРГК!$A$180:$E$189</v>
      </c>
      <c r="E222" t="str">
        <f>regex(NamedRanges[[#This Row],[Формула]],"([=])(.*?)([!])","$2")</f>
        <v>КоэфРГК</v>
      </c>
      <c r="F222" t="str">
        <f>CellReflist(NamedRanges[[#This Row],[RefersTo]])</f>
        <v>$A$180:$E$189</v>
      </c>
      <c r="G222" s="149" t="str">
        <f>regex(NamedRanges[[#This Row],[CellReflist]],"(\$)(.*[A-Z])","$2")</f>
        <v>A$180:$E</v>
      </c>
      <c r="H222" s="149" t="str">
        <f>regex(NamedRanges[[#This Row],[CellReflist]],"[0-9].*")</f>
        <v>180:$E$189</v>
      </c>
      <c r="I222" s="149" t="str">
        <f>regex(NamedRanges[[#This Row],[CellReflist]],"(.+?)?(:)(.+)?","$1")</f>
        <v>$A$180</v>
      </c>
      <c r="J222" s="149" t="str">
        <f>regex(NamedRanges[[#This Row],[CellReflist]],"(.+?)?(:)(.+)?","$3")</f>
        <v>$E$189</v>
      </c>
    </row>
    <row r="223" spans="1:10">
      <c r="A223" t="s">
        <v>4925</v>
      </c>
      <c r="B223" s="474" t="e">
        <f>КоэфРГК!$A$180:$A$189</f>
        <v>#VALUE!</v>
      </c>
      <c r="D223" t="str">
        <f>getFormula(NamedRanges[[#This Row],[RefersTo]])</f>
        <v>=КоэфРГК!$A$180:$A$189</v>
      </c>
      <c r="E223" t="str">
        <f>regex(NamedRanges[[#This Row],[Формула]],"([=])(.*?)([!])","$2")</f>
        <v>КоэфРГК</v>
      </c>
      <c r="F223" t="str">
        <f>CellReflist(NamedRanges[[#This Row],[RefersTo]])</f>
        <v>$A$180:$A$189</v>
      </c>
      <c r="G223" s="149" t="str">
        <f>regex(NamedRanges[[#This Row],[CellReflist]],"(\$)(.*[A-Z])","$2")</f>
        <v>A$180:$A</v>
      </c>
      <c r="H223" s="149" t="str">
        <f>regex(NamedRanges[[#This Row],[CellReflist]],"[0-9].*")</f>
        <v>180:$A$189</v>
      </c>
      <c r="I223" s="149" t="str">
        <f>regex(NamedRanges[[#This Row],[CellReflist]],"(.+?)?(:)(.+)?","$1")</f>
        <v>$A$180</v>
      </c>
      <c r="J223" s="149" t="str">
        <f>regex(NamedRanges[[#This Row],[CellReflist]],"(.+?)?(:)(.+)?","$3")</f>
        <v>$A$189</v>
      </c>
    </row>
    <row r="224" spans="1:10">
      <c r="A224" t="s">
        <v>3281</v>
      </c>
      <c r="B224" s="474" t="e">
        <f>КоэфРГК!$A$201:$G$206</f>
        <v>#VALUE!</v>
      </c>
      <c r="D224" t="str">
        <f>getFormula(NamedRanges[[#This Row],[RefersTo]])</f>
        <v>=КоэфРГК!$A$201:$G$206</v>
      </c>
      <c r="E224" t="str">
        <f>regex(NamedRanges[[#This Row],[Формула]],"([=])(.*?)([!])","$2")</f>
        <v>КоэфРГК</v>
      </c>
      <c r="F224" t="str">
        <f>CellReflist(NamedRanges[[#This Row],[RefersTo]])</f>
        <v>$A$201:$G$206</v>
      </c>
      <c r="G224" s="149" t="str">
        <f>regex(NamedRanges[[#This Row],[CellReflist]],"(\$)(.*[A-Z])","$2")</f>
        <v>A$201:$G</v>
      </c>
      <c r="H224" s="149" t="str">
        <f>regex(NamedRanges[[#This Row],[CellReflist]],"[0-9].*")</f>
        <v>201:$G$206</v>
      </c>
      <c r="I224" s="149" t="str">
        <f>regex(NamedRanges[[#This Row],[CellReflist]],"(.+?)?(:)(.+)?","$1")</f>
        <v>$A$201</v>
      </c>
      <c r="J224" s="149" t="str">
        <f>regex(NamedRanges[[#This Row],[CellReflist]],"(.+?)?(:)(.+)?","$3")</f>
        <v>$G$206</v>
      </c>
    </row>
    <row r="225" spans="1:10">
      <c r="A225" t="s">
        <v>4928</v>
      </c>
      <c r="B225" s="474">
        <f>КоэфРГК!$A$200:$C$200</f>
        <v>4</v>
      </c>
      <c r="D225" t="str">
        <f>getFormula(NamedRanges[[#This Row],[RefersTo]])</f>
        <v>=КоэфРГК!$A$200:$C$200</v>
      </c>
      <c r="E225" t="str">
        <f>regex(NamedRanges[[#This Row],[Формула]],"([=])(.*?)([!])","$2")</f>
        <v>КоэфРГК</v>
      </c>
      <c r="F225" t="str">
        <f>CellReflist(NamedRanges[[#This Row],[RefersTo]])</f>
        <v>$A$200:$C$200</v>
      </c>
      <c r="G225" s="149" t="str">
        <f>regex(NamedRanges[[#This Row],[CellReflist]],"(\$)(.*[A-Z])","$2")</f>
        <v>A$200:$C</v>
      </c>
      <c r="H225" s="149" t="str">
        <f>regex(NamedRanges[[#This Row],[CellReflist]],"[0-9].*")</f>
        <v>200:$C$200</v>
      </c>
      <c r="I225" s="149" t="str">
        <f>regex(NamedRanges[[#This Row],[CellReflist]],"(.+?)?(:)(.+)?","$1")</f>
        <v>$A$200</v>
      </c>
      <c r="J225" s="149" t="str">
        <f>regex(NamedRanges[[#This Row],[CellReflist]],"(.+?)?(:)(.+)?","$3")</f>
        <v>$C$200</v>
      </c>
    </row>
    <row r="226" spans="1:10">
      <c r="A226" t="s">
        <v>2279</v>
      </c>
      <c r="B226" s="474" t="e">
        <f>КоэфРГК!$A$7:$M$16</f>
        <v>#VALUE!</v>
      </c>
      <c r="D226" t="str">
        <f>getFormula(NamedRanges[[#This Row],[RefersTo]])</f>
        <v>=КоэфРГК!$A$7:$M$16</v>
      </c>
      <c r="E226" t="str">
        <f>regex(NamedRanges[[#This Row],[Формула]],"([=])(.*?)([!])","$2")</f>
        <v>КоэфРГК</v>
      </c>
      <c r="F226" t="str">
        <f>CellReflist(NamedRanges[[#This Row],[RefersTo]])</f>
        <v>$A$7:$M$16</v>
      </c>
      <c r="G226" s="149" t="str">
        <f>regex(NamedRanges[[#This Row],[CellReflist]],"(\$)(.*[A-Z])","$2")</f>
        <v>A$7:$M</v>
      </c>
      <c r="H226" s="149" t="str">
        <f>regex(NamedRanges[[#This Row],[CellReflist]],"[0-9].*")</f>
        <v>7:$M$16</v>
      </c>
      <c r="I226" s="149" t="str">
        <f>regex(NamedRanges[[#This Row],[CellReflist]],"(.+?)?(:)(.+)?","$1")</f>
        <v>$A$7</v>
      </c>
      <c r="J226" s="149" t="str">
        <f>regex(NamedRanges[[#This Row],[CellReflist]],"(.+?)?(:)(.+)?","$3")</f>
        <v>$M$16</v>
      </c>
    </row>
    <row r="227" spans="1:10">
      <c r="A227" t="s">
        <v>5414</v>
      </c>
      <c r="B227" s="474" t="e">
        <f>КоэфРГК!$A$7:$A$16</f>
        <v>#VALUE!</v>
      </c>
      <c r="D227" t="str">
        <f>getFormula(NamedRanges[[#This Row],[RefersTo]])</f>
        <v>=КоэфРГК!$A$7:$A$16</v>
      </c>
      <c r="E227" t="str">
        <f>regex(NamedRanges[[#This Row],[Формула]],"([=])(.*?)([!])","$2")</f>
        <v>КоэфРГК</v>
      </c>
      <c r="F227" t="str">
        <f>CellReflist(NamedRanges[[#This Row],[RefersTo]])</f>
        <v>$A$7:$A$16</v>
      </c>
      <c r="G227" s="149" t="str">
        <f>regex(NamedRanges[[#This Row],[CellReflist]],"(\$)(.*[A-Z])","$2")</f>
        <v>A$7:$A</v>
      </c>
      <c r="H227" s="149" t="str">
        <f>regex(NamedRanges[[#This Row],[CellReflist]],"[0-9].*")</f>
        <v>7:$A$16</v>
      </c>
      <c r="I227" s="149" t="str">
        <f>regex(NamedRanges[[#This Row],[CellReflist]],"(.+?)?(:)(.+)?","$1")</f>
        <v>$A$7</v>
      </c>
      <c r="J227" s="149" t="str">
        <f>regex(NamedRanges[[#This Row],[CellReflist]],"(.+?)?(:)(.+)?","$3")</f>
        <v>$A$16</v>
      </c>
    </row>
    <row r="228" spans="1:10">
      <c r="A228" t="s">
        <v>4934</v>
      </c>
      <c r="B228" s="474" t="e">
        <f>КоэфРГК!$A$7:$A$16</f>
        <v>#VALUE!</v>
      </c>
      <c r="D228" t="str">
        <f>getFormula(NamedRanges[[#This Row],[RefersTo]])</f>
        <v>=КоэфРГК!$A$7:$A$16</v>
      </c>
      <c r="E228" t="str">
        <f>regex(NamedRanges[[#This Row],[Формула]],"([=])(.*?)([!])","$2")</f>
        <v>КоэфРГК</v>
      </c>
      <c r="F228" t="str">
        <f>CellReflist(NamedRanges[[#This Row],[RefersTo]])</f>
        <v>$A$7:$A$16</v>
      </c>
      <c r="G228" s="149" t="str">
        <f>regex(NamedRanges[[#This Row],[CellReflist]],"(\$)(.*[A-Z])","$2")</f>
        <v>A$7:$A</v>
      </c>
      <c r="H228" s="149" t="str">
        <f>regex(NamedRanges[[#This Row],[CellReflist]],"[0-9].*")</f>
        <v>7:$A$16</v>
      </c>
      <c r="I228" s="149" t="str">
        <f>regex(NamedRanges[[#This Row],[CellReflist]],"(.+?)?(:)(.+)?","$1")</f>
        <v>$A$7</v>
      </c>
      <c r="J228" s="149" t="str">
        <f>regex(NamedRanges[[#This Row],[CellReflist]],"(.+?)?(:)(.+)?","$3")</f>
        <v>$A$16</v>
      </c>
    </row>
    <row r="229" spans="1:10">
      <c r="A229" t="s">
        <v>4936</v>
      </c>
      <c r="B229" s="474">
        <f>КоэфРГК!$B$4:$M$4</f>
        <v>200</v>
      </c>
      <c r="D229" t="str">
        <f>getFormula(NamedRanges[[#This Row],[RefersTo]])</f>
        <v>=КоэфРГК!$B$4:$M$4</v>
      </c>
      <c r="E229" t="str">
        <f>regex(NamedRanges[[#This Row],[Формула]],"([=])(.*?)([!])","$2")</f>
        <v>КоэфРГК</v>
      </c>
      <c r="F229" t="str">
        <f>CellReflist(NamedRanges[[#This Row],[RefersTo]])</f>
        <v>$B$4:$M$4</v>
      </c>
      <c r="G229" s="149" t="str">
        <f>regex(NamedRanges[[#This Row],[CellReflist]],"(\$)(.*[A-Z])","$2")</f>
        <v>B$4:$M</v>
      </c>
      <c r="H229" s="149" t="str">
        <f>regex(NamedRanges[[#This Row],[CellReflist]],"[0-9].*")</f>
        <v>4:$M$4</v>
      </c>
      <c r="I229" s="149" t="str">
        <f>regex(NamedRanges[[#This Row],[CellReflist]],"(.+?)?(:)(.+)?","$1")</f>
        <v>$B$4</v>
      </c>
      <c r="J229" s="149" t="str">
        <f>regex(NamedRanges[[#This Row],[CellReflist]],"(.+?)?(:)(.+)?","$3")</f>
        <v>$M$4</v>
      </c>
    </row>
    <row r="230" spans="1:10">
      <c r="A230" t="s">
        <v>5399</v>
      </c>
      <c r="B230" s="474" t="e">
        <f ca="1">ADDRESS(ROW(INDIRECT(РГК_кошторис!XEN6)),COLUMN(INDIRECT(РГК_кошторис!XEN6)))&amp;":"&amp;ADDRESS(ROW(INDIRECT(РГК_кошторис!XEN6))+ROW(INDIRECT(РГК_кошторис!XEN6))-1,COLUMN(INDIRECT(РГК_кошторис!XEN6))+COLUMN(INDIRECT(РГК_кошторис!XEN6))-1)</f>
        <v>#REF!</v>
      </c>
      <c r="C230" t="s">
        <v>5415</v>
      </c>
      <c r="D230" t="str">
        <f>getFormula(NamedRanges[[#This Row],[RefersTo]])</f>
        <v>=ADDRESS(ROW(INDIRECT(РГК_кошторис!XEN6)),COLUMN(INDIRECT(РГК_кошторис!XEN6)))&amp;":"&amp;ADDRESS(ROW(INDIRECT(РГК_кошторис!XEN6))+ROW(INDIRECT(РГК_кошторис!XEN6))-1,COLUMN(INDIRECT(РГК_кошторис!XEN6))+COLUMN(INDIRECT(РГК_кошторис!XEN6))-1)</v>
      </c>
      <c r="E230" t="str">
        <f>regex(NamedRanges[[#This Row],[Формула]],"([=])(.*?)([!])","$2")</f>
        <v>ADDRESS(ROW(INDIRECT(РГК_кошторис</v>
      </c>
      <c r="F230" t="str">
        <f>CellReflist(NamedRanges[[#This Row],[RefersTo]])</f>
        <v>XEN6</v>
      </c>
      <c r="G230" s="149" t="b">
        <f>regex(NamedRanges[[#This Row],[CellReflist]],"(\$)(.*[A-Z])","$2")</f>
        <v>0</v>
      </c>
      <c r="H230" s="149" t="str">
        <f>regex(NamedRanges[[#This Row],[CellReflist]],"[0-9].*")</f>
        <v>6</v>
      </c>
      <c r="I230" s="149" t="b">
        <f>regex(NamedRanges[[#This Row],[CellReflist]],"(.+?)?(:)(.+)?","$1")</f>
        <v>0</v>
      </c>
      <c r="J230" s="149" t="b">
        <f>regex(NamedRanges[[#This Row],[CellReflist]],"(.+?)?(:)(.+)?","$3")</f>
        <v>0</v>
      </c>
    </row>
    <row r="231" spans="1:10">
      <c r="A231" t="s">
        <v>5313</v>
      </c>
      <c r="B231" s="474" t="str">
        <f>КоэфРГК!$I$231:$I$232</f>
        <v>Без спалювання</v>
      </c>
      <c r="D231" t="str">
        <f>getFormula(NamedRanges[[#This Row],[RefersTo]])</f>
        <v>=КоэфРГК!$I$231:$I$232</v>
      </c>
      <c r="E231" t="str">
        <f>regex(NamedRanges[[#This Row],[Формула]],"([=])(.*?)([!])","$2")</f>
        <v>КоэфРГК</v>
      </c>
      <c r="F231" t="str">
        <f>CellReflist(NamedRanges[[#This Row],[RefersTo]])</f>
        <v>$I$231:$I$232</v>
      </c>
      <c r="G231" s="149" t="str">
        <f>regex(NamedRanges[[#This Row],[CellReflist]],"(\$)(.*[A-Z])","$2")</f>
        <v>I$231:$I</v>
      </c>
      <c r="H231" s="149" t="str">
        <f>regex(NamedRanges[[#This Row],[CellReflist]],"[0-9].*")</f>
        <v>231:$I$232</v>
      </c>
      <c r="I231" s="149" t="str">
        <f>regex(NamedRanges[[#This Row],[CellReflist]],"(.+?)?(:)(.+)?","$1")</f>
        <v>$I$231</v>
      </c>
      <c r="J231" s="149" t="str">
        <f>regex(NamedRanges[[#This Row],[CellReflist]],"(.+?)?(:)(.+)?","$3")</f>
        <v>$I$232</v>
      </c>
    </row>
    <row r="232" spans="1:10">
      <c r="A232" t="s">
        <v>5416</v>
      </c>
      <c r="B232" s="474" t="e">
        <f>Коєфициент!$F$2:$F$6</f>
        <v>#VALUE!</v>
      </c>
      <c r="D232" t="str">
        <f>getFormula(NamedRanges[[#This Row],[RefersTo]])</f>
        <v>=Коєфициент!$F$2:$F$6</v>
      </c>
      <c r="E232" t="str">
        <f>regex(NamedRanges[[#This Row],[Формула]],"([=])(.*?)([!])","$2")</f>
        <v>Коєфициент</v>
      </c>
      <c r="F232" t="str">
        <f>CellReflist(NamedRanges[[#This Row],[RefersTo]])</f>
        <v>$F$2:$F$6</v>
      </c>
      <c r="G232" s="149" t="str">
        <f>regex(NamedRanges[[#This Row],[CellReflist]],"(\$)(.*[A-Z])","$2")</f>
        <v>F$2:$F</v>
      </c>
      <c r="H232" s="149" t="str">
        <f>regex(NamedRanges[[#This Row],[CellReflist]],"[0-9].*")</f>
        <v>2:$F$6</v>
      </c>
      <c r="I232" s="149" t="str">
        <f>regex(NamedRanges[[#This Row],[CellReflist]],"(.+?)?(:)(.+)?","$1")</f>
        <v>$F$2</v>
      </c>
      <c r="J232" s="149" t="str">
        <f>regex(NamedRanges[[#This Row],[CellReflist]],"(.+?)?(:)(.+)?","$3")</f>
        <v>$F$6</v>
      </c>
    </row>
    <row r="233" spans="1:10">
      <c r="A233" t="s">
        <v>5081</v>
      </c>
      <c r="B233" s="474">
        <f>1.215</f>
        <v>1.2150000000000001</v>
      </c>
      <c r="D233" t="str">
        <f>getFormula(NamedRanges[[#This Row],[RefersTo]])</f>
        <v>=1.215</v>
      </c>
      <c r="E233" t="b">
        <f>regex(NamedRanges[[#This Row],[Формула]],"([=])(.*?)([!])","$2")</f>
        <v>0</v>
      </c>
      <c r="F233">
        <f>CellReflist(NamedRanges[[#This Row],[RefersTo]])</f>
        <v>0</v>
      </c>
      <c r="G233" s="149" t="b">
        <f>regex(NamedRanges[[#This Row],[CellReflist]],"(\$)(.*[A-Z])","$2")</f>
        <v>0</v>
      </c>
      <c r="H233" s="149" t="str">
        <f>regex(NamedRanges[[#This Row],[CellReflist]],"[0-9].*")</f>
        <v>0</v>
      </c>
      <c r="I233" s="149" t="b">
        <f>regex(NamedRanges[[#This Row],[CellReflist]],"(.+?)?(:)(.+)?","$1")</f>
        <v>0</v>
      </c>
      <c r="J233" s="149" t="b">
        <f>regex(NamedRanges[[#This Row],[CellReflist]],"(.+?)?(:)(.+)?","$3")</f>
        <v>0</v>
      </c>
    </row>
    <row r="234" spans="1:10">
      <c r="A234" t="s">
        <v>5417</v>
      </c>
      <c r="B234" s="474" t="e">
        <f>РеестрЛКЕОД!$A$1:$J$2</f>
        <v>#VALUE!</v>
      </c>
      <c r="D234" t="str">
        <f>getFormula(NamedRanges[[#This Row],[RefersTo]])</f>
        <v>=РеестрЛКЕОД!$A$1:$J$2</v>
      </c>
      <c r="E234" t="str">
        <f>regex(NamedRanges[[#This Row],[Формула]],"([=])(.*?)([!])","$2")</f>
        <v>РеестрЛКЕОД</v>
      </c>
      <c r="F234" t="str">
        <f>CellReflist(NamedRanges[[#This Row],[RefersTo]])</f>
        <v>$A$1:$J$2</v>
      </c>
      <c r="G234" s="149" t="str">
        <f>regex(NamedRanges[[#This Row],[CellReflist]],"(\$)(.*[A-Z])","$2")</f>
        <v>A$1:$J</v>
      </c>
      <c r="H234" s="149" t="str">
        <f>regex(NamedRanges[[#This Row],[CellReflist]],"[0-9].*")</f>
        <v>1:$J$2</v>
      </c>
      <c r="I234" s="149" t="str">
        <f>regex(NamedRanges[[#This Row],[CellReflist]],"(.+?)?(:)(.+)?","$1")</f>
        <v>$A$1</v>
      </c>
      <c r="J234" s="149" t="str">
        <f>regex(NamedRanges[[#This Row],[CellReflist]],"(.+?)?(:)(.+)?","$3")</f>
        <v>$J$2</v>
      </c>
    </row>
    <row r="235" spans="1:10">
      <c r="A235" t="s">
        <v>5418</v>
      </c>
      <c r="B235" s="474" t="e">
        <f ca="1">OFFSET(Лісництва!$B$2,0,0,COUNTA(Лісництва!$B$2:$B$65535),1)</f>
        <v>#VALUE!</v>
      </c>
      <c r="D235" t="str">
        <f>getFormula(NamedRanges[[#This Row],[RefersTo]])</f>
        <v>=OFFSET(Лісництва!$B$2,0,0,COUNTA(Лісництва!$B$2:$B$65535),1)</v>
      </c>
      <c r="E235" t="str">
        <f>regex(NamedRanges[[#This Row],[Формула]],"([=])(.*?)([!])","$2")</f>
        <v>OFFSET(Лісництва</v>
      </c>
      <c r="F235" t="str">
        <f>CellReflist(NamedRanges[[#This Row],[RefersTo]])</f>
        <v>$B$2,$B$2:$B$65535</v>
      </c>
      <c r="G235" s="149" t="str">
        <f>regex(NamedRanges[[#This Row],[CellReflist]],"(\$)(.*[A-Z])","$2")</f>
        <v>B$2,$B$2:$B</v>
      </c>
      <c r="H235" s="149" t="str">
        <f>regex(NamedRanges[[#This Row],[CellReflist]],"[0-9].*")</f>
        <v>2,$B$2:$B$65535</v>
      </c>
      <c r="I235" s="149" t="str">
        <f>regex(NamedRanges[[#This Row],[CellReflist]],"(.+?)?(:)(.+)?","$1")</f>
        <v>$B$2,$B$2</v>
      </c>
      <c r="J235" s="149" t="str">
        <f>regex(NamedRanges[[#This Row],[CellReflist]],"(.+?)?(:)(.+)?","$3")</f>
        <v>$B$65535</v>
      </c>
    </row>
    <row r="236" spans="1:10">
      <c r="A236" t="s">
        <v>4953</v>
      </c>
      <c r="B236" s="474" t="e">
        <f ca="1">OFFSET(Лісництва!$C$2,0,0,COUNTA(Лісництва!$C$2:$C$65535),1)</f>
        <v>#VALUE!</v>
      </c>
      <c r="D236" t="str">
        <f>getFormula(NamedRanges[[#This Row],[RefersTo]])</f>
        <v>=OFFSET(Лісництва!$C$2,0,0,COUNTA(Лісництва!$C$2:$C$65535),1)</v>
      </c>
      <c r="E236" t="str">
        <f>regex(NamedRanges[[#This Row],[Формула]],"([=])(.*?)([!])","$2")</f>
        <v>OFFSET(Лісництва</v>
      </c>
      <c r="F236" t="str">
        <f>CellReflist(NamedRanges[[#This Row],[RefersTo]])</f>
        <v>$C$2,$C$2:$C$65535</v>
      </c>
      <c r="G236" s="149" t="str">
        <f>regex(NamedRanges[[#This Row],[CellReflist]],"(\$)(.*[A-Z])","$2")</f>
        <v>C$2,$C$2:$C</v>
      </c>
      <c r="H236" s="149" t="str">
        <f>regex(NamedRanges[[#This Row],[CellReflist]],"[0-9].*")</f>
        <v>2,$C$2:$C$65535</v>
      </c>
      <c r="I236" s="149" t="str">
        <f>regex(NamedRanges[[#This Row],[CellReflist]],"(.+?)?(:)(.+)?","$1")</f>
        <v>$C$2,$C$2</v>
      </c>
      <c r="J236" s="149" t="str">
        <f>regex(NamedRanges[[#This Row],[CellReflist]],"(.+?)?(:)(.+)?","$3")</f>
        <v>$C$65535</v>
      </c>
    </row>
    <row r="237" spans="1:10">
      <c r="A237" t="s">
        <v>3568</v>
      </c>
      <c r="B237" s="474" t="e">
        <f ca="1">OFFSET(ЛК!J7,0,0,COUNTA(ЛК!J7:J102),1)</f>
        <v>#REF!</v>
      </c>
      <c r="D237" t="str">
        <f>getFormula(NamedRanges[[#This Row],[RefersTo]])</f>
        <v>=OFFSET(ЛК!J7,0,0,COUNTA(ЛК!J7:J102),1)</v>
      </c>
      <c r="E237" t="str">
        <f>regex(NamedRanges[[#This Row],[Формула]],"([=])(.*?)([!])","$2")</f>
        <v>OFFSET(ЛК</v>
      </c>
      <c r="F237" t="str">
        <f>CellReflist(NamedRanges[[#This Row],[RefersTo]])</f>
        <v>J7,J7:J102</v>
      </c>
      <c r="G237" s="149" t="b">
        <f>regex(NamedRanges[[#This Row],[CellReflist]],"(\$)(.*[A-Z])","$2")</f>
        <v>0</v>
      </c>
      <c r="H237" s="149" t="str">
        <f>regex(NamedRanges[[#This Row],[CellReflist]],"[0-9].*")</f>
        <v>7,J7:J102</v>
      </c>
      <c r="I237" s="149" t="str">
        <f>regex(NamedRanges[[#This Row],[CellReflist]],"(.+?)?(:)(.+)?","$1")</f>
        <v>J7,J7</v>
      </c>
      <c r="J237" s="149" t="str">
        <f>regex(NamedRanges[[#This Row],[CellReflist]],"(.+?)?(:)(.+)?","$3")</f>
        <v>J102</v>
      </c>
    </row>
    <row r="238" spans="1:10">
      <c r="A238" t="s">
        <v>5419</v>
      </c>
      <c r="B238" s="474" t="e">
        <f>Молодняки!$A$1:$P$44</f>
        <v>#VALUE!</v>
      </c>
      <c r="D238" t="str">
        <f>getFormula(NamedRanges[[#This Row],[RefersTo]])</f>
        <v>=Молодняки!$A$1:$P$44</v>
      </c>
      <c r="E238" t="str">
        <f>regex(NamedRanges[[#This Row],[Формула]],"([=])(.*?)([!])","$2")</f>
        <v>Молодняки</v>
      </c>
      <c r="F238" t="str">
        <f>CellReflist(NamedRanges[[#This Row],[RefersTo]])</f>
        <v>$A$1:$P$44</v>
      </c>
      <c r="G238" s="149" t="str">
        <f>regex(NamedRanges[[#This Row],[CellReflist]],"(\$)(.*[A-Z])","$2")</f>
        <v>A$1:$P</v>
      </c>
      <c r="H238" s="149" t="str">
        <f>regex(NamedRanges[[#This Row],[CellReflist]],"[0-9].*")</f>
        <v>1:$P$44</v>
      </c>
      <c r="I238" s="149" t="str">
        <f>regex(NamedRanges[[#This Row],[CellReflist]],"(.+?)?(:)(.+)?","$1")</f>
        <v>$A$1</v>
      </c>
      <c r="J238" s="149" t="str">
        <f>regex(NamedRanges[[#This Row],[CellReflist]],"(.+?)?(:)(.+)?","$3")</f>
        <v>$P$44</v>
      </c>
    </row>
    <row r="239" spans="1:10">
      <c r="A239" t="s">
        <v>5420</v>
      </c>
      <c r="B239" s="474" t="e">
        <f>Расчет!$A$1:$U$40</f>
        <v>#VALUE!</v>
      </c>
      <c r="D239" t="str">
        <f>getFormula(NamedRanges[[#This Row],[RefersTo]])</f>
        <v>=Расчет!$A$1:$U$40</v>
      </c>
      <c r="E239" t="str">
        <f>regex(NamedRanges[[#This Row],[Формула]],"([=])(.*?)([!])","$2")</f>
        <v>Расчет</v>
      </c>
      <c r="F239" t="str">
        <f>CellReflist(NamedRanges[[#This Row],[RefersTo]])</f>
        <v>$A$1:$U$40</v>
      </c>
      <c r="G239" s="149" t="str">
        <f>regex(NamedRanges[[#This Row],[CellReflist]],"(\$)(.*[A-Z])","$2")</f>
        <v>A$1:$U</v>
      </c>
      <c r="H239" s="149" t="str">
        <f>regex(NamedRanges[[#This Row],[CellReflist]],"[0-9].*")</f>
        <v>1:$U$40</v>
      </c>
      <c r="I239" s="149" t="str">
        <f>regex(NamedRanges[[#This Row],[CellReflist]],"(.+?)?(:)(.+)?","$1")</f>
        <v>$A$1</v>
      </c>
      <c r="J239" s="149" t="str">
        <f>regex(NamedRanges[[#This Row],[CellReflist]],"(.+?)?(:)(.+)?","$3")</f>
        <v>$U$40</v>
      </c>
    </row>
    <row r="240" spans="1:10">
      <c r="A240" t="s">
        <v>5421</v>
      </c>
      <c r="B240" s="474" t="e">
        <f>РГК!$A$1:$N$17</f>
        <v>#VALUE!</v>
      </c>
      <c r="D240" t="str">
        <f>getFormula(NamedRanges[[#This Row],[RefersTo]])</f>
        <v>=РГК!$A$1:$N$17</v>
      </c>
      <c r="E240" t="str">
        <f>regex(NamedRanges[[#This Row],[Формула]],"([=])(.*?)([!])","$2")</f>
        <v>РГК</v>
      </c>
      <c r="F240" t="str">
        <f>CellReflist(NamedRanges[[#This Row],[RefersTo]])</f>
        <v>$A$1:$N$17</v>
      </c>
      <c r="G240" s="149" t="str">
        <f>regex(NamedRanges[[#This Row],[CellReflist]],"(\$)(.*[A-Z])","$2")</f>
        <v>A$1:$N</v>
      </c>
      <c r="H240" s="149" t="str">
        <f>regex(NamedRanges[[#This Row],[CellReflist]],"[0-9].*")</f>
        <v>1:$N$17</v>
      </c>
      <c r="I240" s="149" t="str">
        <f>regex(NamedRanges[[#This Row],[CellReflist]],"(.+?)?(:)(.+)?","$1")</f>
        <v>$A$1</v>
      </c>
      <c r="J240" s="149" t="str">
        <f>regex(NamedRanges[[#This Row],[CellReflist]],"(.+?)?(:)(.+)?","$3")</f>
        <v>$N$17</v>
      </c>
    </row>
    <row r="241" spans="1:10">
      <c r="A241" t="s">
        <v>5422</v>
      </c>
      <c r="B241" s="474" t="e">
        <f>РД!$A$1:$N$61</f>
        <v>#VALUE!</v>
      </c>
      <c r="D241" t="str">
        <f>getFormula(NamedRanges[[#This Row],[RefersTo]])</f>
        <v>=РД!$A$1:$N$61</v>
      </c>
      <c r="E241" t="str">
        <f>regex(NamedRanges[[#This Row],[Формула]],"([=])(.*?)([!])","$2")</f>
        <v>РД</v>
      </c>
      <c r="F241" t="str">
        <f>CellReflist(NamedRanges[[#This Row],[RefersTo]])</f>
        <v>$A$1:$N$61</v>
      </c>
      <c r="G241" s="149" t="str">
        <f>regex(NamedRanges[[#This Row],[CellReflist]],"(\$)(.*[A-Z])","$2")</f>
        <v>A$1:$N</v>
      </c>
      <c r="H241" s="149" t="str">
        <f>regex(NamedRanges[[#This Row],[CellReflist]],"[0-9].*")</f>
        <v>1:$N$61</v>
      </c>
      <c r="I241" s="149" t="str">
        <f>regex(NamedRanges[[#This Row],[CellReflist]],"(.+?)?(:)(.+)?","$1")</f>
        <v>$A$1</v>
      </c>
      <c r="J241" s="149" t="str">
        <f>regex(NamedRanges[[#This Row],[CellReflist]],"(.+?)?(:)(.+)?","$3")</f>
        <v>$N$61</v>
      </c>
    </row>
    <row r="242" spans="1:10">
      <c r="A242" t="s">
        <v>5423</v>
      </c>
      <c r="B242" s="474" t="e">
        <f>INT(ОбщСтаж/365) &amp; " р " &amp; INT((ОбщСтаж-INT(ОбщСтаж/365)*365)/30) &amp; " м "&amp; ОбщСтаж-INT(ОбщСтаж/365)*365-INT((ОбщСтаж-INT(ОбщСтаж/365)*365)/30)*30 &amp; " дн "</f>
        <v>#NAME?</v>
      </c>
      <c r="D242" t="str">
        <f>getFormula(NamedRanges[[#This Row],[RefersTo]])</f>
        <v>=INT(ОбщСтаж/365) &amp; " р " &amp; INT((ОбщСтаж-INT(ОбщСтаж/365)*365)/30) &amp; " м "&amp; ОбщСтаж-INT(ОбщСтаж/365)*365-INT((ОбщСтаж-INT(ОбщСтаж/365)*365)/30)*30 &amp; " дн "</v>
      </c>
      <c r="E242" t="b">
        <f>regex(NamedRanges[[#This Row],[Формула]],"([=])(.*?)([!])","$2")</f>
        <v>0</v>
      </c>
      <c r="F242">
        <f>CellReflist(NamedRanges[[#This Row],[RefersTo]])</f>
        <v>0</v>
      </c>
      <c r="G242" s="149" t="b">
        <f>regex(NamedRanges[[#This Row],[CellReflist]],"(\$)(.*[A-Z])","$2")</f>
        <v>0</v>
      </c>
      <c r="H242" s="149" t="str">
        <f>regex(NamedRanges[[#This Row],[CellReflist]],"[0-9].*")</f>
        <v>0</v>
      </c>
      <c r="I242" s="149" t="b">
        <f>regex(NamedRanges[[#This Row],[CellReflist]],"(.+?)?(:)(.+)?","$1")</f>
        <v>0</v>
      </c>
      <c r="J242" s="149" t="b">
        <f>regex(NamedRanges[[#This Row],[CellReflist]],"(.+?)?(:)(.+)?","$3")</f>
        <v>0</v>
      </c>
    </row>
    <row r="243" spans="1:10">
      <c r="A243" t="s">
        <v>5312</v>
      </c>
      <c r="B243" s="474" t="e">
        <f>КоэфРГК!$H$231:$H$233</f>
        <v>#VALUE!</v>
      </c>
      <c r="D243" t="str">
        <f>getFormula(NamedRanges[[#This Row],[RefersTo]])</f>
        <v>=КоэфРГК!$H$231:$H$233</v>
      </c>
      <c r="E243" t="str">
        <f>regex(NamedRanges[[#This Row],[Формула]],"([=])(.*?)([!])","$2")</f>
        <v>КоэфРГК</v>
      </c>
      <c r="F243" t="str">
        <f>CellReflist(NamedRanges[[#This Row],[RefersTo]])</f>
        <v>$H$231:$H$233</v>
      </c>
      <c r="G243" s="149" t="str">
        <f>regex(NamedRanges[[#This Row],[CellReflist]],"(\$)(.*[A-Z])","$2")</f>
        <v>H$231:$H</v>
      </c>
      <c r="H243" s="149" t="str">
        <f>regex(NamedRanges[[#This Row],[CellReflist]],"[0-9].*")</f>
        <v>231:$H$233</v>
      </c>
      <c r="I243" s="149" t="str">
        <f>regex(NamedRanges[[#This Row],[CellReflist]],"(.+?)?(:)(.+)?","$1")</f>
        <v>$H$231</v>
      </c>
      <c r="J243" s="149" t="str">
        <f>regex(NamedRanges[[#This Row],[CellReflist]],"(.+?)?(:)(.+)?","$3")</f>
        <v>$H$233</v>
      </c>
    </row>
    <row r="244" spans="1:10">
      <c r="A244" t="s">
        <v>4961</v>
      </c>
      <c r="B244" s="474" t="e">
        <f>Коєфициент!$A$2:$A$6</f>
        <v>#VALUE!</v>
      </c>
      <c r="D244" t="str">
        <f>getFormula(NamedRanges[[#This Row],[RefersTo]])</f>
        <v>=Коєфициент!$A$2:$A$6</v>
      </c>
      <c r="E244" t="str">
        <f>regex(NamedRanges[[#This Row],[Формула]],"([=])(.*?)([!])","$2")</f>
        <v>Коєфициент</v>
      </c>
      <c r="F244" t="str">
        <f>CellReflist(NamedRanges[[#This Row],[RefersTo]])</f>
        <v>$A$2:$A$6</v>
      </c>
      <c r="G244" s="149" t="str">
        <f>regex(NamedRanges[[#This Row],[CellReflist]],"(\$)(.*[A-Z])","$2")</f>
        <v>A$2:$A</v>
      </c>
      <c r="H244" s="149" t="str">
        <f>regex(NamedRanges[[#This Row],[CellReflist]],"[0-9].*")</f>
        <v>2:$A$6</v>
      </c>
      <c r="I244" s="149" t="str">
        <f>regex(NamedRanges[[#This Row],[CellReflist]],"(.+?)?(:)(.+)?","$1")</f>
        <v>$A$2</v>
      </c>
      <c r="J244" s="149" t="str">
        <f>regex(NamedRanges[[#This Row],[CellReflist]],"(.+?)?(:)(.+)?","$3")</f>
        <v>$A$6</v>
      </c>
    </row>
    <row r="245" spans="1:10">
      <c r="A245" t="s">
        <v>5424</v>
      </c>
      <c r="B245" s="474">
        <f>{1,1,1,1,1,1,1,1,1,1,1,1,1,1,1,1}</f>
        <v>1</v>
      </c>
      <c r="D245" t="str">
        <f>getFormula(NamedRanges[[#This Row],[RefersTo]])</f>
        <v>={1,1,1,1,1,1,1,1,1,1,1,1,1,1,1,1}</v>
      </c>
      <c r="E245" t="b">
        <f>regex(NamedRanges[[#This Row],[Формула]],"([=])(.*?)([!])","$2")</f>
        <v>0</v>
      </c>
      <c r="F245">
        <f>CellReflist(NamedRanges[[#This Row],[RefersTo]])</f>
        <v>0</v>
      </c>
      <c r="G245" s="149" t="b">
        <f>regex(NamedRanges[[#This Row],[CellReflist]],"(\$)(.*[A-Z])","$2")</f>
        <v>0</v>
      </c>
      <c r="H245" s="149" t="str">
        <f>regex(NamedRanges[[#This Row],[CellReflist]],"[0-9].*")</f>
        <v>0</v>
      </c>
      <c r="I245" s="149" t="b">
        <f>regex(NamedRanges[[#This Row],[CellReflist]],"(.+?)?(:)(.+)?","$1")</f>
        <v>0</v>
      </c>
      <c r="J245" s="149" t="b">
        <f>regex(NamedRanges[[#This Row],[CellReflist]],"(.+?)?(:)(.+)?","$3")</f>
        <v>0</v>
      </c>
    </row>
    <row r="246" spans="1:10">
      <c r="A246" t="s">
        <v>4966</v>
      </c>
      <c r="B246" s="474" t="e">
        <f>Лісництва!$B$2:$D$7</f>
        <v>#VALUE!</v>
      </c>
      <c r="D246" t="str">
        <f>getFormula(NamedRanges[[#This Row],[RefersTo]])</f>
        <v>=Лісництва!$B$2:$D$7</v>
      </c>
      <c r="E246" t="str">
        <f>regex(NamedRanges[[#This Row],[Формула]],"([=])(.*?)([!])","$2")</f>
        <v>Лісництва</v>
      </c>
      <c r="F246" t="str">
        <f>CellReflist(NamedRanges[[#This Row],[RefersTo]])</f>
        <v>$B$2:$D$7</v>
      </c>
      <c r="G246" s="149" t="str">
        <f>regex(NamedRanges[[#This Row],[CellReflist]],"(\$)(.*[A-Z])","$2")</f>
        <v>B$2:$D</v>
      </c>
      <c r="H246" s="149" t="str">
        <f>regex(NamedRanges[[#This Row],[CellReflist]],"[0-9].*")</f>
        <v>2:$D$7</v>
      </c>
      <c r="I246" s="149" t="str">
        <f>regex(NamedRanges[[#This Row],[CellReflist]],"(.+?)?(:)(.+)?","$1")</f>
        <v>$B$2</v>
      </c>
      <c r="J246" s="149" t="str">
        <f>regex(NamedRanges[[#This Row],[CellReflist]],"(.+?)?(:)(.+)?","$3")</f>
        <v>$D$7</v>
      </c>
    </row>
    <row r="247" spans="1:10">
      <c r="A247" t="s">
        <v>4972</v>
      </c>
      <c r="B247" s="474" t="e">
        <f>Коєфициент!$C$2:$C$16</f>
        <v>#VALUE!</v>
      </c>
      <c r="D247" t="str">
        <f>getFormula(NamedRanges[[#This Row],[RefersTo]])</f>
        <v>=Коєфициент!$C$2:$C$16</v>
      </c>
      <c r="E247" t="str">
        <f>regex(NamedRanges[[#This Row],[Формула]],"([=])(.*?)([!])","$2")</f>
        <v>Коєфициент</v>
      </c>
      <c r="F247" t="str">
        <f>CellReflist(NamedRanges[[#This Row],[RefersTo]])</f>
        <v>$C$2:$C$16</v>
      </c>
      <c r="G247" s="149" t="str">
        <f>regex(NamedRanges[[#This Row],[CellReflist]],"(\$)(.*[A-Z])","$2")</f>
        <v>C$2:$C</v>
      </c>
      <c r="H247" s="149" t="str">
        <f>regex(NamedRanges[[#This Row],[CellReflist]],"[0-9].*")</f>
        <v>2:$C$16</v>
      </c>
      <c r="I247" s="149" t="str">
        <f>regex(NamedRanges[[#This Row],[CellReflist]],"(.+?)?(:)(.+)?","$1")</f>
        <v>$C$2</v>
      </c>
      <c r="J247" s="149" t="str">
        <f>regex(NamedRanges[[#This Row],[CellReflist]],"(.+?)?(:)(.+)?","$3")</f>
        <v>$C$16</v>
      </c>
    </row>
    <row r="248" spans="1:10">
      <c r="A248" t="s">
        <v>4974</v>
      </c>
      <c r="B248" s="474" t="e">
        <f>Коєфициент!$F$2:$G$6</f>
        <v>#VALUE!</v>
      </c>
      <c r="D248" t="str">
        <f>getFormula(NamedRanges[[#This Row],[RefersTo]])</f>
        <v>=Коєфициент!$F$2:$G$6</v>
      </c>
      <c r="E248" t="str">
        <f>regex(NamedRanges[[#This Row],[Формула]],"([=])(.*?)([!])","$2")</f>
        <v>Коєфициент</v>
      </c>
      <c r="F248" t="str">
        <f>CellReflist(NamedRanges[[#This Row],[RefersTo]])</f>
        <v>$F$2:$G$6</v>
      </c>
      <c r="G248" s="149" t="str">
        <f>regex(NamedRanges[[#This Row],[CellReflist]],"(\$)(.*[A-Z])","$2")</f>
        <v>F$2:$G</v>
      </c>
      <c r="H248" s="149" t="str">
        <f>regex(NamedRanges[[#This Row],[CellReflist]],"[0-9].*")</f>
        <v>2:$G$6</v>
      </c>
      <c r="I248" s="149" t="str">
        <f>regex(NamedRanges[[#This Row],[CellReflist]],"(.+?)?(:)(.+)?","$1")</f>
        <v>$F$2</v>
      </c>
      <c r="J248" s="149" t="str">
        <f>regex(NamedRanges[[#This Row],[CellReflist]],"(.+?)?(:)(.+)?","$3")</f>
        <v>$G$6</v>
      </c>
    </row>
    <row r="249" spans="1:10">
      <c r="A249" t="s">
        <v>4976</v>
      </c>
      <c r="B249" s="474" t="e">
        <f>Коєфициент!$B$2:$B$16</f>
        <v>#VALUE!</v>
      </c>
      <c r="D249" t="str">
        <f>getFormula(NamedRanges[[#This Row],[RefersTo]])</f>
        <v>=Коєфициент!$B$2:$B$16</v>
      </c>
      <c r="E249" t="str">
        <f>regex(NamedRanges[[#This Row],[Формула]],"([=])(.*?)([!])","$2")</f>
        <v>Коєфициент</v>
      </c>
      <c r="F249" t="str">
        <f>CellReflist(NamedRanges[[#This Row],[RefersTo]])</f>
        <v>$B$2:$B$16</v>
      </c>
      <c r="G249" s="149" t="str">
        <f>regex(NamedRanges[[#This Row],[CellReflist]],"(\$)(.*[A-Z])","$2")</f>
        <v>B$2:$B</v>
      </c>
      <c r="H249" s="149" t="str">
        <f>regex(NamedRanges[[#This Row],[CellReflist]],"[0-9].*")</f>
        <v>2:$B$16</v>
      </c>
      <c r="I249" s="149" t="str">
        <f>regex(NamedRanges[[#This Row],[CellReflist]],"(.+?)?(:)(.+)?","$1")</f>
        <v>$B$2</v>
      </c>
      <c r="J249" s="149" t="str">
        <f>regex(NamedRanges[[#This Row],[CellReflist]],"(.+?)?(:)(.+)?","$3")</f>
        <v>$B$16</v>
      </c>
    </row>
    <row r="250" spans="1:10">
      <c r="A250" t="s">
        <v>4978</v>
      </c>
      <c r="B250" s="474" t="e">
        <f>Коєфициент!$A$2:$A$16</f>
        <v>#VALUE!</v>
      </c>
      <c r="D250" t="str">
        <f>getFormula(NamedRanges[[#This Row],[RefersTo]])</f>
        <v>=Коєфициент!$A$2:$A$16</v>
      </c>
      <c r="E250" t="str">
        <f>regex(NamedRanges[[#This Row],[Формула]],"([=])(.*?)([!])","$2")</f>
        <v>Коєфициент</v>
      </c>
      <c r="F250" t="str">
        <f>CellReflist(NamedRanges[[#This Row],[RefersTo]])</f>
        <v>$A$2:$A$16</v>
      </c>
      <c r="G250" s="149" t="str">
        <f>regex(NamedRanges[[#This Row],[CellReflist]],"(\$)(.*[A-Z])","$2")</f>
        <v>A$2:$A</v>
      </c>
      <c r="H250" s="149" t="str">
        <f>regex(NamedRanges[[#This Row],[CellReflist]],"[0-9].*")</f>
        <v>2:$A$16</v>
      </c>
      <c r="I250" s="149" t="str">
        <f>regex(NamedRanges[[#This Row],[CellReflist]],"(.+?)?(:)(.+)?","$1")</f>
        <v>$A$2</v>
      </c>
      <c r="J250" s="149" t="str">
        <f>regex(NamedRanges[[#This Row],[CellReflist]],"(.+?)?(:)(.+)?","$3")</f>
        <v>$A$16</v>
      </c>
    </row>
    <row r="251" spans="1:10">
      <c r="A251" t="s">
        <v>5365</v>
      </c>
      <c r="B251" s="474" t="e">
        <f>РГК_кошторис!$A$48:$H$61</f>
        <v>#VALUE!</v>
      </c>
      <c r="D251" t="str">
        <f>getFormula(NamedRanges[[#This Row],[RefersTo]])</f>
        <v>=РГК_кошторис!$A$48:$H$61</v>
      </c>
      <c r="E251" t="str">
        <f>regex(NamedRanges[[#This Row],[Формула]],"([=])(.*?)([!])","$2")</f>
        <v>РГК_кошторис</v>
      </c>
      <c r="F251" t="str">
        <f>CellReflist(NamedRanges[[#This Row],[RefersTo]])</f>
        <v>$A$48:$H$61</v>
      </c>
      <c r="G251" s="149" t="str">
        <f>regex(NamedRanges[[#This Row],[CellReflist]],"(\$)(.*[A-Z])","$2")</f>
        <v>A$48:$H</v>
      </c>
      <c r="H251" s="149" t="str">
        <f>regex(NamedRanges[[#This Row],[CellReflist]],"[0-9].*")</f>
        <v>48:$H$61</v>
      </c>
      <c r="I251" s="149" t="str">
        <f>regex(NamedRanges[[#This Row],[CellReflist]],"(.+?)?(:)(.+)?","$1")</f>
        <v>$A$48</v>
      </c>
      <c r="J251" s="149" t="str">
        <f>regex(NamedRanges[[#This Row],[CellReflist]],"(.+?)?(:)(.+)?","$3")</f>
        <v>$H$61</v>
      </c>
    </row>
    <row r="252" spans="1:10">
      <c r="A252" t="s">
        <v>4984</v>
      </c>
      <c r="B252" s="474">
        <f>0.36</f>
        <v>0.36</v>
      </c>
      <c r="D252" t="str">
        <f>getFormula(NamedRanges[[#This Row],[RefersTo]])</f>
        <v>=0.36</v>
      </c>
      <c r="E252" t="b">
        <f>regex(NamedRanges[[#This Row],[Формула]],"([=])(.*?)([!])","$2")</f>
        <v>0</v>
      </c>
      <c r="F252">
        <f>CellReflist(NamedRanges[[#This Row],[RefersTo]])</f>
        <v>0</v>
      </c>
      <c r="G252" s="149" t="b">
        <f>regex(NamedRanges[[#This Row],[CellReflist]],"(\$)(.*[A-Z])","$2")</f>
        <v>0</v>
      </c>
      <c r="H252" s="149" t="str">
        <f>regex(NamedRanges[[#This Row],[CellReflist]],"[0-9].*")</f>
        <v>0</v>
      </c>
      <c r="I252" s="149" t="b">
        <f>regex(NamedRanges[[#This Row],[CellReflist]],"(.+?)?(:)(.+)?","$1")</f>
        <v>0</v>
      </c>
      <c r="J252" s="149" t="b">
        <f>regex(NamedRanges[[#This Row],[CellReflist]],"(.+?)?(:)(.+)?","$3")</f>
        <v>0</v>
      </c>
    </row>
    <row r="253" spans="1:10">
      <c r="A253" t="s">
        <v>5400</v>
      </c>
      <c r="B253" s="474">
        <f>РеестрЛКЕОД!$A$4:$J$591</f>
        <v>0</v>
      </c>
      <c r="D253" s="149" t="str">
        <f>getFormula(NamedRanges[[#This Row],[RefersTo]])</f>
        <v>=РеестрЛКЕОД!$A$4:$J$591</v>
      </c>
      <c r="E253" s="149" t="str">
        <f>regex(NamedRanges[[#This Row],[Формула]],"([=])(.*?)([!])","$2")</f>
        <v>РеестрЛКЕОД</v>
      </c>
      <c r="F253" s="149" t="str">
        <f>CellReflist(NamedRanges[[#This Row],[RefersTo]])</f>
        <v>$A$4:$J$591</v>
      </c>
      <c r="G253" s="149" t="str">
        <f>regex(NamedRanges[[#This Row],[CellReflist]],"(\$)(.*[A-Z])","$2")</f>
        <v>A$4:$J</v>
      </c>
      <c r="H253" s="149" t="str">
        <f>regex(NamedRanges[[#This Row],[CellReflist]],"[0-9].*")</f>
        <v>4:$J$591</v>
      </c>
      <c r="I253" s="149" t="str">
        <f>regex(NamedRanges[[#This Row],[CellReflist]],"(.+?)?(:)(.+)?","$1")</f>
        <v>$A$4</v>
      </c>
      <c r="J253" s="149" t="str">
        <f>regex(NamedRanges[[#This Row],[CellReflist]],"(.+?)?(:)(.+)?","$3")</f>
        <v>$J$591</v>
      </c>
    </row>
    <row r="254" spans="1:10">
      <c r="A254" t="s">
        <v>4584</v>
      </c>
      <c r="B254" s="474" t="str">
        <f ca="1">Форма!$J$6</f>
        <v>Вільхівецьке</v>
      </c>
      <c r="D254" s="149" t="str">
        <f>getFormula(NamedRanges[[#This Row],[RefersTo]])</f>
        <v>=Форма!$J$6</v>
      </c>
      <c r="E254" s="149" t="str">
        <f>regex(NamedRanges[[#This Row],[Формула]],"([=])(.*?)([!])","$2")</f>
        <v>Форма</v>
      </c>
      <c r="F254" s="149" t="str">
        <f>CellReflist(NamedRanges[[#This Row],[RefersTo]])</f>
        <v>$J$6</v>
      </c>
      <c r="G254" s="149" t="str">
        <f>regex(NamedRanges[[#This Row],[CellReflist]],"(\$)(.*[A-Z])","$2")</f>
        <v>J</v>
      </c>
      <c r="H254" s="149" t="str">
        <f>regex(NamedRanges[[#This Row],[CellReflist]],"[0-9].*")</f>
        <v>6</v>
      </c>
      <c r="I254" s="149" t="b">
        <f>regex(NamedRanges[[#This Row],[CellReflist]],"(.+?)?(:)(.+)?","$1")</f>
        <v>0</v>
      </c>
      <c r="J254" s="149" t="b">
        <f>regex(NamedRanges[[#This Row],[CellReflist]],"(.+?)?(:)(.+)?","$3")</f>
        <v>0</v>
      </c>
    </row>
    <row r="255" spans="1:10">
      <c r="A255" t="s">
        <v>2174</v>
      </c>
      <c r="B255" s="474" t="str">
        <f>"d"</f>
        <v>d</v>
      </c>
      <c r="D255" s="149" t="str">
        <f>getFormula(NamedRanges[[#This Row],[RefersTo]])</f>
        <v>="d"</v>
      </c>
      <c r="E255" s="149" t="b">
        <f>regex(NamedRanges[[#This Row],[Формула]],"([=])(.*?)([!])","$2")</f>
        <v>0</v>
      </c>
      <c r="F255" s="149">
        <f>CellReflist(NamedRanges[[#This Row],[RefersTo]])</f>
        <v>0</v>
      </c>
      <c r="G255" s="149" t="b">
        <f>regex(NamedRanges[[#This Row],[CellReflist]],"(\$)(.*[A-Z])","$2")</f>
        <v>0</v>
      </c>
      <c r="H255" s="149" t="str">
        <f>regex(NamedRanges[[#This Row],[CellReflist]],"[0-9].*")</f>
        <v>0</v>
      </c>
      <c r="I255" s="149" t="b">
        <f>regex(NamedRanges[[#This Row],[CellReflist]],"(.+?)?(:)(.+)?","$1")</f>
        <v>0</v>
      </c>
      <c r="J255" s="149" t="b">
        <f>regex(NamedRanges[[#This Row],[CellReflist]],"(.+?)?(:)(.+)?","$3")</f>
        <v>0</v>
      </c>
    </row>
    <row r="256" spans="1:10">
      <c r="A256" t="s">
        <v>4586</v>
      </c>
      <c r="B256" s="474" t="str">
        <f>РД!$H$1</f>
        <v>Шп</v>
      </c>
      <c r="D256" s="149" t="str">
        <f>getFormula(NamedRanges[[#This Row],[RefersTo]])</f>
        <v>=РД!$H$1</v>
      </c>
      <c r="E256" s="149" t="str">
        <f>regex(NamedRanges[[#This Row],[Формула]],"([=])(.*?)([!])","$2")</f>
        <v>РД</v>
      </c>
      <c r="F256" s="149" t="str">
        <f>CellReflist(NamedRanges[[#This Row],[RefersTo]])</f>
        <v>$H$1</v>
      </c>
      <c r="G256" s="149" t="str">
        <f>regex(NamedRanges[[#This Row],[CellReflist]],"(\$)(.*[A-Z])","$2")</f>
        <v>H</v>
      </c>
      <c r="H256" s="149" t="str">
        <f>regex(NamedRanges[[#This Row],[CellReflist]],"[0-9].*")</f>
        <v>1</v>
      </c>
      <c r="I256" s="149" t="b">
        <f>regex(NamedRanges[[#This Row],[CellReflist]],"(.+?)?(:)(.+)?","$1")</f>
        <v>0</v>
      </c>
      <c r="J256" s="149" t="b">
        <f>regex(NamedRanges[[#This Row],[CellReflist]],"(.+?)?(:)(.+)?","$3")</f>
        <v>0</v>
      </c>
    </row>
    <row r="257" spans="1:10">
      <c r="A257" t="s">
        <v>4588</v>
      </c>
      <c r="B257" s="474">
        <f>РД!$I$7</f>
        <v>0.14790996784565916</v>
      </c>
      <c r="D257" s="149" t="str">
        <f>getFormula(NamedRanges[[#This Row],[RefersTo]])</f>
        <v>=РД!$I$7</v>
      </c>
      <c r="E257" s="149" t="str">
        <f>regex(NamedRanges[[#This Row],[Формула]],"([=])(.*?)([!])","$2")</f>
        <v>РД</v>
      </c>
      <c r="F257" s="149" t="str">
        <f>CellReflist(NamedRanges[[#This Row],[RefersTo]])</f>
        <v>$I$7</v>
      </c>
      <c r="G257" s="149" t="str">
        <f>regex(NamedRanges[[#This Row],[CellReflist]],"(\$)(.*[A-Z])","$2")</f>
        <v>I</v>
      </c>
      <c r="H257" s="149" t="str">
        <f>regex(NamedRanges[[#This Row],[CellReflist]],"[0-9].*")</f>
        <v>7</v>
      </c>
      <c r="I257" s="149" t="b">
        <f>regex(NamedRanges[[#This Row],[CellReflist]],"(.+?)?(:)(.+)?","$1")</f>
        <v>0</v>
      </c>
      <c r="J257" s="149" t="b">
        <f>regex(NamedRanges[[#This Row],[CellReflist]],"(.+?)?(:)(.+)?","$3")</f>
        <v>0</v>
      </c>
    </row>
    <row r="258" spans="1:10">
      <c r="A258" t="s">
        <v>4590</v>
      </c>
      <c r="B258" s="474">
        <f>РД!$I$8</f>
        <v>0</v>
      </c>
      <c r="D258" s="149" t="str">
        <f>getFormula(NamedRanges[[#This Row],[RefersTo]])</f>
        <v>=РД!$I$8</v>
      </c>
      <c r="E258" s="149" t="str">
        <f>regex(NamedRanges[[#This Row],[Формула]],"([=])(.*?)([!])","$2")</f>
        <v>РД</v>
      </c>
      <c r="F258" s="149" t="str">
        <f>CellReflist(NamedRanges[[#This Row],[RefersTo]])</f>
        <v>$I$8</v>
      </c>
      <c r="G258" s="149" t="str">
        <f>regex(NamedRanges[[#This Row],[CellReflist]],"(\$)(.*[A-Z])","$2")</f>
        <v>I</v>
      </c>
      <c r="H258" s="149" t="str">
        <f>regex(NamedRanges[[#This Row],[CellReflist]],"[0-9].*")</f>
        <v>8</v>
      </c>
      <c r="I258" s="149" t="b">
        <f>regex(NamedRanges[[#This Row],[CellReflist]],"(.+?)?(:)(.+)?","$1")</f>
        <v>0</v>
      </c>
      <c r="J258" s="149" t="b">
        <f>regex(NamedRanges[[#This Row],[CellReflist]],"(.+?)?(:)(.+)?","$3")</f>
        <v>0</v>
      </c>
    </row>
    <row r="259" spans="1:10">
      <c r="A259" t="s">
        <v>4592</v>
      </c>
      <c r="B259" s="474">
        <f>РД!$I$13</f>
        <v>43102</v>
      </c>
      <c r="D259" s="149" t="str">
        <f>getFormula(NamedRanges[[#This Row],[RefersTo]])</f>
        <v>=РД!$I$13</v>
      </c>
      <c r="E259" s="149" t="str">
        <f>regex(NamedRanges[[#This Row],[Формула]],"([=])(.*?)([!])","$2")</f>
        <v>РД</v>
      </c>
      <c r="F259" s="149" t="str">
        <f>CellReflist(NamedRanges[[#This Row],[RefersTo]])</f>
        <v>$I$13</v>
      </c>
      <c r="G259" s="149" t="str">
        <f>regex(NamedRanges[[#This Row],[CellReflist]],"(\$)(.*[A-Z])","$2")</f>
        <v>I</v>
      </c>
      <c r="H259" s="149" t="str">
        <f>regex(NamedRanges[[#This Row],[CellReflist]],"[0-9].*")</f>
        <v>13</v>
      </c>
      <c r="I259" s="149" t="b">
        <f>regex(NamedRanges[[#This Row],[CellReflist]],"(.+?)?(:)(.+)?","$1")</f>
        <v>0</v>
      </c>
      <c r="J259" s="149" t="b">
        <f>regex(NamedRanges[[#This Row],[CellReflist]],"(.+?)?(:)(.+)?","$3")</f>
        <v>0</v>
      </c>
    </row>
    <row r="260" spans="1:10">
      <c r="A260" t="s">
        <v>4594</v>
      </c>
      <c r="B260" s="474">
        <f>РД!$P$9</f>
        <v>43222</v>
      </c>
      <c r="D260" s="149" t="str">
        <f>getFormula(NamedRanges[[#This Row],[RefersTo]])</f>
        <v>=РД!$P$9</v>
      </c>
      <c r="E260" s="149" t="str">
        <f>regex(NamedRanges[[#This Row],[Формула]],"([=])(.*?)([!])","$2")</f>
        <v>РД</v>
      </c>
      <c r="F260" s="149" t="str">
        <f>CellReflist(NamedRanges[[#This Row],[RefersTo]])</f>
        <v>$P$9</v>
      </c>
      <c r="G260" s="149" t="str">
        <f>regex(NamedRanges[[#This Row],[CellReflist]],"(\$)(.*[A-Z])","$2")</f>
        <v>P</v>
      </c>
      <c r="H260" s="149" t="str">
        <f>regex(NamedRanges[[#This Row],[CellReflist]],"[0-9].*")</f>
        <v>9</v>
      </c>
      <c r="I260" s="149" t="b">
        <f>regex(NamedRanges[[#This Row],[CellReflist]],"(.+?)?(:)(.+)?","$1")</f>
        <v>0</v>
      </c>
      <c r="J260" s="149" t="b">
        <f>regex(NamedRanges[[#This Row],[CellReflist]],"(.+?)?(:)(.+)?","$3")</f>
        <v>0</v>
      </c>
    </row>
    <row r="261" spans="1:10">
      <c r="A261" t="s">
        <v>4596</v>
      </c>
      <c r="B261" s="474" t="str">
        <f>РД!$P$12</f>
        <v>82 кв (4 вид) 0 діл.</v>
      </c>
      <c r="D261" s="149" t="str">
        <f>getFormula(NamedRanges[[#This Row],[RefersTo]])</f>
        <v>=РД!$P$12</v>
      </c>
      <c r="E261" s="149" t="str">
        <f>regex(NamedRanges[[#This Row],[Формула]],"([=])(.*?)([!])","$2")</f>
        <v>РД</v>
      </c>
      <c r="F261" s="149" t="str">
        <f>CellReflist(NamedRanges[[#This Row],[RefersTo]])</f>
        <v>$P$12</v>
      </c>
      <c r="G261" s="149" t="str">
        <f>regex(NamedRanges[[#This Row],[CellReflist]],"(\$)(.*[A-Z])","$2")</f>
        <v>P</v>
      </c>
      <c r="H261" s="149" t="str">
        <f>regex(NamedRanges[[#This Row],[CellReflist]],"[0-9].*")</f>
        <v>12</v>
      </c>
      <c r="I261" s="149" t="b">
        <f>regex(NamedRanges[[#This Row],[CellReflist]],"(.+?)?(:)(.+)?","$1")</f>
        <v>0</v>
      </c>
      <c r="J261" s="149" t="b">
        <f>regex(NamedRanges[[#This Row],[CellReflist]],"(.+?)?(:)(.+)?","$3")</f>
        <v>0</v>
      </c>
    </row>
    <row r="262" spans="1:10">
      <c r="A262" t="s">
        <v>5431</v>
      </c>
      <c r="B262" s="474" t="e">
        <f>РД!$A$58:$R$59</f>
        <v>#VALUE!</v>
      </c>
      <c r="D262" s="149" t="str">
        <f>getFormula(NamedRanges[[#This Row],[RefersTo]])</f>
        <v>=РД!$A$58:$R$59</v>
      </c>
      <c r="E262" s="149" t="str">
        <f>regex(NamedRanges[[#This Row],[Формула]],"([=])(.*?)([!])","$2")</f>
        <v>РД</v>
      </c>
      <c r="F262" s="149" t="str">
        <f>CellReflist(NamedRanges[[#This Row],[RefersTo]])</f>
        <v>$A$58:$R$59</v>
      </c>
      <c r="G262" s="149" t="str">
        <f>regex(NamedRanges[[#This Row],[CellReflist]],"(\$)(.*[A-Z])","$2")</f>
        <v>A$58:$R</v>
      </c>
      <c r="H262" s="149" t="str">
        <f>regex(NamedRanges[[#This Row],[CellReflist]],"[0-9].*")</f>
        <v>58:$R$59</v>
      </c>
      <c r="I262" s="149" t="str">
        <f>regex(NamedRanges[[#This Row],[CellReflist]],"(.+?)?(:)(.+)?","$1")</f>
        <v>$A$58</v>
      </c>
      <c r="J262" s="149" t="str">
        <f>regex(NamedRanges[[#This Row],[CellReflist]],"(.+?)?(:)(.+)?","$3")</f>
        <v>$R$59</v>
      </c>
    </row>
    <row r="263" spans="1:10">
      <c r="A263" t="s">
        <v>4598</v>
      </c>
      <c r="B263" s="474" t="str">
        <f>РД!$B$13</f>
        <v>Дз</v>
      </c>
      <c r="D263" s="149" t="str">
        <f>getFormula(NamedRanges[[#This Row],[RefersTo]])</f>
        <v>=РД!$B$13</v>
      </c>
      <c r="E263" s="149" t="str">
        <f>regex(NamedRanges[[#This Row],[Формула]],"([=])(.*?)([!])","$2")</f>
        <v>РД</v>
      </c>
      <c r="F263" s="149" t="str">
        <f>CellReflist(NamedRanges[[#This Row],[RefersTo]])</f>
        <v>$B$13</v>
      </c>
      <c r="G263" s="149" t="str">
        <f>regex(NamedRanges[[#This Row],[CellReflist]],"(\$)(.*[A-Z])","$2")</f>
        <v>B</v>
      </c>
      <c r="H263" s="149" t="str">
        <f>regex(NamedRanges[[#This Row],[CellReflist]],"[0-9].*")</f>
        <v>13</v>
      </c>
      <c r="I263" s="149" t="b">
        <f>regex(NamedRanges[[#This Row],[CellReflist]],"(.+?)?(:)(.+)?","$1")</f>
        <v>0</v>
      </c>
      <c r="J263" s="149" t="b">
        <f>regex(NamedRanges[[#This Row],[CellReflist]],"(.+?)?(:)(.+)?","$3")</f>
        <v>0</v>
      </c>
    </row>
    <row r="264" spans="1:10">
      <c r="A264" t="s">
        <v>5432</v>
      </c>
      <c r="B264" s="474" t="e">
        <f>РД!$A$1:$R$13</f>
        <v>#VALUE!</v>
      </c>
      <c r="D264" s="149" t="str">
        <f>getFormula(NamedRanges[[#This Row],[RefersTo]])</f>
        <v>=РД!$A$1:$R$13</v>
      </c>
      <c r="E264" s="149" t="str">
        <f>regex(NamedRanges[[#This Row],[Формула]],"([=])(.*?)([!])","$2")</f>
        <v>РД</v>
      </c>
      <c r="F264" s="149" t="str">
        <f>CellReflist(NamedRanges[[#This Row],[RefersTo]])</f>
        <v>$A$1:$R$13</v>
      </c>
      <c r="G264" s="149" t="str">
        <f>regex(NamedRanges[[#This Row],[CellReflist]],"(\$)(.*[A-Z])","$2")</f>
        <v>A$1:$R</v>
      </c>
      <c r="H264" s="149" t="str">
        <f>regex(NamedRanges[[#This Row],[CellReflist]],"[0-9].*")</f>
        <v>1:$R$13</v>
      </c>
      <c r="I264" s="149" t="str">
        <f>regex(NamedRanges[[#This Row],[CellReflist]],"(.+?)?(:)(.+)?","$1")</f>
        <v>$A$1</v>
      </c>
      <c r="J264" s="149" t="str">
        <f>regex(NamedRanges[[#This Row],[CellReflist]],"(.+?)?(:)(.+)?","$3")</f>
        <v>$R$13</v>
      </c>
    </row>
    <row r="265" spans="1:10">
      <c r="A265" t="s">
        <v>4600</v>
      </c>
      <c r="B265" s="474">
        <f>РД!$I$2</f>
        <v>311</v>
      </c>
      <c r="D265" s="149" t="str">
        <f>getFormula(NamedRanges[[#This Row],[RefersTo]])</f>
        <v>=РД!$I$2</v>
      </c>
      <c r="E265" s="149" t="str">
        <f>regex(NamedRanges[[#This Row],[Формула]],"([=])(.*?)([!])","$2")</f>
        <v>РД</v>
      </c>
      <c r="F265" s="149" t="str">
        <f>CellReflist(NamedRanges[[#This Row],[RefersTo]])</f>
        <v>$I$2</v>
      </c>
      <c r="G265" s="149" t="str">
        <f>regex(NamedRanges[[#This Row],[CellReflist]],"(\$)(.*[A-Z])","$2")</f>
        <v>I</v>
      </c>
      <c r="H265" s="149" t="str">
        <f>regex(NamedRanges[[#This Row],[CellReflist]],"[0-9].*")</f>
        <v>2</v>
      </c>
      <c r="I265" s="149" t="b">
        <f>regex(NamedRanges[[#This Row],[CellReflist]],"(.+?)?(:)(.+)?","$1")</f>
        <v>0</v>
      </c>
      <c r="J265" s="149" t="b">
        <f>regex(NamedRanges[[#This Row],[CellReflist]],"(.+?)?(:)(.+)?","$3")</f>
        <v>0</v>
      </c>
    </row>
    <row r="266" spans="1:10">
      <c r="A266" t="s">
        <v>4602</v>
      </c>
      <c r="B266" s="474">
        <f>РД!$I$9</f>
        <v>1</v>
      </c>
      <c r="D266" s="149" t="str">
        <f>getFormula(NamedRanges[[#This Row],[RefersTo]])</f>
        <v>=РД!$I$9</v>
      </c>
      <c r="E266" s="149" t="str">
        <f>regex(NamedRanges[[#This Row],[Формула]],"([=])(.*?)([!])","$2")</f>
        <v>РД</v>
      </c>
      <c r="F266" s="149" t="str">
        <f>CellReflist(NamedRanges[[#This Row],[RefersTo]])</f>
        <v>$I$9</v>
      </c>
      <c r="G266" s="149" t="str">
        <f>regex(NamedRanges[[#This Row],[CellReflist]],"(\$)(.*[A-Z])","$2")</f>
        <v>I</v>
      </c>
      <c r="H266" s="149" t="str">
        <f>regex(NamedRanges[[#This Row],[CellReflist]],"[0-9].*")</f>
        <v>9</v>
      </c>
      <c r="I266" s="149" t="b">
        <f>regex(NamedRanges[[#This Row],[CellReflist]],"(.+?)?(:)(.+)?","$1")</f>
        <v>0</v>
      </c>
      <c r="J266" s="149" t="b">
        <f>regex(NamedRanges[[#This Row],[CellReflist]],"(.+?)?(:)(.+)?","$3")</f>
        <v>0</v>
      </c>
    </row>
    <row r="267" spans="1:10">
      <c r="A267" t="s">
        <v>4604</v>
      </c>
      <c r="B267" s="474">
        <f>РД!$B$3</f>
        <v>82</v>
      </c>
      <c r="D267" s="149" t="str">
        <f>getFormula(NamedRanges[[#This Row],[RefersTo]])</f>
        <v>=РД!$B$3</v>
      </c>
      <c r="E267" s="149" t="str">
        <f>regex(NamedRanges[[#This Row],[Формула]],"([=])(.*?)([!])","$2")</f>
        <v>РД</v>
      </c>
      <c r="F267" s="149" t="str">
        <f>CellReflist(NamedRanges[[#This Row],[RefersTo]])</f>
        <v>$B$3</v>
      </c>
      <c r="G267" s="149" t="str">
        <f>regex(NamedRanges[[#This Row],[CellReflist]],"(\$)(.*[A-Z])","$2")</f>
        <v>B</v>
      </c>
      <c r="H267" s="149" t="str">
        <f>regex(NamedRanges[[#This Row],[CellReflist]],"[0-9].*")</f>
        <v>3</v>
      </c>
      <c r="I267" s="149" t="b">
        <f>regex(NamedRanges[[#This Row],[CellReflist]],"(.+?)?(:)(.+)?","$1")</f>
        <v>0</v>
      </c>
      <c r="J267" s="149" t="b">
        <f>regex(NamedRanges[[#This Row],[CellReflist]],"(.+?)?(:)(.+)?","$3")</f>
        <v>0</v>
      </c>
    </row>
    <row r="268" spans="1:10">
      <c r="A268" t="s">
        <v>4606</v>
      </c>
      <c r="B268" s="474">
        <f ca="1">РД!$I$11</f>
        <v>1</v>
      </c>
      <c r="D268" s="149" t="str">
        <f>getFormula(NamedRanges[[#This Row],[RefersTo]])</f>
        <v>=РД!$I$11</v>
      </c>
      <c r="E268" s="149" t="str">
        <f>regex(NamedRanges[[#This Row],[Формула]],"([=])(.*?)([!])","$2")</f>
        <v>РД</v>
      </c>
      <c r="F268" s="149" t="str">
        <f>CellReflist(NamedRanges[[#This Row],[RefersTo]])</f>
        <v>$I$11</v>
      </c>
      <c r="G268" s="149" t="str">
        <f>regex(NamedRanges[[#This Row],[CellReflist]],"(\$)(.*[A-Z])","$2")</f>
        <v>I</v>
      </c>
      <c r="H268" s="149" t="str">
        <f>regex(NamedRanges[[#This Row],[CellReflist]],"[0-9].*")</f>
        <v>11</v>
      </c>
      <c r="I268" s="149" t="b">
        <f>regex(NamedRanges[[#This Row],[CellReflist]],"(.+?)?(:)(.+)?","$1")</f>
        <v>0</v>
      </c>
      <c r="J268" s="149" t="b">
        <f>regex(NamedRanges[[#This Row],[CellReflist]],"(.+?)?(:)(.+)?","$3")</f>
        <v>0</v>
      </c>
    </row>
    <row r="269" spans="1:10">
      <c r="A269" t="s">
        <v>4608</v>
      </c>
      <c r="B269" s="474" t="str">
        <f>РД!$B$2</f>
        <v>Шполянське</v>
      </c>
      <c r="D269" s="149" t="str">
        <f>getFormula(NamedRanges[[#This Row],[RefersTo]])</f>
        <v>=РД!$B$2</v>
      </c>
      <c r="E269" s="149" t="str">
        <f>regex(NamedRanges[[#This Row],[Формула]],"([=])(.*?)([!])","$2")</f>
        <v>РД</v>
      </c>
      <c r="F269" s="149" t="str">
        <f>CellReflist(NamedRanges[[#This Row],[RefersTo]])</f>
        <v>$B$2</v>
      </c>
      <c r="G269" s="149" t="str">
        <f>regex(NamedRanges[[#This Row],[CellReflist]],"(\$)(.*[A-Z])","$2")</f>
        <v>B</v>
      </c>
      <c r="H269" s="149" t="str">
        <f>regex(NamedRanges[[#This Row],[CellReflist]],"[0-9].*")</f>
        <v>2</v>
      </c>
      <c r="I269" s="149" t="b">
        <f>regex(NamedRanges[[#This Row],[CellReflist]],"(.+?)?(:)(.+)?","$1")</f>
        <v>0</v>
      </c>
      <c r="J269" s="149" t="b">
        <f>regex(NamedRanges[[#This Row],[CellReflist]],"(.+?)?(:)(.+)?","$3")</f>
        <v>0</v>
      </c>
    </row>
    <row r="270" spans="1:10">
      <c r="A270" t="s">
        <v>5433</v>
      </c>
      <c r="B270" s="474" t="e">
        <f>РД!$A$14:$R$56</f>
        <v>#VALUE!</v>
      </c>
      <c r="D270" s="149" t="str">
        <f>getFormula(NamedRanges[[#This Row],[RefersTo]])</f>
        <v>=РД!$A$14:$R$56</v>
      </c>
      <c r="E270" s="149" t="str">
        <f>regex(NamedRanges[[#This Row],[Формула]],"([=])(.*?)([!])","$2")</f>
        <v>РД</v>
      </c>
      <c r="F270" s="149" t="str">
        <f>CellReflist(NamedRanges[[#This Row],[RefersTo]])</f>
        <v>$A$14:$R$56</v>
      </c>
      <c r="G270" s="149" t="str">
        <f>regex(NamedRanges[[#This Row],[CellReflist]],"(\$)(.*[A-Z])","$2")</f>
        <v>A$14:$R</v>
      </c>
      <c r="H270" s="149" t="str">
        <f>regex(NamedRanges[[#This Row],[CellReflist]],"[0-9].*")</f>
        <v>14:$R$56</v>
      </c>
      <c r="I270" s="149" t="str">
        <f>regex(NamedRanges[[#This Row],[CellReflist]],"(.+?)?(:)(.+)?","$1")</f>
        <v>$A$14</v>
      </c>
      <c r="J270" s="149" t="str">
        <f>regex(NamedRanges[[#This Row],[CellReflist]],"(.+?)?(:)(.+)?","$3")</f>
        <v>$R$56</v>
      </c>
    </row>
    <row r="271" spans="1:10">
      <c r="A271" t="s">
        <v>4610</v>
      </c>
      <c r="B271" s="474">
        <f>РД!$I$5</f>
        <v>46</v>
      </c>
      <c r="D271" s="149" t="str">
        <f>getFormula(NamedRanges[[#This Row],[RefersTo]])</f>
        <v>=РД!$I$5</v>
      </c>
      <c r="E271" s="149" t="str">
        <f>regex(NamedRanges[[#This Row],[Формула]],"([=])(.*?)([!])","$2")</f>
        <v>РД</v>
      </c>
      <c r="F271" s="149" t="str">
        <f>CellReflist(NamedRanges[[#This Row],[RefersTo]])</f>
        <v>$I$5</v>
      </c>
      <c r="G271" s="149" t="str">
        <f>regex(NamedRanges[[#This Row],[CellReflist]],"(\$)(.*[A-Z])","$2")</f>
        <v>I</v>
      </c>
      <c r="H271" s="149" t="str">
        <f>regex(NamedRanges[[#This Row],[CellReflist]],"[0-9].*")</f>
        <v>5</v>
      </c>
      <c r="I271" s="149" t="b">
        <f>regex(NamedRanges[[#This Row],[CellReflist]],"(.+?)?(:)(.+)?","$1")</f>
        <v>0</v>
      </c>
      <c r="J271" s="149" t="b">
        <f>regex(NamedRanges[[#This Row],[CellReflist]],"(.+?)?(:)(.+)?","$3")</f>
        <v>0</v>
      </c>
    </row>
    <row r="272" spans="1:10">
      <c r="A272" t="s">
        <v>4612</v>
      </c>
      <c r="B272" s="474">
        <f>РД!$I$6</f>
        <v>11.19047619047619</v>
      </c>
      <c r="D272" s="149" t="str">
        <f>getFormula(NamedRanges[[#This Row],[RefersTo]])</f>
        <v>=РД!$I$6</v>
      </c>
      <c r="E272" s="149" t="str">
        <f>regex(NamedRanges[[#This Row],[Формула]],"([=])(.*?)([!])","$2")</f>
        <v>РД</v>
      </c>
      <c r="F272" s="149" t="str">
        <f>CellReflist(NamedRanges[[#This Row],[RefersTo]])</f>
        <v>$I$6</v>
      </c>
      <c r="G272" s="149" t="str">
        <f>regex(NamedRanges[[#This Row],[CellReflist]],"(\$)(.*[A-Z])","$2")</f>
        <v>I</v>
      </c>
      <c r="H272" s="149" t="str">
        <f>regex(NamedRanges[[#This Row],[CellReflist]],"[0-9].*")</f>
        <v>6</v>
      </c>
      <c r="I272" s="149" t="b">
        <f>regex(NamedRanges[[#This Row],[CellReflist]],"(.+?)?(:)(.+)?","$1")</f>
        <v>0</v>
      </c>
      <c r="J272" s="149" t="b">
        <f>regex(NamedRanges[[#This Row],[CellReflist]],"(.+?)?(:)(.+)?","$3")</f>
        <v>0</v>
      </c>
    </row>
    <row r="273" spans="1:10">
      <c r="A273" t="s">
        <v>4614</v>
      </c>
      <c r="B273" s="474">
        <f>РД!$G$1</f>
        <v>5</v>
      </c>
      <c r="D273" s="149" t="str">
        <f>getFormula(NamedRanges[[#This Row],[RefersTo]])</f>
        <v>=РД!$G$1</v>
      </c>
      <c r="E273" s="149" t="str">
        <f>regex(NamedRanges[[#This Row],[Формула]],"([=])(.*?)([!])","$2")</f>
        <v>РД</v>
      </c>
      <c r="F273" s="149" t="str">
        <f>CellReflist(NamedRanges[[#This Row],[RefersTo]])</f>
        <v>$G$1</v>
      </c>
      <c r="G273" s="149" t="str">
        <f>regex(NamedRanges[[#This Row],[CellReflist]],"(\$)(.*[A-Z])","$2")</f>
        <v>G</v>
      </c>
      <c r="H273" s="149" t="str">
        <f>regex(NamedRanges[[#This Row],[CellReflist]],"[0-9].*")</f>
        <v>1</v>
      </c>
      <c r="I273" s="149" t="b">
        <f>regex(NamedRanges[[#This Row],[CellReflist]],"(.+?)?(:)(.+)?","$1")</f>
        <v>0</v>
      </c>
      <c r="J273" s="149" t="b">
        <f>regex(NamedRanges[[#This Row],[CellReflist]],"(.+?)?(:)(.+)?","$3")</f>
        <v>0</v>
      </c>
    </row>
    <row r="274" spans="1:10">
      <c r="A274" t="s">
        <v>4616</v>
      </c>
      <c r="B274" s="474">
        <f>РД!$J$1</f>
        <v>1</v>
      </c>
      <c r="D274" s="149" t="str">
        <f>getFormula(NamedRanges[[#This Row],[RefersTo]])</f>
        <v>=РД!$J$1</v>
      </c>
      <c r="E274" s="149" t="str">
        <f>regex(NamedRanges[[#This Row],[Формула]],"([=])(.*?)([!])","$2")</f>
        <v>РД</v>
      </c>
      <c r="F274" s="149" t="str">
        <f>CellReflist(NamedRanges[[#This Row],[RefersTo]])</f>
        <v>$J$1</v>
      </c>
      <c r="G274" s="149" t="str">
        <f>regex(NamedRanges[[#This Row],[CellReflist]],"(\$)(.*[A-Z])","$2")</f>
        <v>J</v>
      </c>
      <c r="H274" s="149" t="str">
        <f>regex(NamedRanges[[#This Row],[CellReflist]],"[0-9].*")</f>
        <v>1</v>
      </c>
      <c r="I274" s="149" t="b">
        <f>regex(NamedRanges[[#This Row],[CellReflist]],"(.+?)?(:)(.+)?","$1")</f>
        <v>0</v>
      </c>
      <c r="J274" s="149" t="b">
        <f>regex(NamedRanges[[#This Row],[CellReflist]],"(.+?)?(:)(.+)?","$3")</f>
        <v>0</v>
      </c>
    </row>
    <row r="275" spans="1:10">
      <c r="A275" t="s">
        <v>4618</v>
      </c>
      <c r="B275" s="474">
        <f>РД!$I$4</f>
        <v>1</v>
      </c>
      <c r="D275" s="149" t="str">
        <f>getFormula(NamedRanges[[#This Row],[RefersTo]])</f>
        <v>=РД!$I$4</v>
      </c>
      <c r="E275" s="149" t="str">
        <f>regex(NamedRanges[[#This Row],[Формула]],"([=])(.*?)([!])","$2")</f>
        <v>РД</v>
      </c>
      <c r="F275" s="149" t="str">
        <f>CellReflist(NamedRanges[[#This Row],[RefersTo]])</f>
        <v>$I$4</v>
      </c>
      <c r="G275" s="149" t="str">
        <f>regex(NamedRanges[[#This Row],[CellReflist]],"(\$)(.*[A-Z])","$2")</f>
        <v>I</v>
      </c>
      <c r="H275" s="149" t="str">
        <f>regex(NamedRanges[[#This Row],[CellReflist]],"[0-9].*")</f>
        <v>4</v>
      </c>
      <c r="I275" s="149" t="b">
        <f>regex(NamedRanges[[#This Row],[CellReflist]],"(.+?)?(:)(.+)?","$1")</f>
        <v>0</v>
      </c>
      <c r="J275" s="149" t="b">
        <f>regex(NamedRanges[[#This Row],[CellReflist]],"(.+?)?(:)(.+)?","$3")</f>
        <v>0</v>
      </c>
    </row>
    <row r="276" spans="1:10">
      <c r="A276" t="s">
        <v>4620</v>
      </c>
      <c r="B276" s="474">
        <f>РД!$I$12</f>
        <v>556628</v>
      </c>
      <c r="D276" s="149" t="str">
        <f>getFormula(NamedRanges[[#This Row],[RefersTo]])</f>
        <v>=РД!$I$12</v>
      </c>
      <c r="E276" s="149" t="str">
        <f>regex(NamedRanges[[#This Row],[Формула]],"([=])(.*?)([!])","$2")</f>
        <v>РД</v>
      </c>
      <c r="F276" s="149" t="str">
        <f>CellReflist(NamedRanges[[#This Row],[RefersTo]])</f>
        <v>$I$12</v>
      </c>
      <c r="G276" s="149" t="str">
        <f>regex(NamedRanges[[#This Row],[CellReflist]],"(\$)(.*[A-Z])","$2")</f>
        <v>I</v>
      </c>
      <c r="H276" s="149" t="str">
        <f>regex(NamedRanges[[#This Row],[CellReflist]],"[0-9].*")</f>
        <v>12</v>
      </c>
      <c r="I276" s="149" t="b">
        <f>regex(NamedRanges[[#This Row],[CellReflist]],"(.+?)?(:)(.+)?","$1")</f>
        <v>0</v>
      </c>
      <c r="J276" s="149" t="b">
        <f>regex(NamedRanges[[#This Row],[CellReflist]],"(.+?)?(:)(.+)?","$3")</f>
        <v>0</v>
      </c>
    </row>
    <row r="277" spans="1:10">
      <c r="A277" t="s">
        <v>4622</v>
      </c>
      <c r="B277" s="474" t="str">
        <f>РД!$B$6</f>
        <v>РД</v>
      </c>
      <c r="D277" s="149" t="str">
        <f>getFormula(NamedRanges[[#This Row],[RefersTo]])</f>
        <v>=РД!$B$6</v>
      </c>
      <c r="E277" s="149" t="str">
        <f>regex(NamedRanges[[#This Row],[Формула]],"([=])(.*?)([!])","$2")</f>
        <v>РД</v>
      </c>
      <c r="F277" s="149" t="str">
        <f>CellReflist(NamedRanges[[#This Row],[RefersTo]])</f>
        <v>$B$6</v>
      </c>
      <c r="G277" s="149" t="str">
        <f>regex(NamedRanges[[#This Row],[CellReflist]],"(\$)(.*[A-Z])","$2")</f>
        <v>B</v>
      </c>
      <c r="H277" s="149" t="str">
        <f>regex(NamedRanges[[#This Row],[CellReflist]],"[0-9].*")</f>
        <v>6</v>
      </c>
      <c r="I277" s="149" t="b">
        <f>regex(NamedRanges[[#This Row],[CellReflist]],"(.+?)?(:)(.+)?","$1")</f>
        <v>0</v>
      </c>
      <c r="J277" s="149" t="b">
        <f>regex(NamedRanges[[#This Row],[CellReflist]],"(.+?)?(:)(.+)?","$3")</f>
        <v>0</v>
      </c>
    </row>
    <row r="278" spans="1:10">
      <c r="A278" t="s">
        <v>4624</v>
      </c>
      <c r="B278" s="474">
        <f>РД!$X$11</f>
        <v>0</v>
      </c>
      <c r="D278" s="149" t="str">
        <f>getFormula(NamedRanges[[#This Row],[RefersTo]])</f>
        <v>=РД!$X$11</v>
      </c>
      <c r="E278" s="149" t="str">
        <f>regex(NamedRanges[[#This Row],[Формула]],"([=])(.*?)([!])","$2")</f>
        <v>РД</v>
      </c>
      <c r="F278" s="149" t="str">
        <f>CellReflist(NamedRanges[[#This Row],[RefersTo]])</f>
        <v>$X$11</v>
      </c>
      <c r="G278" s="149" t="str">
        <f>regex(NamedRanges[[#This Row],[CellReflist]],"(\$)(.*[A-Z])","$2")</f>
        <v>X</v>
      </c>
      <c r="H278" s="149" t="str">
        <f>regex(NamedRanges[[#This Row],[CellReflist]],"[0-9].*")</f>
        <v>11</v>
      </c>
      <c r="I278" s="149" t="b">
        <f>regex(NamedRanges[[#This Row],[CellReflist]],"(.+?)?(:)(.+)?","$1")</f>
        <v>0</v>
      </c>
      <c r="J278" s="149" t="b">
        <f>regex(NamedRanges[[#This Row],[CellReflist]],"(.+?)?(:)(.+)?","$3")</f>
        <v>0</v>
      </c>
    </row>
    <row r="279" spans="1:10">
      <c r="A279" t="s">
        <v>4626</v>
      </c>
      <c r="B279" s="474">
        <f>РД!$B$5</f>
        <v>4.2</v>
      </c>
      <c r="D279" s="149" t="str">
        <f>getFormula(NamedRanges[[#This Row],[RefersTo]])</f>
        <v>=РД!$B$5</v>
      </c>
      <c r="E279" s="149" t="str">
        <f>regex(NamedRanges[[#This Row],[Формула]],"([=])(.*?)([!])","$2")</f>
        <v>РД</v>
      </c>
      <c r="F279" s="149" t="str">
        <f>CellReflist(NamedRanges[[#This Row],[RefersTo]])</f>
        <v>$B$5</v>
      </c>
      <c r="G279" s="149" t="str">
        <f>regex(NamedRanges[[#This Row],[CellReflist]],"(\$)(.*[A-Z])","$2")</f>
        <v>B</v>
      </c>
      <c r="H279" s="149" t="str">
        <f>regex(NamedRanges[[#This Row],[CellReflist]],"[0-9].*")</f>
        <v>5</v>
      </c>
      <c r="I279" s="149" t="b">
        <f>regex(NamedRanges[[#This Row],[CellReflist]],"(.+?)?(:)(.+)?","$1")</f>
        <v>0</v>
      </c>
      <c r="J279" s="149" t="b">
        <f>regex(NamedRanges[[#This Row],[CellReflist]],"(.+?)?(:)(.+)?","$3")</f>
        <v>0</v>
      </c>
    </row>
    <row r="280" spans="1:10">
      <c r="A280" t="s">
        <v>4628</v>
      </c>
      <c r="B280" s="474">
        <f>РД!$I$1</f>
        <v>12</v>
      </c>
      <c r="D280" s="149" t="str">
        <f>getFormula(NamedRanges[[#This Row],[RefersTo]])</f>
        <v>=РД!$I$1</v>
      </c>
      <c r="E280" s="149" t="str">
        <f>regex(NamedRanges[[#This Row],[Формула]],"([=])(.*?)([!])","$2")</f>
        <v>РД</v>
      </c>
      <c r="F280" s="149" t="str">
        <f>CellReflist(NamedRanges[[#This Row],[RefersTo]])</f>
        <v>$I$1</v>
      </c>
      <c r="G280" s="149" t="str">
        <f>regex(NamedRanges[[#This Row],[CellReflist]],"(\$)(.*[A-Z])","$2")</f>
        <v>I</v>
      </c>
      <c r="H280" s="149" t="str">
        <f>regex(NamedRanges[[#This Row],[CellReflist]],"[0-9].*")</f>
        <v>1</v>
      </c>
      <c r="I280" s="149" t="b">
        <f>regex(NamedRanges[[#This Row],[CellReflist]],"(.+?)?(:)(.+)?","$1")</f>
        <v>0</v>
      </c>
      <c r="J280" s="149" t="b">
        <f>regex(NamedRanges[[#This Row],[CellReflist]],"(.+?)?(:)(.+)?","$3")</f>
        <v>0</v>
      </c>
    </row>
    <row r="281" spans="1:10">
      <c r="A281" t="s">
        <v>2253</v>
      </c>
      <c r="B281" s="474" t="e">
        <f>КоэфРГК!$A$103:$M$112</f>
        <v>#VALUE!</v>
      </c>
      <c r="D281" s="149" t="str">
        <f>getFormula(NamedRanges[[#This Row],[RefersTo]])</f>
        <v>=КоэфРГК!$A$103:$M$112</v>
      </c>
      <c r="E281" s="149" t="str">
        <f>regex(NamedRanges[[#This Row],[Формула]],"([=])(.*?)([!])","$2")</f>
        <v>КоэфРГК</v>
      </c>
      <c r="F281" s="149" t="str">
        <f>CellReflist(NamedRanges[[#This Row],[RefersTo]])</f>
        <v>$A$103:$M$112</v>
      </c>
      <c r="G281" s="149" t="str">
        <f>regex(NamedRanges[[#This Row],[CellReflist]],"(\$)(.*[A-Z])","$2")</f>
        <v>A$103:$M</v>
      </c>
      <c r="H281" s="149" t="str">
        <f>regex(NamedRanges[[#This Row],[CellReflist]],"[0-9].*")</f>
        <v>103:$M$112</v>
      </c>
      <c r="I281" s="149" t="str">
        <f>regex(NamedRanges[[#This Row],[CellReflist]],"(.+?)?(:)(.+)?","$1")</f>
        <v>$A$103</v>
      </c>
      <c r="J281" s="149" t="str">
        <f>regex(NamedRanges[[#This Row],[CellReflist]],"(.+?)?(:)(.+)?","$3")</f>
        <v>$M$112</v>
      </c>
    </row>
    <row r="282" spans="1:10">
      <c r="A282" t="s">
        <v>4631</v>
      </c>
      <c r="B282" s="474" t="e">
        <f>КоэфРГК!$E$103:$E$112</f>
        <v>#VALUE!</v>
      </c>
      <c r="D282" s="149" t="str">
        <f>getFormula(NamedRanges[[#This Row],[RefersTo]])</f>
        <v>=КоэфРГК!$E$103:$E$112</v>
      </c>
      <c r="E282" s="149" t="str">
        <f>regex(NamedRanges[[#This Row],[Формула]],"([=])(.*?)([!])","$2")</f>
        <v>КоэфРГК</v>
      </c>
      <c r="F282" s="149" t="str">
        <f>CellReflist(NamedRanges[[#This Row],[RefersTo]])</f>
        <v>$E$103:$E$112</v>
      </c>
      <c r="G282" s="149" t="str">
        <f>regex(NamedRanges[[#This Row],[CellReflist]],"(\$)(.*[A-Z])","$2")</f>
        <v>E$103:$E</v>
      </c>
      <c r="H282" s="149" t="str">
        <f>regex(NamedRanges[[#This Row],[CellReflist]],"[0-9].*")</f>
        <v>103:$E$112</v>
      </c>
      <c r="I282" s="149" t="str">
        <f>regex(NamedRanges[[#This Row],[CellReflist]],"(.+?)?(:)(.+)?","$1")</f>
        <v>$E$103</v>
      </c>
      <c r="J282" s="149" t="str">
        <f>regex(NamedRanges[[#This Row],[CellReflist]],"(.+?)?(:)(.+)?","$3")</f>
        <v>$E$112</v>
      </c>
    </row>
    <row r="283" spans="1:10">
      <c r="A283" t="s">
        <v>4633</v>
      </c>
      <c r="B283" s="474">
        <f>РД!$I$10</f>
        <v>3</v>
      </c>
      <c r="D283" s="149" t="str">
        <f>getFormula(NamedRanges[[#This Row],[RefersTo]])</f>
        <v>=РД!$I$10</v>
      </c>
      <c r="E283" s="149" t="str">
        <f>regex(NamedRanges[[#This Row],[Формула]],"([=])(.*?)([!])","$2")</f>
        <v>РД</v>
      </c>
      <c r="F283" s="149" t="str">
        <f>CellReflist(NamedRanges[[#This Row],[RefersTo]])</f>
        <v>$I$10</v>
      </c>
      <c r="G283" s="149" t="str">
        <f>regex(NamedRanges[[#This Row],[CellReflist]],"(\$)(.*[A-Z])","$2")</f>
        <v>I</v>
      </c>
      <c r="H283" s="149" t="str">
        <f>regex(NamedRanges[[#This Row],[CellReflist]],"[0-9].*")</f>
        <v>10</v>
      </c>
      <c r="I283" s="149" t="b">
        <f>regex(NamedRanges[[#This Row],[CellReflist]],"(.+?)?(:)(.+)?","$1")</f>
        <v>0</v>
      </c>
      <c r="J283" s="149" t="b">
        <f>regex(NamedRanges[[#This Row],[CellReflist]],"(.+?)?(:)(.+)?","$3")</f>
        <v>0</v>
      </c>
    </row>
    <row r="284" spans="1:10">
      <c r="A284" t="s">
        <v>4635</v>
      </c>
      <c r="B284" s="474">
        <f>КоэфРГК!$B$100:$M$100</f>
        <v>200</v>
      </c>
      <c r="D284" s="149" t="str">
        <f>getFormula(NamedRanges[[#This Row],[RefersTo]])</f>
        <v>=КоэфРГК!$B$100:$M$100</v>
      </c>
      <c r="E284" s="149" t="str">
        <f>regex(NamedRanges[[#This Row],[Формула]],"([=])(.*?)([!])","$2")</f>
        <v>КоэфРГК</v>
      </c>
      <c r="F284" s="149" t="str">
        <f>CellReflist(NamedRanges[[#This Row],[RefersTo]])</f>
        <v>$B$100:$M$100</v>
      </c>
      <c r="G284" s="149" t="str">
        <f>regex(NamedRanges[[#This Row],[CellReflist]],"(\$)(.*[A-Z])","$2")</f>
        <v>B$100:$M</v>
      </c>
      <c r="H284" s="149" t="str">
        <f>regex(NamedRanges[[#This Row],[CellReflist]],"[0-9].*")</f>
        <v>100:$M$100</v>
      </c>
      <c r="I284" s="149" t="str">
        <f>regex(NamedRanges[[#This Row],[CellReflist]],"(.+?)?(:)(.+)?","$1")</f>
        <v>$B$100</v>
      </c>
      <c r="J284" s="149" t="str">
        <f>regex(NamedRanges[[#This Row],[CellReflist]],"(.+?)?(:)(.+)?","$3")</f>
        <v>$M$100</v>
      </c>
    </row>
    <row r="285" spans="1:10">
      <c r="A285" t="s">
        <v>4637</v>
      </c>
      <c r="B285" s="474" t="str">
        <f>РД!$X$1</f>
        <v>РД</v>
      </c>
      <c r="D285" s="149" t="str">
        <f>getFormula(NamedRanges[[#This Row],[RefersTo]])</f>
        <v>=РД!$X$1</v>
      </c>
      <c r="E285" s="149" t="str">
        <f>regex(NamedRanges[[#This Row],[Формула]],"([=])(.*?)([!])","$2")</f>
        <v>РД</v>
      </c>
      <c r="F285" s="149" t="str">
        <f>CellReflist(NamedRanges[[#This Row],[RefersTo]])</f>
        <v>$X$1</v>
      </c>
      <c r="G285" s="149" t="str">
        <f>regex(NamedRanges[[#This Row],[CellReflist]],"(\$)(.*[A-Z])","$2")</f>
        <v>X</v>
      </c>
      <c r="H285" s="149" t="str">
        <f>regex(NamedRanges[[#This Row],[CellReflist]],"[0-9].*")</f>
        <v>1</v>
      </c>
      <c r="I285" s="149" t="b">
        <f>regex(NamedRanges[[#This Row],[CellReflist]],"(.+?)?(:)(.+)?","$1")</f>
        <v>0</v>
      </c>
      <c r="J285" s="149" t="b">
        <f>regex(NamedRanges[[#This Row],[CellReflist]],"(.+?)?(:)(.+)?","$3")</f>
        <v>0</v>
      </c>
    </row>
    <row r="286" spans="1:10">
      <c r="A286" t="s">
        <v>4639</v>
      </c>
      <c r="B286" s="474">
        <f ca="1">РД!$L$60</f>
        <v>4827.3409999999994</v>
      </c>
      <c r="D286" s="149" t="str">
        <f>getFormula(NamedRanges[[#This Row],[RefersTo]])</f>
        <v>=РД!$L$60</v>
      </c>
      <c r="E286" s="149" t="str">
        <f>regex(NamedRanges[[#This Row],[Формула]],"([=])(.*?)([!])","$2")</f>
        <v>РД</v>
      </c>
      <c r="F286" s="149" t="str">
        <f>CellReflist(NamedRanges[[#This Row],[RefersTo]])</f>
        <v>$L$60</v>
      </c>
      <c r="G286" s="149" t="str">
        <f>regex(NamedRanges[[#This Row],[CellReflist]],"(\$)(.*[A-Z])","$2")</f>
        <v>L</v>
      </c>
      <c r="H286" s="149" t="str">
        <f>regex(NamedRanges[[#This Row],[CellReflist]],"[0-9].*")</f>
        <v>60</v>
      </c>
      <c r="I286" s="149" t="b">
        <f>regex(NamedRanges[[#This Row],[CellReflist]],"(.+?)?(:)(.+)?","$1")</f>
        <v>0</v>
      </c>
      <c r="J286" s="149" t="b">
        <f>regex(NamedRanges[[#This Row],[CellReflist]],"(.+?)?(:)(.+)?","$3")</f>
        <v>0</v>
      </c>
    </row>
    <row r="287" spans="1:10">
      <c r="A287" t="s">
        <v>4641</v>
      </c>
      <c r="B287" s="474">
        <f>РД!$F$29</f>
        <v>0</v>
      </c>
      <c r="D287" s="149" t="str">
        <f>getFormula(NamedRanges[[#This Row],[RefersTo]])</f>
        <v>=РД!$F$29</v>
      </c>
      <c r="E287" s="149" t="str">
        <f>regex(NamedRanges[[#This Row],[Формула]],"([=])(.*?)([!])","$2")</f>
        <v>РД</v>
      </c>
      <c r="F287" s="149" t="str">
        <f>CellReflist(NamedRanges[[#This Row],[RefersTo]])</f>
        <v>$F$29</v>
      </c>
      <c r="G287" s="149" t="str">
        <f>regex(NamedRanges[[#This Row],[CellReflist]],"(\$)(.*[A-Z])","$2")</f>
        <v>F</v>
      </c>
      <c r="H287" s="149" t="str">
        <f>regex(NamedRanges[[#This Row],[CellReflist]],"[0-9].*")</f>
        <v>29</v>
      </c>
      <c r="I287" s="149" t="b">
        <f>regex(NamedRanges[[#This Row],[CellReflist]],"(.+?)?(:)(.+)?","$1")</f>
        <v>0</v>
      </c>
      <c r="J287" s="149" t="b">
        <f>regex(NamedRanges[[#This Row],[CellReflist]],"(.+?)?(:)(.+)?","$3")</f>
        <v>0</v>
      </c>
    </row>
    <row r="288" spans="1:10">
      <c r="A288" t="s">
        <v>4643</v>
      </c>
      <c r="B288" s="474">
        <f>РД!$F$30</f>
        <v>0</v>
      </c>
      <c r="D288" s="149" t="str">
        <f>getFormula(NamedRanges[[#This Row],[RefersTo]])</f>
        <v>=РД!$F$30</v>
      </c>
      <c r="E288" s="149" t="str">
        <f>regex(NamedRanges[[#This Row],[Формула]],"([=])(.*?)([!])","$2")</f>
        <v>РД</v>
      </c>
      <c r="F288" s="149" t="str">
        <f>CellReflist(NamedRanges[[#This Row],[RefersTo]])</f>
        <v>$F$30</v>
      </c>
      <c r="G288" s="149" t="str">
        <f>regex(NamedRanges[[#This Row],[CellReflist]],"(\$)(.*[A-Z])","$2")</f>
        <v>F</v>
      </c>
      <c r="H288" s="149" t="str">
        <f>regex(NamedRanges[[#This Row],[CellReflist]],"[0-9].*")</f>
        <v>30</v>
      </c>
      <c r="I288" s="149" t="b">
        <f>regex(NamedRanges[[#This Row],[CellReflist]],"(.+?)?(:)(.+)?","$1")</f>
        <v>0</v>
      </c>
      <c r="J288" s="149" t="b">
        <f>regex(NamedRanges[[#This Row],[CellReflist]],"(.+?)?(:)(.+)?","$3")</f>
        <v>0</v>
      </c>
    </row>
    <row r="289" spans="1:10">
      <c r="A289" t="s">
        <v>4645</v>
      </c>
      <c r="B289" s="474">
        <f>РД!$F$31</f>
        <v>1</v>
      </c>
      <c r="D289" s="149" t="str">
        <f>getFormula(NamedRanges[[#This Row],[RefersTo]])</f>
        <v>=РД!$F$31</v>
      </c>
      <c r="E289" s="149" t="str">
        <f>regex(NamedRanges[[#This Row],[Формула]],"([=])(.*?)([!])","$2")</f>
        <v>РД</v>
      </c>
      <c r="F289" s="149" t="str">
        <f>CellReflist(NamedRanges[[#This Row],[RefersTo]])</f>
        <v>$F$31</v>
      </c>
      <c r="G289" s="149" t="str">
        <f>regex(NamedRanges[[#This Row],[CellReflist]],"(\$)(.*[A-Z])","$2")</f>
        <v>F</v>
      </c>
      <c r="H289" s="149" t="str">
        <f>regex(NamedRanges[[#This Row],[CellReflist]],"[0-9].*")</f>
        <v>31</v>
      </c>
      <c r="I289" s="149" t="b">
        <f>regex(NamedRanges[[#This Row],[CellReflist]],"(.+?)?(:)(.+)?","$1")</f>
        <v>0</v>
      </c>
      <c r="J289" s="149" t="b">
        <f>regex(NamedRanges[[#This Row],[CellReflist]],"(.+?)?(:)(.+)?","$3")</f>
        <v>0</v>
      </c>
    </row>
    <row r="290" spans="1:10">
      <c r="A290" t="s">
        <v>4647</v>
      </c>
      <c r="B290" s="474">
        <f>РД!$F$32</f>
        <v>0</v>
      </c>
      <c r="D290" s="149" t="str">
        <f>getFormula(NamedRanges[[#This Row],[RefersTo]])</f>
        <v>=РД!$F$32</v>
      </c>
      <c r="E290" s="149" t="str">
        <f>regex(NamedRanges[[#This Row],[Формула]],"([=])(.*?)([!])","$2")</f>
        <v>РД</v>
      </c>
      <c r="F290" s="149" t="str">
        <f>CellReflist(NamedRanges[[#This Row],[RefersTo]])</f>
        <v>$F$32</v>
      </c>
      <c r="G290" s="149" t="str">
        <f>regex(NamedRanges[[#This Row],[CellReflist]],"(\$)(.*[A-Z])","$2")</f>
        <v>F</v>
      </c>
      <c r="H290" s="149" t="str">
        <f>regex(NamedRanges[[#This Row],[CellReflist]],"[0-9].*")</f>
        <v>32</v>
      </c>
      <c r="I290" s="149" t="b">
        <f>regex(NamedRanges[[#This Row],[CellReflist]],"(.+?)?(:)(.+)?","$1")</f>
        <v>0</v>
      </c>
      <c r="J290" s="149" t="b">
        <f>regex(NamedRanges[[#This Row],[CellReflist]],"(.+?)?(:)(.+)?","$3")</f>
        <v>0</v>
      </c>
    </row>
    <row r="291" spans="1:10">
      <c r="A291" t="s">
        <v>4649</v>
      </c>
      <c r="B291" s="474">
        <f>РД!$F$33</f>
        <v>0</v>
      </c>
      <c r="D291" s="149" t="str">
        <f>getFormula(NamedRanges[[#This Row],[RefersTo]])</f>
        <v>=РД!$F$33</v>
      </c>
      <c r="E291" s="149" t="str">
        <f>regex(NamedRanges[[#This Row],[Формула]],"([=])(.*?)([!])","$2")</f>
        <v>РД</v>
      </c>
      <c r="F291" s="149" t="str">
        <f>CellReflist(NamedRanges[[#This Row],[RefersTo]])</f>
        <v>$F$33</v>
      </c>
      <c r="G291" s="149" t="str">
        <f>regex(NamedRanges[[#This Row],[CellReflist]],"(\$)(.*[A-Z])","$2")</f>
        <v>F</v>
      </c>
      <c r="H291" s="149" t="str">
        <f>regex(NamedRanges[[#This Row],[CellReflist]],"[0-9].*")</f>
        <v>33</v>
      </c>
      <c r="I291" s="149" t="b">
        <f>regex(NamedRanges[[#This Row],[CellReflist]],"(.+?)?(:)(.+)?","$1")</f>
        <v>0</v>
      </c>
      <c r="J291" s="149" t="b">
        <f>regex(NamedRanges[[#This Row],[CellReflist]],"(.+?)?(:)(.+)?","$3")</f>
        <v>0</v>
      </c>
    </row>
    <row r="292" spans="1:10">
      <c r="A292" t="s">
        <v>4651</v>
      </c>
      <c r="B292" s="474">
        <f>РД!$F$34</f>
        <v>0</v>
      </c>
      <c r="D292" s="149" t="str">
        <f>getFormula(NamedRanges[[#This Row],[RefersTo]])</f>
        <v>=РД!$F$34</v>
      </c>
      <c r="E292" s="149" t="str">
        <f>regex(NamedRanges[[#This Row],[Формула]],"([=])(.*?)([!])","$2")</f>
        <v>РД</v>
      </c>
      <c r="F292" s="149" t="str">
        <f>CellReflist(NamedRanges[[#This Row],[RefersTo]])</f>
        <v>$F$34</v>
      </c>
      <c r="G292" s="149" t="str">
        <f>regex(NamedRanges[[#This Row],[CellReflist]],"(\$)(.*[A-Z])","$2")</f>
        <v>F</v>
      </c>
      <c r="H292" s="149" t="str">
        <f>regex(NamedRanges[[#This Row],[CellReflist]],"[0-9].*")</f>
        <v>34</v>
      </c>
      <c r="I292" s="149" t="b">
        <f>regex(NamedRanges[[#This Row],[CellReflist]],"(.+?)?(:)(.+)?","$1")</f>
        <v>0</v>
      </c>
      <c r="J292" s="149" t="b">
        <f>regex(NamedRanges[[#This Row],[CellReflist]],"(.+?)?(:)(.+)?","$3")</f>
        <v>0</v>
      </c>
    </row>
    <row r="293" spans="1:10">
      <c r="A293" t="s">
        <v>4653</v>
      </c>
      <c r="B293" s="474">
        <f>РД!$F$35</f>
        <v>0</v>
      </c>
      <c r="D293" s="149" t="str">
        <f>getFormula(NamedRanges[[#This Row],[RefersTo]])</f>
        <v>=РД!$F$35</v>
      </c>
      <c r="E293" s="149" t="str">
        <f>regex(NamedRanges[[#This Row],[Формула]],"([=])(.*?)([!])","$2")</f>
        <v>РД</v>
      </c>
      <c r="F293" s="149" t="str">
        <f>CellReflist(NamedRanges[[#This Row],[RefersTo]])</f>
        <v>$F$35</v>
      </c>
      <c r="G293" s="149" t="str">
        <f>regex(NamedRanges[[#This Row],[CellReflist]],"(\$)(.*[A-Z])","$2")</f>
        <v>F</v>
      </c>
      <c r="H293" s="149" t="str">
        <f>regex(NamedRanges[[#This Row],[CellReflist]],"[0-9].*")</f>
        <v>35</v>
      </c>
      <c r="I293" s="149" t="b">
        <f>regex(NamedRanges[[#This Row],[CellReflist]],"(.+?)?(:)(.+)?","$1")</f>
        <v>0</v>
      </c>
      <c r="J293" s="149" t="b">
        <f>regex(NamedRanges[[#This Row],[CellReflist]],"(.+?)?(:)(.+)?","$3")</f>
        <v>0</v>
      </c>
    </row>
    <row r="294" spans="1:10">
      <c r="A294" t="s">
        <v>4655</v>
      </c>
      <c r="B294" s="474">
        <f>РД!$F$36</f>
        <v>0</v>
      </c>
      <c r="D294" s="149" t="str">
        <f>getFormula(NamedRanges[[#This Row],[RefersTo]])</f>
        <v>=РД!$F$36</v>
      </c>
      <c r="E294" s="149" t="str">
        <f>regex(NamedRanges[[#This Row],[Формула]],"([=])(.*?)([!])","$2")</f>
        <v>РД</v>
      </c>
      <c r="F294" s="149" t="str">
        <f>CellReflist(NamedRanges[[#This Row],[RefersTo]])</f>
        <v>$F$36</v>
      </c>
      <c r="G294" s="149" t="str">
        <f>regex(NamedRanges[[#This Row],[CellReflist]],"(\$)(.*[A-Z])","$2")</f>
        <v>F</v>
      </c>
      <c r="H294" s="149" t="str">
        <f>regex(NamedRanges[[#This Row],[CellReflist]],"[0-9].*")</f>
        <v>36</v>
      </c>
      <c r="I294" s="149" t="b">
        <f>regex(NamedRanges[[#This Row],[CellReflist]],"(.+?)?(:)(.+)?","$1")</f>
        <v>0</v>
      </c>
      <c r="J294" s="149" t="b">
        <f>regex(NamedRanges[[#This Row],[CellReflist]],"(.+?)?(:)(.+)?","$3")</f>
        <v>0</v>
      </c>
    </row>
    <row r="295" spans="1:10">
      <c r="A295" t="s">
        <v>4657</v>
      </c>
      <c r="B295" s="474">
        <f>РД!$F$37</f>
        <v>35</v>
      </c>
      <c r="D295" s="149" t="str">
        <f>getFormula(NamedRanges[[#This Row],[RefersTo]])</f>
        <v>=РД!$F$37</v>
      </c>
      <c r="E295" s="149" t="str">
        <f>regex(NamedRanges[[#This Row],[Формула]],"([=])(.*?)([!])","$2")</f>
        <v>РД</v>
      </c>
      <c r="F295" s="149" t="str">
        <f>CellReflist(NamedRanges[[#This Row],[RefersTo]])</f>
        <v>$F$37</v>
      </c>
      <c r="G295" s="149" t="str">
        <f>regex(NamedRanges[[#This Row],[CellReflist]],"(\$)(.*[A-Z])","$2")</f>
        <v>F</v>
      </c>
      <c r="H295" s="149" t="str">
        <f>regex(NamedRanges[[#This Row],[CellReflist]],"[0-9].*")</f>
        <v>37</v>
      </c>
      <c r="I295" s="149" t="b">
        <f>regex(NamedRanges[[#This Row],[CellReflist]],"(.+?)?(:)(.+)?","$1")</f>
        <v>0</v>
      </c>
      <c r="J295" s="149" t="b">
        <f>regex(NamedRanges[[#This Row],[CellReflist]],"(.+?)?(:)(.+)?","$3")</f>
        <v>0</v>
      </c>
    </row>
    <row r="296" spans="1:10">
      <c r="A296" t="s">
        <v>4659</v>
      </c>
      <c r="B296" s="474">
        <f>РД!$F$38</f>
        <v>0</v>
      </c>
      <c r="D296" s="149" t="str">
        <f>getFormula(NamedRanges[[#This Row],[RefersTo]])</f>
        <v>=РД!$F$38</v>
      </c>
      <c r="E296" s="149" t="str">
        <f>regex(NamedRanges[[#This Row],[Формула]],"([=])(.*?)([!])","$2")</f>
        <v>РД</v>
      </c>
      <c r="F296" s="149" t="str">
        <f>CellReflist(NamedRanges[[#This Row],[RefersTo]])</f>
        <v>$F$38</v>
      </c>
      <c r="G296" s="149" t="str">
        <f>regex(NamedRanges[[#This Row],[CellReflist]],"(\$)(.*[A-Z])","$2")</f>
        <v>F</v>
      </c>
      <c r="H296" s="149" t="str">
        <f>regex(NamedRanges[[#This Row],[CellReflist]],"[0-9].*")</f>
        <v>38</v>
      </c>
      <c r="I296" s="149" t="b">
        <f>regex(NamedRanges[[#This Row],[CellReflist]],"(.+?)?(:)(.+)?","$1")</f>
        <v>0</v>
      </c>
      <c r="J296" s="149" t="b">
        <f>regex(NamedRanges[[#This Row],[CellReflist]],"(.+?)?(:)(.+)?","$3")</f>
        <v>0</v>
      </c>
    </row>
    <row r="297" spans="1:10">
      <c r="A297" t="s">
        <v>4661</v>
      </c>
      <c r="B297" s="474">
        <f>РД!$F$39</f>
        <v>0</v>
      </c>
      <c r="D297" s="149" t="str">
        <f>getFormula(NamedRanges[[#This Row],[RefersTo]])</f>
        <v>=РД!$F$39</v>
      </c>
      <c r="E297" s="149" t="str">
        <f>regex(NamedRanges[[#This Row],[Формула]],"([=])(.*?)([!])","$2")</f>
        <v>РД</v>
      </c>
      <c r="F297" s="149" t="str">
        <f>CellReflist(NamedRanges[[#This Row],[RefersTo]])</f>
        <v>$F$39</v>
      </c>
      <c r="G297" s="149" t="str">
        <f>regex(NamedRanges[[#This Row],[CellReflist]],"(\$)(.*[A-Z])","$2")</f>
        <v>F</v>
      </c>
      <c r="H297" s="149" t="str">
        <f>regex(NamedRanges[[#This Row],[CellReflist]],"[0-9].*")</f>
        <v>39</v>
      </c>
      <c r="I297" s="149" t="b">
        <f>regex(NamedRanges[[#This Row],[CellReflist]],"(.+?)?(:)(.+)?","$1")</f>
        <v>0</v>
      </c>
      <c r="J297" s="149" t="b">
        <f>regex(NamedRanges[[#This Row],[CellReflist]],"(.+?)?(:)(.+)?","$3")</f>
        <v>0</v>
      </c>
    </row>
    <row r="298" spans="1:10">
      <c r="A298" t="s">
        <v>4663</v>
      </c>
      <c r="B298" s="474">
        <f>РД!$F$40</f>
        <v>10</v>
      </c>
      <c r="D298" s="149" t="str">
        <f>getFormula(NamedRanges[[#This Row],[RefersTo]])</f>
        <v>=РД!$F$40</v>
      </c>
      <c r="E298" s="149" t="str">
        <f>regex(NamedRanges[[#This Row],[Формула]],"([=])(.*?)([!])","$2")</f>
        <v>РД</v>
      </c>
      <c r="F298" s="149" t="str">
        <f>CellReflist(NamedRanges[[#This Row],[RefersTo]])</f>
        <v>$F$40</v>
      </c>
      <c r="G298" s="149" t="str">
        <f>regex(NamedRanges[[#This Row],[CellReflist]],"(\$)(.*[A-Z])","$2")</f>
        <v>F</v>
      </c>
      <c r="H298" s="149" t="str">
        <f>regex(NamedRanges[[#This Row],[CellReflist]],"[0-9].*")</f>
        <v>40</v>
      </c>
      <c r="I298" s="149" t="b">
        <f>regex(NamedRanges[[#This Row],[CellReflist]],"(.+?)?(:)(.+)?","$1")</f>
        <v>0</v>
      </c>
      <c r="J298" s="149" t="b">
        <f>regex(NamedRanges[[#This Row],[CellReflist]],"(.+?)?(:)(.+)?","$3")</f>
        <v>0</v>
      </c>
    </row>
    <row r="299" spans="1:10">
      <c r="A299" t="s">
        <v>4665</v>
      </c>
      <c r="B299" s="474" t="str">
        <f>РД!$O$1</f>
        <v>СТЛ-18</v>
      </c>
      <c r="D299" s="149" t="str">
        <f>getFormula(NamedRanges[[#This Row],[RefersTo]])</f>
        <v>=РД!$O$1</v>
      </c>
      <c r="E299" s="149" t="str">
        <f>regex(NamedRanges[[#This Row],[Формула]],"([=])(.*?)([!])","$2")</f>
        <v>РД</v>
      </c>
      <c r="F299" s="149" t="str">
        <f>CellReflist(NamedRanges[[#This Row],[RefersTo]])</f>
        <v>$O$1</v>
      </c>
      <c r="G299" s="149" t="str">
        <f>regex(NamedRanges[[#This Row],[CellReflist]],"(\$)(.*[A-Z])","$2")</f>
        <v>O</v>
      </c>
      <c r="H299" s="149" t="str">
        <f>regex(NamedRanges[[#This Row],[CellReflist]],"[0-9].*")</f>
        <v>1</v>
      </c>
      <c r="I299" s="149" t="b">
        <f>regex(NamedRanges[[#This Row],[CellReflist]],"(.+?)?(:)(.+)?","$1")</f>
        <v>0</v>
      </c>
      <c r="J299" s="149" t="b">
        <f>regex(NamedRanges[[#This Row],[CellReflist]],"(.+?)?(:)(.+)?","$3")</f>
        <v>0</v>
      </c>
    </row>
    <row r="300" spans="1:10">
      <c r="A300" t="s">
        <v>4667</v>
      </c>
      <c r="B300" s="474" t="str">
        <f>РД!$B$7</f>
        <v>Важкі</v>
      </c>
      <c r="D300" s="149" t="str">
        <f>getFormula(NamedRanges[[#This Row],[RefersTo]])</f>
        <v>=РД!$B$7</v>
      </c>
      <c r="E300" s="149" t="str">
        <f>regex(NamedRanges[[#This Row],[Формула]],"([=])(.*?)([!])","$2")</f>
        <v>РД</v>
      </c>
      <c r="F300" s="149" t="str">
        <f>CellReflist(NamedRanges[[#This Row],[RefersTo]])</f>
        <v>$B$7</v>
      </c>
      <c r="G300" s="149" t="str">
        <f>regex(NamedRanges[[#This Row],[CellReflist]],"(\$)(.*[A-Z])","$2")</f>
        <v>B</v>
      </c>
      <c r="H300" s="149" t="str">
        <f>regex(NamedRanges[[#This Row],[CellReflist]],"[0-9].*")</f>
        <v>7</v>
      </c>
      <c r="I300" s="149" t="b">
        <f>regex(NamedRanges[[#This Row],[CellReflist]],"(.+?)?(:)(.+)?","$1")</f>
        <v>0</v>
      </c>
      <c r="J300" s="149" t="b">
        <f>regex(NamedRanges[[#This Row],[CellReflist]],"(.+?)?(:)(.+)?","$3")</f>
        <v>0</v>
      </c>
    </row>
    <row r="301" spans="1:10">
      <c r="A301" t="s">
        <v>4669</v>
      </c>
      <c r="B301" s="474" t="str">
        <f>РД!$B$4</f>
        <v>4_0</v>
      </c>
      <c r="D301" s="149" t="str">
        <f>getFormula(NamedRanges[[#This Row],[RefersTo]])</f>
        <v>=РД!$B$4</v>
      </c>
      <c r="E301" s="149" t="str">
        <f>regex(NamedRanges[[#This Row],[Формула]],"([=])(.*?)([!])","$2")</f>
        <v>РД</v>
      </c>
      <c r="F301" s="149" t="str">
        <f>CellReflist(NamedRanges[[#This Row],[RefersTo]])</f>
        <v>$B$4</v>
      </c>
      <c r="G301" s="149" t="str">
        <f>regex(NamedRanges[[#This Row],[CellReflist]],"(\$)(.*[A-Z])","$2")</f>
        <v>B</v>
      </c>
      <c r="H301" s="149" t="str">
        <f>regex(NamedRanges[[#This Row],[CellReflist]],"[0-9].*")</f>
        <v>4</v>
      </c>
      <c r="I301" s="149" t="b">
        <f>regex(NamedRanges[[#This Row],[CellReflist]],"(.+?)?(:)(.+)?","$1")</f>
        <v>0</v>
      </c>
      <c r="J301" s="149" t="b">
        <f>regex(NamedRanges[[#This Row],[CellReflist]],"(.+?)?(:)(.+)?","$3")</f>
        <v>0</v>
      </c>
    </row>
    <row r="302" spans="1:10">
      <c r="A302" t="s">
        <v>4671</v>
      </c>
      <c r="B302" s="474" t="str">
        <f>РД!$P$11</f>
        <v>Перевозчиков О.В.</v>
      </c>
      <c r="D302" s="149" t="str">
        <f>getFormula(NamedRanges[[#This Row],[RefersTo]])</f>
        <v>=РД!$P$11</v>
      </c>
      <c r="E302" s="149" t="str">
        <f>regex(NamedRanges[[#This Row],[Формула]],"([=])(.*?)([!])","$2")</f>
        <v>РД</v>
      </c>
      <c r="F302" s="149" t="str">
        <f>CellReflist(NamedRanges[[#This Row],[RefersTo]])</f>
        <v>$P$11</v>
      </c>
      <c r="G302" s="149" t="str">
        <f>regex(NamedRanges[[#This Row],[CellReflist]],"(\$)(.*[A-Z])","$2")</f>
        <v>P</v>
      </c>
      <c r="H302" s="149" t="str">
        <f>regex(NamedRanges[[#This Row],[CellReflist]],"[0-9].*")</f>
        <v>11</v>
      </c>
      <c r="I302" s="149" t="b">
        <f>regex(NamedRanges[[#This Row],[CellReflist]],"(.+?)?(:)(.+)?","$1")</f>
        <v>0</v>
      </c>
      <c r="J302" s="149" t="b">
        <f>regex(NamedRanges[[#This Row],[CellReflist]],"(.+?)?(:)(.+)?","$3")</f>
        <v>0</v>
      </c>
    </row>
    <row r="303" spans="1:10">
      <c r="A303" t="s">
        <v>4673</v>
      </c>
      <c r="B303" s="474" t="str">
        <f>РД!$B$9</f>
        <v>Степовий</v>
      </c>
      <c r="D303" s="149" t="str">
        <f>getFormula(NamedRanges[[#This Row],[RefersTo]])</f>
        <v>=РД!$B$9</v>
      </c>
      <c r="E303" s="149" t="str">
        <f>regex(NamedRanges[[#This Row],[Формула]],"([=])(.*?)([!])","$2")</f>
        <v>РД</v>
      </c>
      <c r="F303" s="149" t="str">
        <f>CellReflist(NamedRanges[[#This Row],[RefersTo]])</f>
        <v>$B$9</v>
      </c>
      <c r="G303" s="149" t="str">
        <f>regex(NamedRanges[[#This Row],[CellReflist]],"(\$)(.*[A-Z])","$2")</f>
        <v>B</v>
      </c>
      <c r="H303" s="149" t="str">
        <f>regex(NamedRanges[[#This Row],[CellReflist]],"[0-9].*")</f>
        <v>9</v>
      </c>
      <c r="I303" s="149" t="b">
        <f>regex(NamedRanges[[#This Row],[CellReflist]],"(.+?)?(:)(.+)?","$1")</f>
        <v>0</v>
      </c>
      <c r="J303" s="149" t="b">
        <f>regex(NamedRanges[[#This Row],[CellReflist]],"(.+?)?(:)(.+)?","$3")</f>
        <v>0</v>
      </c>
    </row>
    <row r="304" spans="1:10">
      <c r="A304" t="s">
        <v>4675</v>
      </c>
      <c r="B304" s="474">
        <f>РД!$I$3</f>
        <v>47</v>
      </c>
      <c r="D304" s="149" t="str">
        <f>getFormula(NamedRanges[[#This Row],[RefersTo]])</f>
        <v>=РД!$I$3</v>
      </c>
      <c r="E304" s="149" t="str">
        <f>regex(NamedRanges[[#This Row],[Формула]],"([=])(.*?)([!])","$2")</f>
        <v>РД</v>
      </c>
      <c r="F304" s="149" t="str">
        <f>CellReflist(NamedRanges[[#This Row],[RefersTo]])</f>
        <v>$I$3</v>
      </c>
      <c r="G304" s="149" t="str">
        <f>regex(NamedRanges[[#This Row],[CellReflist]],"(\$)(.*[A-Z])","$2")</f>
        <v>I</v>
      </c>
      <c r="H304" s="149" t="str">
        <f>regex(NamedRanges[[#This Row],[CellReflist]],"[0-9].*")</f>
        <v>3</v>
      </c>
      <c r="I304" s="149" t="b">
        <f>regex(NamedRanges[[#This Row],[CellReflist]],"(.+?)?(:)(.+)?","$1")</f>
        <v>0</v>
      </c>
      <c r="J304" s="149" t="b">
        <f>regex(NamedRanges[[#This Row],[CellReflist]],"(.+?)?(:)(.+)?","$3")</f>
        <v>0</v>
      </c>
    </row>
    <row r="305" spans="1:10">
      <c r="A305" t="s">
        <v>5083</v>
      </c>
      <c r="B305" s="474">
        <f>ККЗ</f>
        <v>1.2150000000000001</v>
      </c>
      <c r="D305" s="149" t="str">
        <f>getFormula(NamedRanges[[#This Row],[RefersTo]])</f>
        <v>=ККЗ</v>
      </c>
      <c r="E305" s="149" t="b">
        <f>regex(NamedRanges[[#This Row],[Формула]],"([=])(.*?)([!])","$2")</f>
        <v>0</v>
      </c>
      <c r="F305" s="149">
        <f>CellReflist(NamedRanges[[#This Row],[RefersTo]])</f>
        <v>0</v>
      </c>
      <c r="G305" s="149" t="b">
        <f>regex(NamedRanges[[#This Row],[CellReflist]],"(\$)(.*[A-Z])","$2")</f>
        <v>0</v>
      </c>
      <c r="H305" s="149" t="str">
        <f>regex(NamedRanges[[#This Row],[CellReflist]],"[0-9].*")</f>
        <v>0</v>
      </c>
      <c r="I305" s="149" t="b">
        <f>regex(NamedRanges[[#This Row],[CellReflist]],"(.+?)?(:)(.+)?","$1")</f>
        <v>0</v>
      </c>
      <c r="J305" s="149" t="b">
        <f>regex(NamedRanges[[#This Row],[CellReflist]],"(.+?)?(:)(.+)?","$3")</f>
        <v>0</v>
      </c>
    </row>
    <row r="306" spans="1:10">
      <c r="A306" t="s">
        <v>5373</v>
      </c>
      <c r="B306" s="474" t="e">
        <f>РД_кошторис!$A$4:$K$18</f>
        <v>#VALUE!</v>
      </c>
      <c r="D306" s="149" t="str">
        <f>getFormula(NamedRanges[[#This Row],[RefersTo]])</f>
        <v>=РД_кошторис!$A$4:$K$18</v>
      </c>
      <c r="E306" s="149" t="str">
        <f>regex(NamedRanges[[#This Row],[Формула]],"([=])(.*?)([!])","$2")</f>
        <v>РД_кошторис</v>
      </c>
      <c r="F306" s="149" t="str">
        <f>CellReflist(NamedRanges[[#This Row],[RefersTo]])</f>
        <v>$A$4:$K$18</v>
      </c>
      <c r="G306" s="149" t="str">
        <f>regex(NamedRanges[[#This Row],[CellReflist]],"(\$)(.*[A-Z])","$2")</f>
        <v>A$4:$K</v>
      </c>
      <c r="H306" s="149" t="str">
        <f>regex(NamedRanges[[#This Row],[CellReflist]],"[0-9].*")</f>
        <v>4:$K$18</v>
      </c>
      <c r="I306" s="149" t="str">
        <f>regex(NamedRanges[[#This Row],[CellReflist]],"(.+?)?(:)(.+)?","$1")</f>
        <v>$A$4</v>
      </c>
      <c r="J306" s="149" t="str">
        <f>regex(NamedRanges[[#This Row],[CellReflist]],"(.+?)?(:)(.+)?","$3")</f>
        <v>$K$18</v>
      </c>
    </row>
    <row r="307" spans="1:10">
      <c r="A307" t="s">
        <v>5368</v>
      </c>
      <c r="B307" s="474" t="e">
        <f>РД_кошторис!$A$28:$I$36</f>
        <v>#VALUE!</v>
      </c>
      <c r="D307" s="149" t="str">
        <f>getFormula(NamedRanges[[#This Row],[RefersTo]])</f>
        <v>=РД_кошторис!$A$28:$I$36</v>
      </c>
      <c r="E307" s="149" t="str">
        <f>regex(NamedRanges[[#This Row],[Формула]],"([=])(.*?)([!])","$2")</f>
        <v>РД_кошторис</v>
      </c>
      <c r="F307" s="149" t="str">
        <f>CellReflist(NamedRanges[[#This Row],[RefersTo]])</f>
        <v>$A$28:$I$36</v>
      </c>
      <c r="G307" s="149" t="str">
        <f>regex(NamedRanges[[#This Row],[CellReflist]],"(\$)(.*[A-Z])","$2")</f>
        <v>A$28:$I</v>
      </c>
      <c r="H307" s="149" t="str">
        <f>regex(NamedRanges[[#This Row],[CellReflist]],"[0-9].*")</f>
        <v>28:$I$36</v>
      </c>
      <c r="I307" s="149" t="str">
        <f>regex(NamedRanges[[#This Row],[CellReflist]],"(.+?)?(:)(.+)?","$1")</f>
        <v>$A$28</v>
      </c>
      <c r="J307" s="149" t="str">
        <f>regex(NamedRanges[[#This Row],[CellReflist]],"(.+?)?(:)(.+)?","$3")</f>
        <v>$I$36</v>
      </c>
    </row>
    <row r="308" spans="1:10">
      <c r="A308" t="s">
        <v>5369</v>
      </c>
      <c r="B308" s="474" t="e">
        <f>РД_кошторис!$A$42:$I$49</f>
        <v>#VALUE!</v>
      </c>
      <c r="D308" s="149" t="str">
        <f>getFormula(NamedRanges[[#This Row],[RefersTo]])</f>
        <v>=РД_кошторис!$A$42:$I$49</v>
      </c>
      <c r="E308" s="149" t="str">
        <f>regex(NamedRanges[[#This Row],[Формула]],"([=])(.*?)([!])","$2")</f>
        <v>РД_кошторис</v>
      </c>
      <c r="F308" s="149" t="str">
        <f>CellReflist(NamedRanges[[#This Row],[RefersTo]])</f>
        <v>$A$42:$I$49</v>
      </c>
      <c r="G308" s="149" t="str">
        <f>regex(NamedRanges[[#This Row],[CellReflist]],"(\$)(.*[A-Z])","$2")</f>
        <v>A$42:$I</v>
      </c>
      <c r="H308" s="149" t="str">
        <f>regex(NamedRanges[[#This Row],[CellReflist]],"[0-9].*")</f>
        <v>42:$I$49</v>
      </c>
      <c r="I308" s="149" t="str">
        <f>regex(NamedRanges[[#This Row],[CellReflist]],"(.+?)?(:)(.+)?","$1")</f>
        <v>$A$42</v>
      </c>
      <c r="J308" s="149" t="str">
        <f>regex(NamedRanges[[#This Row],[CellReflist]],"(.+?)?(:)(.+)?","$3")</f>
        <v>$I$49</v>
      </c>
    </row>
    <row r="309" spans="1:10">
      <c r="A309" t="s">
        <v>4677</v>
      </c>
      <c r="B309" s="474">
        <f ca="1">РД!$B$8</f>
        <v>43101</v>
      </c>
      <c r="D309" s="149" t="str">
        <f>getFormula(NamedRanges[[#This Row],[RefersTo]])</f>
        <v>=РД!$B$8</v>
      </c>
      <c r="E309" s="149" t="str">
        <f>regex(NamedRanges[[#This Row],[Формула]],"([=])(.*?)([!])","$2")</f>
        <v>РД</v>
      </c>
      <c r="F309" s="149" t="str">
        <f>CellReflist(NamedRanges[[#This Row],[RefersTo]])</f>
        <v>$B$8</v>
      </c>
      <c r="G309" s="149" t="str">
        <f>regex(NamedRanges[[#This Row],[CellReflist]],"(\$)(.*[A-Z])","$2")</f>
        <v>B</v>
      </c>
      <c r="H309" s="149" t="str">
        <f>regex(NamedRanges[[#This Row],[CellReflist]],"[0-9].*")</f>
        <v>8</v>
      </c>
      <c r="I309" s="149" t="b">
        <f>regex(NamedRanges[[#This Row],[CellReflist]],"(.+?)?(:)(.+)?","$1")</f>
        <v>0</v>
      </c>
      <c r="J309" s="149" t="b">
        <f>regex(NamedRanges[[#This Row],[CellReflist]],"(.+?)?(:)(.+)?","$3")</f>
        <v>0</v>
      </c>
    </row>
    <row r="310" spans="1:10">
      <c r="A310" t="s">
        <v>5374</v>
      </c>
      <c r="B310" s="474">
        <f>КоэфРГК!$B$4:$M$4</f>
        <v>200</v>
      </c>
      <c r="D310" s="149" t="str">
        <f>getFormula(NamedRanges[[#This Row],[RefersTo]])</f>
        <v>=КоэфРГК!$B$4:$M$4</v>
      </c>
      <c r="E310" s="149" t="str">
        <f>regex(NamedRanges[[#This Row],[Формула]],"([=])(.*?)([!])","$2")</f>
        <v>КоэфРГК</v>
      </c>
      <c r="F310" s="149" t="str">
        <f>CellReflist(NamedRanges[[#This Row],[RefersTo]])</f>
        <v>$B$4:$M$4</v>
      </c>
      <c r="G310" s="149" t="str">
        <f>regex(NamedRanges[[#This Row],[CellReflist]],"(\$)(.*[A-Z])","$2")</f>
        <v>B$4:$M</v>
      </c>
      <c r="H310" s="149" t="str">
        <f>regex(NamedRanges[[#This Row],[CellReflist]],"[0-9].*")</f>
        <v>4:$M$4</v>
      </c>
      <c r="I310" s="149" t="str">
        <f>regex(NamedRanges[[#This Row],[CellReflist]],"(.+?)?(:)(.+)?","$1")</f>
        <v>$B$4</v>
      </c>
      <c r="J310" s="149" t="str">
        <f>regex(NamedRanges[[#This Row],[CellReflist]],"(.+?)?(:)(.+)?","$3")</f>
        <v>$M$4</v>
      </c>
    </row>
    <row r="311" spans="1:10">
      <c r="A311" t="s">
        <v>5401</v>
      </c>
      <c r="B311" s="474" t="e">
        <f>SheetNAme!$A$1:$A$3</f>
        <v>#VALUE!</v>
      </c>
      <c r="D311" s="149" t="str">
        <f>getFormula(NamedRanges[[#This Row],[RefersTo]])</f>
        <v>=SheetNAme!$A$1:$A$3</v>
      </c>
      <c r="E311" s="149" t="str">
        <f>regex(NamedRanges[[#This Row],[Формула]],"([=])(.*?)([!])","$2")</f>
        <v>SheetNAme</v>
      </c>
      <c r="F311" s="149" t="str">
        <f>CellReflist(NamedRanges[[#This Row],[RefersTo]])</f>
        <v>SheetNAme!$A$1:$A$3</v>
      </c>
      <c r="G311" s="149" t="str">
        <f>regex(NamedRanges[[#This Row],[CellReflist]],"(\$)(.*[A-Z])","$2")</f>
        <v>A$1:$A</v>
      </c>
      <c r="H311" s="149" t="str">
        <f>regex(NamedRanges[[#This Row],[CellReflist]],"[0-9].*")</f>
        <v>1:$A$3</v>
      </c>
      <c r="I311" s="149" t="str">
        <f>regex(NamedRanges[[#This Row],[CellReflist]],"(.+?)?(:)(.+)?","$1")</f>
        <v>SheetNAme!$A$1</v>
      </c>
      <c r="J311" s="149" t="str">
        <f>regex(NamedRanges[[#This Row],[CellReflist]],"(.+?)?(:)(.+)?","$3")</f>
        <v>$A$3</v>
      </c>
    </row>
    <row r="312" spans="1:10">
      <c r="A312" t="s">
        <v>5402</v>
      </c>
      <c r="B312" s="474" t="e">
        <f>ДілянкаПоЛК!$A$1:$L$2</f>
        <v>#VALUE!</v>
      </c>
      <c r="D312" s="149" t="str">
        <f>getFormula(NamedRanges[[#This Row],[RefersTo]])</f>
        <v>=ДілянкаПоЛК!$A$1:$L$2</v>
      </c>
      <c r="E312" s="149" t="str">
        <f>regex(NamedRanges[[#This Row],[Формула]],"([=])(.*?)([!])","$2")</f>
        <v>ДілянкаПоЛК</v>
      </c>
      <c r="F312" s="149" t="str">
        <f>CellReflist(NamedRanges[[#This Row],[RefersTo]])</f>
        <v>$A$1:$L$2</v>
      </c>
      <c r="G312" s="149" t="str">
        <f>regex(NamedRanges[[#This Row],[CellReflist]],"(\$)(.*[A-Z])","$2")</f>
        <v>A$1:$L</v>
      </c>
      <c r="H312" s="149" t="str">
        <f>regex(NamedRanges[[#This Row],[CellReflist]],"[0-9].*")</f>
        <v>1:$L$2</v>
      </c>
      <c r="I312" s="149" t="str">
        <f>regex(NamedRanges[[#This Row],[CellReflist]],"(.+?)?(:)(.+)?","$1")</f>
        <v>$A$1</v>
      </c>
      <c r="J312" s="149" t="str">
        <f>regex(NamedRanges[[#This Row],[CellReflist]],"(.+?)?(:)(.+)?","$3")</f>
        <v>$L$2</v>
      </c>
    </row>
    <row r="313" spans="1:10">
      <c r="A313" t="s">
        <v>5403</v>
      </c>
      <c r="B313" s="474" t="str">
        <f>ДоговораПодрядаЕОД!$A$1:$G$430</f>
        <v>Хлипнівське</v>
      </c>
      <c r="D313" s="149" t="str">
        <f>getFormula(NamedRanges[[#This Row],[RefersTo]])</f>
        <v>=ДоговораПодрядаЕОД!$A$1:$G$430</v>
      </c>
      <c r="E313" s="149" t="str">
        <f>regex(NamedRanges[[#This Row],[Формула]],"([=])(.*?)([!])","$2")</f>
        <v>ДоговораПодрядаЕОД</v>
      </c>
      <c r="F313" s="149" t="str">
        <f>CellReflist(NamedRanges[[#This Row],[RefersTo]])</f>
        <v>$A$1:$G$430</v>
      </c>
      <c r="G313" s="149" t="str">
        <f>regex(NamedRanges[[#This Row],[CellReflist]],"(\$)(.*[A-Z])","$2")</f>
        <v>A$1:$G</v>
      </c>
      <c r="H313" s="149" t="str">
        <f>regex(NamedRanges[[#This Row],[CellReflist]],"[0-9].*")</f>
        <v>1:$G$430</v>
      </c>
      <c r="I313" s="149" t="str">
        <f>regex(NamedRanges[[#This Row],[CellReflist]],"(.+?)?(:)(.+)?","$1")</f>
        <v>$A$1</v>
      </c>
      <c r="J313" s="149" t="str">
        <f>regex(NamedRanges[[#This Row],[CellReflist]],"(.+?)?(:)(.+)?","$3")</f>
        <v>$G$430</v>
      </c>
    </row>
    <row r="314" spans="1:10">
      <c r="A314" t="s">
        <v>5404</v>
      </c>
      <c r="B314" s="474" t="e">
        <f>Лист10!$A$1:$A$2</f>
        <v>#VALUE!</v>
      </c>
      <c r="D314" s="149" t="str">
        <f>getFormula(NamedRanges[[#This Row],[RefersTo]])</f>
        <v>=Лист10!$A$1:$A$2</v>
      </c>
      <c r="E314" s="149" t="str">
        <f>regex(NamedRanges[[#This Row],[Формула]],"([=])(.*?)([!])","$2")</f>
        <v>Лист10</v>
      </c>
      <c r="F314" s="149" t="str">
        <f>CellReflist(NamedRanges[[#This Row],[RefersTo]])</f>
        <v>10!$A$1:$A$2</v>
      </c>
      <c r="G314" s="149" t="str">
        <f>regex(NamedRanges[[#This Row],[CellReflist]],"(\$)(.*[A-Z])","$2")</f>
        <v>A$1:$A</v>
      </c>
      <c r="H314" s="149" t="str">
        <f>regex(NamedRanges[[#This Row],[CellReflist]],"[0-9].*")</f>
        <v>10!$A$1:$A$2</v>
      </c>
      <c r="I314" s="149" t="str">
        <f>regex(NamedRanges[[#This Row],[CellReflist]],"(.+?)?(:)(.+)?","$1")</f>
        <v>10!$A$1</v>
      </c>
      <c r="J314" s="149" t="str">
        <f>regex(NamedRanges[[#This Row],[CellReflist]],"(.+?)?(:)(.+)?","$3")</f>
        <v>$A$2</v>
      </c>
    </row>
    <row r="315" spans="1:10">
      <c r="A315" t="s">
        <v>5405</v>
      </c>
      <c r="B315" s="474" t="e">
        <f>Лист11!$A$1:$B$4</f>
        <v>#VALUE!</v>
      </c>
      <c r="D315" s="149" t="str">
        <f>getFormula(NamedRanges[[#This Row],[RefersTo]])</f>
        <v>=Лист11!$A$1:$B$4</v>
      </c>
      <c r="E315" s="149" t="str">
        <f>regex(NamedRanges[[#This Row],[Формула]],"([=])(.*?)([!])","$2")</f>
        <v>Лист11</v>
      </c>
      <c r="F315" s="149" t="str">
        <f>CellReflist(NamedRanges[[#This Row],[RefersTo]])</f>
        <v>11!$A$1:$B$4</v>
      </c>
      <c r="G315" s="149" t="str">
        <f>regex(NamedRanges[[#This Row],[CellReflist]],"(\$)(.*[A-Z])","$2")</f>
        <v>A$1:$B</v>
      </c>
      <c r="H315" s="149" t="str">
        <f>regex(NamedRanges[[#This Row],[CellReflist]],"[0-9].*")</f>
        <v>11!$A$1:$B$4</v>
      </c>
      <c r="I315" s="149" t="str">
        <f>regex(NamedRanges[[#This Row],[CellReflist]],"(.+?)?(:)(.+)?","$1")</f>
        <v>11!$A$1</v>
      </c>
      <c r="J315" s="149" t="str">
        <f>regex(NamedRanges[[#This Row],[CellReflist]],"(.+?)?(:)(.+)?","$3")</f>
        <v>$B$4</v>
      </c>
    </row>
    <row r="316" spans="1:10">
      <c r="A316" t="s">
        <v>5406</v>
      </c>
      <c r="B316" s="474" t="e">
        <f>Лист12!$A$1:$B$4</f>
        <v>#VALUE!</v>
      </c>
      <c r="D316" s="149" t="str">
        <f>getFormula(NamedRanges[[#This Row],[RefersTo]])</f>
        <v>=Лист12!$A$1:$B$4</v>
      </c>
      <c r="E316" s="149" t="str">
        <f>regex(NamedRanges[[#This Row],[Формула]],"([=])(.*?)([!])","$2")</f>
        <v>Лист12</v>
      </c>
      <c r="F316" s="149" t="str">
        <f>CellReflist(NamedRanges[[#This Row],[RefersTo]])</f>
        <v>12!$A$1:$B$4</v>
      </c>
      <c r="G316" s="149" t="str">
        <f>regex(NamedRanges[[#This Row],[CellReflist]],"(\$)(.*[A-Z])","$2")</f>
        <v>A$1:$B</v>
      </c>
      <c r="H316" s="149" t="str">
        <f>regex(NamedRanges[[#This Row],[CellReflist]],"[0-9].*")</f>
        <v>12!$A$1:$B$4</v>
      </c>
      <c r="I316" s="149" t="str">
        <f>regex(NamedRanges[[#This Row],[CellReflist]],"(.+?)?(:)(.+)?","$1")</f>
        <v>12!$A$1</v>
      </c>
      <c r="J316" s="149" t="str">
        <f>regex(NamedRanges[[#This Row],[CellReflist]],"(.+?)?(:)(.+)?","$3")</f>
        <v>$B$4</v>
      </c>
    </row>
    <row r="317" spans="1:10">
      <c r="A317" t="s">
        <v>5407</v>
      </c>
      <c r="B317" s="474" t="e">
        <f>Лист13!$A$1:$C$2</f>
        <v>#VALUE!</v>
      </c>
      <c r="D317" s="149" t="str">
        <f>getFormula(NamedRanges[[#This Row],[RefersTo]])</f>
        <v>=Лист13!$A$1:$C$2</v>
      </c>
      <c r="E317" s="149" t="str">
        <f>regex(NamedRanges[[#This Row],[Формула]],"([=])(.*?)([!])","$2")</f>
        <v>Лист13</v>
      </c>
      <c r="F317" s="149" t="str">
        <f>CellReflist(NamedRanges[[#This Row],[RefersTo]])</f>
        <v>13!$A$1:$C$2</v>
      </c>
      <c r="G317" s="149" t="str">
        <f>regex(NamedRanges[[#This Row],[CellReflist]],"(\$)(.*[A-Z])","$2")</f>
        <v>A$1:$C</v>
      </c>
      <c r="H317" s="149" t="str">
        <f>regex(NamedRanges[[#This Row],[CellReflist]],"[0-9].*")</f>
        <v>13!$A$1:$C$2</v>
      </c>
      <c r="I317" s="149" t="str">
        <f>regex(NamedRanges[[#This Row],[CellReflist]],"(.+?)?(:)(.+)?","$1")</f>
        <v>13!$A$1</v>
      </c>
      <c r="J317" s="149" t="str">
        <f>regex(NamedRanges[[#This Row],[CellReflist]],"(.+?)?(:)(.+)?","$3")</f>
        <v>$C$2</v>
      </c>
    </row>
    <row r="318" spans="1:10">
      <c r="A318" t="s">
        <v>5408</v>
      </c>
      <c r="B318" s="474" t="e">
        <f>Лист14!$A$1:$G$2</f>
        <v>#VALUE!</v>
      </c>
      <c r="D318" s="149" t="str">
        <f>getFormula(NamedRanges[[#This Row],[RefersTo]])</f>
        <v>=Лист14!$A$1:$G$2</v>
      </c>
      <c r="E318" s="149" t="str">
        <f>regex(NamedRanges[[#This Row],[Формула]],"([=])(.*?)([!])","$2")</f>
        <v>Лист14</v>
      </c>
      <c r="F318" s="149" t="str">
        <f>CellReflist(NamedRanges[[#This Row],[RefersTo]])</f>
        <v>14!$A$1:$G$2</v>
      </c>
      <c r="G318" s="149" t="str">
        <f>regex(NamedRanges[[#This Row],[CellReflist]],"(\$)(.*[A-Z])","$2")</f>
        <v>A$1:$G</v>
      </c>
      <c r="H318" s="149" t="str">
        <f>regex(NamedRanges[[#This Row],[CellReflist]],"[0-9].*")</f>
        <v>14!$A$1:$G$2</v>
      </c>
      <c r="I318" s="149" t="str">
        <f>regex(NamedRanges[[#This Row],[CellReflist]],"(.+?)?(:)(.+)?","$1")</f>
        <v>14!$A$1</v>
      </c>
      <c r="J318" s="149" t="str">
        <f>regex(NamedRanges[[#This Row],[CellReflist]],"(.+?)?(:)(.+)?","$3")</f>
        <v>$G$2</v>
      </c>
    </row>
    <row r="319" spans="1:10">
      <c r="A319" t="s">
        <v>5409</v>
      </c>
      <c r="B319" s="474" t="e">
        <f>Лист2!$A$1:$A$2</f>
        <v>#VALUE!</v>
      </c>
      <c r="D319" s="149" t="str">
        <f>getFormula(NamedRanges[[#This Row],[RefersTo]])</f>
        <v>=Лист2!$A$1:$A$2</v>
      </c>
      <c r="E319" s="149" t="str">
        <f>regex(NamedRanges[[#This Row],[Формула]],"([=])(.*?)([!])","$2")</f>
        <v>Лист2</v>
      </c>
      <c r="F319" s="149" t="str">
        <f>CellReflist(NamedRanges[[#This Row],[RefersTo]])</f>
        <v>2!$A$1:$A$2</v>
      </c>
      <c r="G319" s="149" t="str">
        <f>regex(NamedRanges[[#This Row],[CellReflist]],"(\$)(.*[A-Z])","$2")</f>
        <v>A$1:$A</v>
      </c>
      <c r="H319" s="149" t="str">
        <f>regex(NamedRanges[[#This Row],[CellReflist]],"[0-9].*")</f>
        <v>2!$A$1:$A$2</v>
      </c>
      <c r="I319" s="149" t="str">
        <f>regex(NamedRanges[[#This Row],[CellReflist]],"(.+?)?(:)(.+)?","$1")</f>
        <v>2!$A$1</v>
      </c>
      <c r="J319" s="149" t="str">
        <f>regex(NamedRanges[[#This Row],[CellReflist]],"(.+?)?(:)(.+)?","$3")</f>
        <v>$A$2</v>
      </c>
    </row>
    <row r="320" spans="1:10">
      <c r="A320" t="s">
        <v>5410</v>
      </c>
      <c r="B320" s="474" t="e">
        <f>ЛК!$A$1:$B$106</f>
        <v>#VALUE!</v>
      </c>
      <c r="D320" s="149" t="str">
        <f>getFormula(NamedRanges[[#This Row],[RefersTo]])</f>
        <v>=ЛК!$A$1:$B$106</v>
      </c>
      <c r="E320" s="149" t="str">
        <f>regex(NamedRanges[[#This Row],[Формула]],"([=])(.*?)([!])","$2")</f>
        <v>ЛК</v>
      </c>
      <c r="F320" s="149" t="str">
        <f>CellReflist(NamedRanges[[#This Row],[RefersTo]])</f>
        <v>$A$1:$B$106</v>
      </c>
      <c r="G320" s="149" t="str">
        <f>regex(NamedRanges[[#This Row],[CellReflist]],"(\$)(.*[A-Z])","$2")</f>
        <v>A$1:$B</v>
      </c>
      <c r="H320" s="149" t="str">
        <f>regex(NamedRanges[[#This Row],[CellReflist]],"[0-9].*")</f>
        <v>1:$B$106</v>
      </c>
      <c r="I320" s="149" t="str">
        <f>regex(NamedRanges[[#This Row],[CellReflist]],"(.+?)?(:)(.+)?","$1")</f>
        <v>$A$1</v>
      </c>
      <c r="J320" s="149" t="str">
        <f>regex(NamedRanges[[#This Row],[CellReflist]],"(.+?)?(:)(.+)?","$3")</f>
        <v>$B$106</v>
      </c>
    </row>
    <row r="321" spans="1:10">
      <c r="A321" t="s">
        <v>5411</v>
      </c>
      <c r="B321" s="474">
        <f>РеестрЛКЕОД!$A$4:$R$591</f>
        <v>0</v>
      </c>
      <c r="D321" s="149" t="str">
        <f>getFormula(NamedRanges[[#This Row],[RefersTo]])</f>
        <v>=РеестрЛКЕОД!$A$4:$R$591</v>
      </c>
      <c r="E321" s="149" t="str">
        <f>regex(NamedRanges[[#This Row],[Формула]],"([=])(.*?)([!])","$2")</f>
        <v>РеестрЛКЕОД</v>
      </c>
      <c r="F321" s="149" t="str">
        <f>CellReflist(NamedRanges[[#This Row],[RefersTo]])</f>
        <v>$A$4:$R$591</v>
      </c>
      <c r="G321" s="149" t="str">
        <f>regex(NamedRanges[[#This Row],[CellReflist]],"(\$)(.*[A-Z])","$2")</f>
        <v>A$4:$R</v>
      </c>
      <c r="H321" s="149" t="str">
        <f>regex(NamedRanges[[#This Row],[CellReflist]],"[0-9].*")</f>
        <v>4:$R$591</v>
      </c>
      <c r="I321" s="149" t="str">
        <f>regex(NamedRanges[[#This Row],[CellReflist]],"(.+?)?(:)(.+)?","$1")</f>
        <v>$A$4</v>
      </c>
      <c r="J321" s="149" t="str">
        <f>regex(NamedRanges[[#This Row],[CellReflist]],"(.+?)?(:)(.+)?","$3")</f>
        <v>$R$591</v>
      </c>
    </row>
    <row r="322" spans="1:10">
      <c r="A322" t="s">
        <v>5412</v>
      </c>
      <c r="B322" s="474" t="str">
        <f>РеестрЛКЕОДConect!$A$1:$K$836</f>
        <v>СРВ</v>
      </c>
      <c r="D322" s="149" t="str">
        <f>getFormula(NamedRanges[[#This Row],[RefersTo]])</f>
        <v>=РеестрЛКЕОДConect!$A$1:$K$836</v>
      </c>
      <c r="E322" s="149" t="str">
        <f>regex(NamedRanges[[#This Row],[Формула]],"([=])(.*?)([!])","$2")</f>
        <v>РеестрЛКЕОДConect</v>
      </c>
      <c r="F322" s="149" t="str">
        <f>CellReflist(NamedRanges[[#This Row],[RefersTo]])</f>
        <v>Conect!$A$1:$K$836</v>
      </c>
      <c r="G322" s="149" t="str">
        <f>regex(NamedRanges[[#This Row],[CellReflist]],"(\$)(.*[A-Z])","$2")</f>
        <v>A$1:$K</v>
      </c>
      <c r="H322" s="149" t="str">
        <f>regex(NamedRanges[[#This Row],[CellReflist]],"[0-9].*")</f>
        <v>1:$K$836</v>
      </c>
      <c r="I322" s="149" t="str">
        <f>regex(NamedRanges[[#This Row],[CellReflist]],"(.+?)?(:)(.+)?","$1")</f>
        <v>Conect!$A$1</v>
      </c>
      <c r="J322" s="149" t="str">
        <f>regex(NamedRanges[[#This Row],[CellReflist]],"(.+?)?(:)(.+)?","$3")</f>
        <v>$K$836</v>
      </c>
    </row>
    <row r="323" spans="1:10">
      <c r="A323" t="s">
        <v>2249</v>
      </c>
      <c r="B323" s="474" t="e">
        <f>КоэфРГК!$A$71:$M$81</f>
        <v>#VALUE!</v>
      </c>
      <c r="D323" s="149" t="str">
        <f>getFormula(NamedRanges[[#This Row],[RefersTo]])</f>
        <v>=КоэфРГК!$A$71:$M$81</v>
      </c>
      <c r="E323" s="149" t="str">
        <f>regex(NamedRanges[[#This Row],[Формула]],"([=])(.*?)([!])","$2")</f>
        <v>КоэфРГК</v>
      </c>
      <c r="F323" s="149" t="str">
        <f>CellReflist(NamedRanges[[#This Row],[RefersTo]])</f>
        <v>$A$71:$M$81</v>
      </c>
      <c r="G323" s="149" t="str">
        <f>regex(NamedRanges[[#This Row],[CellReflist]],"(\$)(.*[A-Z])","$2")</f>
        <v>A$71:$M</v>
      </c>
      <c r="H323" s="149" t="str">
        <f>regex(NamedRanges[[#This Row],[CellReflist]],"[0-9].*")</f>
        <v>71:$M$81</v>
      </c>
      <c r="I323" s="149" t="str">
        <f>regex(NamedRanges[[#This Row],[CellReflist]],"(.+?)?(:)(.+)?","$1")</f>
        <v>$A$71</v>
      </c>
      <c r="J323" s="149" t="str">
        <f>regex(NamedRanges[[#This Row],[CellReflist]],"(.+?)?(:)(.+)?","$3")</f>
        <v>$M$81</v>
      </c>
    </row>
    <row r="324" spans="1:10">
      <c r="A324" t="s">
        <v>4680</v>
      </c>
      <c r="B324" s="474" t="e">
        <f>КоэфРГК!$A$71:$A$80</f>
        <v>#VALUE!</v>
      </c>
      <c r="D324" s="149" t="str">
        <f>getFormula(NamedRanges[[#This Row],[RefersTo]])</f>
        <v>=КоэфРГК!$A$71:$A$80</v>
      </c>
      <c r="E324" s="149" t="str">
        <f>regex(NamedRanges[[#This Row],[Формула]],"([=])(.*?)([!])","$2")</f>
        <v>КоэфРГК</v>
      </c>
      <c r="F324" s="149" t="str">
        <f>CellReflist(NamedRanges[[#This Row],[RefersTo]])</f>
        <v>$A$71:$A$80</v>
      </c>
      <c r="G324" s="149" t="str">
        <f>regex(NamedRanges[[#This Row],[CellReflist]],"(\$)(.*[A-Z])","$2")</f>
        <v>A$71:$A</v>
      </c>
      <c r="H324" s="149" t="str">
        <f>regex(NamedRanges[[#This Row],[CellReflist]],"[0-9].*")</f>
        <v>71:$A$80</v>
      </c>
      <c r="I324" s="149" t="str">
        <f>regex(NamedRanges[[#This Row],[CellReflist]],"(.+?)?(:)(.+)?","$1")</f>
        <v>$A$71</v>
      </c>
      <c r="J324" s="149" t="str">
        <f>regex(NamedRanges[[#This Row],[CellReflist]],"(.+?)?(:)(.+)?","$3")</f>
        <v>$A$80</v>
      </c>
    </row>
    <row r="325" spans="1:10">
      <c r="A325" t="s">
        <v>2172</v>
      </c>
      <c r="B325" s="474" t="str">
        <f>"g"</f>
        <v>g</v>
      </c>
      <c r="D325" s="149" t="str">
        <f>getFormula(NamedRanges[[#This Row],[RefersTo]])</f>
        <v>="g"</v>
      </c>
      <c r="E325" s="149" t="b">
        <f>regex(NamedRanges[[#This Row],[Формула]],"([=])(.*?)([!])","$2")</f>
        <v>0</v>
      </c>
      <c r="F325" s="149">
        <f>CellReflist(NamedRanges[[#This Row],[RefersTo]])</f>
        <v>0</v>
      </c>
      <c r="G325" s="149" t="b">
        <f>regex(NamedRanges[[#This Row],[CellReflist]],"(\$)(.*[A-Z])","$2")</f>
        <v>0</v>
      </c>
      <c r="H325" s="149" t="str">
        <f>regex(NamedRanges[[#This Row],[CellReflist]],"[0-9].*")</f>
        <v>0</v>
      </c>
      <c r="I325" s="149" t="b">
        <f>regex(NamedRanges[[#This Row],[CellReflist]],"(.+?)?(:)(.+)?","$1")</f>
        <v>0</v>
      </c>
      <c r="J325" s="149" t="b">
        <f>regex(NamedRanges[[#This Row],[CellReflist]],"(.+?)?(:)(.+)?","$3")</f>
        <v>0</v>
      </c>
    </row>
    <row r="326" spans="1:10">
      <c r="A326" t="s">
        <v>5434</v>
      </c>
      <c r="B326" s="474" t="e">
        <f>РГК!$A$68:$R$71</f>
        <v>#VALUE!</v>
      </c>
      <c r="D326" s="149" t="str">
        <f>getFormula(NamedRanges[[#This Row],[RefersTo]])</f>
        <v>=РГК!$A$68:$R$71</v>
      </c>
      <c r="E326" s="149" t="str">
        <f>regex(NamedRanges[[#This Row],[Формула]],"([=])(.*?)([!])","$2")</f>
        <v>РГК</v>
      </c>
      <c r="F326" s="149" t="str">
        <f>CellReflist(NamedRanges[[#This Row],[RefersTo]])</f>
        <v>$A$68:$R$71</v>
      </c>
      <c r="G326" s="149" t="str">
        <f>regex(NamedRanges[[#This Row],[CellReflist]],"(\$)(.*[A-Z])","$2")</f>
        <v>A$68:$R</v>
      </c>
      <c r="H326" s="149" t="str">
        <f>regex(NamedRanges[[#This Row],[CellReflist]],"[0-9].*")</f>
        <v>68:$R$71</v>
      </c>
      <c r="I326" s="149" t="str">
        <f>regex(NamedRanges[[#This Row],[CellReflist]],"(.+?)?(:)(.+)?","$1")</f>
        <v>$A$68</v>
      </c>
      <c r="J326" s="149" t="str">
        <f>regex(NamedRanges[[#This Row],[CellReflist]],"(.+?)?(:)(.+)?","$3")</f>
        <v>$R$71</v>
      </c>
    </row>
    <row r="327" spans="1:10">
      <c r="A327" t="s">
        <v>5435</v>
      </c>
      <c r="B327" s="474" t="e">
        <f>РГК!$A$1:$R$13</f>
        <v>#VALUE!</v>
      </c>
      <c r="D327" s="149" t="str">
        <f>getFormula(NamedRanges[[#This Row],[RefersTo]])</f>
        <v>=РГК!$A$1:$R$13</v>
      </c>
      <c r="E327" s="149" t="str">
        <f>regex(NamedRanges[[#This Row],[Формула]],"([=])(.*?)([!])","$2")</f>
        <v>РГК</v>
      </c>
      <c r="F327" s="149" t="str">
        <f>CellReflist(NamedRanges[[#This Row],[RefersTo]])</f>
        <v>$A$1:$R$13</v>
      </c>
      <c r="G327" s="149" t="str">
        <f>regex(NamedRanges[[#This Row],[CellReflist]],"(\$)(.*[A-Z])","$2")</f>
        <v>A$1:$R</v>
      </c>
      <c r="H327" s="149" t="str">
        <f>regex(NamedRanges[[#This Row],[CellReflist]],"[0-9].*")</f>
        <v>1:$R$13</v>
      </c>
      <c r="I327" s="149" t="str">
        <f>regex(NamedRanges[[#This Row],[CellReflist]],"(.+?)?(:)(.+)?","$1")</f>
        <v>$A$1</v>
      </c>
      <c r="J327" s="149" t="str">
        <f>regex(NamedRanges[[#This Row],[CellReflist]],"(.+?)?(:)(.+)?","$3")</f>
        <v>$R$13</v>
      </c>
    </row>
    <row r="328" spans="1:10">
      <c r="A328" t="s">
        <v>5436</v>
      </c>
      <c r="B328" s="474" t="e">
        <f>РГК!$A$14:$R$66</f>
        <v>#VALUE!</v>
      </c>
      <c r="D328" s="149" t="str">
        <f>getFormula(NamedRanges[[#This Row],[RefersTo]])</f>
        <v>=РГК!$A$14:$R$66</v>
      </c>
      <c r="E328" s="149" t="str">
        <f>regex(NamedRanges[[#This Row],[Формула]],"([=])(.*?)([!])","$2")</f>
        <v>РГК</v>
      </c>
      <c r="F328" s="149" t="str">
        <f>CellReflist(NamedRanges[[#This Row],[RefersTo]])</f>
        <v>$A$14:$R$66</v>
      </c>
      <c r="G328" s="149" t="str">
        <f>regex(NamedRanges[[#This Row],[CellReflist]],"(\$)(.*[A-Z])","$2")</f>
        <v>A$14:$R</v>
      </c>
      <c r="H328" s="149" t="str">
        <f>regex(NamedRanges[[#This Row],[CellReflist]],"[0-9].*")</f>
        <v>14:$R$66</v>
      </c>
      <c r="I328" s="149" t="str">
        <f>regex(NamedRanges[[#This Row],[CellReflist]],"(.+?)?(:)(.+)?","$1")</f>
        <v>$A$14</v>
      </c>
      <c r="J328" s="149" t="str">
        <f>regex(NamedRanges[[#This Row],[CellReflist]],"(.+?)?(:)(.+)?","$3")</f>
        <v>$R$66</v>
      </c>
    </row>
    <row r="329" spans="1:10">
      <c r="A329" t="s">
        <v>5385</v>
      </c>
      <c r="B329" s="474">
        <f>gT_11+gT_21+gT_31+gT_41</f>
        <v>1</v>
      </c>
      <c r="D329" s="149" t="str">
        <f>getFormula(NamedRanges[[#This Row],[RefersTo]])</f>
        <v>=gT_11+gT_21+gT_31+gT_41</v>
      </c>
      <c r="E329" s="149" t="b">
        <f>regex(NamedRanges[[#This Row],[Формула]],"([=])(.*?)([!])","$2")</f>
        <v>0</v>
      </c>
      <c r="F329" s="149">
        <f>CellReflist(NamedRanges[[#This Row],[RefersTo]])</f>
        <v>0</v>
      </c>
      <c r="G329" s="149" t="b">
        <f>regex(NamedRanges[[#This Row],[CellReflist]],"(\$)(.*[A-Z])","$2")</f>
        <v>0</v>
      </c>
      <c r="H329" s="149" t="str">
        <f>regex(NamedRanges[[#This Row],[CellReflist]],"[0-9].*")</f>
        <v>0</v>
      </c>
      <c r="I329" s="149" t="b">
        <f>regex(NamedRanges[[#This Row],[CellReflist]],"(.+?)?(:)(.+)?","$1")</f>
        <v>0</v>
      </c>
      <c r="J329" s="149" t="b">
        <f>regex(NamedRanges[[#This Row],[CellReflist]],"(.+?)?(:)(.+)?","$3")</f>
        <v>0</v>
      </c>
    </row>
    <row r="330" spans="1:10">
      <c r="A330" t="s">
        <v>5386</v>
      </c>
      <c r="B330" s="474">
        <f>gT_21+gT_22+gT_23</f>
        <v>0</v>
      </c>
      <c r="D330" s="149" t="str">
        <f>getFormula(NamedRanges[[#This Row],[RefersTo]])</f>
        <v>=gT_21+gT_22+gT_23</v>
      </c>
      <c r="E330" s="149" t="b">
        <f>regex(NamedRanges[[#This Row],[Формула]],"([=])(.*?)([!])","$2")</f>
        <v>0</v>
      </c>
      <c r="F330" s="149">
        <f>CellReflist(NamedRanges[[#This Row],[RefersTo]])</f>
        <v>0</v>
      </c>
      <c r="G330" s="149" t="b">
        <f>regex(NamedRanges[[#This Row],[CellReflist]],"(\$)(.*[A-Z])","$2")</f>
        <v>0</v>
      </c>
      <c r="H330" s="149" t="str">
        <f>regex(NamedRanges[[#This Row],[CellReflist]],"[0-9].*")</f>
        <v>0</v>
      </c>
      <c r="I330" s="149" t="b">
        <f>regex(NamedRanges[[#This Row],[CellReflist]],"(.+?)?(:)(.+)?","$1")</f>
        <v>0</v>
      </c>
      <c r="J330" s="149" t="b">
        <f>regex(NamedRanges[[#This Row],[CellReflist]],"(.+?)?(:)(.+)?","$3")</f>
        <v>0</v>
      </c>
    </row>
    <row r="331" spans="1:10">
      <c r="A331" t="s">
        <v>5387</v>
      </c>
      <c r="B331" s="474">
        <f>gT_11+gT_12+gT_13</f>
        <v>36</v>
      </c>
      <c r="D331" s="149" t="str">
        <f>getFormula(NamedRanges[[#This Row],[RefersTo]])</f>
        <v>=gT_11+gT_12+gT_13</v>
      </c>
      <c r="E331" s="149" t="b">
        <f>regex(NamedRanges[[#This Row],[Формула]],"([=])(.*?)([!])","$2")</f>
        <v>0</v>
      </c>
      <c r="F331" s="149">
        <f>CellReflist(NamedRanges[[#This Row],[RefersTo]])</f>
        <v>0</v>
      </c>
      <c r="G331" s="149" t="b">
        <f>regex(NamedRanges[[#This Row],[CellReflist]],"(\$)(.*[A-Z])","$2")</f>
        <v>0</v>
      </c>
      <c r="H331" s="149" t="str">
        <f>regex(NamedRanges[[#This Row],[CellReflist]],"[0-9].*")</f>
        <v>0</v>
      </c>
      <c r="I331" s="149" t="b">
        <f>regex(NamedRanges[[#This Row],[CellReflist]],"(.+?)?(:)(.+)?","$1")</f>
        <v>0</v>
      </c>
      <c r="J331" s="149" t="b">
        <f>regex(NamedRanges[[#This Row],[CellReflist]],"(.+?)?(:)(.+)?","$3")</f>
        <v>0</v>
      </c>
    </row>
    <row r="332" spans="1:10">
      <c r="A332" t="s">
        <v>5388</v>
      </c>
      <c r="B332" s="474">
        <f>gT_12+gT_22+gT_32+gT_42</f>
        <v>2</v>
      </c>
      <c r="D332" s="149" t="str">
        <f>getFormula(NamedRanges[[#This Row],[RefersTo]])</f>
        <v>=gT_12+gT_22+gT_32+gT_42</v>
      </c>
      <c r="E332" s="149" t="b">
        <f>regex(NamedRanges[[#This Row],[Формула]],"([=])(.*?)([!])","$2")</f>
        <v>0</v>
      </c>
      <c r="F332" s="149">
        <f>CellReflist(NamedRanges[[#This Row],[RefersTo]])</f>
        <v>0</v>
      </c>
      <c r="G332" s="149" t="b">
        <f>regex(NamedRanges[[#This Row],[CellReflist]],"(\$)(.*[A-Z])","$2")</f>
        <v>0</v>
      </c>
      <c r="H332" s="149" t="str">
        <f>regex(NamedRanges[[#This Row],[CellReflist]],"[0-9].*")</f>
        <v>0</v>
      </c>
      <c r="I332" s="149" t="b">
        <f>regex(NamedRanges[[#This Row],[CellReflist]],"(.+?)?(:)(.+)?","$1")</f>
        <v>0</v>
      </c>
      <c r="J332" s="149" t="b">
        <f>regex(NamedRanges[[#This Row],[CellReflist]],"(.+?)?(:)(.+)?","$3")</f>
        <v>0</v>
      </c>
    </row>
    <row r="333" spans="1:10">
      <c r="A333" t="s">
        <v>5389</v>
      </c>
      <c r="B333" s="474">
        <f>gT_41+gT_42+gT_43</f>
        <v>19</v>
      </c>
      <c r="D333" s="149" t="str">
        <f>getFormula(NamedRanges[[#This Row],[RefersTo]])</f>
        <v>=gT_41+gT_42+gT_43</v>
      </c>
      <c r="E333" s="149" t="b">
        <f>regex(NamedRanges[[#This Row],[Формула]],"([=])(.*?)([!])","$2")</f>
        <v>0</v>
      </c>
      <c r="F333" s="149">
        <f>CellReflist(NamedRanges[[#This Row],[RefersTo]])</f>
        <v>0</v>
      </c>
      <c r="G333" s="149" t="b">
        <f>regex(NamedRanges[[#This Row],[CellReflist]],"(\$)(.*[A-Z])","$2")</f>
        <v>0</v>
      </c>
      <c r="H333" s="149" t="str">
        <f>regex(NamedRanges[[#This Row],[CellReflist]],"[0-9].*")</f>
        <v>0</v>
      </c>
      <c r="I333" s="149" t="b">
        <f>regex(NamedRanges[[#This Row],[CellReflist]],"(.+?)?(:)(.+)?","$1")</f>
        <v>0</v>
      </c>
      <c r="J333" s="149" t="b">
        <f>regex(NamedRanges[[#This Row],[CellReflist]],"(.+?)?(:)(.+)?","$3")</f>
        <v>0</v>
      </c>
    </row>
    <row r="334" spans="1:10">
      <c r="A334" t="s">
        <v>5390</v>
      </c>
      <c r="B334" s="474">
        <f>gT_31+gT_32+gT_33</f>
        <v>28</v>
      </c>
      <c r="D334" s="149" t="str">
        <f>getFormula(NamedRanges[[#This Row],[RefersTo]])</f>
        <v>=gT_31+gT_32+gT_33</v>
      </c>
      <c r="E334" s="149" t="b">
        <f>regex(NamedRanges[[#This Row],[Формула]],"([=])(.*?)([!])","$2")</f>
        <v>0</v>
      </c>
      <c r="F334" s="149">
        <f>CellReflist(NamedRanges[[#This Row],[RefersTo]])</f>
        <v>0</v>
      </c>
      <c r="G334" s="149" t="b">
        <f>regex(NamedRanges[[#This Row],[CellReflist]],"(\$)(.*[A-Z])","$2")</f>
        <v>0</v>
      </c>
      <c r="H334" s="149" t="str">
        <f>regex(NamedRanges[[#This Row],[CellReflist]],"[0-9].*")</f>
        <v>0</v>
      </c>
      <c r="I334" s="149" t="b">
        <f>regex(NamedRanges[[#This Row],[CellReflist]],"(.+?)?(:)(.+)?","$1")</f>
        <v>0</v>
      </c>
      <c r="J334" s="149" t="b">
        <f>regex(NamedRanges[[#This Row],[CellReflist]],"(.+?)?(:)(.+)?","$3")</f>
        <v>0</v>
      </c>
    </row>
    <row r="335" spans="1:10">
      <c r="A335" t="s">
        <v>5391</v>
      </c>
      <c r="B335" s="474">
        <f>gT_13+gT_23+gT_33+gT_43</f>
        <v>80</v>
      </c>
      <c r="D335" s="149" t="str">
        <f>getFormula(NamedRanges[[#This Row],[RefersTo]])</f>
        <v>=gT_13+gT_23+gT_33+gT_43</v>
      </c>
      <c r="E335" s="149" t="b">
        <f>regex(NamedRanges[[#This Row],[Формула]],"([=])(.*?)([!])","$2")</f>
        <v>0</v>
      </c>
      <c r="F335" s="149">
        <f>CellReflist(NamedRanges[[#This Row],[RefersTo]])</f>
        <v>0</v>
      </c>
      <c r="G335" s="149" t="b">
        <f>regex(NamedRanges[[#This Row],[CellReflist]],"(\$)(.*[A-Z])","$2")</f>
        <v>0</v>
      </c>
      <c r="H335" s="149" t="str">
        <f>regex(NamedRanges[[#This Row],[CellReflist]],"[0-9].*")</f>
        <v>0</v>
      </c>
      <c r="I335" s="149" t="b">
        <f>regex(NamedRanges[[#This Row],[CellReflist]],"(.+?)?(:)(.+)?","$1")</f>
        <v>0</v>
      </c>
      <c r="J335" s="149" t="b">
        <f>regex(NamedRanges[[#This Row],[CellReflist]],"(.+?)?(:)(.+)?","$3")</f>
        <v>0</v>
      </c>
    </row>
    <row r="336" spans="1:10">
      <c r="A336" t="s">
        <v>5392</v>
      </c>
      <c r="B336" s="474">
        <f>ККЗ</f>
        <v>1.2150000000000001</v>
      </c>
      <c r="D336" s="149" t="str">
        <f>getFormula(NamedRanges[[#This Row],[RefersTo]])</f>
        <v>=ККЗ</v>
      </c>
      <c r="E336" s="149" t="b">
        <f>regex(NamedRanges[[#This Row],[Формула]],"([=])(.*?)([!])","$2")</f>
        <v>0</v>
      </c>
      <c r="F336" s="149">
        <f>CellReflist(NamedRanges[[#This Row],[RefersTo]])</f>
        <v>0</v>
      </c>
      <c r="G336" s="149" t="b">
        <f>regex(NamedRanges[[#This Row],[CellReflist]],"(\$)(.*[A-Z])","$2")</f>
        <v>0</v>
      </c>
      <c r="H336" s="149" t="str">
        <f>regex(NamedRanges[[#This Row],[CellReflist]],"[0-9].*")</f>
        <v>0</v>
      </c>
      <c r="I336" s="149" t="b">
        <f>regex(NamedRanges[[#This Row],[CellReflist]],"(.+?)?(:)(.+)?","$1")</f>
        <v>0</v>
      </c>
      <c r="J336" s="149" t="b">
        <f>regex(NamedRanges[[#This Row],[CellReflist]],"(.+?)?(:)(.+)?","$3")</f>
        <v>0</v>
      </c>
    </row>
    <row r="337" spans="1:10">
      <c r="A337" t="s">
        <v>5393</v>
      </c>
      <c r="B337" s="474" t="e">
        <f>РГК_кошторис!$A$4:$J$19</f>
        <v>#VALUE!</v>
      </c>
      <c r="D337" s="149" t="str">
        <f>getFormula(NamedRanges[[#This Row],[RefersTo]])</f>
        <v>=РГК_кошторис!$A$4:$J$19</v>
      </c>
      <c r="E337" s="149" t="str">
        <f>regex(NamedRanges[[#This Row],[Формула]],"([=])(.*?)([!])","$2")</f>
        <v>РГК_кошторис</v>
      </c>
      <c r="F337" s="149" t="str">
        <f>CellReflist(NamedRanges[[#This Row],[RefersTo]])</f>
        <v>$A$4:$J$19</v>
      </c>
      <c r="G337" s="149" t="str">
        <f>regex(NamedRanges[[#This Row],[CellReflist]],"(\$)(.*[A-Z])","$2")</f>
        <v>A$4:$J</v>
      </c>
      <c r="H337" s="149" t="str">
        <f>regex(NamedRanges[[#This Row],[CellReflist]],"[0-9].*")</f>
        <v>4:$J$19</v>
      </c>
      <c r="I337" s="149" t="str">
        <f>regex(NamedRanges[[#This Row],[CellReflist]],"(.+?)?(:)(.+)?","$1")</f>
        <v>$A$4</v>
      </c>
      <c r="J337" s="149" t="str">
        <f>regex(NamedRanges[[#This Row],[CellReflist]],"(.+?)?(:)(.+)?","$3")</f>
        <v>$J$19</v>
      </c>
    </row>
    <row r="338" spans="1:10">
      <c r="A338" t="s">
        <v>5394</v>
      </c>
      <c r="B338" s="474" t="str">
        <f>"k"</f>
        <v>k</v>
      </c>
      <c r="D338" s="149" t="str">
        <f>getFormula(NamedRanges[[#This Row],[RefersTo]])</f>
        <v>="k"</v>
      </c>
      <c r="E338" s="149" t="b">
        <f>regex(NamedRanges[[#This Row],[Формула]],"([=])(.*?)([!])","$2")</f>
        <v>0</v>
      </c>
      <c r="F338" s="149">
        <f>CellReflist(NamedRanges[[#This Row],[RefersTo]])</f>
        <v>0</v>
      </c>
      <c r="G338" s="149" t="b">
        <f>regex(NamedRanges[[#This Row],[CellReflist]],"(\$)(.*[A-Z])","$2")</f>
        <v>0</v>
      </c>
      <c r="H338" s="149" t="str">
        <f>regex(NamedRanges[[#This Row],[CellReflist]],"[0-9].*")</f>
        <v>0</v>
      </c>
      <c r="I338" s="149" t="b">
        <f>regex(NamedRanges[[#This Row],[CellReflist]],"(.+?)?(:)(.+)?","$1")</f>
        <v>0</v>
      </c>
      <c r="J338" s="149" t="b">
        <f>regex(NamedRanges[[#This Row],[CellReflist]],"(.+?)?(:)(.+)?","$3")</f>
        <v>0</v>
      </c>
    </row>
    <row r="339" spans="1:10">
      <c r="A339" t="s">
        <v>2258</v>
      </c>
      <c r="B339" s="474">
        <f>КоэфРГК!$A$195:$E$195</f>
        <v>8.4</v>
      </c>
      <c r="D339" s="149" t="str">
        <f>getFormula(NamedRanges[[#This Row],[RefersTo]])</f>
        <v>=КоэфРГК!$A$195:$E$195</v>
      </c>
      <c r="E339" s="149" t="str">
        <f>regex(NamedRanges[[#This Row],[Формула]],"([=])(.*?)([!])","$2")</f>
        <v>КоэфРГК</v>
      </c>
      <c r="F339" s="149" t="str">
        <f>CellReflist(NamedRanges[[#This Row],[RefersTo]])</f>
        <v>$A$195:$E$195</v>
      </c>
      <c r="G339" s="149" t="str">
        <f>regex(NamedRanges[[#This Row],[CellReflist]],"(\$)(.*[A-Z])","$2")</f>
        <v>A$195:$E</v>
      </c>
      <c r="H339" s="149" t="str">
        <f>regex(NamedRanges[[#This Row],[CellReflist]],"[0-9].*")</f>
        <v>195:$E$195</v>
      </c>
      <c r="I339" s="149" t="str">
        <f>regex(NamedRanges[[#This Row],[CellReflist]],"(.+?)?(:)(.+)?","$1")</f>
        <v>$A$195</v>
      </c>
      <c r="J339" s="149" t="str">
        <f>regex(NamedRanges[[#This Row],[CellReflist]],"(.+?)?(:)(.+)?","$3")</f>
        <v>$E$195</v>
      </c>
    </row>
    <row r="340" spans="1:10">
      <c r="A340" t="s">
        <v>4780</v>
      </c>
      <c r="B340" s="474">
        <f>КоэфРГК!$C$195</f>
        <v>6.7</v>
      </c>
      <c r="D340" s="149" t="str">
        <f>getFormula(NamedRanges[[#This Row],[RefersTo]])</f>
        <v>=КоэфРГК!$C$195</v>
      </c>
      <c r="E340" s="149" t="str">
        <f>regex(NamedRanges[[#This Row],[Формула]],"([=])(.*?)([!])","$2")</f>
        <v>КоэфРГК</v>
      </c>
      <c r="F340" s="149" t="str">
        <f>CellReflist(NamedRanges[[#This Row],[RefersTo]])</f>
        <v>$C$195</v>
      </c>
      <c r="G340" s="149" t="str">
        <f>regex(NamedRanges[[#This Row],[CellReflist]],"(\$)(.*[A-Z])","$2")</f>
        <v>C</v>
      </c>
      <c r="H340" s="149" t="str">
        <f>regex(NamedRanges[[#This Row],[CellReflist]],"[0-9].*")</f>
        <v>195</v>
      </c>
      <c r="I340" s="149" t="b">
        <f>regex(NamedRanges[[#This Row],[CellReflist]],"(.+?)?(:)(.+)?","$1")</f>
        <v>0</v>
      </c>
      <c r="J340" s="149" t="b">
        <f>regex(NamedRanges[[#This Row],[CellReflist]],"(.+?)?(:)(.+)?","$3")</f>
        <v>0</v>
      </c>
    </row>
    <row r="341" spans="1:10">
      <c r="A341" t="s">
        <v>4782</v>
      </c>
      <c r="B341" s="474">
        <f>КоэфРГК!$B$195</f>
        <v>8.4</v>
      </c>
      <c r="D341" s="149" t="str">
        <f>getFormula(NamedRanges[[#This Row],[RefersTo]])</f>
        <v>=КоэфРГК!$B$195</v>
      </c>
      <c r="E341" s="149" t="str">
        <f>regex(NamedRanges[[#This Row],[Формула]],"([=])(.*?)([!])","$2")</f>
        <v>КоэфРГК</v>
      </c>
      <c r="F341" s="149" t="str">
        <f>CellReflist(NamedRanges[[#This Row],[RefersTo]])</f>
        <v>$B$195</v>
      </c>
      <c r="G341" s="149" t="str">
        <f>regex(NamedRanges[[#This Row],[CellReflist]],"(\$)(.*[A-Z])","$2")</f>
        <v>B</v>
      </c>
      <c r="H341" s="149" t="str">
        <f>regex(NamedRanges[[#This Row],[CellReflist]],"[0-9].*")</f>
        <v>195</v>
      </c>
      <c r="I341" s="149" t="b">
        <f>regex(NamedRanges[[#This Row],[CellReflist]],"(.+?)?(:)(.+)?","$1")</f>
        <v>0</v>
      </c>
      <c r="J341" s="149" t="b">
        <f>regex(NamedRanges[[#This Row],[CellReflist]],"(.+?)?(:)(.+)?","$3")</f>
        <v>0</v>
      </c>
    </row>
    <row r="342" spans="1:10">
      <c r="A342" t="s">
        <v>4784</v>
      </c>
      <c r="B342" s="474">
        <f>КоэфРГК!$E$195</f>
        <v>5.7</v>
      </c>
      <c r="D342" s="149" t="str">
        <f>getFormula(NamedRanges[[#This Row],[RefersTo]])</f>
        <v>=КоэфРГК!$E$195</v>
      </c>
      <c r="E342" s="149" t="str">
        <f>regex(NamedRanges[[#This Row],[Формула]],"([=])(.*?)([!])","$2")</f>
        <v>КоэфРГК</v>
      </c>
      <c r="F342" s="149" t="str">
        <f>CellReflist(NamedRanges[[#This Row],[RefersTo]])</f>
        <v>$E$195</v>
      </c>
      <c r="G342" s="149" t="str">
        <f>regex(NamedRanges[[#This Row],[CellReflist]],"(\$)(.*[A-Z])","$2")</f>
        <v>E</v>
      </c>
      <c r="H342" s="149" t="str">
        <f>regex(NamedRanges[[#This Row],[CellReflist]],"[0-9].*")</f>
        <v>195</v>
      </c>
      <c r="I342" s="149" t="b">
        <f>regex(NamedRanges[[#This Row],[CellReflist]],"(.+?)?(:)(.+)?","$1")</f>
        <v>0</v>
      </c>
      <c r="J342" s="149" t="b">
        <f>regex(NamedRanges[[#This Row],[CellReflist]],"(.+?)?(:)(.+)?","$3")</f>
        <v>0</v>
      </c>
    </row>
    <row r="343" spans="1:10">
      <c r="A343" t="s">
        <v>4786</v>
      </c>
      <c r="B343" s="474">
        <f>КоэфРГК!$D$195</f>
        <v>7.1</v>
      </c>
      <c r="D343" s="149" t="str">
        <f>getFormula(NamedRanges[[#This Row],[RefersTo]])</f>
        <v>=КоэфРГК!$D$195</v>
      </c>
      <c r="E343" s="149" t="str">
        <f>regex(NamedRanges[[#This Row],[Формула]],"([=])(.*?)([!])","$2")</f>
        <v>КоэфРГК</v>
      </c>
      <c r="F343" s="149" t="str">
        <f>CellReflist(NamedRanges[[#This Row],[RefersTo]])</f>
        <v>$D$195</v>
      </c>
      <c r="G343" s="149" t="str">
        <f>regex(NamedRanges[[#This Row],[CellReflist]],"(\$)(.*[A-Z])","$2")</f>
        <v>D</v>
      </c>
      <c r="H343" s="149" t="str">
        <f>regex(NamedRanges[[#This Row],[CellReflist]],"[0-9].*")</f>
        <v>195</v>
      </c>
      <c r="I343" s="149" t="b">
        <f>regex(NamedRanges[[#This Row],[CellReflist]],"(.+?)?(:)(.+)?","$1")</f>
        <v>0</v>
      </c>
      <c r="J343" s="149" t="b">
        <f>regex(NamedRanges[[#This Row],[CellReflist]],"(.+?)?(:)(.+)?","$3")</f>
        <v>0</v>
      </c>
    </row>
    <row r="344" spans="1:10">
      <c r="A344" t="s">
        <v>4788</v>
      </c>
      <c r="B344" s="474" t="e">
        <f ca="1">OFFSET(Лісництва!$A$1,0,0,COUNTA(Лісництва!$A$1:$A$65535),COUNTA(Лісництва!$A$1:$IU$1))</f>
        <v>#VALUE!</v>
      </c>
      <c r="D344" s="149" t="str">
        <f>getFormula(NamedRanges[[#This Row],[RefersTo]])</f>
        <v>=OFFSET(Лісництва!$A$1,0,0,COUNTA(Лісництва!$A$1:$A$65535),COUNTA(Лісництва!$A$1:$IU$1))</v>
      </c>
      <c r="E344" s="149" t="str">
        <f>regex(NamedRanges[[#This Row],[Формула]],"([=])(.*?)([!])","$2")</f>
        <v>OFFSET(Лісництва</v>
      </c>
      <c r="F344" s="149" t="str">
        <f>CellReflist(NamedRanges[[#This Row],[RefersTo]])</f>
        <v>$A$1,$A$1:$A$65535,$A$1:$IU$1</v>
      </c>
      <c r="G344" s="149" t="str">
        <f>regex(NamedRanges[[#This Row],[CellReflist]],"(\$)(.*[A-Z])","$2")</f>
        <v>A$1,$A$1:$A$65535,$A$1:$IU</v>
      </c>
      <c r="H344" s="149" t="str">
        <f>regex(NamedRanges[[#This Row],[CellReflist]],"[0-9].*")</f>
        <v>1,$A$1:$A$65535,$A$1:$IU$1</v>
      </c>
      <c r="I344" s="149" t="str">
        <f>regex(NamedRanges[[#This Row],[CellReflist]],"(.+?)?(:)(.+)?","$1")</f>
        <v>$A$1,$A$1</v>
      </c>
      <c r="J344" s="149" t="str">
        <f>regex(NamedRanges[[#This Row],[CellReflist]],"(.+?)?(:)(.+)?","$3")</f>
        <v>$A$65535,$A$1:$IU$1</v>
      </c>
    </row>
    <row r="345" spans="1:10">
      <c r="A345" t="s">
        <v>2175</v>
      </c>
      <c r="B345" s="474" t="str">
        <f>"m"</f>
        <v>m</v>
      </c>
      <c r="D345" s="149" t="str">
        <f>getFormula(NamedRanges[[#This Row],[RefersTo]])</f>
        <v>="m"</v>
      </c>
      <c r="E345" s="149" t="b">
        <f>regex(NamedRanges[[#This Row],[Формула]],"([=])(.*?)([!])","$2")</f>
        <v>0</v>
      </c>
      <c r="F345" s="149">
        <f>CellReflist(NamedRanges[[#This Row],[RefersTo]])</f>
        <v>0</v>
      </c>
      <c r="G345" s="149" t="b">
        <f>regex(NamedRanges[[#This Row],[CellReflist]],"(\$)(.*[A-Z])","$2")</f>
        <v>0</v>
      </c>
      <c r="H345" s="149" t="str">
        <f>regex(NamedRanges[[#This Row],[CellReflist]],"[0-9].*")</f>
        <v>0</v>
      </c>
      <c r="I345" s="149" t="b">
        <f>regex(NamedRanges[[#This Row],[CellReflist]],"(.+?)?(:)(.+)?","$1")</f>
        <v>0</v>
      </c>
      <c r="J345" s="149" t="b">
        <f>regex(NamedRanges[[#This Row],[CellReflist]],"(.+?)?(:)(.+)?","$3")</f>
        <v>0</v>
      </c>
    </row>
    <row r="346" spans="1:10">
      <c r="A346" t="s">
        <v>4790</v>
      </c>
      <c r="B346" s="474" t="e">
        <f ca="1">OFFSET(Мастера!$C$1,0,0,COUNTA(Мастера!$C$1:$C$65535),1)</f>
        <v>#VALUE!</v>
      </c>
      <c r="D346" s="149" t="str">
        <f>getFormula(NamedRanges[[#This Row],[RefersTo]])</f>
        <v>=OFFSET(Мастера!$C$1,0,0,COUNTA(Мастера!$C$1:$C$65535),1)</v>
      </c>
      <c r="E346" s="149" t="str">
        <f>regex(NamedRanges[[#This Row],[Формула]],"([=])(.*?)([!])","$2")</f>
        <v>OFFSET(Мастера</v>
      </c>
      <c r="F346" s="149" t="str">
        <f>CellReflist(NamedRanges[[#This Row],[RefersTo]])</f>
        <v>$C$1,$C$1:$C$65535</v>
      </c>
      <c r="G346" s="149" t="str">
        <f>regex(NamedRanges[[#This Row],[CellReflist]],"(\$)(.*[A-Z])","$2")</f>
        <v>C$1,$C$1:$C</v>
      </c>
      <c r="H346" s="149" t="str">
        <f>regex(NamedRanges[[#This Row],[CellReflist]],"[0-9].*")</f>
        <v>1,$C$1:$C$65535</v>
      </c>
      <c r="I346" s="149" t="str">
        <f>regex(NamedRanges[[#This Row],[CellReflist]],"(.+?)?(:)(.+)?","$1")</f>
        <v>$C$1,$C$1</v>
      </c>
      <c r="J346" s="149" t="str">
        <f>regex(NamedRanges[[#This Row],[CellReflist]],"(.+?)?(:)(.+)?","$3")</f>
        <v>$C$65535</v>
      </c>
    </row>
    <row r="347" spans="1:10">
      <c r="A347" t="s">
        <v>4792</v>
      </c>
      <c r="B347" s="474" t="e">
        <f ca="1">OFFSET(Мастера!$A$1,0,0,COUNTA(Мастера!$A$1:$A$65535),1)</f>
        <v>#VALUE!</v>
      </c>
      <c r="D347" s="149" t="str">
        <f>getFormula(NamedRanges[[#This Row],[RefersTo]])</f>
        <v>=OFFSET(Мастера!$A$1,0,0,COUNTA(Мастера!$A$1:$A$65535),1)</v>
      </c>
      <c r="E347" s="149" t="str">
        <f>regex(NamedRanges[[#This Row],[Формула]],"([=])(.*?)([!])","$2")</f>
        <v>OFFSET(Мастера</v>
      </c>
      <c r="F347" s="149" t="str">
        <f>CellReflist(NamedRanges[[#This Row],[RefersTo]])</f>
        <v>$A$1,$A$1:$A$65535</v>
      </c>
      <c r="G347" s="149" t="str">
        <f>regex(NamedRanges[[#This Row],[CellReflist]],"(\$)(.*[A-Z])","$2")</f>
        <v>A$1,$A$1:$A</v>
      </c>
      <c r="H347" s="149" t="str">
        <f>regex(NamedRanges[[#This Row],[CellReflist]],"[0-9].*")</f>
        <v>1,$A$1:$A$65535</v>
      </c>
      <c r="I347" s="149" t="str">
        <f>regex(NamedRanges[[#This Row],[CellReflist]],"(.+?)?(:)(.+)?","$1")</f>
        <v>$A$1,$A$1</v>
      </c>
      <c r="J347" s="149" t="str">
        <f>regex(NamedRanges[[#This Row],[CellReflist]],"(.+?)?(:)(.+)?","$3")</f>
        <v>$A$65535</v>
      </c>
    </row>
    <row r="348" spans="1:10">
      <c r="A348" t="s">
        <v>4794</v>
      </c>
      <c r="B348" s="474" t="e">
        <f ca="1">OFFSET(Мастера!$B$1,0,0,COUNTA(Мастера!$B$1:$B$65535),1)</f>
        <v>#VALUE!</v>
      </c>
      <c r="D348" s="149" t="str">
        <f>getFormula(NamedRanges[[#This Row],[RefersTo]])</f>
        <v>=OFFSET(Мастера!$B$1,0,0,COUNTA(Мастера!$B$1:$B$65535),1)</v>
      </c>
      <c r="E348" s="149" t="str">
        <f>regex(NamedRanges[[#This Row],[Формула]],"([=])(.*?)([!])","$2")</f>
        <v>OFFSET(Мастера</v>
      </c>
      <c r="F348" s="149" t="str">
        <f>CellReflist(NamedRanges[[#This Row],[RefersTo]])</f>
        <v>$B$1,$B$1:$B$65535</v>
      </c>
      <c r="G348" s="149" t="str">
        <f>regex(NamedRanges[[#This Row],[CellReflist]],"(\$)(.*[A-Z])","$2")</f>
        <v>B$1,$B$1:$B</v>
      </c>
      <c r="H348" s="149" t="str">
        <f>regex(NamedRanges[[#This Row],[CellReflist]],"[0-9].*")</f>
        <v>1,$B$1:$B$65535</v>
      </c>
      <c r="I348" s="149" t="str">
        <f>regex(NamedRanges[[#This Row],[CellReflist]],"(.+?)?(:)(.+)?","$1")</f>
        <v>$B$1,$B$1</v>
      </c>
      <c r="J348" s="149" t="str">
        <f>regex(NamedRanges[[#This Row],[CellReflist]],"(.+?)?(:)(.+)?","$3")</f>
        <v>$B$65535</v>
      </c>
    </row>
    <row r="349" spans="1:10">
      <c r="A349" t="s">
        <v>4796</v>
      </c>
      <c r="B349" s="474" t="e">
        <f ca="1">OFFSET(Мастера!$D$1,0,0,COUNTA(Мастера!$D$1:$D$65535),1)</f>
        <v>#VALUE!</v>
      </c>
      <c r="D349" s="149" t="str">
        <f>getFormula(NamedRanges[[#This Row],[RefersTo]])</f>
        <v>=OFFSET(Мастера!$D$1,0,0,COUNTA(Мастера!$D$1:$D$65535),1)</v>
      </c>
      <c r="E349" s="149" t="str">
        <f>regex(NamedRanges[[#This Row],[Формула]],"([=])(.*?)([!])","$2")</f>
        <v>OFFSET(Мастера</v>
      </c>
      <c r="F349" s="149" t="str">
        <f>CellReflist(NamedRanges[[#This Row],[RefersTo]])</f>
        <v>$D$1,$D$1:$D$65535</v>
      </c>
      <c r="G349" s="149" t="str">
        <f>regex(NamedRanges[[#This Row],[CellReflist]],"(\$)(.*[A-Z])","$2")</f>
        <v>D$1,$D$1:$D</v>
      </c>
      <c r="H349" s="149" t="str">
        <f>regex(NamedRanges[[#This Row],[CellReflist]],"[0-9].*")</f>
        <v>1,$D$1:$D$65535</v>
      </c>
      <c r="I349" s="149" t="str">
        <f>regex(NamedRanges[[#This Row],[CellReflist]],"(.+?)?(:)(.+)?","$1")</f>
        <v>$D$1,$D$1</v>
      </c>
      <c r="J349" s="149" t="str">
        <f>regex(NamedRanges[[#This Row],[CellReflist]],"(.+?)?(:)(.+)?","$3")</f>
        <v>$D$65535</v>
      </c>
    </row>
    <row r="350" spans="1:10">
      <c r="A350" t="s">
        <v>4798</v>
      </c>
      <c r="B350" s="474" t="e">
        <f ca="1">OFFSET(Мастера!$E$1,0,0,COUNTA(Мастера!$E$1:$E$65535),1)</f>
        <v>#VALUE!</v>
      </c>
      <c r="D350" s="149" t="str">
        <f>getFormula(NamedRanges[[#This Row],[RefersTo]])</f>
        <v>=OFFSET(Мастера!$E$1,0,0,COUNTA(Мастера!$E$1:$E$65535),1)</v>
      </c>
      <c r="E350" s="149" t="str">
        <f>regex(NamedRanges[[#This Row],[Формула]],"([=])(.*?)([!])","$2")</f>
        <v>OFFSET(Мастера</v>
      </c>
      <c r="F350" s="149" t="str">
        <f>CellReflist(NamedRanges[[#This Row],[RefersTo]])</f>
        <v>$E$1,$E$1:$E$65535</v>
      </c>
      <c r="G350" s="149" t="str">
        <f>regex(NamedRanges[[#This Row],[CellReflist]],"(\$)(.*[A-Z])","$2")</f>
        <v>E$1,$E$1:$E</v>
      </c>
      <c r="H350" s="149" t="str">
        <f>regex(NamedRanges[[#This Row],[CellReflist]],"[0-9].*")</f>
        <v>1,$E$1:$E$65535</v>
      </c>
      <c r="I350" s="149" t="str">
        <f>regex(NamedRanges[[#This Row],[CellReflist]],"(.+?)?(:)(.+)?","$1")</f>
        <v>$E$1,$E$1</v>
      </c>
      <c r="J350" s="149" t="str">
        <f>regex(NamedRanges[[#This Row],[CellReflist]],"(.+?)?(:)(.+)?","$3")</f>
        <v>$E$65535</v>
      </c>
    </row>
    <row r="351" spans="1:10">
      <c r="A351" t="s">
        <v>4800</v>
      </c>
      <c r="B351" s="474" t="e">
        <f ca="1">OFFSET(Мастера!$F$1,0,0,COUNTA(Мастера!$F$1:$F$65535),1)</f>
        <v>#VALUE!</v>
      </c>
      <c r="D351" s="149" t="str">
        <f>getFormula(NamedRanges[[#This Row],[RefersTo]])</f>
        <v>=OFFSET(Мастера!$F$1,0,0,COUNTA(Мастера!$F$1:$F$65535),1)</v>
      </c>
      <c r="E351" s="149" t="str">
        <f>regex(NamedRanges[[#This Row],[Формула]],"([=])(.*?)([!])","$2")</f>
        <v>OFFSET(Мастера</v>
      </c>
      <c r="F351" s="149" t="str">
        <f>CellReflist(NamedRanges[[#This Row],[RefersTo]])</f>
        <v>$F$1,$F$1:$F$65535</v>
      </c>
      <c r="G351" s="149" t="str">
        <f>regex(NamedRanges[[#This Row],[CellReflist]],"(\$)(.*[A-Z])","$2")</f>
        <v>F$1,$F$1:$F</v>
      </c>
      <c r="H351" s="149" t="str">
        <f>regex(NamedRanges[[#This Row],[CellReflist]],"[0-9].*")</f>
        <v>1,$F$1:$F$65535</v>
      </c>
      <c r="I351" s="149" t="str">
        <f>regex(NamedRanges[[#This Row],[CellReflist]],"(.+?)?(:)(.+)?","$1")</f>
        <v>$F$1,$F$1</v>
      </c>
      <c r="J351" s="149" t="str">
        <f>regex(NamedRanges[[#This Row],[CellReflist]],"(.+?)?(:)(.+)?","$3")</f>
        <v>$F$65535</v>
      </c>
    </row>
    <row r="352" spans="1:10">
      <c r="A352" t="s">
        <v>4802</v>
      </c>
      <c r="B352" s="474" t="str">
        <f>Молодняки!$H$1</f>
        <v>Шп</v>
      </c>
      <c r="D352" s="149" t="str">
        <f>getFormula(NamedRanges[[#This Row],[RefersTo]])</f>
        <v>=Молодняки!$H$1</v>
      </c>
      <c r="E352" s="149" t="str">
        <f>regex(NamedRanges[[#This Row],[Формула]],"([=])(.*?)([!])","$2")</f>
        <v>Молодняки</v>
      </c>
      <c r="F352" s="149" t="str">
        <f>CellReflist(NamedRanges[[#This Row],[RefersTo]])</f>
        <v>$H$1</v>
      </c>
      <c r="G352" s="149" t="str">
        <f>regex(NamedRanges[[#This Row],[CellReflist]],"(\$)(.*[A-Z])","$2")</f>
        <v>H</v>
      </c>
      <c r="H352" s="149" t="str">
        <f>regex(NamedRanges[[#This Row],[CellReflist]],"[0-9].*")</f>
        <v>1</v>
      </c>
      <c r="I352" s="149" t="b">
        <f>regex(NamedRanges[[#This Row],[CellReflist]],"(.+?)?(:)(.+)?","$1")</f>
        <v>0</v>
      </c>
      <c r="J352" s="149" t="b">
        <f>regex(NamedRanges[[#This Row],[CellReflist]],"(.+?)?(:)(.+)?","$3")</f>
        <v>0</v>
      </c>
    </row>
    <row r="353" spans="1:10">
      <c r="A353" t="s">
        <v>4804</v>
      </c>
      <c r="B353" s="474">
        <f>Молодняки!$I$8</f>
        <v>0</v>
      </c>
      <c r="D353" s="149" t="str">
        <f>getFormula(NamedRanges[[#This Row],[RefersTo]])</f>
        <v>=Молодняки!$I$8</v>
      </c>
      <c r="E353" s="149" t="str">
        <f>regex(NamedRanges[[#This Row],[Формула]],"([=])(.*?)([!])","$2")</f>
        <v>Молодняки</v>
      </c>
      <c r="F353" s="149" t="str">
        <f>CellReflist(NamedRanges[[#This Row],[RefersTo]])</f>
        <v>$I$8</v>
      </c>
      <c r="G353" s="149" t="str">
        <f>regex(NamedRanges[[#This Row],[CellReflist]],"(\$)(.*[A-Z])","$2")</f>
        <v>I</v>
      </c>
      <c r="H353" s="149" t="str">
        <f>regex(NamedRanges[[#This Row],[CellReflist]],"[0-9].*")</f>
        <v>8</v>
      </c>
      <c r="I353" s="149" t="b">
        <f>regex(NamedRanges[[#This Row],[CellReflist]],"(.+?)?(:)(.+)?","$1")</f>
        <v>0</v>
      </c>
      <c r="J353" s="149" t="b">
        <f>regex(NamedRanges[[#This Row],[CellReflist]],"(.+?)?(:)(.+)?","$3")</f>
        <v>0</v>
      </c>
    </row>
    <row r="354" spans="1:10">
      <c r="A354" t="s">
        <v>4806</v>
      </c>
      <c r="B354" s="474">
        <f>Молодняки!$I$13</f>
        <v>43433</v>
      </c>
      <c r="D354" s="149" t="str">
        <f>getFormula(NamedRanges[[#This Row],[RefersTo]])</f>
        <v>=Молодняки!$I$13</v>
      </c>
      <c r="E354" s="149" t="str">
        <f>regex(NamedRanges[[#This Row],[Формула]],"([=])(.*?)([!])","$2")</f>
        <v>Молодняки</v>
      </c>
      <c r="F354" s="149" t="str">
        <f>CellReflist(NamedRanges[[#This Row],[RefersTo]])</f>
        <v>$I$13</v>
      </c>
      <c r="G354" s="149" t="str">
        <f>regex(NamedRanges[[#This Row],[CellReflist]],"(\$)(.*[A-Z])","$2")</f>
        <v>I</v>
      </c>
      <c r="H354" s="149" t="str">
        <f>regex(NamedRanges[[#This Row],[CellReflist]],"[0-9].*")</f>
        <v>13</v>
      </c>
      <c r="I354" s="149" t="b">
        <f>regex(NamedRanges[[#This Row],[CellReflist]],"(.+?)?(:)(.+)?","$1")</f>
        <v>0</v>
      </c>
      <c r="J354" s="149" t="b">
        <f>regex(NamedRanges[[#This Row],[CellReflist]],"(.+?)?(:)(.+)?","$3")</f>
        <v>0</v>
      </c>
    </row>
    <row r="355" spans="1:10">
      <c r="A355" t="s">
        <v>4808</v>
      </c>
      <c r="B355" s="474">
        <f>Молодняки!$P$9</f>
        <v>43433</v>
      </c>
      <c r="D355" s="149" t="str">
        <f>getFormula(NamedRanges[[#This Row],[RefersTo]])</f>
        <v>=Молодняки!$P$9</v>
      </c>
      <c r="E355" s="149" t="str">
        <f>regex(NamedRanges[[#This Row],[Формула]],"([=])(.*?)([!])","$2")</f>
        <v>Молодняки</v>
      </c>
      <c r="F355" s="149" t="str">
        <f>CellReflist(NamedRanges[[#This Row],[RefersTo]])</f>
        <v>$P$9</v>
      </c>
      <c r="G355" s="149" t="str">
        <f>regex(NamedRanges[[#This Row],[CellReflist]],"(\$)(.*[A-Z])","$2")</f>
        <v>P</v>
      </c>
      <c r="H355" s="149" t="str">
        <f>regex(NamedRanges[[#This Row],[CellReflist]],"[0-9].*")</f>
        <v>9</v>
      </c>
      <c r="I355" s="149" t="b">
        <f>regex(NamedRanges[[#This Row],[CellReflist]],"(.+?)?(:)(.+)?","$1")</f>
        <v>0</v>
      </c>
      <c r="J355" s="149" t="b">
        <f>regex(NamedRanges[[#This Row],[CellReflist]],"(.+?)?(:)(.+)?","$3")</f>
        <v>0</v>
      </c>
    </row>
    <row r="356" spans="1:10">
      <c r="A356" t="s">
        <v>4810</v>
      </c>
      <c r="B356" s="474" t="str">
        <f>Молодняки!$P$12</f>
        <v>38 кв (3 вид) 0 діл.</v>
      </c>
      <c r="D356" s="149" t="str">
        <f>getFormula(NamedRanges[[#This Row],[RefersTo]])</f>
        <v>=Молодняки!$P$12</v>
      </c>
      <c r="E356" s="149" t="str">
        <f>regex(NamedRanges[[#This Row],[Формула]],"([=])(.*?)([!])","$2")</f>
        <v>Молодняки</v>
      </c>
      <c r="F356" s="149" t="str">
        <f>CellReflist(NamedRanges[[#This Row],[RefersTo]])</f>
        <v>$P$12</v>
      </c>
      <c r="G356" s="149" t="str">
        <f>regex(NamedRanges[[#This Row],[CellReflist]],"(\$)(.*[A-Z])","$2")</f>
        <v>P</v>
      </c>
      <c r="H356" s="149" t="str">
        <f>regex(NamedRanges[[#This Row],[CellReflist]],"[0-9].*")</f>
        <v>12</v>
      </c>
      <c r="I356" s="149" t="b">
        <f>regex(NamedRanges[[#This Row],[CellReflist]],"(.+?)?(:)(.+)?","$1")</f>
        <v>0</v>
      </c>
      <c r="J356" s="149" t="b">
        <f>regex(NamedRanges[[#This Row],[CellReflist]],"(.+?)?(:)(.+)?","$3")</f>
        <v>0</v>
      </c>
    </row>
    <row r="357" spans="1:10">
      <c r="A357" t="s">
        <v>4812</v>
      </c>
      <c r="B357" s="474">
        <f>Молодняки!$P$10</f>
        <v>2</v>
      </c>
      <c r="D357" s="149" t="str">
        <f>getFormula(NamedRanges[[#This Row],[RefersTo]])</f>
        <v>=Молодняки!$P$10</v>
      </c>
      <c r="E357" s="149" t="str">
        <f>regex(NamedRanges[[#This Row],[Формула]],"([=])(.*?)([!])","$2")</f>
        <v>Молодняки</v>
      </c>
      <c r="F357" s="149" t="str">
        <f>CellReflist(NamedRanges[[#This Row],[RefersTo]])</f>
        <v>$P$10</v>
      </c>
      <c r="G357" s="149" t="str">
        <f>regex(NamedRanges[[#This Row],[CellReflist]],"(\$)(.*[A-Z])","$2")</f>
        <v>P</v>
      </c>
      <c r="H357" s="149" t="str">
        <f>regex(NamedRanges[[#This Row],[CellReflist]],"[0-9].*")</f>
        <v>10</v>
      </c>
      <c r="I357" s="149" t="b">
        <f>regex(NamedRanges[[#This Row],[CellReflist]],"(.+?)?(:)(.+)?","$1")</f>
        <v>0</v>
      </c>
      <c r="J357" s="149" t="b">
        <f>regex(NamedRanges[[#This Row],[CellReflist]],"(.+?)?(:)(.+)?","$3")</f>
        <v>0</v>
      </c>
    </row>
    <row r="358" spans="1:10">
      <c r="A358" t="s">
        <v>5437</v>
      </c>
      <c r="B358" s="474" t="e">
        <f>Молодняки!$A$42:$P$44</f>
        <v>#VALUE!</v>
      </c>
      <c r="D358" s="149" t="str">
        <f>getFormula(NamedRanges[[#This Row],[RefersTo]])</f>
        <v>=Молодняки!$A$42:$P$44</v>
      </c>
      <c r="E358" s="149" t="str">
        <f>regex(NamedRanges[[#This Row],[Формула]],"([=])(.*?)([!])","$2")</f>
        <v>Молодняки</v>
      </c>
      <c r="F358" s="149" t="str">
        <f>CellReflist(NamedRanges[[#This Row],[RefersTo]])</f>
        <v>$A$42:$P$44</v>
      </c>
      <c r="G358" s="149" t="str">
        <f>regex(NamedRanges[[#This Row],[CellReflist]],"(\$)(.*[A-Z])","$2")</f>
        <v>A$42:$P</v>
      </c>
      <c r="H358" s="149" t="str">
        <f>regex(NamedRanges[[#This Row],[CellReflist]],"[0-9].*")</f>
        <v>42:$P$44</v>
      </c>
      <c r="I358" s="149" t="str">
        <f>regex(NamedRanges[[#This Row],[CellReflist]],"(.+?)?(:)(.+)?","$1")</f>
        <v>$A$42</v>
      </c>
      <c r="J358" s="149" t="str">
        <f>regex(NamedRanges[[#This Row],[CellReflist]],"(.+?)?(:)(.+)?","$3")</f>
        <v>$P$44</v>
      </c>
    </row>
    <row r="359" spans="1:10">
      <c r="A359" t="s">
        <v>4814</v>
      </c>
      <c r="B359" s="474" t="str">
        <f>Молодняки!$B$13</f>
        <v>Сз</v>
      </c>
      <c r="D359" s="149" t="str">
        <f>getFormula(NamedRanges[[#This Row],[RefersTo]])</f>
        <v>=Молодняки!$B$13</v>
      </c>
      <c r="E359" s="149" t="str">
        <f>regex(NamedRanges[[#This Row],[Формула]],"([=])(.*?)([!])","$2")</f>
        <v>Молодняки</v>
      </c>
      <c r="F359" s="149" t="str">
        <f>CellReflist(NamedRanges[[#This Row],[RefersTo]])</f>
        <v>$B$13</v>
      </c>
      <c r="G359" s="149" t="str">
        <f>regex(NamedRanges[[#This Row],[CellReflist]],"(\$)(.*[A-Z])","$2")</f>
        <v>B</v>
      </c>
      <c r="H359" s="149" t="str">
        <f>regex(NamedRanges[[#This Row],[CellReflist]],"[0-9].*")</f>
        <v>13</v>
      </c>
      <c r="I359" s="149" t="b">
        <f>regex(NamedRanges[[#This Row],[CellReflist]],"(.+?)?(:)(.+)?","$1")</f>
        <v>0</v>
      </c>
      <c r="J359" s="149" t="b">
        <f>regex(NamedRanges[[#This Row],[CellReflist]],"(.+?)?(:)(.+)?","$3")</f>
        <v>0</v>
      </c>
    </row>
    <row r="360" spans="1:10">
      <c r="A360" t="s">
        <v>5438</v>
      </c>
      <c r="B360" s="474" t="e">
        <f>Молодняки!$A$1:$P$13</f>
        <v>#VALUE!</v>
      </c>
      <c r="D360" s="149" t="str">
        <f>getFormula(NamedRanges[[#This Row],[RefersTo]])</f>
        <v>=Молодняки!$A$1:$P$13</v>
      </c>
      <c r="E360" s="149" t="str">
        <f>regex(NamedRanges[[#This Row],[Формула]],"([=])(.*?)([!])","$2")</f>
        <v>Молодняки</v>
      </c>
      <c r="F360" s="149" t="str">
        <f>CellReflist(NamedRanges[[#This Row],[RefersTo]])</f>
        <v>$A$1:$P$13</v>
      </c>
      <c r="G360" s="149" t="str">
        <f>regex(NamedRanges[[#This Row],[CellReflist]],"(\$)(.*[A-Z])","$2")</f>
        <v>A$1:$P</v>
      </c>
      <c r="H360" s="149" t="str">
        <f>regex(NamedRanges[[#This Row],[CellReflist]],"[0-9].*")</f>
        <v>1:$P$13</v>
      </c>
      <c r="I360" s="149" t="str">
        <f>regex(NamedRanges[[#This Row],[CellReflist]],"(.+?)?(:)(.+)?","$1")</f>
        <v>$A$1</v>
      </c>
      <c r="J360" s="149" t="str">
        <f>regex(NamedRanges[[#This Row],[CellReflist]],"(.+?)?(:)(.+)?","$3")</f>
        <v>$P$13</v>
      </c>
    </row>
    <row r="361" spans="1:10">
      <c r="A361" t="s">
        <v>4816</v>
      </c>
      <c r="B361" s="474">
        <f>Молодняки!$Q$13</f>
        <v>0.3</v>
      </c>
      <c r="D361" s="149" t="str">
        <f>getFormula(NamedRanges[[#This Row],[RefersTo]])</f>
        <v>=Молодняки!$Q$13</v>
      </c>
      <c r="E361" s="149" t="str">
        <f>regex(NamedRanges[[#This Row],[Формула]],"([=])(.*?)([!])","$2")</f>
        <v>Молодняки</v>
      </c>
      <c r="F361" s="149" t="str">
        <f>CellReflist(NamedRanges[[#This Row],[RefersTo]])</f>
        <v>$Q$13</v>
      </c>
      <c r="G361" s="149" t="str">
        <f>regex(NamedRanges[[#This Row],[CellReflist]],"(\$)(.*[A-Z])","$2")</f>
        <v>Q</v>
      </c>
      <c r="H361" s="149" t="str">
        <f>regex(NamedRanges[[#This Row],[CellReflist]],"[0-9].*")</f>
        <v>13</v>
      </c>
      <c r="I361" s="149" t="b">
        <f>regex(NamedRanges[[#This Row],[CellReflist]],"(.+?)?(:)(.+)?","$1")</f>
        <v>0</v>
      </c>
      <c r="J361" s="149" t="b">
        <f>regex(NamedRanges[[#This Row],[CellReflist]],"(.+?)?(:)(.+)?","$3")</f>
        <v>0</v>
      </c>
    </row>
    <row r="362" spans="1:10">
      <c r="A362" t="s">
        <v>5395</v>
      </c>
      <c r="B362" s="474">
        <f>Молодняки!$I$9</f>
        <v>0.12</v>
      </c>
      <c r="D362" s="149" t="str">
        <f>getFormula(NamedRanges[[#This Row],[RefersTo]])</f>
        <v>=Молодняки!$I$9</v>
      </c>
      <c r="E362" s="149" t="str">
        <f>regex(NamedRanges[[#This Row],[Формула]],"([=])(.*?)([!])","$2")</f>
        <v>Молодняки</v>
      </c>
      <c r="F362" s="149" t="str">
        <f>CellReflist(NamedRanges[[#This Row],[RefersTo]])</f>
        <v>$I$9</v>
      </c>
      <c r="G362" s="149" t="str">
        <f>regex(NamedRanges[[#This Row],[CellReflist]],"(\$)(.*[A-Z])","$2")</f>
        <v>I</v>
      </c>
      <c r="H362" s="149" t="str">
        <f>regex(NamedRanges[[#This Row],[CellReflist]],"[0-9].*")</f>
        <v>9</v>
      </c>
      <c r="I362" s="149" t="b">
        <f>regex(NamedRanges[[#This Row],[CellReflist]],"(.+?)?(:)(.+)?","$1")</f>
        <v>0</v>
      </c>
      <c r="J362" s="149" t="b">
        <f>regex(NamedRanges[[#This Row],[CellReflist]],"(.+?)?(:)(.+)?","$3")</f>
        <v>0</v>
      </c>
    </row>
    <row r="363" spans="1:10">
      <c r="A363" t="s">
        <v>4818</v>
      </c>
      <c r="B363" s="474">
        <f>Молодняки!$B$3</f>
        <v>38</v>
      </c>
      <c r="D363" s="149" t="str">
        <f>getFormula(NamedRanges[[#This Row],[RefersTo]])</f>
        <v>=Молодняки!$B$3</v>
      </c>
      <c r="E363" s="149" t="str">
        <f>regex(NamedRanges[[#This Row],[Формула]],"([=])(.*?)([!])","$2")</f>
        <v>Молодняки</v>
      </c>
      <c r="F363" s="149" t="str">
        <f>CellReflist(NamedRanges[[#This Row],[RefersTo]])</f>
        <v>$B$3</v>
      </c>
      <c r="G363" s="149" t="str">
        <f>regex(NamedRanges[[#This Row],[CellReflist]],"(\$)(.*[A-Z])","$2")</f>
        <v>B</v>
      </c>
      <c r="H363" s="149" t="str">
        <f>regex(NamedRanges[[#This Row],[CellReflist]],"[0-9].*")</f>
        <v>3</v>
      </c>
      <c r="I363" s="149" t="b">
        <f>regex(NamedRanges[[#This Row],[CellReflist]],"(.+?)?(:)(.+)?","$1")</f>
        <v>0</v>
      </c>
      <c r="J363" s="149" t="b">
        <f>regex(NamedRanges[[#This Row],[CellReflist]],"(.+?)?(:)(.+)?","$3")</f>
        <v>0</v>
      </c>
    </row>
    <row r="364" spans="1:10">
      <c r="A364" t="s">
        <v>4820</v>
      </c>
      <c r="B364" s="474">
        <f>Молодняки!$I$11</f>
        <v>1</v>
      </c>
      <c r="D364" s="149" t="str">
        <f>getFormula(NamedRanges[[#This Row],[RefersTo]])</f>
        <v>=Молодняки!$I$11</v>
      </c>
      <c r="E364" s="149" t="str">
        <f>regex(NamedRanges[[#This Row],[Формула]],"([=])(.*?)([!])","$2")</f>
        <v>Молодняки</v>
      </c>
      <c r="F364" s="149" t="str">
        <f>CellReflist(NamedRanges[[#This Row],[RefersTo]])</f>
        <v>$I$11</v>
      </c>
      <c r="G364" s="149" t="str">
        <f>regex(NamedRanges[[#This Row],[CellReflist]],"(\$)(.*[A-Z])","$2")</f>
        <v>I</v>
      </c>
      <c r="H364" s="149" t="str">
        <f>regex(NamedRanges[[#This Row],[CellReflist]],"[0-9].*")</f>
        <v>11</v>
      </c>
      <c r="I364" s="149" t="b">
        <f>regex(NamedRanges[[#This Row],[CellReflist]],"(.+?)?(:)(.+)?","$1")</f>
        <v>0</v>
      </c>
      <c r="J364" s="149" t="b">
        <f>regex(NamedRanges[[#This Row],[CellReflist]],"(.+?)?(:)(.+)?","$3")</f>
        <v>0</v>
      </c>
    </row>
    <row r="365" spans="1:10">
      <c r="A365" t="s">
        <v>4822</v>
      </c>
      <c r="B365" s="474" t="str">
        <f>Молодняки!$B$2</f>
        <v>Шполянське</v>
      </c>
      <c r="D365" s="149" t="str">
        <f>getFormula(NamedRanges[[#This Row],[RefersTo]])</f>
        <v>=Молодняки!$B$2</v>
      </c>
      <c r="E365" s="149" t="str">
        <f>regex(NamedRanges[[#This Row],[Формула]],"([=])(.*?)([!])","$2")</f>
        <v>Молодняки</v>
      </c>
      <c r="F365" s="149" t="str">
        <f>CellReflist(NamedRanges[[#This Row],[RefersTo]])</f>
        <v>$B$2</v>
      </c>
      <c r="G365" s="149" t="str">
        <f>regex(NamedRanges[[#This Row],[CellReflist]],"(\$)(.*[A-Z])","$2")</f>
        <v>B</v>
      </c>
      <c r="H365" s="149" t="str">
        <f>regex(NamedRanges[[#This Row],[CellReflist]],"[0-9].*")</f>
        <v>2</v>
      </c>
      <c r="I365" s="149" t="b">
        <f>regex(NamedRanges[[#This Row],[CellReflist]],"(.+?)?(:)(.+)?","$1")</f>
        <v>0</v>
      </c>
      <c r="J365" s="149" t="b">
        <f>regex(NamedRanges[[#This Row],[CellReflist]],"(.+?)?(:)(.+)?","$3")</f>
        <v>0</v>
      </c>
    </row>
    <row r="366" spans="1:10">
      <c r="A366" t="s">
        <v>5439</v>
      </c>
      <c r="B366" s="474" t="e">
        <f>Молодняки!$A$14:$P$41</f>
        <v>#VALUE!</v>
      </c>
      <c r="D366" s="149" t="str">
        <f>getFormula(NamedRanges[[#This Row],[RefersTo]])</f>
        <v>=Молодняки!$A$14:$P$41</v>
      </c>
      <c r="E366" s="149" t="str">
        <f>regex(NamedRanges[[#This Row],[Формула]],"([=])(.*?)([!])","$2")</f>
        <v>Молодняки</v>
      </c>
      <c r="F366" s="149" t="str">
        <f>CellReflist(NamedRanges[[#This Row],[RefersTo]])</f>
        <v>$A$14:$P$41</v>
      </c>
      <c r="G366" s="149" t="str">
        <f>regex(NamedRanges[[#This Row],[CellReflist]],"(\$)(.*[A-Z])","$2")</f>
        <v>A$14:$P</v>
      </c>
      <c r="H366" s="149" t="str">
        <f>regex(NamedRanges[[#This Row],[CellReflist]],"[0-9].*")</f>
        <v>14:$P$41</v>
      </c>
      <c r="I366" s="149" t="str">
        <f>regex(NamedRanges[[#This Row],[CellReflist]],"(.+?)?(:)(.+)?","$1")</f>
        <v>$A$14</v>
      </c>
      <c r="J366" s="149" t="str">
        <f>regex(NamedRanges[[#This Row],[CellReflist]],"(.+?)?(:)(.+)?","$3")</f>
        <v>$P$41</v>
      </c>
    </row>
    <row r="367" spans="1:10">
      <c r="A367" t="s">
        <v>4824</v>
      </c>
      <c r="B367" s="474">
        <f>Молодняки!$I$6</f>
        <v>22</v>
      </c>
      <c r="D367" s="149" t="str">
        <f>getFormula(NamedRanges[[#This Row],[RefersTo]])</f>
        <v>=Молодняки!$I$6</v>
      </c>
      <c r="E367" s="149" t="str">
        <f>regex(NamedRanges[[#This Row],[Формула]],"([=])(.*?)([!])","$2")</f>
        <v>Молодняки</v>
      </c>
      <c r="F367" s="149" t="str">
        <f>CellReflist(NamedRanges[[#This Row],[RefersTo]])</f>
        <v>$I$6</v>
      </c>
      <c r="G367" s="149" t="str">
        <f>regex(NamedRanges[[#This Row],[CellReflist]],"(\$)(.*[A-Z])","$2")</f>
        <v>I</v>
      </c>
      <c r="H367" s="149" t="str">
        <f>regex(NamedRanges[[#This Row],[CellReflist]],"[0-9].*")</f>
        <v>6</v>
      </c>
      <c r="I367" s="149" t="b">
        <f>regex(NamedRanges[[#This Row],[CellReflist]],"(.+?)?(:)(.+)?","$1")</f>
        <v>0</v>
      </c>
      <c r="J367" s="149" t="b">
        <f>regex(NamedRanges[[#This Row],[CellReflist]],"(.+?)?(:)(.+)?","$3")</f>
        <v>0</v>
      </c>
    </row>
    <row r="368" spans="1:10">
      <c r="A368" t="s">
        <v>4826</v>
      </c>
      <c r="B368" s="474">
        <f>Молодняки!$G$1</f>
        <v>11</v>
      </c>
      <c r="D368" s="149" t="str">
        <f>getFormula(NamedRanges[[#This Row],[RefersTo]])</f>
        <v>=Молодняки!$G$1</v>
      </c>
      <c r="E368" s="149" t="str">
        <f>regex(NamedRanges[[#This Row],[Формула]],"([=])(.*?)([!])","$2")</f>
        <v>Молодняки</v>
      </c>
      <c r="F368" s="149" t="str">
        <f>CellReflist(NamedRanges[[#This Row],[RefersTo]])</f>
        <v>$G$1</v>
      </c>
      <c r="G368" s="149" t="str">
        <f>regex(NamedRanges[[#This Row],[CellReflist]],"(\$)(.*[A-Z])","$2")</f>
        <v>G</v>
      </c>
      <c r="H368" s="149" t="str">
        <f>regex(NamedRanges[[#This Row],[CellReflist]],"[0-9].*")</f>
        <v>1</v>
      </c>
      <c r="I368" s="149" t="b">
        <f>regex(NamedRanges[[#This Row],[CellReflist]],"(.+?)?(:)(.+)?","$1")</f>
        <v>0</v>
      </c>
      <c r="J368" s="149" t="b">
        <f>regex(NamedRanges[[#This Row],[CellReflist]],"(.+?)?(:)(.+)?","$3")</f>
        <v>0</v>
      </c>
    </row>
    <row r="369" spans="1:10">
      <c r="A369" t="s">
        <v>4828</v>
      </c>
      <c r="B369" s="474">
        <f>Молодняки!$J$1</f>
        <v>11</v>
      </c>
      <c r="D369" s="149" t="str">
        <f>getFormula(NamedRanges[[#This Row],[RefersTo]])</f>
        <v>=Молодняки!$J$1</v>
      </c>
      <c r="E369" s="149" t="str">
        <f>regex(NamedRanges[[#This Row],[Формула]],"([=])(.*?)([!])","$2")</f>
        <v>Молодняки</v>
      </c>
      <c r="F369" s="149" t="str">
        <f>CellReflist(NamedRanges[[#This Row],[RefersTo]])</f>
        <v>$J$1</v>
      </c>
      <c r="G369" s="149" t="str">
        <f>regex(NamedRanges[[#This Row],[CellReflist]],"(\$)(.*[A-Z])","$2")</f>
        <v>J</v>
      </c>
      <c r="H369" s="149" t="str">
        <f>regex(NamedRanges[[#This Row],[CellReflist]],"[0-9].*")</f>
        <v>1</v>
      </c>
      <c r="I369" s="149" t="b">
        <f>regex(NamedRanges[[#This Row],[CellReflist]],"(.+?)?(:)(.+)?","$1")</f>
        <v>0</v>
      </c>
      <c r="J369" s="149" t="b">
        <f>regex(NamedRanges[[#This Row],[CellReflist]],"(.+?)?(:)(.+)?","$3")</f>
        <v>0</v>
      </c>
    </row>
    <row r="370" spans="1:10">
      <c r="A370" t="s">
        <v>4830</v>
      </c>
      <c r="B370" s="474">
        <f>Молодняки!$I$12</f>
        <v>104</v>
      </c>
      <c r="D370" s="149" t="str">
        <f>getFormula(NamedRanges[[#This Row],[RefersTo]])</f>
        <v>=Молодняки!$I$12</v>
      </c>
      <c r="E370" s="149" t="str">
        <f>regex(NamedRanges[[#This Row],[Формула]],"([=])(.*?)([!])","$2")</f>
        <v>Молодняки</v>
      </c>
      <c r="F370" s="149" t="str">
        <f>CellReflist(NamedRanges[[#This Row],[RefersTo]])</f>
        <v>$I$12</v>
      </c>
      <c r="G370" s="149" t="str">
        <f>regex(NamedRanges[[#This Row],[CellReflist]],"(\$)(.*[A-Z])","$2")</f>
        <v>I</v>
      </c>
      <c r="H370" s="149" t="str">
        <f>regex(NamedRanges[[#This Row],[CellReflist]],"[0-9].*")</f>
        <v>12</v>
      </c>
      <c r="I370" s="149" t="b">
        <f>regex(NamedRanges[[#This Row],[CellReflist]],"(.+?)?(:)(.+)?","$1")</f>
        <v>0</v>
      </c>
      <c r="J370" s="149" t="b">
        <f>regex(NamedRanges[[#This Row],[CellReflist]],"(.+?)?(:)(.+)?","$3")</f>
        <v>0</v>
      </c>
    </row>
    <row r="371" spans="1:10">
      <c r="A371" t="s">
        <v>4832</v>
      </c>
      <c r="B371" s="474" t="str">
        <f>Молодняки!$B$6</f>
        <v>Молодняки</v>
      </c>
      <c r="D371" s="149" t="str">
        <f>getFormula(NamedRanges[[#This Row],[RefersTo]])</f>
        <v>=Молодняки!$B$6</v>
      </c>
      <c r="E371" s="149" t="str">
        <f>regex(NamedRanges[[#This Row],[Формула]],"([=])(.*?)([!])","$2")</f>
        <v>Молодняки</v>
      </c>
      <c r="F371" s="149" t="str">
        <f>CellReflist(NamedRanges[[#This Row],[RefersTo]])</f>
        <v>$B$6</v>
      </c>
      <c r="G371" s="149" t="str">
        <f>regex(NamedRanges[[#This Row],[CellReflist]],"(\$)(.*[A-Z])","$2")</f>
        <v>B</v>
      </c>
      <c r="H371" s="149" t="str">
        <f>regex(NamedRanges[[#This Row],[CellReflist]],"[0-9].*")</f>
        <v>6</v>
      </c>
      <c r="I371" s="149" t="b">
        <f>regex(NamedRanges[[#This Row],[CellReflist]],"(.+?)?(:)(.+)?","$1")</f>
        <v>0</v>
      </c>
      <c r="J371" s="149" t="b">
        <f>regex(NamedRanges[[#This Row],[CellReflist]],"(.+?)?(:)(.+)?","$3")</f>
        <v>0</v>
      </c>
    </row>
    <row r="372" spans="1:10">
      <c r="A372" t="s">
        <v>4834</v>
      </c>
      <c r="B372" s="474">
        <f>Молодняки!$U$12</f>
        <v>0</v>
      </c>
      <c r="D372" s="149" t="str">
        <f>getFormula(NamedRanges[[#This Row],[RefersTo]])</f>
        <v>=Молодняки!$U$12</v>
      </c>
      <c r="E372" s="149" t="str">
        <f>regex(NamedRanges[[#This Row],[Формула]],"([=])(.*?)([!])","$2")</f>
        <v>Молодняки</v>
      </c>
      <c r="F372" s="149" t="str">
        <f>CellReflist(NamedRanges[[#This Row],[RefersTo]])</f>
        <v>$U$12</v>
      </c>
      <c r="G372" s="149" t="str">
        <f>regex(NamedRanges[[#This Row],[CellReflist]],"(\$)(.*[A-Z])","$2")</f>
        <v>U</v>
      </c>
      <c r="H372" s="149" t="str">
        <f>regex(NamedRanges[[#This Row],[CellReflist]],"[0-9].*")</f>
        <v>12</v>
      </c>
      <c r="I372" s="149" t="b">
        <f>regex(NamedRanges[[#This Row],[CellReflist]],"(.+?)?(:)(.+)?","$1")</f>
        <v>0</v>
      </c>
      <c r="J372" s="149" t="b">
        <f>regex(NamedRanges[[#This Row],[CellReflist]],"(.+?)?(:)(.+)?","$3")</f>
        <v>0</v>
      </c>
    </row>
    <row r="373" spans="1:10">
      <c r="A373" t="s">
        <v>4836</v>
      </c>
      <c r="B373" s="474">
        <f>Молодняки!$B$5</f>
        <v>1.2</v>
      </c>
      <c r="D373" s="149" t="str">
        <f>getFormula(NamedRanges[[#This Row],[RefersTo]])</f>
        <v>=Молодняки!$B$5</v>
      </c>
      <c r="E373" s="149" t="str">
        <f>regex(NamedRanges[[#This Row],[Формула]],"([=])(.*?)([!])","$2")</f>
        <v>Молодняки</v>
      </c>
      <c r="F373" s="149" t="str">
        <f>CellReflist(NamedRanges[[#This Row],[RefersTo]])</f>
        <v>$B$5</v>
      </c>
      <c r="G373" s="149" t="str">
        <f>regex(NamedRanges[[#This Row],[CellReflist]],"(\$)(.*[A-Z])","$2")</f>
        <v>B</v>
      </c>
      <c r="H373" s="149" t="str">
        <f>regex(NamedRanges[[#This Row],[CellReflist]],"[0-9].*")</f>
        <v>5</v>
      </c>
      <c r="I373" s="149" t="b">
        <f>regex(NamedRanges[[#This Row],[CellReflist]],"(.+?)?(:)(.+)?","$1")</f>
        <v>0</v>
      </c>
      <c r="J373" s="149" t="b">
        <f>regex(NamedRanges[[#This Row],[CellReflist]],"(.+?)?(:)(.+)?","$3")</f>
        <v>0</v>
      </c>
    </row>
    <row r="374" spans="1:10">
      <c r="A374" t="s">
        <v>4838</v>
      </c>
      <c r="B374" s="474">
        <f>Молодняки!$I$1</f>
        <v>9</v>
      </c>
      <c r="D374" s="149" t="str">
        <f>getFormula(NamedRanges[[#This Row],[RefersTo]])</f>
        <v>=Молодняки!$I$1</v>
      </c>
      <c r="E374" s="149" t="str">
        <f>regex(NamedRanges[[#This Row],[Формула]],"([=])(.*?)([!])","$2")</f>
        <v>Молодняки</v>
      </c>
      <c r="F374" s="149" t="str">
        <f>CellReflist(NamedRanges[[#This Row],[RefersTo]])</f>
        <v>$I$1</v>
      </c>
      <c r="G374" s="149" t="str">
        <f>regex(NamedRanges[[#This Row],[CellReflist]],"(\$)(.*[A-Z])","$2")</f>
        <v>I</v>
      </c>
      <c r="H374" s="149" t="str">
        <f>regex(NamedRanges[[#This Row],[CellReflist]],"[0-9].*")</f>
        <v>1</v>
      </c>
      <c r="I374" s="149" t="b">
        <f>regex(NamedRanges[[#This Row],[CellReflist]],"(.+?)?(:)(.+)?","$1")</f>
        <v>0</v>
      </c>
      <c r="J374" s="149" t="b">
        <f>regex(NamedRanges[[#This Row],[CellReflist]],"(.+?)?(:)(.+)?","$3")</f>
        <v>0</v>
      </c>
    </row>
    <row r="375" spans="1:10">
      <c r="A375" t="s">
        <v>4842</v>
      </c>
      <c r="B375" s="474">
        <f>Молодняки!$E$20</f>
        <v>0</v>
      </c>
      <c r="D375" s="149" t="str">
        <f>getFormula(NamedRanges[[#This Row],[RefersTo]])</f>
        <v>=Молодняки!$E$20</v>
      </c>
      <c r="E375" s="149" t="str">
        <f>regex(NamedRanges[[#This Row],[Формула]],"([=])(.*?)([!])","$2")</f>
        <v>Молодняки</v>
      </c>
      <c r="F375" s="149" t="str">
        <f>CellReflist(NamedRanges[[#This Row],[RefersTo]])</f>
        <v>$E$20</v>
      </c>
      <c r="G375" s="149" t="str">
        <f>regex(NamedRanges[[#This Row],[CellReflist]],"(\$)(.*[A-Z])","$2")</f>
        <v>E</v>
      </c>
      <c r="H375" s="149" t="str">
        <f>regex(NamedRanges[[#This Row],[CellReflist]],"[0-9].*")</f>
        <v>20</v>
      </c>
      <c r="I375" s="149" t="b">
        <f>regex(NamedRanges[[#This Row],[CellReflist]],"(.+?)?(:)(.+)?","$1")</f>
        <v>0</v>
      </c>
      <c r="J375" s="149" t="b">
        <f>regex(NamedRanges[[#This Row],[CellReflist]],"(.+?)?(:)(.+)?","$3")</f>
        <v>0</v>
      </c>
    </row>
    <row r="376" spans="1:10">
      <c r="A376" t="s">
        <v>4844</v>
      </c>
      <c r="B376" s="474">
        <f>Молодняки!$E$21</f>
        <v>0</v>
      </c>
      <c r="D376" s="149" t="str">
        <f>getFormula(NamedRanges[[#This Row],[RefersTo]])</f>
        <v>=Молодняки!$E$21</v>
      </c>
      <c r="E376" s="149" t="str">
        <f>regex(NamedRanges[[#This Row],[Формула]],"([=])(.*?)([!])","$2")</f>
        <v>Молодняки</v>
      </c>
      <c r="F376" s="149" t="str">
        <f>CellReflist(NamedRanges[[#This Row],[RefersTo]])</f>
        <v>$E$21</v>
      </c>
      <c r="G376" s="149" t="str">
        <f>regex(NamedRanges[[#This Row],[CellReflist]],"(\$)(.*[A-Z])","$2")</f>
        <v>E</v>
      </c>
      <c r="H376" s="149" t="str">
        <f>regex(NamedRanges[[#This Row],[CellReflist]],"[0-9].*")</f>
        <v>21</v>
      </c>
      <c r="I376" s="149" t="b">
        <f>regex(NamedRanges[[#This Row],[CellReflist]],"(.+?)?(:)(.+)?","$1")</f>
        <v>0</v>
      </c>
      <c r="J376" s="149" t="b">
        <f>regex(NamedRanges[[#This Row],[CellReflist]],"(.+?)?(:)(.+)?","$3")</f>
        <v>0</v>
      </c>
    </row>
    <row r="377" spans="1:10">
      <c r="A377" t="s">
        <v>4846</v>
      </c>
      <c r="B377" s="474">
        <f>Молодняки!$E$22</f>
        <v>0</v>
      </c>
      <c r="D377" s="149" t="str">
        <f>getFormula(NamedRanges[[#This Row],[RefersTo]])</f>
        <v>=Молодняки!$E$22</v>
      </c>
      <c r="E377" s="149" t="str">
        <f>regex(NamedRanges[[#This Row],[Формула]],"([=])(.*?)([!])","$2")</f>
        <v>Молодняки</v>
      </c>
      <c r="F377" s="149" t="str">
        <f>CellReflist(NamedRanges[[#This Row],[RefersTo]])</f>
        <v>$E$22</v>
      </c>
      <c r="G377" s="149" t="str">
        <f>regex(NamedRanges[[#This Row],[CellReflist]],"(\$)(.*[A-Z])","$2")</f>
        <v>E</v>
      </c>
      <c r="H377" s="149" t="str">
        <f>regex(NamedRanges[[#This Row],[CellReflist]],"[0-9].*")</f>
        <v>22</v>
      </c>
      <c r="I377" s="149" t="b">
        <f>regex(NamedRanges[[#This Row],[CellReflist]],"(.+?)?(:)(.+)?","$1")</f>
        <v>0</v>
      </c>
      <c r="J377" s="149" t="b">
        <f>regex(NamedRanges[[#This Row],[CellReflist]],"(.+?)?(:)(.+)?","$3")</f>
        <v>0</v>
      </c>
    </row>
    <row r="378" spans="1:10">
      <c r="A378" t="s">
        <v>4848</v>
      </c>
      <c r="B378" s="474">
        <f>Молодняки!$E$23</f>
        <v>0</v>
      </c>
      <c r="D378" s="149" t="str">
        <f>getFormula(NamedRanges[[#This Row],[RefersTo]])</f>
        <v>=Молодняки!$E$23</v>
      </c>
      <c r="E378" s="149" t="str">
        <f>regex(NamedRanges[[#This Row],[Формула]],"([=])(.*?)([!])","$2")</f>
        <v>Молодняки</v>
      </c>
      <c r="F378" s="149" t="str">
        <f>CellReflist(NamedRanges[[#This Row],[RefersTo]])</f>
        <v>$E$23</v>
      </c>
      <c r="G378" s="149" t="str">
        <f>regex(NamedRanges[[#This Row],[CellReflist]],"(\$)(.*[A-Z])","$2")</f>
        <v>E</v>
      </c>
      <c r="H378" s="149" t="str">
        <f>regex(NamedRanges[[#This Row],[CellReflist]],"[0-9].*")</f>
        <v>23</v>
      </c>
      <c r="I378" s="149" t="b">
        <f>regex(NamedRanges[[#This Row],[CellReflist]],"(.+?)?(:)(.+)?","$1")</f>
        <v>0</v>
      </c>
      <c r="J378" s="149" t="b">
        <f>regex(NamedRanges[[#This Row],[CellReflist]],"(.+?)?(:)(.+)?","$3")</f>
        <v>0</v>
      </c>
    </row>
    <row r="379" spans="1:10">
      <c r="A379" t="s">
        <v>4850</v>
      </c>
      <c r="B379" s="474">
        <f>Молодняки!$E$24</f>
        <v>0</v>
      </c>
      <c r="D379" s="149" t="str">
        <f>getFormula(NamedRanges[[#This Row],[RefersTo]])</f>
        <v>=Молодняки!$E$24</v>
      </c>
      <c r="E379" s="149" t="str">
        <f>regex(NamedRanges[[#This Row],[Формула]],"([=])(.*?)([!])","$2")</f>
        <v>Молодняки</v>
      </c>
      <c r="F379" s="149" t="str">
        <f>CellReflist(NamedRanges[[#This Row],[RefersTo]])</f>
        <v>$E$24</v>
      </c>
      <c r="G379" s="149" t="str">
        <f>regex(NamedRanges[[#This Row],[CellReflist]],"(\$)(.*[A-Z])","$2")</f>
        <v>E</v>
      </c>
      <c r="H379" s="149" t="str">
        <f>regex(NamedRanges[[#This Row],[CellReflist]],"[0-9].*")</f>
        <v>24</v>
      </c>
      <c r="I379" s="149" t="b">
        <f>regex(NamedRanges[[#This Row],[CellReflist]],"(.+?)?(:)(.+)?","$1")</f>
        <v>0</v>
      </c>
      <c r="J379" s="149" t="b">
        <f>regex(NamedRanges[[#This Row],[CellReflist]],"(.+?)?(:)(.+)?","$3")</f>
        <v>0</v>
      </c>
    </row>
    <row r="380" spans="1:10">
      <c r="A380" t="s">
        <v>4852</v>
      </c>
      <c r="B380" s="474">
        <f>Молодняки!$E$25</f>
        <v>220</v>
      </c>
      <c r="D380" s="149" t="str">
        <f>getFormula(NamedRanges[[#This Row],[RefersTo]])</f>
        <v>=Молодняки!$E$25</v>
      </c>
      <c r="E380" s="149" t="str">
        <f>regex(NamedRanges[[#This Row],[Формула]],"([=])(.*?)([!])","$2")</f>
        <v>Молодняки</v>
      </c>
      <c r="F380" s="149" t="str">
        <f>CellReflist(NamedRanges[[#This Row],[RefersTo]])</f>
        <v>$E$25</v>
      </c>
      <c r="G380" s="149" t="str">
        <f>regex(NamedRanges[[#This Row],[CellReflist]],"(\$)(.*[A-Z])","$2")</f>
        <v>E</v>
      </c>
      <c r="H380" s="149" t="str">
        <f>regex(NamedRanges[[#This Row],[CellReflist]],"[0-9].*")</f>
        <v>25</v>
      </c>
      <c r="I380" s="149" t="b">
        <f>regex(NamedRanges[[#This Row],[CellReflist]],"(.+?)?(:)(.+)?","$1")</f>
        <v>0</v>
      </c>
      <c r="J380" s="149" t="b">
        <f>regex(NamedRanges[[#This Row],[CellReflist]],"(.+?)?(:)(.+)?","$3")</f>
        <v>0</v>
      </c>
    </row>
    <row r="381" spans="1:10">
      <c r="A381" t="s">
        <v>4854</v>
      </c>
      <c r="B381" s="474">
        <f>Молодняки!$E$26</f>
        <v>0</v>
      </c>
      <c r="D381" s="149" t="str">
        <f>getFormula(NamedRanges[[#This Row],[RefersTo]])</f>
        <v>=Молодняки!$E$26</v>
      </c>
      <c r="E381" s="149" t="str">
        <f>regex(NamedRanges[[#This Row],[Формула]],"([=])(.*?)([!])","$2")</f>
        <v>Молодняки</v>
      </c>
      <c r="F381" s="149" t="str">
        <f>CellReflist(NamedRanges[[#This Row],[RefersTo]])</f>
        <v>$E$26</v>
      </c>
      <c r="G381" s="149" t="str">
        <f>regex(NamedRanges[[#This Row],[CellReflist]],"(\$)(.*[A-Z])","$2")</f>
        <v>E</v>
      </c>
      <c r="H381" s="149" t="str">
        <f>regex(NamedRanges[[#This Row],[CellReflist]],"[0-9].*")</f>
        <v>26</v>
      </c>
      <c r="I381" s="149" t="b">
        <f>regex(NamedRanges[[#This Row],[CellReflist]],"(.+?)?(:)(.+)?","$1")</f>
        <v>0</v>
      </c>
      <c r="J381" s="149" t="b">
        <f>regex(NamedRanges[[#This Row],[CellReflist]],"(.+?)?(:)(.+)?","$3")</f>
        <v>0</v>
      </c>
    </row>
    <row r="382" spans="1:10">
      <c r="A382" t="s">
        <v>4856</v>
      </c>
      <c r="B382" s="474">
        <f>Молодняки!$E$27</f>
        <v>0</v>
      </c>
      <c r="D382" s="149" t="str">
        <f>getFormula(NamedRanges[[#This Row],[RefersTo]])</f>
        <v>=Молодняки!$E$27</v>
      </c>
      <c r="E382" s="149" t="str">
        <f>regex(NamedRanges[[#This Row],[Формула]],"([=])(.*?)([!])","$2")</f>
        <v>Молодняки</v>
      </c>
      <c r="F382" s="149" t="str">
        <f>CellReflist(NamedRanges[[#This Row],[RefersTo]])</f>
        <v>$E$27</v>
      </c>
      <c r="G382" s="149" t="str">
        <f>regex(NamedRanges[[#This Row],[CellReflist]],"(\$)(.*[A-Z])","$2")</f>
        <v>E</v>
      </c>
      <c r="H382" s="149" t="str">
        <f>regex(NamedRanges[[#This Row],[CellReflist]],"[0-9].*")</f>
        <v>27</v>
      </c>
      <c r="I382" s="149" t="b">
        <f>regex(NamedRanges[[#This Row],[CellReflist]],"(.+?)?(:)(.+)?","$1")</f>
        <v>0</v>
      </c>
      <c r="J382" s="149" t="b">
        <f>regex(NamedRanges[[#This Row],[CellReflist]],"(.+?)?(:)(.+)?","$3")</f>
        <v>0</v>
      </c>
    </row>
    <row r="383" spans="1:10">
      <c r="A383" t="s">
        <v>4858</v>
      </c>
      <c r="B383" s="474">
        <f>Молодняки!$E$28</f>
        <v>0</v>
      </c>
      <c r="D383" s="149" t="str">
        <f>getFormula(NamedRanges[[#This Row],[RefersTo]])</f>
        <v>=Молодняки!$E$28</v>
      </c>
      <c r="E383" s="149" t="str">
        <f>regex(NamedRanges[[#This Row],[Формула]],"([=])(.*?)([!])","$2")</f>
        <v>Молодняки</v>
      </c>
      <c r="F383" s="149" t="str">
        <f>CellReflist(NamedRanges[[#This Row],[RefersTo]])</f>
        <v>$E$28</v>
      </c>
      <c r="G383" s="149" t="str">
        <f>regex(NamedRanges[[#This Row],[CellReflist]],"(\$)(.*[A-Z])","$2")</f>
        <v>E</v>
      </c>
      <c r="H383" s="149" t="str">
        <f>regex(NamedRanges[[#This Row],[CellReflist]],"[0-9].*")</f>
        <v>28</v>
      </c>
      <c r="I383" s="149" t="b">
        <f>regex(NamedRanges[[#This Row],[CellReflist]],"(.+?)?(:)(.+)?","$1")</f>
        <v>0</v>
      </c>
      <c r="J383" s="149" t="b">
        <f>regex(NamedRanges[[#This Row],[CellReflist]],"(.+?)?(:)(.+)?","$3")</f>
        <v>0</v>
      </c>
    </row>
    <row r="384" spans="1:10">
      <c r="A384" t="s">
        <v>4860</v>
      </c>
      <c r="B384" s="474">
        <f>Молодняки!$E$29</f>
        <v>0</v>
      </c>
      <c r="D384" s="149" t="str">
        <f>getFormula(NamedRanges[[#This Row],[RefersTo]])</f>
        <v>=Молодняки!$E$29</v>
      </c>
      <c r="E384" s="149" t="str">
        <f>regex(NamedRanges[[#This Row],[Формула]],"([=])(.*?)([!])","$2")</f>
        <v>Молодняки</v>
      </c>
      <c r="F384" s="149" t="str">
        <f>CellReflist(NamedRanges[[#This Row],[RefersTo]])</f>
        <v>$E$29</v>
      </c>
      <c r="G384" s="149" t="str">
        <f>regex(NamedRanges[[#This Row],[CellReflist]],"(\$)(.*[A-Z])","$2")</f>
        <v>E</v>
      </c>
      <c r="H384" s="149" t="str">
        <f>regex(NamedRanges[[#This Row],[CellReflist]],"[0-9].*")</f>
        <v>29</v>
      </c>
      <c r="I384" s="149" t="b">
        <f>regex(NamedRanges[[#This Row],[CellReflist]],"(.+?)?(:)(.+)?","$1")</f>
        <v>0</v>
      </c>
      <c r="J384" s="149" t="b">
        <f>regex(NamedRanges[[#This Row],[CellReflist]],"(.+?)?(:)(.+)?","$3")</f>
        <v>0</v>
      </c>
    </row>
    <row r="385" spans="1:10">
      <c r="A385" t="s">
        <v>4862</v>
      </c>
      <c r="B385" s="474">
        <f>Молодняки!$E$30</f>
        <v>0</v>
      </c>
      <c r="D385" s="149" t="str">
        <f>getFormula(NamedRanges[[#This Row],[RefersTo]])</f>
        <v>=Молодняки!$E$30</v>
      </c>
      <c r="E385" s="149" t="str">
        <f>regex(NamedRanges[[#This Row],[Формула]],"([=])(.*?)([!])","$2")</f>
        <v>Молодняки</v>
      </c>
      <c r="F385" s="149" t="str">
        <f>CellReflist(NamedRanges[[#This Row],[RefersTo]])</f>
        <v>$E$30</v>
      </c>
      <c r="G385" s="149" t="str">
        <f>regex(NamedRanges[[#This Row],[CellReflist]],"(\$)(.*[A-Z])","$2")</f>
        <v>E</v>
      </c>
      <c r="H385" s="149" t="str">
        <f>regex(NamedRanges[[#This Row],[CellReflist]],"[0-9].*")</f>
        <v>30</v>
      </c>
      <c r="I385" s="149" t="b">
        <f>regex(NamedRanges[[#This Row],[CellReflist]],"(.+?)?(:)(.+)?","$1")</f>
        <v>0</v>
      </c>
      <c r="J385" s="149" t="b">
        <f>regex(NamedRanges[[#This Row],[CellReflist]],"(.+?)?(:)(.+)?","$3")</f>
        <v>0</v>
      </c>
    </row>
    <row r="386" spans="1:10">
      <c r="A386" t="s">
        <v>4864</v>
      </c>
      <c r="B386" s="474">
        <f>Молодняки!$E$31</f>
        <v>0</v>
      </c>
      <c r="D386" s="149" t="str">
        <f>getFormula(NamedRanges[[#This Row],[RefersTo]])</f>
        <v>=Молодняки!$E$31</v>
      </c>
      <c r="E386" s="149" t="str">
        <f>regex(NamedRanges[[#This Row],[Формула]],"([=])(.*?)([!])","$2")</f>
        <v>Молодняки</v>
      </c>
      <c r="F386" s="149" t="str">
        <f>CellReflist(NamedRanges[[#This Row],[RefersTo]])</f>
        <v>$E$31</v>
      </c>
      <c r="G386" s="149" t="str">
        <f>regex(NamedRanges[[#This Row],[CellReflist]],"(\$)(.*[A-Z])","$2")</f>
        <v>E</v>
      </c>
      <c r="H386" s="149" t="str">
        <f>regex(NamedRanges[[#This Row],[CellReflist]],"[0-9].*")</f>
        <v>31</v>
      </c>
      <c r="I386" s="149" t="b">
        <f>regex(NamedRanges[[#This Row],[CellReflist]],"(.+?)?(:)(.+)?","$1")</f>
        <v>0</v>
      </c>
      <c r="J386" s="149" t="b">
        <f>regex(NamedRanges[[#This Row],[CellReflist]],"(.+?)?(:)(.+)?","$3")</f>
        <v>0</v>
      </c>
    </row>
    <row r="387" spans="1:10">
      <c r="A387" t="s">
        <v>4866</v>
      </c>
      <c r="B387" s="474" t="str">
        <f>Молодняки!$K$1</f>
        <v>СТЛ-18</v>
      </c>
      <c r="D387" s="149" t="str">
        <f>getFormula(NamedRanges[[#This Row],[RefersTo]])</f>
        <v>=Молодняки!$K$1</v>
      </c>
      <c r="E387" s="149" t="str">
        <f>regex(NamedRanges[[#This Row],[Формула]],"([=])(.*?)([!])","$2")</f>
        <v>Молодняки</v>
      </c>
      <c r="F387" s="149" t="str">
        <f>CellReflist(NamedRanges[[#This Row],[RefersTo]])</f>
        <v>$K$1</v>
      </c>
      <c r="G387" s="149" t="str">
        <f>regex(NamedRanges[[#This Row],[CellReflist]],"(\$)(.*[A-Z])","$2")</f>
        <v>K</v>
      </c>
      <c r="H387" s="149" t="str">
        <f>regex(NamedRanges[[#This Row],[CellReflist]],"[0-9].*")</f>
        <v>1</v>
      </c>
      <c r="I387" s="149" t="b">
        <f>regex(NamedRanges[[#This Row],[CellReflist]],"(.+?)?(:)(.+)?","$1")</f>
        <v>0</v>
      </c>
      <c r="J387" s="149" t="b">
        <f>regex(NamedRanges[[#This Row],[CellReflist]],"(.+?)?(:)(.+)?","$3")</f>
        <v>0</v>
      </c>
    </row>
    <row r="388" spans="1:10">
      <c r="A388" t="s">
        <v>4868</v>
      </c>
      <c r="B388" s="474" t="str">
        <f>Молодняки!$B$7</f>
        <v>важкі</v>
      </c>
      <c r="D388" s="149" t="str">
        <f>getFormula(NamedRanges[[#This Row],[RefersTo]])</f>
        <v>=Молодняки!$B$7</v>
      </c>
      <c r="E388" s="149" t="str">
        <f>regex(NamedRanges[[#This Row],[Формула]],"([=])(.*?)([!])","$2")</f>
        <v>Молодняки</v>
      </c>
      <c r="F388" s="149" t="str">
        <f>CellReflist(NamedRanges[[#This Row],[RefersTo]])</f>
        <v>$B$7</v>
      </c>
      <c r="G388" s="149" t="str">
        <f>regex(NamedRanges[[#This Row],[CellReflist]],"(\$)(.*[A-Z])","$2")</f>
        <v>B</v>
      </c>
      <c r="H388" s="149" t="str">
        <f>regex(NamedRanges[[#This Row],[CellReflist]],"[0-9].*")</f>
        <v>7</v>
      </c>
      <c r="I388" s="149" t="b">
        <f>regex(NamedRanges[[#This Row],[CellReflist]],"(.+?)?(:)(.+)?","$1")</f>
        <v>0</v>
      </c>
      <c r="J388" s="149" t="b">
        <f>regex(NamedRanges[[#This Row],[CellReflist]],"(.+?)?(:)(.+)?","$3")</f>
        <v>0</v>
      </c>
    </row>
    <row r="389" spans="1:10">
      <c r="A389" t="s">
        <v>4870</v>
      </c>
      <c r="B389" s="474" t="str">
        <f>Молодняки!$B$4</f>
        <v>3_0</v>
      </c>
      <c r="D389" s="149" t="str">
        <f>getFormula(NamedRanges[[#This Row],[RefersTo]])</f>
        <v>=Молодняки!$B$4</v>
      </c>
      <c r="E389" s="149" t="str">
        <f>regex(NamedRanges[[#This Row],[Формула]],"([=])(.*?)([!])","$2")</f>
        <v>Молодняки</v>
      </c>
      <c r="F389" s="149" t="str">
        <f>CellReflist(NamedRanges[[#This Row],[RefersTo]])</f>
        <v>$B$4</v>
      </c>
      <c r="G389" s="149" t="str">
        <f>regex(NamedRanges[[#This Row],[CellReflist]],"(\$)(.*[A-Z])","$2")</f>
        <v>B</v>
      </c>
      <c r="H389" s="149" t="str">
        <f>regex(NamedRanges[[#This Row],[CellReflist]],"[0-9].*")</f>
        <v>4</v>
      </c>
      <c r="I389" s="149" t="b">
        <f>regex(NamedRanges[[#This Row],[CellReflist]],"(.+?)?(:)(.+)?","$1")</f>
        <v>0</v>
      </c>
      <c r="J389" s="149" t="b">
        <f>regex(NamedRanges[[#This Row],[CellReflist]],"(.+?)?(:)(.+)?","$3")</f>
        <v>0</v>
      </c>
    </row>
    <row r="390" spans="1:10">
      <c r="A390" t="s">
        <v>4872</v>
      </c>
      <c r="B390" s="474" t="str">
        <f>Молодняки!$P$11</f>
        <v>Перегон В.М.</v>
      </c>
      <c r="D390" s="149" t="str">
        <f>getFormula(NamedRanges[[#This Row],[RefersTo]])</f>
        <v>=Молодняки!$P$11</v>
      </c>
      <c r="E390" s="149" t="str">
        <f>regex(NamedRanges[[#This Row],[Формула]],"([=])(.*?)([!])","$2")</f>
        <v>Молодняки</v>
      </c>
      <c r="F390" s="149" t="str">
        <f>CellReflist(NamedRanges[[#This Row],[RefersTo]])</f>
        <v>$P$11</v>
      </c>
      <c r="G390" s="149" t="str">
        <f>regex(NamedRanges[[#This Row],[CellReflist]],"(\$)(.*[A-Z])","$2")</f>
        <v>P</v>
      </c>
      <c r="H390" s="149" t="str">
        <f>regex(NamedRanges[[#This Row],[CellReflist]],"[0-9].*")</f>
        <v>11</v>
      </c>
      <c r="I390" s="149" t="b">
        <f>regex(NamedRanges[[#This Row],[CellReflist]],"(.+?)?(:)(.+)?","$1")</f>
        <v>0</v>
      </c>
      <c r="J390" s="149" t="b">
        <f>regex(NamedRanges[[#This Row],[CellReflist]],"(.+?)?(:)(.+)?","$3")</f>
        <v>0</v>
      </c>
    </row>
    <row r="391" spans="1:10">
      <c r="A391" t="s">
        <v>4874</v>
      </c>
      <c r="B391" s="474" t="str">
        <f>Молодняки!$B$9</f>
        <v>Степовий</v>
      </c>
      <c r="D391" s="149" t="str">
        <f>getFormula(NamedRanges[[#This Row],[RefersTo]])</f>
        <v>=Молодняки!$B$9</v>
      </c>
      <c r="E391" s="149" t="str">
        <f>regex(NamedRanges[[#This Row],[Формула]],"([=])(.*?)([!])","$2")</f>
        <v>Молодняки</v>
      </c>
      <c r="F391" s="149" t="str">
        <f>CellReflist(NamedRanges[[#This Row],[RefersTo]])</f>
        <v>$B$9</v>
      </c>
      <c r="G391" s="149" t="str">
        <f>regex(NamedRanges[[#This Row],[CellReflist]],"(\$)(.*[A-Z])","$2")</f>
        <v>B</v>
      </c>
      <c r="H391" s="149" t="str">
        <f>regex(NamedRanges[[#This Row],[CellReflist]],"[0-9].*")</f>
        <v>9</v>
      </c>
      <c r="I391" s="149" t="b">
        <f>regex(NamedRanges[[#This Row],[CellReflist]],"(.+?)?(:)(.+)?","$1")</f>
        <v>0</v>
      </c>
      <c r="J391" s="149" t="b">
        <f>regex(NamedRanges[[#This Row],[CellReflist]],"(.+?)?(:)(.+)?","$3")</f>
        <v>0</v>
      </c>
    </row>
    <row r="392" spans="1:10">
      <c r="A392" t="s">
        <v>4876</v>
      </c>
      <c r="B392" s="474">
        <f>Молодняки!$I$3</f>
        <v>26.4</v>
      </c>
      <c r="D392" s="149" t="str">
        <f>getFormula(NamedRanges[[#This Row],[RefersTo]])</f>
        <v>=Молодняки!$I$3</v>
      </c>
      <c r="E392" s="149" t="str">
        <f>regex(NamedRanges[[#This Row],[Формула]],"([=])(.*?)([!])","$2")</f>
        <v>Молодняки</v>
      </c>
      <c r="F392" s="149" t="str">
        <f>CellReflist(NamedRanges[[#This Row],[RefersTo]])</f>
        <v>$I$3</v>
      </c>
      <c r="G392" s="149" t="str">
        <f>regex(NamedRanges[[#This Row],[CellReflist]],"(\$)(.*[A-Z])","$2")</f>
        <v>I</v>
      </c>
      <c r="H392" s="149" t="str">
        <f>regex(NamedRanges[[#This Row],[CellReflist]],"[0-9].*")</f>
        <v>3</v>
      </c>
      <c r="I392" s="149" t="b">
        <f>regex(NamedRanges[[#This Row],[CellReflist]],"(.+?)?(:)(.+)?","$1")</f>
        <v>0</v>
      </c>
      <c r="J392" s="149" t="b">
        <f>regex(NamedRanges[[#This Row],[CellReflist]],"(.+?)?(:)(.+)?","$3")</f>
        <v>0</v>
      </c>
    </row>
    <row r="393" spans="1:10">
      <c r="A393" t="s">
        <v>5082</v>
      </c>
      <c r="B393" s="474">
        <f>ККЗ</f>
        <v>1.2150000000000001</v>
      </c>
      <c r="D393" s="149" t="str">
        <f>getFormula(NamedRanges[[#This Row],[RefersTo]])</f>
        <v>=ККЗ</v>
      </c>
      <c r="E393" s="149" t="b">
        <f>regex(NamedRanges[[#This Row],[Формула]],"([=])(.*?)([!])","$2")</f>
        <v>0</v>
      </c>
      <c r="F393" s="149">
        <f>CellReflist(NamedRanges[[#This Row],[RefersTo]])</f>
        <v>0</v>
      </c>
      <c r="G393" s="149" t="b">
        <f>regex(NamedRanges[[#This Row],[CellReflist]],"(\$)(.*[A-Z])","$2")</f>
        <v>0</v>
      </c>
      <c r="H393" s="149" t="str">
        <f>regex(NamedRanges[[#This Row],[CellReflist]],"[0-9].*")</f>
        <v>0</v>
      </c>
      <c r="I393" s="149" t="b">
        <f>regex(NamedRanges[[#This Row],[CellReflist]],"(.+?)?(:)(.+)?","$1")</f>
        <v>0</v>
      </c>
      <c r="J393" s="149" t="b">
        <f>regex(NamedRanges[[#This Row],[CellReflist]],"(.+?)?(:)(.+)?","$3")</f>
        <v>0</v>
      </c>
    </row>
    <row r="394" spans="1:10">
      <c r="A394" t="s">
        <v>5372</v>
      </c>
      <c r="B394" s="474" t="e">
        <f>Молодняки_кошторис!$A$4:$K$10</f>
        <v>#VALUE!</v>
      </c>
      <c r="D394" s="149" t="str">
        <f>getFormula(NamedRanges[[#This Row],[RefersTo]])</f>
        <v>=Молодняки_кошторис!$A$4:$K$10</v>
      </c>
      <c r="E394" s="149" t="str">
        <f>regex(NamedRanges[[#This Row],[Формула]],"([=])(.*?)([!])","$2")</f>
        <v>Молодняки_кошторис</v>
      </c>
      <c r="F394" s="149" t="str">
        <f>CellReflist(NamedRanges[[#This Row],[RefersTo]])</f>
        <v>$A$4:$K$10</v>
      </c>
      <c r="G394" s="149" t="str">
        <f>regex(NamedRanges[[#This Row],[CellReflist]],"(\$)(.*[A-Z])","$2")</f>
        <v>A$4:$K</v>
      </c>
      <c r="H394" s="149" t="str">
        <f>regex(NamedRanges[[#This Row],[CellReflist]],"[0-9].*")</f>
        <v>4:$K$10</v>
      </c>
      <c r="I394" s="149" t="str">
        <f>regex(NamedRanges[[#This Row],[CellReflist]],"(.+?)?(:)(.+)?","$1")</f>
        <v>$A$4</v>
      </c>
      <c r="J394" s="149" t="str">
        <f>regex(NamedRanges[[#This Row],[CellReflist]],"(.+?)?(:)(.+)?","$3")</f>
        <v>$K$10</v>
      </c>
    </row>
    <row r="395" spans="1:10">
      <c r="A395" t="s">
        <v>5396</v>
      </c>
      <c r="B395" s="474" t="e">
        <f>Молодняки_кошторис!$A$20:$I$24</f>
        <v>#VALUE!</v>
      </c>
      <c r="D395" s="149" t="str">
        <f>getFormula(NamedRanges[[#This Row],[RefersTo]])</f>
        <v>=Молодняки_кошторис!$A$20:$I$24</v>
      </c>
      <c r="E395" s="149" t="str">
        <f>regex(NamedRanges[[#This Row],[Формула]],"([=])(.*?)([!])","$2")</f>
        <v>Молодняки_кошторис</v>
      </c>
      <c r="F395" s="149" t="str">
        <f>CellReflist(NamedRanges[[#This Row],[RefersTo]])</f>
        <v>$A$20:$I$24</v>
      </c>
      <c r="G395" s="149" t="str">
        <f>regex(NamedRanges[[#This Row],[CellReflist]],"(\$)(.*[A-Z])","$2")</f>
        <v>A$20:$I</v>
      </c>
      <c r="H395" s="149" t="str">
        <f>regex(NamedRanges[[#This Row],[CellReflist]],"[0-9].*")</f>
        <v>20:$I$24</v>
      </c>
      <c r="I395" s="149" t="str">
        <f>regex(NamedRanges[[#This Row],[CellReflist]],"(.+?)?(:)(.+)?","$1")</f>
        <v>$A$20</v>
      </c>
      <c r="J395" s="149" t="str">
        <f>regex(NamedRanges[[#This Row],[CellReflist]],"(.+?)?(:)(.+)?","$3")</f>
        <v>$I$24</v>
      </c>
    </row>
    <row r="396" spans="1:10">
      <c r="A396" t="s">
        <v>5397</v>
      </c>
      <c r="B396" s="474" t="e">
        <f>Молодняки_кошторис!$A$30:$I$32</f>
        <v>#VALUE!</v>
      </c>
      <c r="D396" s="149" t="str">
        <f>getFormula(NamedRanges[[#This Row],[RefersTo]])</f>
        <v>=Молодняки_кошторис!$A$30:$I$32</v>
      </c>
      <c r="E396" s="149" t="str">
        <f>regex(NamedRanges[[#This Row],[Формула]],"([=])(.*?)([!])","$2")</f>
        <v>Молодняки_кошторис</v>
      </c>
      <c r="F396" s="149" t="str">
        <f>CellReflist(NamedRanges[[#This Row],[RefersTo]])</f>
        <v>$A$30:$I$32</v>
      </c>
      <c r="G396" s="149" t="str">
        <f>regex(NamedRanges[[#This Row],[CellReflist]],"(\$)(.*[A-Z])","$2")</f>
        <v>A$30:$I</v>
      </c>
      <c r="H396" s="149" t="str">
        <f>regex(NamedRanges[[#This Row],[CellReflist]],"[0-9].*")</f>
        <v>30:$I$32</v>
      </c>
      <c r="I396" s="149" t="str">
        <f>regex(NamedRanges[[#This Row],[CellReflist]],"(.+?)?(:)(.+)?","$1")</f>
        <v>$A$30</v>
      </c>
      <c r="J396" s="149" t="str">
        <f>regex(NamedRanges[[#This Row],[CellReflist]],"(.+?)?(:)(.+)?","$3")</f>
        <v>$I$32</v>
      </c>
    </row>
    <row r="397" spans="1:10">
      <c r="A397" t="s">
        <v>4878</v>
      </c>
      <c r="B397" s="474">
        <f ca="1">Молодняки!$B$8</f>
        <v>43101</v>
      </c>
      <c r="D397" s="149" t="str">
        <f>getFormula(NamedRanges[[#This Row],[RefersTo]])</f>
        <v>=Молодняки!$B$8</v>
      </c>
      <c r="E397" s="149" t="str">
        <f>regex(NamedRanges[[#This Row],[Формула]],"([=])(.*?)([!])","$2")</f>
        <v>Молодняки</v>
      </c>
      <c r="F397" s="149" t="str">
        <f>CellReflist(NamedRanges[[#This Row],[RefersTo]])</f>
        <v>$B$8</v>
      </c>
      <c r="G397" s="149" t="str">
        <f>regex(NamedRanges[[#This Row],[CellReflist]],"(\$)(.*[A-Z])","$2")</f>
        <v>B</v>
      </c>
      <c r="H397" s="149" t="str">
        <f>regex(NamedRanges[[#This Row],[CellReflist]],"[0-9].*")</f>
        <v>8</v>
      </c>
      <c r="I397" s="149" t="b">
        <f>regex(NamedRanges[[#This Row],[CellReflist]],"(.+?)?(:)(.+)?","$1")</f>
        <v>0</v>
      </c>
      <c r="J397" s="149" t="b">
        <f>regex(NamedRanges[[#This Row],[CellReflist]],"(.+?)?(:)(.+)?","$3")</f>
        <v>0</v>
      </c>
    </row>
    <row r="398" spans="1:10">
      <c r="A398" t="s">
        <v>2236</v>
      </c>
      <c r="B398" s="474" t="e">
        <f>КоэфРГК!$A$23:$M$32</f>
        <v>#VALUE!</v>
      </c>
      <c r="D398" s="149" t="str">
        <f>getFormula(NamedRanges[[#This Row],[RefersTo]])</f>
        <v>=КоэфРГК!$A$23:$M$32</v>
      </c>
      <c r="E398" s="149" t="str">
        <f>regex(NamedRanges[[#This Row],[Формула]],"([=])(.*?)([!])","$2")</f>
        <v>КоэфРГК</v>
      </c>
      <c r="F398" s="149" t="str">
        <f>CellReflist(NamedRanges[[#This Row],[RefersTo]])</f>
        <v>$A$23:$M$32</v>
      </c>
      <c r="G398" s="149" t="str">
        <f>regex(NamedRanges[[#This Row],[CellReflist]],"(\$)(.*[A-Z])","$2")</f>
        <v>A$23:$M</v>
      </c>
      <c r="H398" s="149" t="str">
        <f>regex(NamedRanges[[#This Row],[CellReflist]],"[0-9].*")</f>
        <v>23:$M$32</v>
      </c>
      <c r="I398" s="149" t="str">
        <f>regex(NamedRanges[[#This Row],[CellReflist]],"(.+?)?(:)(.+)?","$1")</f>
        <v>$A$23</v>
      </c>
      <c r="J398" s="149" t="str">
        <f>regex(NamedRanges[[#This Row],[CellReflist]],"(.+?)?(:)(.+)?","$3")</f>
        <v>$M$32</v>
      </c>
    </row>
    <row r="399" spans="1:10">
      <c r="A399" t="s">
        <v>4881</v>
      </c>
      <c r="B399" s="474" t="e">
        <f>КоэфРГК!$A$23:$A$32</f>
        <v>#VALUE!</v>
      </c>
      <c r="D399" s="149" t="str">
        <f>getFormula(NamedRanges[[#This Row],[RefersTo]])</f>
        <v>=КоэфРГК!$A$23:$A$32</v>
      </c>
      <c r="E399" s="149" t="str">
        <f>regex(NamedRanges[[#This Row],[Формула]],"([=])(.*?)([!])","$2")</f>
        <v>КоэфРГК</v>
      </c>
      <c r="F399" s="149" t="str">
        <f>CellReflist(NamedRanges[[#This Row],[RefersTo]])</f>
        <v>$A$23:$A$32</v>
      </c>
      <c r="G399" s="149" t="str">
        <f>regex(NamedRanges[[#This Row],[CellReflist]],"(\$)(.*[A-Z])","$2")</f>
        <v>A$23:$A</v>
      </c>
      <c r="H399" s="149" t="str">
        <f>regex(NamedRanges[[#This Row],[CellReflist]],"[0-9].*")</f>
        <v>23:$A$32</v>
      </c>
      <c r="I399" s="149" t="str">
        <f>regex(NamedRanges[[#This Row],[CellReflist]],"(.+?)?(:)(.+)?","$1")</f>
        <v>$A$23</v>
      </c>
      <c r="J399" s="149" t="str">
        <f>regex(NamedRanges[[#This Row],[CellReflist]],"(.+?)?(:)(.+)?","$3")</f>
        <v>$A$32</v>
      </c>
    </row>
    <row r="400" spans="1:10">
      <c r="A400" t="s">
        <v>2245</v>
      </c>
      <c r="B400" s="474" t="e">
        <f>КоэфРГК!$A$39:$M$48</f>
        <v>#VALUE!</v>
      </c>
      <c r="D400" s="149" t="str">
        <f>getFormula(NamedRanges[[#This Row],[RefersTo]])</f>
        <v>=КоэфРГК!$A$39:$M$48</v>
      </c>
      <c r="E400" s="149" t="str">
        <f>regex(NamedRanges[[#This Row],[Формула]],"([=])(.*?)([!])","$2")</f>
        <v>КоэфРГК</v>
      </c>
      <c r="F400" s="149" t="str">
        <f>CellReflist(NamedRanges[[#This Row],[RefersTo]])</f>
        <v>$A$39:$M$48</v>
      </c>
      <c r="G400" s="149" t="str">
        <f>regex(NamedRanges[[#This Row],[CellReflist]],"(\$)(.*[A-Z])","$2")</f>
        <v>A$39:$M</v>
      </c>
      <c r="H400" s="149" t="str">
        <f>regex(NamedRanges[[#This Row],[CellReflist]],"[0-9].*")</f>
        <v>39:$M$48</v>
      </c>
      <c r="I400" s="149" t="str">
        <f>regex(NamedRanges[[#This Row],[CellReflist]],"(.+?)?(:)(.+)?","$1")</f>
        <v>$A$39</v>
      </c>
      <c r="J400" s="149" t="str">
        <f>regex(NamedRanges[[#This Row],[CellReflist]],"(.+?)?(:)(.+)?","$3")</f>
        <v>$M$48</v>
      </c>
    </row>
    <row r="401" spans="1:10">
      <c r="A401" t="s">
        <v>4884</v>
      </c>
      <c r="B401" s="474" t="e">
        <f>КоэфРГК!$A$39:$A$48</f>
        <v>#VALUE!</v>
      </c>
      <c r="D401" s="149" t="str">
        <f>getFormula(NamedRanges[[#This Row],[RefersTo]])</f>
        <v>=КоэфРГК!$A$39:$A$48</v>
      </c>
      <c r="E401" s="149" t="str">
        <f>regex(NamedRanges[[#This Row],[Формула]],"([=])(.*?)([!])","$2")</f>
        <v>КоэфРГК</v>
      </c>
      <c r="F401" s="149" t="str">
        <f>CellReflist(NamedRanges[[#This Row],[RefersTo]])</f>
        <v>$A$39:$A$48</v>
      </c>
      <c r="G401" s="149" t="str">
        <f>regex(NamedRanges[[#This Row],[CellReflist]],"(\$)(.*[A-Z])","$2")</f>
        <v>A$39:$A</v>
      </c>
      <c r="H401" s="149" t="str">
        <f>regex(NamedRanges[[#This Row],[CellReflist]],"[0-9].*")</f>
        <v>39:$A$48</v>
      </c>
      <c r="I401" s="149" t="str">
        <f>regex(NamedRanges[[#This Row],[CellReflist]],"(.+?)?(:)(.+)?","$1")</f>
        <v>$A$39</v>
      </c>
      <c r="J401" s="149" t="str">
        <f>regex(NamedRanges[[#This Row],[CellReflist]],"(.+?)?(:)(.+)?","$3")</f>
        <v>$A$48</v>
      </c>
    </row>
    <row r="402" spans="1:10">
      <c r="A402" t="s">
        <v>3903</v>
      </c>
      <c r="B402" s="474" t="e">
        <f>КоэфРГК!$A$214:$D$219</f>
        <v>#VALUE!</v>
      </c>
      <c r="D402" s="149" t="str">
        <f>getFormula(NamedRanges[[#This Row],[RefersTo]])</f>
        <v>=КоэфРГК!$A$214:$D$219</v>
      </c>
      <c r="E402" s="149" t="str">
        <f>regex(NamedRanges[[#This Row],[Формула]],"([=])(.*?)([!])","$2")</f>
        <v>КоэфРГК</v>
      </c>
      <c r="F402" s="149" t="str">
        <f>CellReflist(NamedRanges[[#This Row],[RefersTo]])</f>
        <v>$A$214:$D$219</v>
      </c>
      <c r="G402" s="149" t="str">
        <f>regex(NamedRanges[[#This Row],[CellReflist]],"(\$)(.*[A-Z])","$2")</f>
        <v>A$214:$D</v>
      </c>
      <c r="H402" s="149" t="str">
        <f>regex(NamedRanges[[#This Row],[CellReflist]],"[0-9].*")</f>
        <v>214:$D$219</v>
      </c>
      <c r="I402" s="149" t="str">
        <f>regex(NamedRanges[[#This Row],[CellReflist]],"(.+?)?(:)(.+)?","$1")</f>
        <v>$A$214</v>
      </c>
      <c r="J402" s="149" t="str">
        <f>regex(NamedRanges[[#This Row],[CellReflist]],"(.+?)?(:)(.+)?","$3")</f>
        <v>$D$219</v>
      </c>
    </row>
    <row r="403" spans="1:10">
      <c r="A403" t="s">
        <v>4887</v>
      </c>
      <c r="B403" s="474">
        <f>КоэфРГК!$A$213:$B$213</f>
        <v>100</v>
      </c>
      <c r="D403" s="149" t="str">
        <f>getFormula(NamedRanges[[#This Row],[RefersTo]])</f>
        <v>=КоэфРГК!$A$213:$B$213</v>
      </c>
      <c r="E403" s="149" t="str">
        <f>regex(NamedRanges[[#This Row],[Формула]],"([=])(.*?)([!])","$2")</f>
        <v>КоэфРГК</v>
      </c>
      <c r="F403" s="149" t="str">
        <f>CellReflist(NamedRanges[[#This Row],[RefersTo]])</f>
        <v>$A$213:$B$213</v>
      </c>
      <c r="G403" s="149" t="str">
        <f>regex(NamedRanges[[#This Row],[CellReflist]],"(\$)(.*[A-Z])","$2")</f>
        <v>A$213:$B</v>
      </c>
      <c r="H403" s="149" t="str">
        <f>regex(NamedRanges[[#This Row],[CellReflist]],"[0-9].*")</f>
        <v>213:$B$213</v>
      </c>
      <c r="I403" s="149" t="str">
        <f>regex(NamedRanges[[#This Row],[CellReflist]],"(.+?)?(:)(.+)?","$1")</f>
        <v>$A$213</v>
      </c>
      <c r="J403" s="149" t="str">
        <f>regex(NamedRanges[[#This Row],[CellReflist]],"(.+?)?(:)(.+)?","$3")</f>
        <v>$B$213</v>
      </c>
    </row>
    <row r="404" spans="1:10">
      <c r="A404" t="s">
        <v>4889</v>
      </c>
      <c r="B404" s="474" t="str">
        <f>"Кнопка 2"</f>
        <v>Кнопка 2</v>
      </c>
      <c r="D404" s="149" t="str">
        <f>getFormula(NamedRanges[[#This Row],[RefersTo]])</f>
        <v>="Кнопка 2"</v>
      </c>
      <c r="E404" s="149" t="b">
        <f>regex(NamedRanges[[#This Row],[Формула]],"([=])(.*?)([!])","$2")</f>
        <v>0</v>
      </c>
      <c r="F404" s="149">
        <f>CellReflist(NamedRanges[[#This Row],[RefersTo]])</f>
        <v>0</v>
      </c>
      <c r="G404" s="149" t="b">
        <f>regex(NamedRanges[[#This Row],[CellReflist]],"(\$)(.*[A-Z])","$2")</f>
        <v>0</v>
      </c>
      <c r="H404" s="149" t="str">
        <f>regex(NamedRanges[[#This Row],[CellReflist]],"[0-9].*")</f>
        <v>0</v>
      </c>
      <c r="I404" s="149" t="b">
        <f>regex(NamedRanges[[#This Row],[CellReflist]],"(.+?)?(:)(.+)?","$1")</f>
        <v>0</v>
      </c>
      <c r="J404" s="149" t="b">
        <f>regex(NamedRanges[[#This Row],[CellReflist]],"(.+?)?(:)(.+)?","$3")</f>
        <v>0</v>
      </c>
    </row>
    <row r="405" spans="1:10">
      <c r="A405" t="s">
        <v>2247</v>
      </c>
      <c r="B405" s="474" t="e">
        <f>КоэфРГК!$A$55:$M$64</f>
        <v>#VALUE!</v>
      </c>
      <c r="D405" s="149" t="str">
        <f>getFormula(NamedRanges[[#This Row],[RefersTo]])</f>
        <v>=КоэфРГК!$A$55:$M$64</v>
      </c>
      <c r="E405" s="149" t="str">
        <f>regex(NamedRanges[[#This Row],[Формула]],"([=])(.*?)([!])","$2")</f>
        <v>КоэфРГК</v>
      </c>
      <c r="F405" s="149" t="str">
        <f>CellReflist(NamedRanges[[#This Row],[RefersTo]])</f>
        <v>$A$55:$M$64</v>
      </c>
      <c r="G405" s="149" t="str">
        <f>regex(NamedRanges[[#This Row],[CellReflist]],"(\$)(.*[A-Z])","$2")</f>
        <v>A$55:$M</v>
      </c>
      <c r="H405" s="149" t="str">
        <f>regex(NamedRanges[[#This Row],[CellReflist]],"[0-9].*")</f>
        <v>55:$M$64</v>
      </c>
      <c r="I405" s="149" t="str">
        <f>regex(NamedRanges[[#This Row],[CellReflist]],"(.+?)?(:)(.+)?","$1")</f>
        <v>$A$55</v>
      </c>
      <c r="J405" s="149" t="str">
        <f>regex(NamedRanges[[#This Row],[CellReflist]],"(.+?)?(:)(.+)?","$3")</f>
        <v>$M$64</v>
      </c>
    </row>
    <row r="406" spans="1:10">
      <c r="A406" t="s">
        <v>4892</v>
      </c>
      <c r="B406" s="474" t="e">
        <f>КоэфРГК!$A$55:$A$64</f>
        <v>#VALUE!</v>
      </c>
      <c r="D406" s="149" t="str">
        <f>getFormula(NamedRanges[[#This Row],[RefersTo]])</f>
        <v>=КоэфРГК!$A$55:$A$64</v>
      </c>
      <c r="E406" s="149" t="str">
        <f>regex(NamedRanges[[#This Row],[Формула]],"([=])(.*?)([!])","$2")</f>
        <v>КоэфРГК</v>
      </c>
      <c r="F406" s="149" t="str">
        <f>CellReflist(NamedRanges[[#This Row],[RefersTo]])</f>
        <v>$A$55:$A$64</v>
      </c>
      <c r="G406" s="149" t="str">
        <f>regex(NamedRanges[[#This Row],[CellReflist]],"(\$)(.*[A-Z])","$2")</f>
        <v>A$55:$A</v>
      </c>
      <c r="H406" s="149" t="str">
        <f>regex(NamedRanges[[#This Row],[CellReflist]],"[0-9].*")</f>
        <v>55:$A$64</v>
      </c>
      <c r="I406" s="149" t="str">
        <f>regex(NamedRanges[[#This Row],[CellReflist]],"(.+?)?(:)(.+)?","$1")</f>
        <v>$A$55</v>
      </c>
      <c r="J406" s="149" t="str">
        <f>regex(NamedRanges[[#This Row],[CellReflist]],"(.+?)?(:)(.+)?","$3")</f>
        <v>$A$64</v>
      </c>
    </row>
    <row r="407" spans="1:10">
      <c r="A407" t="s">
        <v>2261</v>
      </c>
      <c r="B407" s="474" t="e">
        <f>КоэфРГК!$A$160:$G$169</f>
        <v>#VALUE!</v>
      </c>
      <c r="D407" s="149" t="str">
        <f>getFormula(NamedRanges[[#This Row],[RefersTo]])</f>
        <v>=КоэфРГК!$A$160:$G$169</v>
      </c>
      <c r="E407" s="149" t="str">
        <f>regex(NamedRanges[[#This Row],[Формула]],"([=])(.*?)([!])","$2")</f>
        <v>КоэфРГК</v>
      </c>
      <c r="F407" s="149" t="str">
        <f>CellReflist(NamedRanges[[#This Row],[RefersTo]])</f>
        <v>$A$160:$G$169</v>
      </c>
      <c r="G407" s="149" t="str">
        <f>regex(NamedRanges[[#This Row],[CellReflist]],"(\$)(.*[A-Z])","$2")</f>
        <v>A$160:$G</v>
      </c>
      <c r="H407" s="149" t="str">
        <f>regex(NamedRanges[[#This Row],[CellReflist]],"[0-9].*")</f>
        <v>160:$G$169</v>
      </c>
      <c r="I407" s="149" t="str">
        <f>regex(NamedRanges[[#This Row],[CellReflist]],"(.+?)?(:)(.+)?","$1")</f>
        <v>$A$160</v>
      </c>
      <c r="J407" s="149" t="str">
        <f>regex(NamedRanges[[#This Row],[CellReflist]],"(.+?)?(:)(.+)?","$3")</f>
        <v>$G$169</v>
      </c>
    </row>
    <row r="408" spans="1:10">
      <c r="A408" t="s">
        <v>4895</v>
      </c>
      <c r="B408" s="474" t="e">
        <f>КоэфРГК!$A$160:$A$169</f>
        <v>#VALUE!</v>
      </c>
      <c r="D408" s="149" t="str">
        <f>getFormula(NamedRanges[[#This Row],[RefersTo]])</f>
        <v>=КоэфРГК!$A$160:$A$169</v>
      </c>
      <c r="E408" s="149" t="str">
        <f>regex(NamedRanges[[#This Row],[Формула]],"([=])(.*?)([!])","$2")</f>
        <v>КоэфРГК</v>
      </c>
      <c r="F408" s="149" t="str">
        <f>CellReflist(NamedRanges[[#This Row],[RefersTo]])</f>
        <v>$A$160:$A$169</v>
      </c>
      <c r="G408" s="149" t="str">
        <f>regex(NamedRanges[[#This Row],[CellReflist]],"(\$)(.*[A-Z])","$2")</f>
        <v>A$160:$A</v>
      </c>
      <c r="H408" s="149" t="str">
        <f>regex(NamedRanges[[#This Row],[CellReflist]],"[0-9].*")</f>
        <v>160:$A$169</v>
      </c>
      <c r="I408" s="149" t="str">
        <f>regex(NamedRanges[[#This Row],[CellReflist]],"(.+?)?(:)(.+)?","$1")</f>
        <v>$A$160</v>
      </c>
      <c r="J408" s="149" t="str">
        <f>regex(NamedRanges[[#This Row],[CellReflist]],"(.+?)?(:)(.+)?","$3")</f>
        <v>$A$169</v>
      </c>
    </row>
    <row r="409" spans="1:10">
      <c r="A409" t="s">
        <v>4897</v>
      </c>
      <c r="B409" s="474">
        <f>ЗР!$B$1:$F$1</f>
        <v>8</v>
      </c>
      <c r="D409" s="149" t="str">
        <f>getFormula(NamedRanges[[#This Row],[RefersTo]])</f>
        <v>=ЗР!$B$1:$F$1</v>
      </c>
      <c r="E409" s="149" t="str">
        <f>regex(NamedRanges[[#This Row],[Формула]],"([=])(.*?)([!])","$2")</f>
        <v>ЗР</v>
      </c>
      <c r="F409" s="149" t="str">
        <f>CellReflist(NamedRanges[[#This Row],[RefersTo]])</f>
        <v>$B$1:$F$1</v>
      </c>
      <c r="G409" s="149" t="str">
        <f>regex(NamedRanges[[#This Row],[CellReflist]],"(\$)(.*[A-Z])","$2")</f>
        <v>B$1:$F</v>
      </c>
      <c r="H409" s="149" t="str">
        <f>regex(NamedRanges[[#This Row],[CellReflist]],"[0-9].*")</f>
        <v>1:$F$1</v>
      </c>
      <c r="I409" s="149" t="str">
        <f>regex(NamedRanges[[#This Row],[CellReflist]],"(.+?)?(:)(.+)?","$1")</f>
        <v>$B$1</v>
      </c>
      <c r="J409" s="149" t="str">
        <f>regex(NamedRanges[[#This Row],[CellReflist]],"(.+?)?(:)(.+)?","$3")</f>
        <v>$F$1</v>
      </c>
    </row>
    <row r="410" spans="1:10">
      <c r="A410" t="s">
        <v>4899</v>
      </c>
      <c r="B410" s="474">
        <f ca="1">Расчет!$M$3</f>
        <v>52</v>
      </c>
      <c r="D410" s="149" t="str">
        <f>getFormula(NamedRanges[[#This Row],[RefersTo]])</f>
        <v>=Расчет!$M$3</v>
      </c>
      <c r="E410" s="149" t="str">
        <f>regex(NamedRanges[[#This Row],[Формула]],"([=])(.*?)([!])","$2")</f>
        <v>Расчет</v>
      </c>
      <c r="F410" s="149" t="str">
        <f>CellReflist(NamedRanges[[#This Row],[RefersTo]])</f>
        <v>$M$3</v>
      </c>
      <c r="G410" s="149" t="str">
        <f>regex(NamedRanges[[#This Row],[CellReflist]],"(\$)(.*[A-Z])","$2")</f>
        <v>M</v>
      </c>
      <c r="H410" s="149" t="str">
        <f>regex(NamedRanges[[#This Row],[CellReflist]],"[0-9].*")</f>
        <v>3</v>
      </c>
      <c r="I410" s="149" t="b">
        <f>regex(NamedRanges[[#This Row],[CellReflist]],"(.+?)?(:)(.+)?","$1")</f>
        <v>0</v>
      </c>
      <c r="J410" s="149" t="b">
        <f>regex(NamedRanges[[#This Row],[CellReflist]],"(.+?)?(:)(.+)?","$3")</f>
        <v>0</v>
      </c>
    </row>
    <row r="411" spans="1:10">
      <c r="A411" t="s">
        <v>4901</v>
      </c>
      <c r="B411" s="474" t="str">
        <f ca="1">Расчет!$J$3</f>
        <v>Вільхівецьке</v>
      </c>
      <c r="D411" s="149" t="str">
        <f>getFormula(NamedRanges[[#This Row],[RefersTo]])</f>
        <v>=Расчет!$J$3</v>
      </c>
      <c r="E411" s="149" t="str">
        <f>regex(NamedRanges[[#This Row],[Формула]],"([=])(.*?)([!])","$2")</f>
        <v>Расчет</v>
      </c>
      <c r="F411" s="149" t="str">
        <f>CellReflist(NamedRanges[[#This Row],[RefersTo]])</f>
        <v>$J$3</v>
      </c>
      <c r="G411" s="149" t="str">
        <f>regex(NamedRanges[[#This Row],[CellReflist]],"(\$)(.*[A-Z])","$2")</f>
        <v>J</v>
      </c>
      <c r="H411" s="149" t="str">
        <f>regex(NamedRanges[[#This Row],[CellReflist]],"[0-9].*")</f>
        <v>3</v>
      </c>
      <c r="I411" s="149" t="b">
        <f>regex(NamedRanges[[#This Row],[CellReflist]],"(.+?)?(:)(.+)?","$1")</f>
        <v>0</v>
      </c>
      <c r="J411" s="149" t="b">
        <f>regex(NamedRanges[[#This Row],[CellReflist]],"(.+?)?(:)(.+)?","$3")</f>
        <v>0</v>
      </c>
    </row>
    <row r="412" spans="1:10">
      <c r="A412" t="s">
        <v>4903</v>
      </c>
      <c r="B412" s="474">
        <f ca="1">Расчет!$Q$3</f>
        <v>0.3</v>
      </c>
      <c r="D412" s="149" t="str">
        <f>getFormula(NamedRanges[[#This Row],[RefersTo]])</f>
        <v>=Расчет!$Q$3</v>
      </c>
      <c r="E412" s="149" t="str">
        <f>regex(NamedRanges[[#This Row],[Формула]],"([=])(.*?)([!])","$2")</f>
        <v>Расчет</v>
      </c>
      <c r="F412" s="149" t="str">
        <f>CellReflist(NamedRanges[[#This Row],[RefersTo]])</f>
        <v>$Q$3</v>
      </c>
      <c r="G412" s="149" t="str">
        <f>regex(NamedRanges[[#This Row],[CellReflist]],"(\$)(.*[A-Z])","$2")</f>
        <v>Q</v>
      </c>
      <c r="H412" s="149" t="str">
        <f>regex(NamedRanges[[#This Row],[CellReflist]],"[0-9].*")</f>
        <v>3</v>
      </c>
      <c r="I412" s="149" t="b">
        <f>regex(NamedRanges[[#This Row],[CellReflist]],"(.+?)?(:)(.+)?","$1")</f>
        <v>0</v>
      </c>
      <c r="J412" s="149" t="b">
        <f>regex(NamedRanges[[#This Row],[CellReflist]],"(.+?)?(:)(.+)?","$3")</f>
        <v>0</v>
      </c>
    </row>
    <row r="413" spans="1:10">
      <c r="A413" t="s">
        <v>4905</v>
      </c>
      <c r="B413" s="474" t="str">
        <f ca="1">Расчет!$O$3</f>
        <v>7_0</v>
      </c>
      <c r="D413" s="149" t="str">
        <f>getFormula(NamedRanges[[#This Row],[RefersTo]])</f>
        <v>=Расчет!$O$3</v>
      </c>
      <c r="E413" s="149" t="str">
        <f>regex(NamedRanges[[#This Row],[Формула]],"([=])(.*?)([!])","$2")</f>
        <v>Расчет</v>
      </c>
      <c r="F413" s="149" t="str">
        <f>CellReflist(NamedRanges[[#This Row],[RefersTo]])</f>
        <v>$O$3</v>
      </c>
      <c r="G413" s="149" t="str">
        <f>regex(NamedRanges[[#This Row],[CellReflist]],"(\$)(.*[A-Z])","$2")</f>
        <v>O</v>
      </c>
      <c r="H413" s="149" t="str">
        <f>regex(NamedRanges[[#This Row],[CellReflist]],"[0-9].*")</f>
        <v>3</v>
      </c>
      <c r="I413" s="149" t="b">
        <f>regex(NamedRanges[[#This Row],[CellReflist]],"(.+?)?(:)(.+)?","$1")</f>
        <v>0</v>
      </c>
      <c r="J413" s="149" t="b">
        <f>regex(NamedRanges[[#This Row],[CellReflist]],"(.+?)?(:)(.+)?","$3")</f>
        <v>0</v>
      </c>
    </row>
    <row r="414" spans="1:10">
      <c r="A414" t="s">
        <v>2260</v>
      </c>
      <c r="B414" s="474" t="e">
        <f>КоэфРГК!$A$140:$E$153</f>
        <v>#VALUE!</v>
      </c>
      <c r="D414" s="149" t="str">
        <f>getFormula(NamedRanges[[#This Row],[RefersTo]])</f>
        <v>=КоэфРГК!$A$140:$E$153</v>
      </c>
      <c r="E414" s="149" t="str">
        <f>regex(NamedRanges[[#This Row],[Формула]],"([=])(.*?)([!])","$2")</f>
        <v>КоэфРГК</v>
      </c>
      <c r="F414" s="149" t="str">
        <f>CellReflist(NamedRanges[[#This Row],[RefersTo]])</f>
        <v>$A$140:$E$153</v>
      </c>
      <c r="G414" s="149" t="str">
        <f>regex(NamedRanges[[#This Row],[CellReflist]],"(\$)(.*[A-Z])","$2")</f>
        <v>A$140:$E</v>
      </c>
      <c r="H414" s="149" t="str">
        <f>regex(NamedRanges[[#This Row],[CellReflist]],"[0-9].*")</f>
        <v>140:$E$153</v>
      </c>
      <c r="I414" s="149" t="str">
        <f>regex(NamedRanges[[#This Row],[CellReflist]],"(.+?)?(:)(.+)?","$1")</f>
        <v>$A$140</v>
      </c>
      <c r="J414" s="149" t="str">
        <f>regex(NamedRanges[[#This Row],[CellReflist]],"(.+?)?(:)(.+)?","$3")</f>
        <v>$E$153</v>
      </c>
    </row>
    <row r="415" spans="1:10">
      <c r="A415" t="s">
        <v>4908</v>
      </c>
      <c r="B415" s="474" t="e">
        <f>КоэфРГК!$A$140:$A$153</f>
        <v>#VALUE!</v>
      </c>
      <c r="D415" s="149" t="str">
        <f>getFormula(NamedRanges[[#This Row],[RefersTo]])</f>
        <v>=КоэфРГК!$A$140:$A$153</v>
      </c>
      <c r="E415" s="149" t="str">
        <f>regex(NamedRanges[[#This Row],[Формула]],"([=])(.*?)([!])","$2")</f>
        <v>КоэфРГК</v>
      </c>
      <c r="F415" s="149" t="str">
        <f>CellReflist(NamedRanges[[#This Row],[RefersTo]])</f>
        <v>$A$140:$A$153</v>
      </c>
      <c r="G415" s="149" t="str">
        <f>regex(NamedRanges[[#This Row],[CellReflist]],"(\$)(.*[A-Z])","$2")</f>
        <v>A$140:$A</v>
      </c>
      <c r="H415" s="149" t="str">
        <f>regex(NamedRanges[[#This Row],[CellReflist]],"[0-9].*")</f>
        <v>140:$A$153</v>
      </c>
      <c r="I415" s="149" t="str">
        <f>regex(NamedRanges[[#This Row],[CellReflist]],"(.+?)?(:)(.+)?","$1")</f>
        <v>$A$140</v>
      </c>
      <c r="J415" s="149" t="str">
        <f>regex(NamedRanges[[#This Row],[CellReflist]],"(.+?)?(:)(.+)?","$3")</f>
        <v>$A$153</v>
      </c>
    </row>
    <row r="416" spans="1:10">
      <c r="A416" t="s">
        <v>2256</v>
      </c>
      <c r="B416" s="474" t="e">
        <f>КоэфРГК!$A$119:$M$128</f>
        <v>#VALUE!</v>
      </c>
      <c r="D416" s="149" t="str">
        <f>getFormula(NamedRanges[[#This Row],[RefersTo]])</f>
        <v>=КоэфРГК!$A$119:$M$128</v>
      </c>
      <c r="E416" s="149" t="str">
        <f>regex(NamedRanges[[#This Row],[Формула]],"([=])(.*?)([!])","$2")</f>
        <v>КоэфРГК</v>
      </c>
      <c r="F416" s="149" t="str">
        <f>CellReflist(NamedRanges[[#This Row],[RefersTo]])</f>
        <v>$A$119:$M$128</v>
      </c>
      <c r="G416" s="149" t="str">
        <f>regex(NamedRanges[[#This Row],[CellReflist]],"(\$)(.*[A-Z])","$2")</f>
        <v>A$119:$M</v>
      </c>
      <c r="H416" s="149" t="str">
        <f>regex(NamedRanges[[#This Row],[CellReflist]],"[0-9].*")</f>
        <v>119:$M$128</v>
      </c>
      <c r="I416" s="149" t="str">
        <f>regex(NamedRanges[[#This Row],[CellReflist]],"(.+?)?(:)(.+)?","$1")</f>
        <v>$A$119</v>
      </c>
      <c r="J416" s="149" t="str">
        <f>regex(NamedRanges[[#This Row],[CellReflist]],"(.+?)?(:)(.+)?","$3")</f>
        <v>$M$128</v>
      </c>
    </row>
    <row r="417" spans="1:10">
      <c r="A417" t="s">
        <v>4911</v>
      </c>
      <c r="B417" s="474" t="e">
        <f>КоэфРГК!$A$119:$A$128</f>
        <v>#VALUE!</v>
      </c>
      <c r="D417" s="149" t="str">
        <f>getFormula(NamedRanges[[#This Row],[RefersTo]])</f>
        <v>=КоэфРГК!$A$119:$A$128</v>
      </c>
      <c r="E417" s="149" t="str">
        <f>regex(NamedRanges[[#This Row],[Формула]],"([=])(.*?)([!])","$2")</f>
        <v>КоэфРГК</v>
      </c>
      <c r="F417" s="149" t="str">
        <f>CellReflist(NamedRanges[[#This Row],[RefersTo]])</f>
        <v>$A$119:$A$128</v>
      </c>
      <c r="G417" s="149" t="str">
        <f>regex(NamedRanges[[#This Row],[CellReflist]],"(\$)(.*[A-Z])","$2")</f>
        <v>A$119:$A</v>
      </c>
      <c r="H417" s="149" t="str">
        <f>regex(NamedRanges[[#This Row],[CellReflist]],"[0-9].*")</f>
        <v>119:$A$128</v>
      </c>
      <c r="I417" s="149" t="str">
        <f>regex(NamedRanges[[#This Row],[CellReflist]],"(.+?)?(:)(.+)?","$1")</f>
        <v>$A$119</v>
      </c>
      <c r="J417" s="149" t="str">
        <f>regex(NamedRanges[[#This Row],[CellReflist]],"(.+?)?(:)(.+)?","$3")</f>
        <v>$A$128</v>
      </c>
    </row>
    <row r="418" spans="1:10">
      <c r="A418" t="s">
        <v>5071</v>
      </c>
      <c r="B418" s="474" t="str">
        <f>"T_"</f>
        <v>T_</v>
      </c>
      <c r="D418" s="149" t="str">
        <f>getFormula(NamedRanges[[#This Row],[RefersTo]])</f>
        <v>="T_"</v>
      </c>
      <c r="E418" s="149" t="b">
        <f>regex(NamedRanges[[#This Row],[Формула]],"([=])(.*?)([!])","$2")</f>
        <v>0</v>
      </c>
      <c r="F418" s="149">
        <f>CellReflist(NamedRanges[[#This Row],[RefersTo]])</f>
        <v>0</v>
      </c>
      <c r="G418" s="149" t="b">
        <f>regex(NamedRanges[[#This Row],[CellReflist]],"(\$)(.*[A-Z])","$2")</f>
        <v>0</v>
      </c>
      <c r="H418" s="149" t="str">
        <f>regex(NamedRanges[[#This Row],[CellReflist]],"[0-9].*")</f>
        <v>0</v>
      </c>
      <c r="I418" s="149" t="b">
        <f>regex(NamedRanges[[#This Row],[CellReflist]],"(.+?)?(:)(.+)?","$1")</f>
        <v>0</v>
      </c>
      <c r="J418" s="149" t="b">
        <f>regex(NamedRanges[[#This Row],[CellReflist]],"(.+?)?(:)(.+)?","$3")</f>
        <v>0</v>
      </c>
    </row>
    <row r="419" spans="1:10">
      <c r="A419" t="s">
        <v>2251</v>
      </c>
      <c r="B419" s="474" t="e">
        <f>КоэфРГК!$A$87:$M$96</f>
        <v>#VALUE!</v>
      </c>
      <c r="D419" s="149" t="str">
        <f>getFormula(NamedRanges[[#This Row],[RefersTo]])</f>
        <v>=КоэфРГК!$A$87:$M$96</v>
      </c>
      <c r="E419" s="149" t="str">
        <f>regex(NamedRanges[[#This Row],[Формула]],"([=])(.*?)([!])","$2")</f>
        <v>КоэфРГК</v>
      </c>
      <c r="F419" s="149" t="str">
        <f>CellReflist(NamedRanges[[#This Row],[RefersTo]])</f>
        <v>$A$87:$M$96</v>
      </c>
      <c r="G419" s="149" t="str">
        <f>regex(NamedRanges[[#This Row],[CellReflist]],"(\$)(.*[A-Z])","$2")</f>
        <v>A$87:$M</v>
      </c>
      <c r="H419" s="149" t="str">
        <f>regex(NamedRanges[[#This Row],[CellReflist]],"[0-9].*")</f>
        <v>87:$M$96</v>
      </c>
      <c r="I419" s="149" t="str">
        <f>regex(NamedRanges[[#This Row],[CellReflist]],"(.+?)?(:)(.+)?","$1")</f>
        <v>$A$87</v>
      </c>
      <c r="J419" s="149" t="str">
        <f>regex(NamedRanges[[#This Row],[CellReflist]],"(.+?)?(:)(.+)?","$3")</f>
        <v>$M$96</v>
      </c>
    </row>
    <row r="420" spans="1:10">
      <c r="A420" t="s">
        <v>4914</v>
      </c>
      <c r="B420" s="474" t="e">
        <f>КоэфРГК!$A$87:$A$96</f>
        <v>#VALUE!</v>
      </c>
      <c r="D420" s="149" t="str">
        <f>getFormula(NamedRanges[[#This Row],[RefersTo]])</f>
        <v>=КоэфРГК!$A$87:$A$96</v>
      </c>
      <c r="E420" s="149" t="str">
        <f>regex(NamedRanges[[#This Row],[Формула]],"([=])(.*?)([!])","$2")</f>
        <v>КоэфРГК</v>
      </c>
      <c r="F420" s="149" t="str">
        <f>CellReflist(NamedRanges[[#This Row],[RefersTo]])</f>
        <v>$A$87:$A$96</v>
      </c>
      <c r="G420" s="149" t="str">
        <f>regex(NamedRanges[[#This Row],[CellReflist]],"(\$)(.*[A-Z])","$2")</f>
        <v>A$87:$A</v>
      </c>
      <c r="H420" s="149" t="str">
        <f>regex(NamedRanges[[#This Row],[CellReflist]],"[0-9].*")</f>
        <v>87:$A$96</v>
      </c>
      <c r="I420" s="149" t="str">
        <f>regex(NamedRanges[[#This Row],[CellReflist]],"(.+?)?(:)(.+)?","$1")</f>
        <v>$A$87</v>
      </c>
      <c r="J420" s="149" t="str">
        <f>regex(NamedRanges[[#This Row],[CellReflist]],"(.+?)?(:)(.+)?","$3")</f>
        <v>$A$96</v>
      </c>
    </row>
    <row r="421" spans="1:10">
      <c r="A421" t="s">
        <v>2255</v>
      </c>
      <c r="B421" s="474" t="e">
        <f>КоэфРГК!$A$180:$E$189</f>
        <v>#VALUE!</v>
      </c>
      <c r="D421" s="149" t="str">
        <f>getFormula(NamedRanges[[#This Row],[RefersTo]])</f>
        <v>=КоэфРГК!$A$180:$E$189</v>
      </c>
      <c r="E421" s="149" t="str">
        <f>regex(NamedRanges[[#This Row],[Формула]],"([=])(.*?)([!])","$2")</f>
        <v>КоэфРГК</v>
      </c>
      <c r="F421" s="149" t="str">
        <f>CellReflist(NamedRanges[[#This Row],[RefersTo]])</f>
        <v>$A$180:$E$189</v>
      </c>
      <c r="G421" s="149" t="str">
        <f>regex(NamedRanges[[#This Row],[CellReflist]],"(\$)(.*[A-Z])","$2")</f>
        <v>A$180:$E</v>
      </c>
      <c r="H421" s="149" t="str">
        <f>regex(NamedRanges[[#This Row],[CellReflist]],"[0-9].*")</f>
        <v>180:$E$189</v>
      </c>
      <c r="I421" s="149" t="str">
        <f>regex(NamedRanges[[#This Row],[CellReflist]],"(.+?)?(:)(.+)?","$1")</f>
        <v>$A$180</v>
      </c>
      <c r="J421" s="149" t="str">
        <f>regex(NamedRanges[[#This Row],[CellReflist]],"(.+?)?(:)(.+)?","$3")</f>
        <v>$E$189</v>
      </c>
    </row>
    <row r="422" spans="1:10">
      <c r="A422" t="s">
        <v>4925</v>
      </c>
      <c r="B422" s="474" t="e">
        <f>КоэфРГК!$A$180:$A$189</f>
        <v>#VALUE!</v>
      </c>
      <c r="D422" s="149" t="str">
        <f>getFormula(NamedRanges[[#This Row],[RefersTo]])</f>
        <v>=КоэфРГК!$A$180:$A$189</v>
      </c>
      <c r="E422" s="149" t="str">
        <f>regex(NamedRanges[[#This Row],[Формула]],"([=])(.*?)([!])","$2")</f>
        <v>КоэфРГК</v>
      </c>
      <c r="F422" s="149" t="str">
        <f>CellReflist(NamedRanges[[#This Row],[RefersTo]])</f>
        <v>$A$180:$A$189</v>
      </c>
      <c r="G422" s="149" t="str">
        <f>regex(NamedRanges[[#This Row],[CellReflist]],"(\$)(.*[A-Z])","$2")</f>
        <v>A$180:$A</v>
      </c>
      <c r="H422" s="149" t="str">
        <f>regex(NamedRanges[[#This Row],[CellReflist]],"[0-9].*")</f>
        <v>180:$A$189</v>
      </c>
      <c r="I422" s="149" t="str">
        <f>regex(NamedRanges[[#This Row],[CellReflist]],"(.+?)?(:)(.+)?","$1")</f>
        <v>$A$180</v>
      </c>
      <c r="J422" s="149" t="str">
        <f>regex(NamedRanges[[#This Row],[CellReflist]],"(.+?)?(:)(.+)?","$3")</f>
        <v>$A$189</v>
      </c>
    </row>
    <row r="423" spans="1:10">
      <c r="A423" t="s">
        <v>3281</v>
      </c>
      <c r="B423" s="474" t="e">
        <f>КоэфРГК!$A$201:$G$206</f>
        <v>#VALUE!</v>
      </c>
      <c r="D423" s="149" t="str">
        <f>getFormula(NamedRanges[[#This Row],[RefersTo]])</f>
        <v>=КоэфРГК!$A$201:$G$206</v>
      </c>
      <c r="E423" s="149" t="str">
        <f>regex(NamedRanges[[#This Row],[Формула]],"([=])(.*?)([!])","$2")</f>
        <v>КоэфРГК</v>
      </c>
      <c r="F423" s="149" t="str">
        <f>CellReflist(NamedRanges[[#This Row],[RefersTo]])</f>
        <v>$A$201:$G$206</v>
      </c>
      <c r="G423" s="149" t="str">
        <f>regex(NamedRanges[[#This Row],[CellReflist]],"(\$)(.*[A-Z])","$2")</f>
        <v>A$201:$G</v>
      </c>
      <c r="H423" s="149" t="str">
        <f>regex(NamedRanges[[#This Row],[CellReflist]],"[0-9].*")</f>
        <v>201:$G$206</v>
      </c>
      <c r="I423" s="149" t="str">
        <f>regex(NamedRanges[[#This Row],[CellReflist]],"(.+?)?(:)(.+)?","$1")</f>
        <v>$A$201</v>
      </c>
      <c r="J423" s="149" t="str">
        <f>regex(NamedRanges[[#This Row],[CellReflist]],"(.+?)?(:)(.+)?","$3")</f>
        <v>$G$206</v>
      </c>
    </row>
    <row r="424" spans="1:10">
      <c r="A424" t="s">
        <v>4928</v>
      </c>
      <c r="B424" s="474">
        <f>КоэфРГК!$A$200:$C$200</f>
        <v>4</v>
      </c>
      <c r="D424" s="149" t="str">
        <f>getFormula(NamedRanges[[#This Row],[RefersTo]])</f>
        <v>=КоэфРГК!$A$200:$C$200</v>
      </c>
      <c r="E424" s="149" t="str">
        <f>regex(NamedRanges[[#This Row],[Формула]],"([=])(.*?)([!])","$2")</f>
        <v>КоэфРГК</v>
      </c>
      <c r="F424" s="149" t="str">
        <f>CellReflist(NamedRanges[[#This Row],[RefersTo]])</f>
        <v>$A$200:$C$200</v>
      </c>
      <c r="G424" s="149" t="str">
        <f>regex(NamedRanges[[#This Row],[CellReflist]],"(\$)(.*[A-Z])","$2")</f>
        <v>A$200:$C</v>
      </c>
      <c r="H424" s="149" t="str">
        <f>regex(NamedRanges[[#This Row],[CellReflist]],"[0-9].*")</f>
        <v>200:$C$200</v>
      </c>
      <c r="I424" s="149" t="str">
        <f>regex(NamedRanges[[#This Row],[CellReflist]],"(.+?)?(:)(.+)?","$1")</f>
        <v>$A$200</v>
      </c>
      <c r="J424" s="149" t="str">
        <f>regex(NamedRanges[[#This Row],[CellReflist]],"(.+?)?(:)(.+)?","$3")</f>
        <v>$C$200</v>
      </c>
    </row>
    <row r="425" spans="1:10">
      <c r="A425" t="s">
        <v>2279</v>
      </c>
      <c r="B425" s="474" t="e">
        <f>КоэфРГК!$A$7:$M$16</f>
        <v>#VALUE!</v>
      </c>
      <c r="D425" s="149" t="str">
        <f>getFormula(NamedRanges[[#This Row],[RefersTo]])</f>
        <v>=КоэфРГК!$A$7:$M$16</v>
      </c>
      <c r="E425" s="149" t="str">
        <f>regex(NamedRanges[[#This Row],[Формула]],"([=])(.*?)([!])","$2")</f>
        <v>КоэфРГК</v>
      </c>
      <c r="F425" s="149" t="str">
        <f>CellReflist(NamedRanges[[#This Row],[RefersTo]])</f>
        <v>$A$7:$M$16</v>
      </c>
      <c r="G425" s="149" t="str">
        <f>regex(NamedRanges[[#This Row],[CellReflist]],"(\$)(.*[A-Z])","$2")</f>
        <v>A$7:$M</v>
      </c>
      <c r="H425" s="149" t="str">
        <f>regex(NamedRanges[[#This Row],[CellReflist]],"[0-9].*")</f>
        <v>7:$M$16</v>
      </c>
      <c r="I425" s="149" t="str">
        <f>regex(NamedRanges[[#This Row],[CellReflist]],"(.+?)?(:)(.+)?","$1")</f>
        <v>$A$7</v>
      </c>
      <c r="J425" s="149" t="str">
        <f>regex(NamedRanges[[#This Row],[CellReflist]],"(.+?)?(:)(.+)?","$3")</f>
        <v>$M$16</v>
      </c>
    </row>
    <row r="426" spans="1:10">
      <c r="A426" t="s">
        <v>5414</v>
      </c>
      <c r="B426" s="474" t="e">
        <f>КоэфРГК!$A$7:$A$16</f>
        <v>#VALUE!</v>
      </c>
      <c r="D426" s="149" t="str">
        <f>getFormula(NamedRanges[[#This Row],[RefersTo]])</f>
        <v>=КоэфРГК!$A$7:$A$16</v>
      </c>
      <c r="E426" s="149" t="str">
        <f>regex(NamedRanges[[#This Row],[Формула]],"([=])(.*?)([!])","$2")</f>
        <v>КоэфРГК</v>
      </c>
      <c r="F426" s="149" t="str">
        <f>CellReflist(NamedRanges[[#This Row],[RefersTo]])</f>
        <v>$A$7:$A$16</v>
      </c>
      <c r="G426" s="149" t="str">
        <f>regex(NamedRanges[[#This Row],[CellReflist]],"(\$)(.*[A-Z])","$2")</f>
        <v>A$7:$A</v>
      </c>
      <c r="H426" s="149" t="str">
        <f>regex(NamedRanges[[#This Row],[CellReflist]],"[0-9].*")</f>
        <v>7:$A$16</v>
      </c>
      <c r="I426" s="149" t="str">
        <f>regex(NamedRanges[[#This Row],[CellReflist]],"(.+?)?(:)(.+)?","$1")</f>
        <v>$A$7</v>
      </c>
      <c r="J426" s="149" t="str">
        <f>regex(NamedRanges[[#This Row],[CellReflist]],"(.+?)?(:)(.+)?","$3")</f>
        <v>$A$16</v>
      </c>
    </row>
    <row r="427" spans="1:10">
      <c r="A427" t="s">
        <v>4934</v>
      </c>
      <c r="B427" s="474" t="e">
        <f>КоэфРГК!$A$7:$A$16</f>
        <v>#VALUE!</v>
      </c>
      <c r="D427" s="149" t="str">
        <f>getFormula(NamedRanges[[#This Row],[RefersTo]])</f>
        <v>=КоэфРГК!$A$7:$A$16</v>
      </c>
      <c r="E427" s="149" t="str">
        <f>regex(NamedRanges[[#This Row],[Формула]],"([=])(.*?)([!])","$2")</f>
        <v>КоэфРГК</v>
      </c>
      <c r="F427" s="149" t="str">
        <f>CellReflist(NamedRanges[[#This Row],[RefersTo]])</f>
        <v>$A$7:$A$16</v>
      </c>
      <c r="G427" s="149" t="str">
        <f>regex(NamedRanges[[#This Row],[CellReflist]],"(\$)(.*[A-Z])","$2")</f>
        <v>A$7:$A</v>
      </c>
      <c r="H427" s="149" t="str">
        <f>regex(NamedRanges[[#This Row],[CellReflist]],"[0-9].*")</f>
        <v>7:$A$16</v>
      </c>
      <c r="I427" s="149" t="str">
        <f>regex(NamedRanges[[#This Row],[CellReflist]],"(.+?)?(:)(.+)?","$1")</f>
        <v>$A$7</v>
      </c>
      <c r="J427" s="149" t="str">
        <f>regex(NamedRanges[[#This Row],[CellReflist]],"(.+?)?(:)(.+)?","$3")</f>
        <v>$A$16</v>
      </c>
    </row>
    <row r="428" spans="1:10">
      <c r="A428" t="s">
        <v>4936</v>
      </c>
      <c r="B428" s="474">
        <f>КоэфРГК!$B$4:$M$4</f>
        <v>200</v>
      </c>
      <c r="D428" s="149" t="str">
        <f>getFormula(NamedRanges[[#This Row],[RefersTo]])</f>
        <v>=КоэфРГК!$B$4:$M$4</v>
      </c>
      <c r="E428" s="149" t="str">
        <f>regex(NamedRanges[[#This Row],[Формула]],"([=])(.*?)([!])","$2")</f>
        <v>КоэфРГК</v>
      </c>
      <c r="F428" s="149" t="str">
        <f>CellReflist(NamedRanges[[#This Row],[RefersTo]])</f>
        <v>$B$4:$M$4</v>
      </c>
      <c r="G428" s="149" t="str">
        <f>regex(NamedRanges[[#This Row],[CellReflist]],"(\$)(.*[A-Z])","$2")</f>
        <v>B$4:$M</v>
      </c>
      <c r="H428" s="149" t="str">
        <f>regex(NamedRanges[[#This Row],[CellReflist]],"[0-9].*")</f>
        <v>4:$M$4</v>
      </c>
      <c r="I428" s="149" t="str">
        <f>regex(NamedRanges[[#This Row],[CellReflist]],"(.+?)?(:)(.+)?","$1")</f>
        <v>$B$4</v>
      </c>
      <c r="J428" s="149" t="str">
        <f>regex(NamedRanges[[#This Row],[CellReflist]],"(.+?)?(:)(.+)?","$3")</f>
        <v>$M$4</v>
      </c>
    </row>
    <row r="429" spans="1:10">
      <c r="A429" t="s">
        <v>5399</v>
      </c>
      <c r="B429" s="474" t="e">
        <f ca="1">ADDRESS(ROW(INDIRECT(РГК_кошторис!XEI41)),COLUMN(INDIRECT(РГК_кошторис!XEI41)))&amp;":"&amp;ADDRESS(ROW(INDIRECT(РГК_кошторис!XEI41))+ROW(INDIRECT(РГК_кошторис!XEI41))-1,COLUMN(INDIRECT(РГК_кошторис!XEI41))+COLUMN(INDIRECT(РГК_кошторис!XEI41))-1)</f>
        <v>#REF!</v>
      </c>
      <c r="C429" t="s">
        <v>5415</v>
      </c>
      <c r="D429" s="149" t="str">
        <f>getFormula(NamedRanges[[#This Row],[RefersTo]])</f>
        <v>=ADDRESS(ROW(INDIRECT(РГК_кошторис!XEI41)),COLUMN(INDIRECT(РГК_кошторис!XEI41)))&amp;":"&amp;ADDRESS(ROW(INDIRECT(РГК_кошторис!XEI41))+ROW(INDIRECT(РГК_кошторис!XEI41))-1,COLUMN(INDIRECT(РГК_кошторис!XEI41))+COLUMN(INDIRECT(РГК_кошторис!XEI41))-1)</v>
      </c>
      <c r="E429" s="149" t="str">
        <f>regex(NamedRanges[[#This Row],[Формула]],"([=])(.*?)([!])","$2")</f>
        <v>ADDRESS(ROW(INDIRECT(РГК_кошторис</v>
      </c>
      <c r="F429" s="149" t="str">
        <f>CellReflist(NamedRanges[[#This Row],[RefersTo]])</f>
        <v>XEI41</v>
      </c>
      <c r="G429" s="149" t="b">
        <f>regex(NamedRanges[[#This Row],[CellReflist]],"(\$)(.*[A-Z])","$2")</f>
        <v>0</v>
      </c>
      <c r="H429" s="149" t="str">
        <f>regex(NamedRanges[[#This Row],[CellReflist]],"[0-9].*")</f>
        <v>41</v>
      </c>
      <c r="I429" s="149" t="b">
        <f>regex(NamedRanges[[#This Row],[CellReflist]],"(.+?)?(:)(.+)?","$1")</f>
        <v>0</v>
      </c>
      <c r="J429" s="149" t="b">
        <f>regex(NamedRanges[[#This Row],[CellReflist]],"(.+?)?(:)(.+)?","$3")</f>
        <v>0</v>
      </c>
    </row>
    <row r="430" spans="1:10">
      <c r="A430" t="s">
        <v>5313</v>
      </c>
      <c r="B430" s="474" t="e">
        <f>КоэфРГК!$I$231:$I$232</f>
        <v>#VALUE!</v>
      </c>
      <c r="D430" s="149" t="str">
        <f>getFormula(NamedRanges[[#This Row],[RefersTo]])</f>
        <v>=КоэфРГК!$I$231:$I$232</v>
      </c>
      <c r="E430" s="149" t="str">
        <f>regex(NamedRanges[[#This Row],[Формула]],"([=])(.*?)([!])","$2")</f>
        <v>КоэфРГК</v>
      </c>
      <c r="F430" s="149" t="str">
        <f>CellReflist(NamedRanges[[#This Row],[RefersTo]])</f>
        <v>$I$231:$I$232</v>
      </c>
      <c r="G430" s="149" t="str">
        <f>regex(NamedRanges[[#This Row],[CellReflist]],"(\$)(.*[A-Z])","$2")</f>
        <v>I$231:$I</v>
      </c>
      <c r="H430" s="149" t="str">
        <f>regex(NamedRanges[[#This Row],[CellReflist]],"[0-9].*")</f>
        <v>231:$I$232</v>
      </c>
      <c r="I430" s="149" t="str">
        <f>regex(NamedRanges[[#This Row],[CellReflist]],"(.+?)?(:)(.+)?","$1")</f>
        <v>$I$231</v>
      </c>
      <c r="J430" s="149" t="str">
        <f>regex(NamedRanges[[#This Row],[CellReflist]],"(.+?)?(:)(.+)?","$3")</f>
        <v>$I$232</v>
      </c>
    </row>
    <row r="431" spans="1:10">
      <c r="A431" t="s">
        <v>5416</v>
      </c>
      <c r="B431" s="474" t="e">
        <f>Коєфициент!$F$2:$F$6</f>
        <v>#VALUE!</v>
      </c>
      <c r="D431" s="149" t="str">
        <f>getFormula(NamedRanges[[#This Row],[RefersTo]])</f>
        <v>=Коєфициент!$F$2:$F$6</v>
      </c>
      <c r="E431" s="149" t="str">
        <f>regex(NamedRanges[[#This Row],[Формула]],"([=])(.*?)([!])","$2")</f>
        <v>Коєфициент</v>
      </c>
      <c r="F431" s="149" t="str">
        <f>CellReflist(NamedRanges[[#This Row],[RefersTo]])</f>
        <v>$F$2:$F$6</v>
      </c>
      <c r="G431" s="149" t="str">
        <f>regex(NamedRanges[[#This Row],[CellReflist]],"(\$)(.*[A-Z])","$2")</f>
        <v>F$2:$F</v>
      </c>
      <c r="H431" s="149" t="str">
        <f>regex(NamedRanges[[#This Row],[CellReflist]],"[0-9].*")</f>
        <v>2:$F$6</v>
      </c>
      <c r="I431" s="149" t="str">
        <f>regex(NamedRanges[[#This Row],[CellReflist]],"(.+?)?(:)(.+)?","$1")</f>
        <v>$F$2</v>
      </c>
      <c r="J431" s="149" t="str">
        <f>regex(NamedRanges[[#This Row],[CellReflist]],"(.+?)?(:)(.+)?","$3")</f>
        <v>$F$6</v>
      </c>
    </row>
    <row r="432" spans="1:10">
      <c r="A432" t="s">
        <v>5081</v>
      </c>
      <c r="B432" s="474">
        <f>1.215</f>
        <v>1.2150000000000001</v>
      </c>
      <c r="D432" s="149" t="str">
        <f>getFormula(NamedRanges[[#This Row],[RefersTo]])</f>
        <v>=1.215</v>
      </c>
      <c r="E432" s="149" t="b">
        <f>regex(NamedRanges[[#This Row],[Формула]],"([=])(.*?)([!])","$2")</f>
        <v>0</v>
      </c>
      <c r="F432" s="149">
        <f>CellReflist(NamedRanges[[#This Row],[RefersTo]])</f>
        <v>0</v>
      </c>
      <c r="G432" s="149" t="b">
        <f>regex(NamedRanges[[#This Row],[CellReflist]],"(\$)(.*[A-Z])","$2")</f>
        <v>0</v>
      </c>
      <c r="H432" s="149" t="str">
        <f>regex(NamedRanges[[#This Row],[CellReflist]],"[0-9].*")</f>
        <v>0</v>
      </c>
      <c r="I432" s="149" t="b">
        <f>regex(NamedRanges[[#This Row],[CellReflist]],"(.+?)?(:)(.+)?","$1")</f>
        <v>0</v>
      </c>
      <c r="J432" s="149" t="b">
        <f>regex(NamedRanges[[#This Row],[CellReflist]],"(.+?)?(:)(.+)?","$3")</f>
        <v>0</v>
      </c>
    </row>
    <row r="433" spans="1:10">
      <c r="A433" t="s">
        <v>5417</v>
      </c>
      <c r="B433" s="474" t="e">
        <f>РеестрЛКЕОД!$A$1:$J$2</f>
        <v>#VALUE!</v>
      </c>
      <c r="D433" s="149" t="str">
        <f>getFormula(NamedRanges[[#This Row],[RefersTo]])</f>
        <v>=РеестрЛКЕОД!$A$1:$J$2</v>
      </c>
      <c r="E433" s="149" t="str">
        <f>regex(NamedRanges[[#This Row],[Формула]],"([=])(.*?)([!])","$2")</f>
        <v>РеестрЛКЕОД</v>
      </c>
      <c r="F433" s="149" t="str">
        <f>CellReflist(NamedRanges[[#This Row],[RefersTo]])</f>
        <v>$A$1:$J$2</v>
      </c>
      <c r="G433" s="149" t="str">
        <f>regex(NamedRanges[[#This Row],[CellReflist]],"(\$)(.*[A-Z])","$2")</f>
        <v>A$1:$J</v>
      </c>
      <c r="H433" s="149" t="str">
        <f>regex(NamedRanges[[#This Row],[CellReflist]],"[0-9].*")</f>
        <v>1:$J$2</v>
      </c>
      <c r="I433" s="149" t="str">
        <f>regex(NamedRanges[[#This Row],[CellReflist]],"(.+?)?(:)(.+)?","$1")</f>
        <v>$A$1</v>
      </c>
      <c r="J433" s="149" t="str">
        <f>regex(NamedRanges[[#This Row],[CellReflist]],"(.+?)?(:)(.+)?","$3")</f>
        <v>$J$2</v>
      </c>
    </row>
    <row r="434" spans="1:10">
      <c r="A434" t="s">
        <v>5418</v>
      </c>
      <c r="B434" s="474" t="e">
        <f ca="1">OFFSET(Лісництва!$B$2,0,0,COUNTA(Лісництва!$B$2:$B$65535),1)</f>
        <v>#VALUE!</v>
      </c>
      <c r="D434" s="149" t="str">
        <f>getFormula(NamedRanges[[#This Row],[RefersTo]])</f>
        <v>=OFFSET(Лісництва!$B$2,0,0,COUNTA(Лісництва!$B$2:$B$65535),1)</v>
      </c>
      <c r="E434" s="149" t="str">
        <f>regex(NamedRanges[[#This Row],[Формула]],"([=])(.*?)([!])","$2")</f>
        <v>OFFSET(Лісництва</v>
      </c>
      <c r="F434" s="149" t="str">
        <f>CellReflist(NamedRanges[[#This Row],[RefersTo]])</f>
        <v>$B$2,$B$2:$B$65535</v>
      </c>
      <c r="G434" s="149" t="str">
        <f>regex(NamedRanges[[#This Row],[CellReflist]],"(\$)(.*[A-Z])","$2")</f>
        <v>B$2,$B$2:$B</v>
      </c>
      <c r="H434" s="149" t="str">
        <f>regex(NamedRanges[[#This Row],[CellReflist]],"[0-9].*")</f>
        <v>2,$B$2:$B$65535</v>
      </c>
      <c r="I434" s="149" t="str">
        <f>regex(NamedRanges[[#This Row],[CellReflist]],"(.+?)?(:)(.+)?","$1")</f>
        <v>$B$2,$B$2</v>
      </c>
      <c r="J434" s="149" t="str">
        <f>regex(NamedRanges[[#This Row],[CellReflist]],"(.+?)?(:)(.+)?","$3")</f>
        <v>$B$65535</v>
      </c>
    </row>
    <row r="435" spans="1:10">
      <c r="A435" t="s">
        <v>4953</v>
      </c>
      <c r="B435" s="474" t="e">
        <f ca="1">OFFSET(Лісництва!$C$2,0,0,COUNTA(Лісництва!$C$2:$C$65535),1)</f>
        <v>#VALUE!</v>
      </c>
      <c r="D435" s="149" t="str">
        <f>getFormula(NamedRanges[[#This Row],[RefersTo]])</f>
        <v>=OFFSET(Лісництва!$C$2,0,0,COUNTA(Лісництва!$C$2:$C$65535),1)</v>
      </c>
      <c r="E435" s="149" t="str">
        <f>regex(NamedRanges[[#This Row],[Формула]],"([=])(.*?)([!])","$2")</f>
        <v>OFFSET(Лісництва</v>
      </c>
      <c r="F435" s="149" t="str">
        <f>CellReflist(NamedRanges[[#This Row],[RefersTo]])</f>
        <v>$C$2,$C$2:$C$65535</v>
      </c>
      <c r="G435" s="149" t="str">
        <f>regex(NamedRanges[[#This Row],[CellReflist]],"(\$)(.*[A-Z])","$2")</f>
        <v>C$2,$C$2:$C</v>
      </c>
      <c r="H435" s="149" t="str">
        <f>regex(NamedRanges[[#This Row],[CellReflist]],"[0-9].*")</f>
        <v>2,$C$2:$C$65535</v>
      </c>
      <c r="I435" s="149" t="str">
        <f>regex(NamedRanges[[#This Row],[CellReflist]],"(.+?)?(:)(.+)?","$1")</f>
        <v>$C$2,$C$2</v>
      </c>
      <c r="J435" s="149" t="str">
        <f>regex(NamedRanges[[#This Row],[CellReflist]],"(.+?)?(:)(.+)?","$3")</f>
        <v>$C$65535</v>
      </c>
    </row>
    <row r="436" spans="1:10">
      <c r="A436" t="s">
        <v>3568</v>
      </c>
      <c r="B436" s="474" t="e">
        <f ca="1">OFFSET(ЛК!E42,0,0,COUNTA(ЛК!E42:E137),1)</f>
        <v>#VALUE!</v>
      </c>
      <c r="D436" s="149" t="str">
        <f>getFormula(NamedRanges[[#This Row],[RefersTo]])</f>
        <v>=OFFSET(ЛК!E42,0,0,COUNTA(ЛК!E42:E137),1)</v>
      </c>
      <c r="E436" s="149" t="str">
        <f>regex(NamedRanges[[#This Row],[Формула]],"([=])(.*?)([!])","$2")</f>
        <v>OFFSET(ЛК</v>
      </c>
      <c r="F436" s="149" t="str">
        <f>CellReflist(NamedRanges[[#This Row],[RefersTo]])</f>
        <v>E42,E42:E137</v>
      </c>
      <c r="G436" s="149" t="b">
        <f>regex(NamedRanges[[#This Row],[CellReflist]],"(\$)(.*[A-Z])","$2")</f>
        <v>0</v>
      </c>
      <c r="H436" s="149" t="str">
        <f>regex(NamedRanges[[#This Row],[CellReflist]],"[0-9].*")</f>
        <v>42,E42:E137</v>
      </c>
      <c r="I436" s="149" t="str">
        <f>regex(NamedRanges[[#This Row],[CellReflist]],"(.+?)?(:)(.+)?","$1")</f>
        <v>E42,E42</v>
      </c>
      <c r="J436" s="149" t="str">
        <f>regex(NamedRanges[[#This Row],[CellReflist]],"(.+?)?(:)(.+)?","$3")</f>
        <v>E137</v>
      </c>
    </row>
    <row r="437" spans="1:10">
      <c r="A437" t="s">
        <v>5419</v>
      </c>
      <c r="B437" s="474" t="e">
        <f>Молодняки!$A$1:$P$44</f>
        <v>#VALUE!</v>
      </c>
      <c r="D437" s="149" t="str">
        <f>getFormula(NamedRanges[[#This Row],[RefersTo]])</f>
        <v>=Молодняки!$A$1:$P$44</v>
      </c>
      <c r="E437" s="149" t="str">
        <f>regex(NamedRanges[[#This Row],[Формула]],"([=])(.*?)([!])","$2")</f>
        <v>Молодняки</v>
      </c>
      <c r="F437" s="149" t="str">
        <f>CellReflist(NamedRanges[[#This Row],[RefersTo]])</f>
        <v>$A$1:$P$44</v>
      </c>
      <c r="G437" s="149" t="str">
        <f>regex(NamedRanges[[#This Row],[CellReflist]],"(\$)(.*[A-Z])","$2")</f>
        <v>A$1:$P</v>
      </c>
      <c r="H437" s="149" t="str">
        <f>regex(NamedRanges[[#This Row],[CellReflist]],"[0-9].*")</f>
        <v>1:$P$44</v>
      </c>
      <c r="I437" s="149" t="str">
        <f>regex(NamedRanges[[#This Row],[CellReflist]],"(.+?)?(:)(.+)?","$1")</f>
        <v>$A$1</v>
      </c>
      <c r="J437" s="149" t="str">
        <f>regex(NamedRanges[[#This Row],[CellReflist]],"(.+?)?(:)(.+)?","$3")</f>
        <v>$P$44</v>
      </c>
    </row>
    <row r="438" spans="1:10">
      <c r="A438" t="s">
        <v>5420</v>
      </c>
      <c r="B438" s="474" t="e">
        <f>Расчет!$A$1:$U$40</f>
        <v>#VALUE!</v>
      </c>
      <c r="D438" s="149" t="str">
        <f>getFormula(NamedRanges[[#This Row],[RefersTo]])</f>
        <v>=Расчет!$A$1:$U$40</v>
      </c>
      <c r="E438" s="149" t="str">
        <f>regex(NamedRanges[[#This Row],[Формула]],"([=])(.*?)([!])","$2")</f>
        <v>Расчет</v>
      </c>
      <c r="F438" s="149" t="str">
        <f>CellReflist(NamedRanges[[#This Row],[RefersTo]])</f>
        <v>$A$1:$U$40</v>
      </c>
      <c r="G438" s="149" t="str">
        <f>regex(NamedRanges[[#This Row],[CellReflist]],"(\$)(.*[A-Z])","$2")</f>
        <v>A$1:$U</v>
      </c>
      <c r="H438" s="149" t="str">
        <f>regex(NamedRanges[[#This Row],[CellReflist]],"[0-9].*")</f>
        <v>1:$U$40</v>
      </c>
      <c r="I438" s="149" t="str">
        <f>regex(NamedRanges[[#This Row],[CellReflist]],"(.+?)?(:)(.+)?","$1")</f>
        <v>$A$1</v>
      </c>
      <c r="J438" s="149" t="str">
        <f>regex(NamedRanges[[#This Row],[CellReflist]],"(.+?)?(:)(.+)?","$3")</f>
        <v>$U$40</v>
      </c>
    </row>
    <row r="439" spans="1:10">
      <c r="A439" t="s">
        <v>5422</v>
      </c>
      <c r="B439" s="474" t="e">
        <f>РД!$A$1:$N$61</f>
        <v>#VALUE!</v>
      </c>
      <c r="D439" s="149" t="str">
        <f>getFormula(NamedRanges[[#This Row],[RefersTo]])</f>
        <v>=РД!$A$1:$N$61</v>
      </c>
      <c r="E439" s="149" t="str">
        <f>regex(NamedRanges[[#This Row],[Формула]],"([=])(.*?)([!])","$2")</f>
        <v>РД</v>
      </c>
      <c r="F439" s="149" t="str">
        <f>CellReflist(NamedRanges[[#This Row],[RefersTo]])</f>
        <v>$A$1:$N$61</v>
      </c>
      <c r="G439" s="149" t="str">
        <f>regex(NamedRanges[[#This Row],[CellReflist]],"(\$)(.*[A-Z])","$2")</f>
        <v>A$1:$N</v>
      </c>
      <c r="H439" s="149" t="str">
        <f>regex(NamedRanges[[#This Row],[CellReflist]],"[0-9].*")</f>
        <v>1:$N$61</v>
      </c>
      <c r="I439" s="149" t="str">
        <f>regex(NamedRanges[[#This Row],[CellReflist]],"(.+?)?(:)(.+)?","$1")</f>
        <v>$A$1</v>
      </c>
      <c r="J439" s="149" t="str">
        <f>regex(NamedRanges[[#This Row],[CellReflist]],"(.+?)?(:)(.+)?","$3")</f>
        <v>$N$61</v>
      </c>
    </row>
    <row r="440" spans="1:10">
      <c r="A440" t="s">
        <v>5423</v>
      </c>
      <c r="B440" s="474" t="e">
        <f>INT(ОбщСтаж/365) &amp; " р " &amp; INT((ОбщСтаж-INT(ОбщСтаж/365)*365)/30) &amp; " м "&amp; ОбщСтаж-INT(ОбщСтаж/365)*365-INT((ОбщСтаж-INT(ОбщСтаж/365)*365)/30)*30 &amp; " дн "</f>
        <v>#NAME?</v>
      </c>
      <c r="D440" s="149" t="str">
        <f>getFormula(NamedRanges[[#This Row],[RefersTo]])</f>
        <v>=INT(ОбщСтаж/365) &amp; " р " &amp; INT((ОбщСтаж-INT(ОбщСтаж/365)*365)/30) &amp; " м "&amp; ОбщСтаж-INT(ОбщСтаж/365)*365-INT((ОбщСтаж-INT(ОбщСтаж/365)*365)/30)*30 &amp; " дн "</v>
      </c>
      <c r="E440" s="149" t="b">
        <f>regex(NamedRanges[[#This Row],[Формула]],"([=])(.*?)([!])","$2")</f>
        <v>0</v>
      </c>
      <c r="F440" s="149">
        <f>CellReflist(NamedRanges[[#This Row],[RefersTo]])</f>
        <v>0</v>
      </c>
      <c r="G440" s="149" t="b">
        <f>regex(NamedRanges[[#This Row],[CellReflist]],"(\$)(.*[A-Z])","$2")</f>
        <v>0</v>
      </c>
      <c r="H440" s="149" t="str">
        <f>regex(NamedRanges[[#This Row],[CellReflist]],"[0-9].*")</f>
        <v>0</v>
      </c>
      <c r="I440" s="149" t="b">
        <f>regex(NamedRanges[[#This Row],[CellReflist]],"(.+?)?(:)(.+)?","$1")</f>
        <v>0</v>
      </c>
      <c r="J440" s="149" t="b">
        <f>regex(NamedRanges[[#This Row],[CellReflist]],"(.+?)?(:)(.+)?","$3")</f>
        <v>0</v>
      </c>
    </row>
    <row r="441" spans="1:10">
      <c r="A441" t="s">
        <v>5312</v>
      </c>
      <c r="B441" s="474" t="e">
        <f>КоэфРГК!$H$231:$H$233</f>
        <v>#VALUE!</v>
      </c>
      <c r="D441" s="149" t="str">
        <f>getFormula(NamedRanges[[#This Row],[RefersTo]])</f>
        <v>=КоэфРГК!$H$231:$H$233</v>
      </c>
      <c r="E441" s="149" t="str">
        <f>regex(NamedRanges[[#This Row],[Формула]],"([=])(.*?)([!])","$2")</f>
        <v>КоэфРГК</v>
      </c>
      <c r="F441" s="149" t="str">
        <f>CellReflist(NamedRanges[[#This Row],[RefersTo]])</f>
        <v>$H$231:$H$233</v>
      </c>
      <c r="G441" s="149" t="str">
        <f>regex(NamedRanges[[#This Row],[CellReflist]],"(\$)(.*[A-Z])","$2")</f>
        <v>H$231:$H</v>
      </c>
      <c r="H441" s="149" t="str">
        <f>regex(NamedRanges[[#This Row],[CellReflist]],"[0-9].*")</f>
        <v>231:$H$233</v>
      </c>
      <c r="I441" s="149" t="str">
        <f>regex(NamedRanges[[#This Row],[CellReflist]],"(.+?)?(:)(.+)?","$1")</f>
        <v>$H$231</v>
      </c>
      <c r="J441" s="149" t="str">
        <f>regex(NamedRanges[[#This Row],[CellReflist]],"(.+?)?(:)(.+)?","$3")</f>
        <v>$H$233</v>
      </c>
    </row>
    <row r="442" spans="1:10">
      <c r="A442" t="s">
        <v>4961</v>
      </c>
      <c r="B442" s="474" t="e">
        <f>Коєфициент!$A$2:$A$6</f>
        <v>#VALUE!</v>
      </c>
      <c r="D442" s="149" t="str">
        <f>getFormula(NamedRanges[[#This Row],[RefersTo]])</f>
        <v>=Коєфициент!$A$2:$A$6</v>
      </c>
      <c r="E442" s="149" t="str">
        <f>regex(NamedRanges[[#This Row],[Формула]],"([=])(.*?)([!])","$2")</f>
        <v>Коєфициент</v>
      </c>
      <c r="F442" s="149" t="str">
        <f>CellReflist(NamedRanges[[#This Row],[RefersTo]])</f>
        <v>$A$2:$A$6</v>
      </c>
      <c r="G442" s="149" t="str">
        <f>regex(NamedRanges[[#This Row],[CellReflist]],"(\$)(.*[A-Z])","$2")</f>
        <v>A$2:$A</v>
      </c>
      <c r="H442" s="149" t="str">
        <f>regex(NamedRanges[[#This Row],[CellReflist]],"[0-9].*")</f>
        <v>2:$A$6</v>
      </c>
      <c r="I442" s="149" t="str">
        <f>regex(NamedRanges[[#This Row],[CellReflist]],"(.+?)?(:)(.+)?","$1")</f>
        <v>$A$2</v>
      </c>
      <c r="J442" s="149" t="str">
        <f>regex(NamedRanges[[#This Row],[CellReflist]],"(.+?)?(:)(.+)?","$3")</f>
        <v>$A$6</v>
      </c>
    </row>
    <row r="443" spans="1:10">
      <c r="A443" t="s">
        <v>5424</v>
      </c>
      <c r="B443" s="474">
        <f>{1,1,1,1,1,1,1,1,1,1,1,1,1,1,1,1}</f>
        <v>1</v>
      </c>
      <c r="D443" s="149" t="str">
        <f>getFormula(NamedRanges[[#This Row],[RefersTo]])</f>
        <v>={1,1,1,1,1,1,1,1,1,1,1,1,1,1,1,1}</v>
      </c>
      <c r="E443" s="149" t="b">
        <f>regex(NamedRanges[[#This Row],[Формула]],"([=])(.*?)([!])","$2")</f>
        <v>0</v>
      </c>
      <c r="F443" s="149">
        <f>CellReflist(NamedRanges[[#This Row],[RefersTo]])</f>
        <v>0</v>
      </c>
      <c r="G443" s="149" t="b">
        <f>regex(NamedRanges[[#This Row],[CellReflist]],"(\$)(.*[A-Z])","$2")</f>
        <v>0</v>
      </c>
      <c r="H443" s="149" t="str">
        <f>regex(NamedRanges[[#This Row],[CellReflist]],"[0-9].*")</f>
        <v>0</v>
      </c>
      <c r="I443" s="149" t="b">
        <f>regex(NamedRanges[[#This Row],[CellReflist]],"(.+?)?(:)(.+)?","$1")</f>
        <v>0</v>
      </c>
      <c r="J443" s="149" t="b">
        <f>regex(NamedRanges[[#This Row],[CellReflist]],"(.+?)?(:)(.+)?","$3")</f>
        <v>0</v>
      </c>
    </row>
    <row r="444" spans="1:10">
      <c r="A444" t="s">
        <v>4966</v>
      </c>
      <c r="B444" s="474" t="e">
        <f>Лісництва!$B$2:$D$7</f>
        <v>#VALUE!</v>
      </c>
      <c r="D444" s="149" t="str">
        <f>getFormula(NamedRanges[[#This Row],[RefersTo]])</f>
        <v>=Лісництва!$B$2:$D$7</v>
      </c>
      <c r="E444" s="149" t="str">
        <f>regex(NamedRanges[[#This Row],[Формула]],"([=])(.*?)([!])","$2")</f>
        <v>Лісництва</v>
      </c>
      <c r="F444" s="149" t="str">
        <f>CellReflist(NamedRanges[[#This Row],[RefersTo]])</f>
        <v>$B$2:$D$7</v>
      </c>
      <c r="G444" s="149" t="str">
        <f>regex(NamedRanges[[#This Row],[CellReflist]],"(\$)(.*[A-Z])","$2")</f>
        <v>B$2:$D</v>
      </c>
      <c r="H444" s="149" t="str">
        <f>regex(NamedRanges[[#This Row],[CellReflist]],"[0-9].*")</f>
        <v>2:$D$7</v>
      </c>
      <c r="I444" s="149" t="str">
        <f>regex(NamedRanges[[#This Row],[CellReflist]],"(.+?)?(:)(.+)?","$1")</f>
        <v>$B$2</v>
      </c>
      <c r="J444" s="149" t="str">
        <f>regex(NamedRanges[[#This Row],[CellReflist]],"(.+?)?(:)(.+)?","$3")</f>
        <v>$D$7</v>
      </c>
    </row>
    <row r="445" spans="1:10">
      <c r="A445" t="s">
        <v>4972</v>
      </c>
      <c r="B445" s="474" t="e">
        <f>Коєфициент!$C$2:$C$16</f>
        <v>#VALUE!</v>
      </c>
      <c r="D445" s="149" t="str">
        <f>getFormula(NamedRanges[[#This Row],[RefersTo]])</f>
        <v>=Коєфициент!$C$2:$C$16</v>
      </c>
      <c r="E445" s="149" t="str">
        <f>regex(NamedRanges[[#This Row],[Формула]],"([=])(.*?)([!])","$2")</f>
        <v>Коєфициент</v>
      </c>
      <c r="F445" s="149" t="str">
        <f>CellReflist(NamedRanges[[#This Row],[RefersTo]])</f>
        <v>$C$2:$C$16</v>
      </c>
      <c r="G445" s="149" t="str">
        <f>regex(NamedRanges[[#This Row],[CellReflist]],"(\$)(.*[A-Z])","$2")</f>
        <v>C$2:$C</v>
      </c>
      <c r="H445" s="149" t="str">
        <f>regex(NamedRanges[[#This Row],[CellReflist]],"[0-9].*")</f>
        <v>2:$C$16</v>
      </c>
      <c r="I445" s="149" t="str">
        <f>regex(NamedRanges[[#This Row],[CellReflist]],"(.+?)?(:)(.+)?","$1")</f>
        <v>$C$2</v>
      </c>
      <c r="J445" s="149" t="str">
        <f>regex(NamedRanges[[#This Row],[CellReflist]],"(.+?)?(:)(.+)?","$3")</f>
        <v>$C$16</v>
      </c>
    </row>
    <row r="446" spans="1:10">
      <c r="A446" t="s">
        <v>4974</v>
      </c>
      <c r="B446" s="474" t="e">
        <f>Коєфициент!$F$2:$G$6</f>
        <v>#VALUE!</v>
      </c>
      <c r="D446" s="149" t="str">
        <f>getFormula(NamedRanges[[#This Row],[RefersTo]])</f>
        <v>=Коєфициент!$F$2:$G$6</v>
      </c>
      <c r="E446" s="149" t="str">
        <f>regex(NamedRanges[[#This Row],[Формула]],"([=])(.*?)([!])","$2")</f>
        <v>Коєфициент</v>
      </c>
      <c r="F446" s="149" t="str">
        <f>CellReflist(NamedRanges[[#This Row],[RefersTo]])</f>
        <v>$F$2:$G$6</v>
      </c>
      <c r="G446" s="149" t="str">
        <f>regex(NamedRanges[[#This Row],[CellReflist]],"(\$)(.*[A-Z])","$2")</f>
        <v>F$2:$G</v>
      </c>
      <c r="H446" s="149" t="str">
        <f>regex(NamedRanges[[#This Row],[CellReflist]],"[0-9].*")</f>
        <v>2:$G$6</v>
      </c>
      <c r="I446" s="149" t="str">
        <f>regex(NamedRanges[[#This Row],[CellReflist]],"(.+?)?(:)(.+)?","$1")</f>
        <v>$F$2</v>
      </c>
      <c r="J446" s="149" t="str">
        <f>regex(NamedRanges[[#This Row],[CellReflist]],"(.+?)?(:)(.+)?","$3")</f>
        <v>$G$6</v>
      </c>
    </row>
    <row r="447" spans="1:10">
      <c r="A447" t="s">
        <v>4976</v>
      </c>
      <c r="B447" s="474" t="e">
        <f>Коєфициент!$B$2:$B$16</f>
        <v>#VALUE!</v>
      </c>
      <c r="D447" s="149" t="str">
        <f>getFormula(NamedRanges[[#This Row],[RefersTo]])</f>
        <v>=Коєфициент!$B$2:$B$16</v>
      </c>
      <c r="E447" s="149" t="str">
        <f>regex(NamedRanges[[#This Row],[Формула]],"([=])(.*?)([!])","$2")</f>
        <v>Коєфициент</v>
      </c>
      <c r="F447" s="149" t="str">
        <f>CellReflist(NamedRanges[[#This Row],[RefersTo]])</f>
        <v>$B$2:$B$16</v>
      </c>
      <c r="G447" s="149" t="str">
        <f>regex(NamedRanges[[#This Row],[CellReflist]],"(\$)(.*[A-Z])","$2")</f>
        <v>B$2:$B</v>
      </c>
      <c r="H447" s="149" t="str">
        <f>regex(NamedRanges[[#This Row],[CellReflist]],"[0-9].*")</f>
        <v>2:$B$16</v>
      </c>
      <c r="I447" s="149" t="str">
        <f>regex(NamedRanges[[#This Row],[CellReflist]],"(.+?)?(:)(.+)?","$1")</f>
        <v>$B$2</v>
      </c>
      <c r="J447" s="149" t="str">
        <f>regex(NamedRanges[[#This Row],[CellReflist]],"(.+?)?(:)(.+)?","$3")</f>
        <v>$B$16</v>
      </c>
    </row>
    <row r="448" spans="1:10">
      <c r="A448" t="s">
        <v>4978</v>
      </c>
      <c r="B448" s="474" t="e">
        <f>Коєфициент!$A$2:$A$16</f>
        <v>#VALUE!</v>
      </c>
      <c r="D448" s="149" t="str">
        <f>getFormula(NamedRanges[[#This Row],[RefersTo]])</f>
        <v>=Коєфициент!$A$2:$A$16</v>
      </c>
      <c r="E448" s="149" t="str">
        <f>regex(NamedRanges[[#This Row],[Формула]],"([=])(.*?)([!])","$2")</f>
        <v>Коєфициент</v>
      </c>
      <c r="F448" s="149" t="str">
        <f>CellReflist(NamedRanges[[#This Row],[RefersTo]])</f>
        <v>$A$2:$A$16</v>
      </c>
      <c r="G448" s="149" t="str">
        <f>regex(NamedRanges[[#This Row],[CellReflist]],"(\$)(.*[A-Z])","$2")</f>
        <v>A$2:$A</v>
      </c>
      <c r="H448" s="149" t="str">
        <f>regex(NamedRanges[[#This Row],[CellReflist]],"[0-9].*")</f>
        <v>2:$A$16</v>
      </c>
      <c r="I448" s="149" t="str">
        <f>regex(NamedRanges[[#This Row],[CellReflist]],"(.+?)?(:)(.+)?","$1")</f>
        <v>$A$2</v>
      </c>
      <c r="J448" s="149" t="str">
        <f>regex(NamedRanges[[#This Row],[CellReflist]],"(.+?)?(:)(.+)?","$3")</f>
        <v>$A$16</v>
      </c>
    </row>
    <row r="449" spans="1:10">
      <c r="A449" t="s">
        <v>5365</v>
      </c>
      <c r="B449" s="474" t="e">
        <f>РГК_кошторис!$A$48:$H$61</f>
        <v>#VALUE!</v>
      </c>
      <c r="D449" s="149" t="str">
        <f>getFormula(NamedRanges[[#This Row],[RefersTo]])</f>
        <v>=РГК_кошторис!$A$48:$H$61</v>
      </c>
      <c r="E449" s="149" t="str">
        <f>regex(NamedRanges[[#This Row],[Формула]],"([=])(.*?)([!])","$2")</f>
        <v>РГК_кошторис</v>
      </c>
      <c r="F449" s="149" t="str">
        <f>CellReflist(NamedRanges[[#This Row],[RefersTo]])</f>
        <v>$A$48:$H$61</v>
      </c>
      <c r="G449" s="149" t="str">
        <f>regex(NamedRanges[[#This Row],[CellReflist]],"(\$)(.*[A-Z])","$2")</f>
        <v>A$48:$H</v>
      </c>
      <c r="H449" s="149" t="str">
        <f>regex(NamedRanges[[#This Row],[CellReflist]],"[0-9].*")</f>
        <v>48:$H$61</v>
      </c>
      <c r="I449" s="149" t="str">
        <f>regex(NamedRanges[[#This Row],[CellReflist]],"(.+?)?(:)(.+)?","$1")</f>
        <v>$A$48</v>
      </c>
      <c r="J449" s="149" t="str">
        <f>regex(NamedRanges[[#This Row],[CellReflist]],"(.+?)?(:)(.+)?","$3")</f>
        <v>$H$61</v>
      </c>
    </row>
    <row r="450" spans="1:10">
      <c r="A450" t="s">
        <v>4984</v>
      </c>
      <c r="B450" s="474">
        <f>0.36</f>
        <v>0.36</v>
      </c>
      <c r="D450" s="149" t="str">
        <f>getFormula(NamedRanges[[#This Row],[RefersTo]])</f>
        <v>=0.36</v>
      </c>
      <c r="E450" s="149" t="b">
        <f>regex(NamedRanges[[#This Row],[Формула]],"([=])(.*?)([!])","$2")</f>
        <v>0</v>
      </c>
      <c r="F450" s="149">
        <f>CellReflist(NamedRanges[[#This Row],[RefersTo]])</f>
        <v>0</v>
      </c>
      <c r="G450" s="149" t="b">
        <f>regex(NamedRanges[[#This Row],[CellReflist]],"(\$)(.*[A-Z])","$2")</f>
        <v>0</v>
      </c>
      <c r="H450" s="149" t="str">
        <f>regex(NamedRanges[[#This Row],[CellReflist]],"[0-9].*")</f>
        <v>0</v>
      </c>
      <c r="I450" s="149" t="b">
        <f>regex(NamedRanges[[#This Row],[CellReflist]],"(.+?)?(:)(.+)?","$1")</f>
        <v>0</v>
      </c>
      <c r="J450" s="149" t="b">
        <f>regex(NamedRanges[[#This Row],[CellReflist]],"(.+?)?(:)(.+)?","$3")</f>
        <v>0</v>
      </c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8"/>
  <dimension ref="A1:Y16"/>
  <sheetViews>
    <sheetView topLeftCell="F1" workbookViewId="0">
      <selection activeCell="M15" sqref="M15"/>
    </sheetView>
  </sheetViews>
  <sheetFormatPr defaultRowHeight="15"/>
  <sheetData>
    <row r="1" spans="1:25">
      <c r="A1" t="s">
        <v>5441</v>
      </c>
    </row>
    <row r="2" spans="1:25" ht="51">
      <c r="A2" s="1034" t="s">
        <v>5018</v>
      </c>
      <c r="B2" s="1034"/>
      <c r="C2" s="1122" t="s">
        <v>5062</v>
      </c>
      <c r="D2" s="1122"/>
      <c r="E2" s="1122"/>
      <c r="F2" s="1122"/>
      <c r="G2" s="1122"/>
      <c r="H2" s="1030" t="s">
        <v>5019</v>
      </c>
      <c r="I2" s="1030" t="s">
        <v>5020</v>
      </c>
      <c r="J2" s="1030" t="s">
        <v>5440</v>
      </c>
      <c r="K2" s="1030" t="s">
        <v>5022</v>
      </c>
      <c r="O2" s="1034" t="s">
        <v>5018</v>
      </c>
      <c r="P2" s="1034"/>
      <c r="Q2" s="1122" t="s">
        <v>5062</v>
      </c>
      <c r="R2" s="1122"/>
      <c r="S2" s="1122"/>
      <c r="T2" s="1122"/>
      <c r="U2" s="1122"/>
      <c r="V2" s="1030" t="s">
        <v>5019</v>
      </c>
      <c r="W2" s="1030" t="s">
        <v>5020</v>
      </c>
      <c r="X2" s="1030" t="s">
        <v>5440</v>
      </c>
      <c r="Y2" s="1030" t="s">
        <v>5022</v>
      </c>
    </row>
    <row r="3" spans="1:25">
      <c r="A3" s="1203" t="s">
        <v>5025</v>
      </c>
      <c r="B3" s="1204"/>
      <c r="C3" s="1123" t="s">
        <v>5037</v>
      </c>
      <c r="D3" s="1123"/>
      <c r="E3" s="1123"/>
      <c r="F3" s="1123"/>
      <c r="G3" s="1123"/>
      <c r="H3" s="1124"/>
      <c r="I3" s="1124"/>
      <c r="J3" s="1124"/>
      <c r="K3" s="1031"/>
      <c r="O3">
        <v>1</v>
      </c>
      <c r="Q3" t="s">
        <v>5037</v>
      </c>
    </row>
    <row r="4" spans="1:25">
      <c r="A4" s="1000" t="s">
        <v>5350</v>
      </c>
      <c r="B4" s="1032"/>
      <c r="C4" s="1124" t="s">
        <v>5039</v>
      </c>
      <c r="D4" s="1124"/>
      <c r="E4" s="1124"/>
      <c r="F4" s="1124"/>
      <c r="G4" s="1124"/>
      <c r="H4" s="1032" t="s">
        <v>39</v>
      </c>
      <c r="I4" s="1031">
        <v>20</v>
      </c>
      <c r="J4" s="1002">
        <f>K4/I4</f>
        <v>150</v>
      </c>
      <c r="K4" s="1019">
        <f>3000</f>
        <v>3000</v>
      </c>
      <c r="O4">
        <v>1.1000000000000001</v>
      </c>
      <c r="Q4" t="s">
        <v>5039</v>
      </c>
      <c r="V4" t="s">
        <v>39</v>
      </c>
      <c r="W4">
        <v>20</v>
      </c>
      <c r="X4">
        <v>150</v>
      </c>
      <c r="Y4">
        <v>3000</v>
      </c>
    </row>
    <row r="5" spans="1:25">
      <c r="A5" s="1000" t="s">
        <v>5351</v>
      </c>
      <c r="B5" s="1032"/>
      <c r="C5" s="1124" t="s">
        <v>5041</v>
      </c>
      <c r="D5" s="1124"/>
      <c r="E5" s="1124"/>
      <c r="F5" s="1124"/>
      <c r="G5" s="1124"/>
      <c r="H5" s="1032" t="s">
        <v>39</v>
      </c>
      <c r="I5" s="1031">
        <f>РД!F23+РД!F24+РД!F25</f>
        <v>46</v>
      </c>
      <c r="J5" s="1002">
        <f t="shared" ref="J5:J9" ca="1" si="0">K5/I5</f>
        <v>21.354369565217393</v>
      </c>
      <c r="K5" s="1019">
        <f ca="1">BankersRound((РД!O23+РД!O24+РД!O25)*dККЗ,3)</f>
        <v>982.30100000000004</v>
      </c>
      <c r="O5">
        <v>1.2</v>
      </c>
      <c r="Q5" t="s">
        <v>5041</v>
      </c>
      <c r="V5" t="s">
        <v>39</v>
      </c>
      <c r="W5">
        <v>46</v>
      </c>
      <c r="X5">
        <v>21.3543695652174</v>
      </c>
      <c r="Y5">
        <v>982.30100000000004</v>
      </c>
    </row>
    <row r="6" spans="1:25">
      <c r="A6" s="1000" t="s">
        <v>5352</v>
      </c>
      <c r="B6" s="1032"/>
      <c r="C6" s="1124" t="s">
        <v>5353</v>
      </c>
      <c r="D6" s="1124"/>
      <c r="E6" s="1124"/>
      <c r="F6" s="1124"/>
      <c r="G6" s="1124"/>
      <c r="H6" s="1032" t="s">
        <v>39</v>
      </c>
      <c r="I6" s="1031">
        <f>РД!F44+РД!F45+РД!F46</f>
        <v>36</v>
      </c>
      <c r="J6" s="1002">
        <f t="shared" ca="1" si="0"/>
        <v>16.073138888888892</v>
      </c>
      <c r="K6" s="1019">
        <f ca="1">BankersRound((РД!O44+РД!O45+РД!O46)*dККЗ,3)</f>
        <v>578.63300000000004</v>
      </c>
      <c r="O6">
        <v>1.3</v>
      </c>
      <c r="Q6" t="s">
        <v>5353</v>
      </c>
      <c r="V6" t="s">
        <v>39</v>
      </c>
      <c r="W6">
        <v>36</v>
      </c>
      <c r="X6">
        <v>16.073138888888899</v>
      </c>
      <c r="Y6">
        <v>578.63300000000004</v>
      </c>
    </row>
    <row r="7" spans="1:25">
      <c r="A7" s="1000" t="s">
        <v>5354</v>
      </c>
      <c r="B7" s="1032"/>
      <c r="C7" s="1124" t="s">
        <v>5045</v>
      </c>
      <c r="D7" s="1124"/>
      <c r="E7" s="1124"/>
      <c r="F7" s="1124"/>
      <c r="G7" s="1124"/>
      <c r="H7" s="1032" t="s">
        <v>39</v>
      </c>
      <c r="I7" s="1031">
        <f>РД!F27+РД!F28+РД!F29+РД!F30+РД!F31+РД!F32+РД!F33+РД!F34+РД!F35+РД!F36+РД!F37+РД!F38</f>
        <v>82</v>
      </c>
      <c r="J7" s="1002">
        <f t="shared" ca="1" si="0"/>
        <v>23.773195121951218</v>
      </c>
      <c r="K7" s="1019">
        <f ca="1">BankersRound((РД!O27+РД!O28+РД!O29+РД!O30+РД!O31+РД!O32+РД!O33+РД!O34+РД!O35+РД!O36+РД!O37+РД!O38)*dККЗ,3)</f>
        <v>1949.402</v>
      </c>
      <c r="O7">
        <v>1.4</v>
      </c>
      <c r="Q7" t="s">
        <v>5045</v>
      </c>
      <c r="V7" t="s">
        <v>39</v>
      </c>
      <c r="W7">
        <v>82</v>
      </c>
      <c r="X7">
        <v>23.773195121951201</v>
      </c>
      <c r="Y7">
        <v>1949.402</v>
      </c>
    </row>
    <row r="8" spans="1:25">
      <c r="A8" s="1000" t="s">
        <v>5355</v>
      </c>
      <c r="B8" s="1032"/>
      <c r="C8" s="1124" t="s">
        <v>5047</v>
      </c>
      <c r="D8" s="1124"/>
      <c r="E8" s="1124"/>
      <c r="F8" s="1124"/>
      <c r="G8" s="1124"/>
      <c r="H8" s="1032" t="s">
        <v>39</v>
      </c>
      <c r="I8" s="1031">
        <f>РД!F40+РД!F41+РД!F42</f>
        <v>10</v>
      </c>
      <c r="J8" s="1002">
        <f t="shared" ca="1" si="0"/>
        <v>40.513400000000004</v>
      </c>
      <c r="K8" s="1019">
        <f ca="1">BankersRound((РД!O40+РД!O41+РД!O42)*dККЗ,3)</f>
        <v>405.13400000000001</v>
      </c>
      <c r="O8">
        <v>1.5</v>
      </c>
      <c r="Q8" t="s">
        <v>5047</v>
      </c>
      <c r="V8" t="s">
        <v>39</v>
      </c>
      <c r="W8">
        <v>10</v>
      </c>
      <c r="X8">
        <v>40.513399999999997</v>
      </c>
      <c r="Y8">
        <v>405.13400000000001</v>
      </c>
    </row>
    <row r="9" spans="1:25">
      <c r="A9" s="1000" t="s">
        <v>5356</v>
      </c>
      <c r="B9" s="1032"/>
      <c r="C9" s="1124" t="s">
        <v>5049</v>
      </c>
      <c r="D9" s="1124"/>
      <c r="E9" s="1124"/>
      <c r="F9" s="1124"/>
      <c r="G9" s="1124"/>
      <c r="H9" s="1032" t="s">
        <v>39</v>
      </c>
      <c r="I9" s="1031">
        <f>РД!F48+РД!F49+РД!F50</f>
        <v>46</v>
      </c>
      <c r="J9" s="1002">
        <f t="shared" ca="1" si="0"/>
        <v>14.822999999999999</v>
      </c>
      <c r="K9" s="1019">
        <f ca="1">BankersRound((РД!O48+РД!O49+РД!O50)*dККЗ,3)</f>
        <v>681.85799999999995</v>
      </c>
      <c r="O9">
        <v>1.6</v>
      </c>
      <c r="Q9" t="s">
        <v>5049</v>
      </c>
      <c r="V9" t="s">
        <v>39</v>
      </c>
      <c r="W9">
        <v>46</v>
      </c>
      <c r="X9">
        <v>14.823</v>
      </c>
      <c r="Y9">
        <v>681.85799999999995</v>
      </c>
    </row>
    <row r="10" spans="1:25">
      <c r="A10" s="1119" t="s">
        <v>5357</v>
      </c>
      <c r="B10" s="1119"/>
      <c r="C10" s="1120"/>
      <c r="D10" s="1120"/>
      <c r="E10" s="1120"/>
      <c r="F10" s="1120"/>
      <c r="G10" s="1120"/>
      <c r="H10" s="1120"/>
      <c r="I10" s="1120"/>
      <c r="J10" s="1029">
        <v>229.8664</v>
      </c>
      <c r="K10" s="1029">
        <f ca="1">K4+K5+K6+K7+K8+K9</f>
        <v>7597.3280000000004</v>
      </c>
      <c r="O10" t="s">
        <v>5357</v>
      </c>
      <c r="X10">
        <v>229.8664</v>
      </c>
      <c r="Y10">
        <v>7597.3280000000004</v>
      </c>
    </row>
    <row r="11" spans="1:25">
      <c r="A11" s="1119" t="s">
        <v>5051</v>
      </c>
      <c r="B11" s="1119"/>
      <c r="C11" s="1120"/>
      <c r="D11" s="1120"/>
      <c r="E11" s="1120"/>
      <c r="F11" s="1120"/>
      <c r="G11" s="1120"/>
      <c r="H11" s="1120"/>
      <c r="I11" s="1120"/>
      <c r="J11" s="1029"/>
      <c r="K11" s="1029">
        <v>0</v>
      </c>
      <c r="O11" t="s">
        <v>5051</v>
      </c>
      <c r="Y11">
        <v>0</v>
      </c>
    </row>
    <row r="12" spans="1:25">
      <c r="A12" s="1119" t="s">
        <v>5358</v>
      </c>
      <c r="B12" s="1119"/>
      <c r="C12" s="1120"/>
      <c r="D12" s="1120"/>
      <c r="E12" s="1120"/>
      <c r="F12" s="1120"/>
      <c r="G12" s="1120"/>
      <c r="H12" s="1120"/>
      <c r="I12" s="1120"/>
      <c r="J12" s="1029"/>
      <c r="K12" s="1029">
        <f ca="1">K10+K11</f>
        <v>7597.3280000000004</v>
      </c>
      <c r="O12" t="s">
        <v>5358</v>
      </c>
      <c r="Y12">
        <v>7597.3280000000004</v>
      </c>
    </row>
    <row r="13" spans="1:25">
      <c r="A13" s="1004" t="s">
        <v>5036</v>
      </c>
      <c r="B13" s="1033"/>
      <c r="C13" s="1202" t="s">
        <v>5067</v>
      </c>
      <c r="D13" s="1202"/>
      <c r="E13" s="1202"/>
      <c r="F13" s="1202"/>
      <c r="G13" s="1202"/>
      <c r="H13" s="1006"/>
      <c r="I13" s="1033"/>
      <c r="J13" s="1007"/>
      <c r="K13" s="1008" t="s">
        <v>5055</v>
      </c>
      <c r="O13">
        <v>2</v>
      </c>
      <c r="Q13" t="s">
        <v>5067</v>
      </c>
      <c r="Y13" t="s">
        <v>5055</v>
      </c>
    </row>
    <row r="14" spans="1:25">
      <c r="A14" s="1200" t="s">
        <v>5056</v>
      </c>
      <c r="B14" s="1200"/>
      <c r="C14" s="1201"/>
      <c r="D14" s="1201"/>
      <c r="E14" s="1201"/>
      <c r="F14" s="1201"/>
      <c r="G14" s="1201"/>
      <c r="H14" s="1201"/>
      <c r="I14" s="1201"/>
      <c r="J14" s="1009"/>
      <c r="K14" s="1009" t="s">
        <v>5055</v>
      </c>
      <c r="O14" t="s">
        <v>5056</v>
      </c>
      <c r="Y14" t="s">
        <v>5055</v>
      </c>
    </row>
    <row r="15" spans="1:25">
      <c r="A15" s="1200" t="s">
        <v>5051</v>
      </c>
      <c r="B15" s="1200"/>
      <c r="C15" s="1201"/>
      <c r="D15" s="1201"/>
      <c r="E15" s="1201"/>
      <c r="F15" s="1201"/>
      <c r="G15" s="1201"/>
      <c r="H15" s="1201"/>
      <c r="I15" s="1201"/>
      <c r="J15" s="1009"/>
      <c r="K15" s="1009" t="s">
        <v>5055</v>
      </c>
      <c r="O15" t="s">
        <v>5051</v>
      </c>
      <c r="Y15" t="s">
        <v>5055</v>
      </c>
    </row>
    <row r="16" spans="1:25">
      <c r="A16" s="1200" t="s">
        <v>5057</v>
      </c>
      <c r="B16" s="1200"/>
      <c r="C16" s="1201"/>
      <c r="D16" s="1201"/>
      <c r="E16" s="1201"/>
      <c r="F16" s="1201"/>
      <c r="G16" s="1201"/>
      <c r="H16" s="1201"/>
      <c r="I16" s="1201"/>
      <c r="J16" s="1009"/>
      <c r="K16" s="1009" t="s">
        <v>5055</v>
      </c>
      <c r="O16" t="s">
        <v>5057</v>
      </c>
      <c r="Y16" t="s">
        <v>5055</v>
      </c>
    </row>
  </sheetData>
  <mergeCells count="17">
    <mergeCell ref="A14:I14"/>
    <mergeCell ref="A15:I15"/>
    <mergeCell ref="A16:I16"/>
    <mergeCell ref="A3:B3"/>
    <mergeCell ref="A12:I12"/>
    <mergeCell ref="C13:G13"/>
    <mergeCell ref="Q2:U2"/>
    <mergeCell ref="C8:G8"/>
    <mergeCell ref="C9:G9"/>
    <mergeCell ref="A10:I10"/>
    <mergeCell ref="A11:I11"/>
    <mergeCell ref="C2:G2"/>
    <mergeCell ref="C3:J3"/>
    <mergeCell ref="C4:G4"/>
    <mergeCell ref="C5:G5"/>
    <mergeCell ref="C6:G6"/>
    <mergeCell ref="C7:G7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5"/>
  <dimension ref="A1:C2"/>
  <sheetViews>
    <sheetView workbookViewId="0">
      <selection activeCell="C7" sqref="C7"/>
    </sheetView>
  </sheetViews>
  <sheetFormatPr defaultRowHeight="15"/>
  <cols>
    <col min="1" max="1" width="18.140625" customWidth="1"/>
    <col min="2" max="2" width="12.140625" customWidth="1"/>
    <col min="3" max="3" width="12.5703125" customWidth="1"/>
  </cols>
  <sheetData>
    <row r="1" spans="1:3">
      <c r="A1" t="s">
        <v>5329</v>
      </c>
      <c r="B1" t="s">
        <v>5330</v>
      </c>
      <c r="C1" t="s">
        <v>5331</v>
      </c>
    </row>
    <row r="2" spans="1:3">
      <c r="A2" t="s">
        <v>5332</v>
      </c>
      <c r="B2" t="s">
        <v>5328</v>
      </c>
    </row>
  </sheetData>
  <pageMargins left="0.7" right="0.7" top="0.75" bottom="0.75" header="0.3" footer="0.3"/>
  <tableParts count="1">
    <tablePart r:id="rId1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2"/>
  <dimension ref="A1:E17"/>
  <sheetViews>
    <sheetView workbookViewId="0">
      <selection activeCell="A17" sqref="A17"/>
    </sheetView>
  </sheetViews>
  <sheetFormatPr defaultRowHeight="15"/>
  <cols>
    <col min="1" max="2" width="16.140625" customWidth="1"/>
  </cols>
  <sheetData>
    <row r="1" spans="1:5">
      <c r="A1" t="s">
        <v>3185</v>
      </c>
      <c r="B1" t="s">
        <v>3186</v>
      </c>
      <c r="C1" s="282" t="s">
        <v>104</v>
      </c>
      <c r="D1" s="282" t="s">
        <v>105</v>
      </c>
      <c r="E1" s="282" t="s">
        <v>106</v>
      </c>
    </row>
    <row r="2" spans="1:5">
      <c r="A2" s="285" t="s">
        <v>2149</v>
      </c>
      <c r="B2" s="288" t="s">
        <v>3196</v>
      </c>
      <c r="C2" t="s">
        <v>41</v>
      </c>
      <c r="D2" t="s">
        <v>41</v>
      </c>
      <c r="E2" t="s">
        <v>3201</v>
      </c>
    </row>
    <row r="3" spans="1:5">
      <c r="A3" s="286" t="s">
        <v>2150</v>
      </c>
      <c r="B3" s="287" t="s">
        <v>3197</v>
      </c>
      <c r="C3" t="s">
        <v>3199</v>
      </c>
      <c r="D3" t="s">
        <v>3199</v>
      </c>
      <c r="E3" t="s">
        <v>3199</v>
      </c>
    </row>
    <row r="4" spans="1:5">
      <c r="A4" s="285" t="s">
        <v>2151</v>
      </c>
      <c r="B4" s="288" t="s">
        <v>3198</v>
      </c>
      <c r="C4" t="s">
        <v>3200</v>
      </c>
      <c r="D4" t="s">
        <v>3200</v>
      </c>
      <c r="E4" t="s">
        <v>3200</v>
      </c>
    </row>
    <row r="5" spans="1:5">
      <c r="A5" s="286" t="s">
        <v>2152</v>
      </c>
      <c r="B5" s="287" t="s">
        <v>3193</v>
      </c>
      <c r="C5" t="s">
        <v>41</v>
      </c>
      <c r="D5" t="s">
        <v>41</v>
      </c>
      <c r="E5" t="s">
        <v>3201</v>
      </c>
    </row>
    <row r="6" spans="1:5">
      <c r="A6" s="285" t="s">
        <v>2153</v>
      </c>
      <c r="B6" s="288" t="s">
        <v>3194</v>
      </c>
      <c r="C6" t="s">
        <v>3199</v>
      </c>
      <c r="D6" t="s">
        <v>3199</v>
      </c>
      <c r="E6" t="s">
        <v>3199</v>
      </c>
    </row>
    <row r="7" spans="1:5">
      <c r="A7" s="286" t="s">
        <v>2154</v>
      </c>
      <c r="B7" s="287" t="s">
        <v>3195</v>
      </c>
      <c r="C7" t="s">
        <v>3200</v>
      </c>
      <c r="D7" t="s">
        <v>3200</v>
      </c>
      <c r="E7" t="s">
        <v>3200</v>
      </c>
    </row>
    <row r="8" spans="1:5">
      <c r="A8" s="285" t="s">
        <v>2155</v>
      </c>
      <c r="B8" s="288" t="s">
        <v>3190</v>
      </c>
      <c r="C8" t="s">
        <v>41</v>
      </c>
      <c r="D8" t="s">
        <v>41</v>
      </c>
      <c r="E8" t="s">
        <v>3201</v>
      </c>
    </row>
    <row r="9" spans="1:5">
      <c r="A9" s="286" t="s">
        <v>2156</v>
      </c>
      <c r="B9" s="287" t="s">
        <v>3191</v>
      </c>
      <c r="C9" t="s">
        <v>3199</v>
      </c>
      <c r="D9" t="s">
        <v>3199</v>
      </c>
      <c r="E9" t="s">
        <v>3199</v>
      </c>
    </row>
    <row r="10" spans="1:5">
      <c r="A10" s="285" t="s">
        <v>2157</v>
      </c>
      <c r="B10" s="288" t="s">
        <v>3192</v>
      </c>
      <c r="C10" t="s">
        <v>3200</v>
      </c>
      <c r="D10" t="s">
        <v>3200</v>
      </c>
      <c r="E10" t="s">
        <v>3200</v>
      </c>
    </row>
    <row r="11" spans="1:5">
      <c r="A11" s="286" t="s">
        <v>2158</v>
      </c>
      <c r="B11" s="287" t="s">
        <v>3187</v>
      </c>
      <c r="C11" t="s">
        <v>41</v>
      </c>
      <c r="D11" t="s">
        <v>41</v>
      </c>
      <c r="E11" t="s">
        <v>3201</v>
      </c>
    </row>
    <row r="12" spans="1:5">
      <c r="A12" s="285" t="s">
        <v>2159</v>
      </c>
      <c r="B12" s="288" t="s">
        <v>3188</v>
      </c>
      <c r="C12" t="s">
        <v>3199</v>
      </c>
      <c r="D12" t="s">
        <v>3199</v>
      </c>
      <c r="E12" t="s">
        <v>3199</v>
      </c>
    </row>
    <row r="13" spans="1:5">
      <c r="A13" s="286" t="s">
        <v>2160</v>
      </c>
      <c r="B13" s="287" t="s">
        <v>3189</v>
      </c>
      <c r="C13" t="s">
        <v>3200</v>
      </c>
      <c r="D13" t="s">
        <v>3200</v>
      </c>
      <c r="E13" t="s">
        <v>3200</v>
      </c>
    </row>
    <row r="14" spans="1:5">
      <c r="B14" s="288" t="s">
        <v>3202</v>
      </c>
      <c r="C14" t="s">
        <v>2246</v>
      </c>
      <c r="D14" t="s">
        <v>2246</v>
      </c>
      <c r="E14" t="s">
        <v>3208</v>
      </c>
    </row>
    <row r="15" spans="1:5">
      <c r="B15" s="287" t="s">
        <v>3203</v>
      </c>
      <c r="C15" t="s">
        <v>3206</v>
      </c>
      <c r="D15" t="s">
        <v>3206</v>
      </c>
      <c r="E15" t="s">
        <v>3209</v>
      </c>
    </row>
    <row r="16" spans="1:5">
      <c r="B16" s="288" t="s">
        <v>3204</v>
      </c>
      <c r="C16" t="s">
        <v>2250</v>
      </c>
      <c r="D16" t="s">
        <v>2250</v>
      </c>
      <c r="E16" t="s">
        <v>3210</v>
      </c>
    </row>
    <row r="17" spans="2:5">
      <c r="B17" s="287" t="s">
        <v>3205</v>
      </c>
      <c r="C17" t="s">
        <v>3207</v>
      </c>
      <c r="D17" t="s">
        <v>3207</v>
      </c>
      <c r="E17" t="s">
        <v>3207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A2"/>
  <sheetViews>
    <sheetView workbookViewId="0">
      <selection sqref="A1:A2"/>
    </sheetView>
  </sheetViews>
  <sheetFormatPr defaultRowHeight="15"/>
  <cols>
    <col min="1" max="1" width="21.5703125" bestFit="1" customWidth="1"/>
  </cols>
  <sheetData>
    <row r="1" spans="1:1">
      <c r="A1" s="149" t="s">
        <v>2294</v>
      </c>
    </row>
    <row r="2" spans="1:1">
      <c r="A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3"/>
  <dimension ref="A1:B219"/>
  <sheetViews>
    <sheetView workbookViewId="0">
      <selection activeCell="J7" sqref="J7"/>
    </sheetView>
  </sheetViews>
  <sheetFormatPr defaultRowHeight="15"/>
  <sheetData>
    <row r="1" spans="1:2">
      <c r="A1" t="s">
        <v>4584</v>
      </c>
      <c r="B1" t="s">
        <v>4585</v>
      </c>
    </row>
    <row r="2" spans="1:2">
      <c r="A2" t="s">
        <v>4586</v>
      </c>
      <c r="B2" t="s">
        <v>4587</v>
      </c>
    </row>
    <row r="3" spans="1:2">
      <c r="A3" t="s">
        <v>4588</v>
      </c>
      <c r="B3" t="s">
        <v>4589</v>
      </c>
    </row>
    <row r="4" spans="1:2">
      <c r="A4" t="s">
        <v>4590</v>
      </c>
      <c r="B4" t="s">
        <v>4591</v>
      </c>
    </row>
    <row r="5" spans="1:2">
      <c r="A5" t="s">
        <v>4592</v>
      </c>
      <c r="B5" t="s">
        <v>4593</v>
      </c>
    </row>
    <row r="6" spans="1:2">
      <c r="A6" t="s">
        <v>4594</v>
      </c>
      <c r="B6" t="s">
        <v>4595</v>
      </c>
    </row>
    <row r="7" spans="1:2">
      <c r="A7" t="s">
        <v>4596</v>
      </c>
      <c r="B7" t="s">
        <v>4597</v>
      </c>
    </row>
    <row r="8" spans="1:2">
      <c r="A8" t="s">
        <v>4598</v>
      </c>
      <c r="B8" t="s">
        <v>4599</v>
      </c>
    </row>
    <row r="9" spans="1:2">
      <c r="A9" t="s">
        <v>4600</v>
      </c>
      <c r="B9" t="s">
        <v>4601</v>
      </c>
    </row>
    <row r="10" spans="1:2">
      <c r="A10" t="s">
        <v>4602</v>
      </c>
      <c r="B10" t="s">
        <v>4603</v>
      </c>
    </row>
    <row r="11" spans="1:2">
      <c r="A11" t="s">
        <v>4604</v>
      </c>
      <c r="B11" t="s">
        <v>4605</v>
      </c>
    </row>
    <row r="12" spans="1:2">
      <c r="A12" t="s">
        <v>4606</v>
      </c>
      <c r="B12" t="s">
        <v>4607</v>
      </c>
    </row>
    <row r="13" spans="1:2">
      <c r="A13" t="s">
        <v>4608</v>
      </c>
      <c r="B13" t="s">
        <v>4609</v>
      </c>
    </row>
    <row r="14" spans="1:2">
      <c r="A14" t="s">
        <v>4610</v>
      </c>
      <c r="B14" t="s">
        <v>4611</v>
      </c>
    </row>
    <row r="15" spans="1:2">
      <c r="A15" t="s">
        <v>4612</v>
      </c>
      <c r="B15" t="s">
        <v>4613</v>
      </c>
    </row>
    <row r="16" spans="1:2">
      <c r="A16" t="s">
        <v>4614</v>
      </c>
      <c r="B16" t="s">
        <v>4615</v>
      </c>
    </row>
    <row r="17" spans="1:2">
      <c r="A17" t="s">
        <v>4616</v>
      </c>
      <c r="B17" t="s">
        <v>4617</v>
      </c>
    </row>
    <row r="18" spans="1:2">
      <c r="A18" t="s">
        <v>4618</v>
      </c>
      <c r="B18" t="s">
        <v>4619</v>
      </c>
    </row>
    <row r="19" spans="1:2">
      <c r="A19" t="s">
        <v>4620</v>
      </c>
      <c r="B19" t="s">
        <v>4621</v>
      </c>
    </row>
    <row r="20" spans="1:2">
      <c r="A20" t="s">
        <v>4622</v>
      </c>
      <c r="B20" t="s">
        <v>4623</v>
      </c>
    </row>
    <row r="21" spans="1:2">
      <c r="A21" t="s">
        <v>4624</v>
      </c>
      <c r="B21" t="s">
        <v>4625</v>
      </c>
    </row>
    <row r="22" spans="1:2">
      <c r="A22" t="s">
        <v>4626</v>
      </c>
      <c r="B22" t="s">
        <v>4627</v>
      </c>
    </row>
    <row r="23" spans="1:2">
      <c r="A23" t="s">
        <v>4628</v>
      </c>
      <c r="B23" t="s">
        <v>4629</v>
      </c>
    </row>
    <row r="24" spans="1:2">
      <c r="A24" t="s">
        <v>2253</v>
      </c>
      <c r="B24" t="s">
        <v>4630</v>
      </c>
    </row>
    <row r="25" spans="1:2">
      <c r="A25" t="s">
        <v>4631</v>
      </c>
      <c r="B25" t="s">
        <v>4632</v>
      </c>
    </row>
    <row r="26" spans="1:2">
      <c r="A26" t="s">
        <v>4633</v>
      </c>
      <c r="B26" t="s">
        <v>4634</v>
      </c>
    </row>
    <row r="27" spans="1:2">
      <c r="A27" t="s">
        <v>4635</v>
      </c>
      <c r="B27" t="s">
        <v>4636</v>
      </c>
    </row>
    <row r="28" spans="1:2">
      <c r="A28" t="s">
        <v>4637</v>
      </c>
      <c r="B28" t="s">
        <v>4638</v>
      </c>
    </row>
    <row r="29" spans="1:2">
      <c r="A29" t="s">
        <v>4639</v>
      </c>
      <c r="B29" t="s">
        <v>4640</v>
      </c>
    </row>
    <row r="30" spans="1:2">
      <c r="A30" t="s">
        <v>4641</v>
      </c>
      <c r="B30" t="s">
        <v>4642</v>
      </c>
    </row>
    <row r="31" spans="1:2">
      <c r="A31" t="s">
        <v>4643</v>
      </c>
      <c r="B31" t="s">
        <v>4644</v>
      </c>
    </row>
    <row r="32" spans="1:2">
      <c r="A32" t="s">
        <v>4645</v>
      </c>
      <c r="B32" t="s">
        <v>4646</v>
      </c>
    </row>
    <row r="33" spans="1:2">
      <c r="A33" t="s">
        <v>4647</v>
      </c>
      <c r="B33" t="s">
        <v>4648</v>
      </c>
    </row>
    <row r="34" spans="1:2">
      <c r="A34" t="s">
        <v>4649</v>
      </c>
      <c r="B34" t="s">
        <v>4650</v>
      </c>
    </row>
    <row r="35" spans="1:2">
      <c r="A35" t="s">
        <v>4651</v>
      </c>
      <c r="B35" t="s">
        <v>4652</v>
      </c>
    </row>
    <row r="36" spans="1:2">
      <c r="A36" t="s">
        <v>4653</v>
      </c>
      <c r="B36" t="s">
        <v>4654</v>
      </c>
    </row>
    <row r="37" spans="1:2">
      <c r="A37" t="s">
        <v>4655</v>
      </c>
      <c r="B37" t="s">
        <v>4656</v>
      </c>
    </row>
    <row r="38" spans="1:2">
      <c r="A38" t="s">
        <v>4657</v>
      </c>
      <c r="B38" t="s">
        <v>4658</v>
      </c>
    </row>
    <row r="39" spans="1:2">
      <c r="A39" t="s">
        <v>4659</v>
      </c>
      <c r="B39" t="s">
        <v>4660</v>
      </c>
    </row>
    <row r="40" spans="1:2">
      <c r="A40" t="s">
        <v>4661</v>
      </c>
      <c r="B40" t="s">
        <v>4662</v>
      </c>
    </row>
    <row r="41" spans="1:2">
      <c r="A41" t="s">
        <v>4663</v>
      </c>
      <c r="B41" t="s">
        <v>4664</v>
      </c>
    </row>
    <row r="42" spans="1:2">
      <c r="A42" t="s">
        <v>4665</v>
      </c>
      <c r="B42" t="s">
        <v>4666</v>
      </c>
    </row>
    <row r="43" spans="1:2">
      <c r="A43" t="s">
        <v>4667</v>
      </c>
      <c r="B43" t="s">
        <v>4668</v>
      </c>
    </row>
    <row r="44" spans="1:2">
      <c r="A44" t="s">
        <v>4669</v>
      </c>
      <c r="B44" t="s">
        <v>4670</v>
      </c>
    </row>
    <row r="45" spans="1:2">
      <c r="A45" t="s">
        <v>4671</v>
      </c>
      <c r="B45" t="s">
        <v>4672</v>
      </c>
    </row>
    <row r="46" spans="1:2">
      <c r="A46" t="s">
        <v>4673</v>
      </c>
      <c r="B46" t="s">
        <v>4674</v>
      </c>
    </row>
    <row r="47" spans="1:2">
      <c r="A47" t="s">
        <v>4675</v>
      </c>
      <c r="B47" t="s">
        <v>4676</v>
      </c>
    </row>
    <row r="48" spans="1:2">
      <c r="A48" t="s">
        <v>4677</v>
      </c>
      <c r="B48" t="s">
        <v>4678</v>
      </c>
    </row>
    <row r="49" spans="1:2">
      <c r="A49" t="s">
        <v>2249</v>
      </c>
      <c r="B49" t="s">
        <v>4679</v>
      </c>
    </row>
    <row r="50" spans="1:2">
      <c r="A50" t="s">
        <v>4680</v>
      </c>
      <c r="B50" t="s">
        <v>4681</v>
      </c>
    </row>
    <row r="51" spans="1:2">
      <c r="A51" t="s">
        <v>3780</v>
      </c>
      <c r="B51" t="s">
        <v>4682</v>
      </c>
    </row>
    <row r="52" spans="1:2">
      <c r="A52" t="s">
        <v>3782</v>
      </c>
      <c r="B52" t="s">
        <v>4683</v>
      </c>
    </row>
    <row r="53" spans="1:2">
      <c r="A53" t="s">
        <v>3781</v>
      </c>
      <c r="B53" t="s">
        <v>4684</v>
      </c>
    </row>
    <row r="54" spans="1:2">
      <c r="A54" t="s">
        <v>4685</v>
      </c>
      <c r="B54" t="s">
        <v>4686</v>
      </c>
    </row>
    <row r="55" spans="1:2">
      <c r="A55" t="s">
        <v>4687</v>
      </c>
      <c r="B55" t="s">
        <v>4688</v>
      </c>
    </row>
    <row r="56" spans="1:2">
      <c r="A56" t="s">
        <v>4689</v>
      </c>
      <c r="B56" t="s">
        <v>4690</v>
      </c>
    </row>
    <row r="57" spans="1:2">
      <c r="A57" t="s">
        <v>4691</v>
      </c>
      <c r="B57" t="s">
        <v>4692</v>
      </c>
    </row>
    <row r="58" spans="1:2">
      <c r="A58" t="s">
        <v>4693</v>
      </c>
      <c r="B58" t="s">
        <v>4694</v>
      </c>
    </row>
    <row r="59" spans="1:2">
      <c r="A59" t="s">
        <v>4695</v>
      </c>
      <c r="B59" t="s">
        <v>4696</v>
      </c>
    </row>
    <row r="60" spans="1:2">
      <c r="A60" t="s">
        <v>4697</v>
      </c>
      <c r="B60" t="s">
        <v>4698</v>
      </c>
    </row>
    <row r="61" spans="1:2">
      <c r="A61" t="s">
        <v>4699</v>
      </c>
      <c r="B61" t="s">
        <v>4700</v>
      </c>
    </row>
    <row r="62" spans="1:2">
      <c r="A62" t="s">
        <v>4701</v>
      </c>
      <c r="B62" t="s">
        <v>4702</v>
      </c>
    </row>
    <row r="63" spans="1:2">
      <c r="A63" t="s">
        <v>4703</v>
      </c>
      <c r="B63" t="s">
        <v>4704</v>
      </c>
    </row>
    <row r="64" spans="1:2">
      <c r="A64" t="s">
        <v>4705</v>
      </c>
      <c r="B64" t="s">
        <v>4706</v>
      </c>
    </row>
    <row r="65" spans="1:2">
      <c r="A65" t="s">
        <v>4707</v>
      </c>
      <c r="B65" t="s">
        <v>4708</v>
      </c>
    </row>
    <row r="66" spans="1:2">
      <c r="A66" t="s">
        <v>4709</v>
      </c>
      <c r="B66" t="s">
        <v>4710</v>
      </c>
    </row>
    <row r="67" spans="1:2">
      <c r="A67" t="s">
        <v>4711</v>
      </c>
      <c r="B67" t="s">
        <v>4712</v>
      </c>
    </row>
    <row r="68" spans="1:2">
      <c r="A68" t="s">
        <v>4713</v>
      </c>
      <c r="B68" t="s">
        <v>4714</v>
      </c>
    </row>
    <row r="69" spans="1:2">
      <c r="A69" t="s">
        <v>4715</v>
      </c>
      <c r="B69" t="s">
        <v>4716</v>
      </c>
    </row>
    <row r="70" spans="1:2">
      <c r="A70" t="s">
        <v>4717</v>
      </c>
      <c r="B70" t="s">
        <v>4718</v>
      </c>
    </row>
    <row r="71" spans="1:2">
      <c r="A71" t="s">
        <v>4719</v>
      </c>
      <c r="B71" t="s">
        <v>4720</v>
      </c>
    </row>
    <row r="72" spans="1:2">
      <c r="A72" t="s">
        <v>4721</v>
      </c>
      <c r="B72" t="s">
        <v>4722</v>
      </c>
    </row>
    <row r="73" spans="1:2">
      <c r="A73" t="s">
        <v>4723</v>
      </c>
      <c r="B73" t="s">
        <v>4724</v>
      </c>
    </row>
    <row r="74" spans="1:2">
      <c r="A74" t="s">
        <v>4725</v>
      </c>
      <c r="B74" t="s">
        <v>4726</v>
      </c>
    </row>
    <row r="75" spans="1:2">
      <c r="A75" t="s">
        <v>4727</v>
      </c>
      <c r="B75" t="s">
        <v>4728</v>
      </c>
    </row>
    <row r="76" spans="1:2">
      <c r="A76" t="s">
        <v>4729</v>
      </c>
      <c r="B76" t="s">
        <v>4730</v>
      </c>
    </row>
    <row r="77" spans="1:2">
      <c r="A77" t="s">
        <v>4731</v>
      </c>
      <c r="B77" t="s">
        <v>4732</v>
      </c>
    </row>
    <row r="78" spans="1:2">
      <c r="A78" t="s">
        <v>4733</v>
      </c>
      <c r="B78" t="s">
        <v>4734</v>
      </c>
    </row>
    <row r="79" spans="1:2">
      <c r="A79" t="s">
        <v>4735</v>
      </c>
      <c r="B79" t="s">
        <v>4736</v>
      </c>
    </row>
    <row r="80" spans="1:2">
      <c r="A80" t="s">
        <v>4737</v>
      </c>
      <c r="B80" t="s">
        <v>4738</v>
      </c>
    </row>
    <row r="81" spans="1:2">
      <c r="A81" t="s">
        <v>4739</v>
      </c>
      <c r="B81" t="s">
        <v>4740</v>
      </c>
    </row>
    <row r="82" spans="1:2">
      <c r="A82" t="s">
        <v>4741</v>
      </c>
      <c r="B82" t="s">
        <v>4742</v>
      </c>
    </row>
    <row r="83" spans="1:2">
      <c r="A83" t="s">
        <v>4743</v>
      </c>
      <c r="B83" t="s">
        <v>4744</v>
      </c>
    </row>
    <row r="84" spans="1:2">
      <c r="A84" t="s">
        <v>4745</v>
      </c>
      <c r="B84" t="s">
        <v>4746</v>
      </c>
    </row>
    <row r="85" spans="1:2">
      <c r="A85" t="s">
        <v>4747</v>
      </c>
      <c r="B85" t="s">
        <v>4748</v>
      </c>
    </row>
    <row r="86" spans="1:2">
      <c r="A86" t="s">
        <v>4749</v>
      </c>
      <c r="B86" t="s">
        <v>4750</v>
      </c>
    </row>
    <row r="87" spans="1:2">
      <c r="A87" t="s">
        <v>4751</v>
      </c>
      <c r="B87" t="s">
        <v>4752</v>
      </c>
    </row>
    <row r="88" spans="1:2">
      <c r="A88" t="s">
        <v>4753</v>
      </c>
      <c r="B88" t="s">
        <v>4754</v>
      </c>
    </row>
    <row r="89" spans="1:2">
      <c r="A89" t="s">
        <v>4755</v>
      </c>
      <c r="B89" t="s">
        <v>4756</v>
      </c>
    </row>
    <row r="90" spans="1:2">
      <c r="A90" t="s">
        <v>4757</v>
      </c>
      <c r="B90" t="s">
        <v>4758</v>
      </c>
    </row>
    <row r="91" spans="1:2">
      <c r="A91" t="s">
        <v>4759</v>
      </c>
      <c r="B91" t="s">
        <v>4760</v>
      </c>
    </row>
    <row r="92" spans="1:2">
      <c r="A92" t="s">
        <v>4761</v>
      </c>
      <c r="B92" t="s">
        <v>4762</v>
      </c>
    </row>
    <row r="93" spans="1:2">
      <c r="A93" t="s">
        <v>4763</v>
      </c>
      <c r="B93" t="s">
        <v>4764</v>
      </c>
    </row>
    <row r="94" spans="1:2">
      <c r="A94" t="s">
        <v>4765</v>
      </c>
      <c r="B94" t="s">
        <v>4766</v>
      </c>
    </row>
    <row r="95" spans="1:2">
      <c r="A95" t="s">
        <v>4767</v>
      </c>
      <c r="B95" t="s">
        <v>4768</v>
      </c>
    </row>
    <row r="96" spans="1:2">
      <c r="A96" t="s">
        <v>4769</v>
      </c>
      <c r="B96" t="s">
        <v>4770</v>
      </c>
    </row>
    <row r="97" spans="1:2">
      <c r="A97" t="s">
        <v>4771</v>
      </c>
      <c r="B97" t="s">
        <v>4772</v>
      </c>
    </row>
    <row r="98" spans="1:2">
      <c r="A98" t="s">
        <v>4773</v>
      </c>
      <c r="B98" t="s">
        <v>4774</v>
      </c>
    </row>
    <row r="99" spans="1:2">
      <c r="A99" t="s">
        <v>4775</v>
      </c>
      <c r="B99" t="s">
        <v>4776</v>
      </c>
    </row>
    <row r="100" spans="1:2">
      <c r="A100" t="s">
        <v>4777</v>
      </c>
      <c r="B100" t="s">
        <v>4778</v>
      </c>
    </row>
    <row r="101" spans="1:2">
      <c r="A101" t="s">
        <v>2258</v>
      </c>
      <c r="B101" t="s">
        <v>4779</v>
      </c>
    </row>
    <row r="102" spans="1:2">
      <c r="A102" t="s">
        <v>4780</v>
      </c>
      <c r="B102" t="s">
        <v>4781</v>
      </c>
    </row>
    <row r="103" spans="1:2">
      <c r="A103" t="s">
        <v>4782</v>
      </c>
      <c r="B103" t="s">
        <v>4783</v>
      </c>
    </row>
    <row r="104" spans="1:2">
      <c r="A104" t="s">
        <v>4784</v>
      </c>
      <c r="B104" t="s">
        <v>4785</v>
      </c>
    </row>
    <row r="105" spans="1:2">
      <c r="A105" t="s">
        <v>4786</v>
      </c>
      <c r="B105" t="s">
        <v>4787</v>
      </c>
    </row>
    <row r="106" spans="1:2">
      <c r="A106" t="s">
        <v>4788</v>
      </c>
      <c r="B106" t="s">
        <v>4789</v>
      </c>
    </row>
    <row r="107" spans="1:2">
      <c r="A107" t="s">
        <v>4790</v>
      </c>
      <c r="B107" t="s">
        <v>4791</v>
      </c>
    </row>
    <row r="108" spans="1:2">
      <c r="A108" t="s">
        <v>4792</v>
      </c>
      <c r="B108" t="s">
        <v>4793</v>
      </c>
    </row>
    <row r="109" spans="1:2">
      <c r="A109" t="s">
        <v>4794</v>
      </c>
      <c r="B109" t="s">
        <v>4795</v>
      </c>
    </row>
    <row r="110" spans="1:2">
      <c r="A110" t="s">
        <v>4796</v>
      </c>
      <c r="B110" t="s">
        <v>4797</v>
      </c>
    </row>
    <row r="111" spans="1:2">
      <c r="A111" t="s">
        <v>4798</v>
      </c>
      <c r="B111" t="s">
        <v>4799</v>
      </c>
    </row>
    <row r="112" spans="1:2">
      <c r="A112" t="s">
        <v>4800</v>
      </c>
      <c r="B112" t="s">
        <v>4801</v>
      </c>
    </row>
    <row r="113" spans="1:2">
      <c r="A113" t="s">
        <v>4802</v>
      </c>
      <c r="B113" t="s">
        <v>4803</v>
      </c>
    </row>
    <row r="114" spans="1:2">
      <c r="A114" t="s">
        <v>4804</v>
      </c>
      <c r="B114" t="s">
        <v>4805</v>
      </c>
    </row>
    <row r="115" spans="1:2">
      <c r="A115" t="s">
        <v>4806</v>
      </c>
      <c r="B115" t="s">
        <v>4807</v>
      </c>
    </row>
    <row r="116" spans="1:2">
      <c r="A116" t="s">
        <v>4808</v>
      </c>
      <c r="B116" t="s">
        <v>4809</v>
      </c>
    </row>
    <row r="117" spans="1:2">
      <c r="A117" t="s">
        <v>4810</v>
      </c>
      <c r="B117" t="s">
        <v>4811</v>
      </c>
    </row>
    <row r="118" spans="1:2">
      <c r="A118" t="s">
        <v>4812</v>
      </c>
      <c r="B118" t="s">
        <v>4813</v>
      </c>
    </row>
    <row r="119" spans="1:2">
      <c r="A119" t="s">
        <v>4814</v>
      </c>
      <c r="B119" t="s">
        <v>4815</v>
      </c>
    </row>
    <row r="120" spans="1:2">
      <c r="A120" t="s">
        <v>4816</v>
      </c>
      <c r="B120" t="s">
        <v>4817</v>
      </c>
    </row>
    <row r="121" spans="1:2">
      <c r="A121" t="s">
        <v>4818</v>
      </c>
      <c r="B121" t="s">
        <v>4819</v>
      </c>
    </row>
    <row r="122" spans="1:2">
      <c r="A122" t="s">
        <v>4820</v>
      </c>
      <c r="B122" t="s">
        <v>4821</v>
      </c>
    </row>
    <row r="123" spans="1:2">
      <c r="A123" t="s">
        <v>4822</v>
      </c>
      <c r="B123" t="s">
        <v>4823</v>
      </c>
    </row>
    <row r="124" spans="1:2">
      <c r="A124" t="s">
        <v>4824</v>
      </c>
      <c r="B124" t="s">
        <v>4825</v>
      </c>
    </row>
    <row r="125" spans="1:2">
      <c r="A125" t="s">
        <v>4826</v>
      </c>
      <c r="B125" t="s">
        <v>4827</v>
      </c>
    </row>
    <row r="126" spans="1:2">
      <c r="A126" t="s">
        <v>4828</v>
      </c>
      <c r="B126" t="s">
        <v>4829</v>
      </c>
    </row>
    <row r="127" spans="1:2">
      <c r="A127" t="s">
        <v>4830</v>
      </c>
      <c r="B127" t="s">
        <v>4831</v>
      </c>
    </row>
    <row r="128" spans="1:2">
      <c r="A128" t="s">
        <v>4832</v>
      </c>
      <c r="B128" t="s">
        <v>4833</v>
      </c>
    </row>
    <row r="129" spans="1:2">
      <c r="A129" t="s">
        <v>4834</v>
      </c>
      <c r="B129" t="s">
        <v>4835</v>
      </c>
    </row>
    <row r="130" spans="1:2">
      <c r="A130" t="s">
        <v>4836</v>
      </c>
      <c r="B130" t="s">
        <v>4837</v>
      </c>
    </row>
    <row r="131" spans="1:2">
      <c r="A131" t="s">
        <v>4838</v>
      </c>
      <c r="B131" t="s">
        <v>4839</v>
      </c>
    </row>
    <row r="132" spans="1:2">
      <c r="A132" t="s">
        <v>4840</v>
      </c>
      <c r="B132" t="s">
        <v>4841</v>
      </c>
    </row>
    <row r="133" spans="1:2">
      <c r="A133" t="s">
        <v>4842</v>
      </c>
      <c r="B133" t="s">
        <v>4843</v>
      </c>
    </row>
    <row r="134" spans="1:2">
      <c r="A134" t="s">
        <v>4844</v>
      </c>
      <c r="B134" t="s">
        <v>4845</v>
      </c>
    </row>
    <row r="135" spans="1:2">
      <c r="A135" t="s">
        <v>4846</v>
      </c>
      <c r="B135" t="s">
        <v>4847</v>
      </c>
    </row>
    <row r="136" spans="1:2">
      <c r="A136" t="s">
        <v>4848</v>
      </c>
      <c r="B136" t="s">
        <v>4849</v>
      </c>
    </row>
    <row r="137" spans="1:2">
      <c r="A137" t="s">
        <v>4850</v>
      </c>
      <c r="B137" t="s">
        <v>4851</v>
      </c>
    </row>
    <row r="138" spans="1:2">
      <c r="A138" t="s">
        <v>4852</v>
      </c>
      <c r="B138" t="s">
        <v>4853</v>
      </c>
    </row>
    <row r="139" spans="1:2">
      <c r="A139" t="s">
        <v>4854</v>
      </c>
      <c r="B139" t="s">
        <v>4855</v>
      </c>
    </row>
    <row r="140" spans="1:2">
      <c r="A140" t="s">
        <v>4856</v>
      </c>
      <c r="B140" t="s">
        <v>4857</v>
      </c>
    </row>
    <row r="141" spans="1:2">
      <c r="A141" t="s">
        <v>4858</v>
      </c>
      <c r="B141" t="s">
        <v>4859</v>
      </c>
    </row>
    <row r="142" spans="1:2">
      <c r="A142" t="s">
        <v>4860</v>
      </c>
      <c r="B142" t="s">
        <v>4861</v>
      </c>
    </row>
    <row r="143" spans="1:2">
      <c r="A143" t="s">
        <v>4862</v>
      </c>
      <c r="B143" t="s">
        <v>4863</v>
      </c>
    </row>
    <row r="144" spans="1:2">
      <c r="A144" t="s">
        <v>4864</v>
      </c>
      <c r="B144" t="s">
        <v>4865</v>
      </c>
    </row>
    <row r="145" spans="1:2">
      <c r="A145" t="s">
        <v>4866</v>
      </c>
      <c r="B145" t="s">
        <v>4867</v>
      </c>
    </row>
    <row r="146" spans="1:2">
      <c r="A146" t="s">
        <v>4868</v>
      </c>
      <c r="B146" t="s">
        <v>4869</v>
      </c>
    </row>
    <row r="147" spans="1:2">
      <c r="A147" t="s">
        <v>4870</v>
      </c>
      <c r="B147" t="s">
        <v>4871</v>
      </c>
    </row>
    <row r="148" spans="1:2">
      <c r="A148" t="s">
        <v>4872</v>
      </c>
      <c r="B148" t="s">
        <v>4873</v>
      </c>
    </row>
    <row r="149" spans="1:2">
      <c r="A149" t="s">
        <v>4874</v>
      </c>
      <c r="B149" t="s">
        <v>4875</v>
      </c>
    </row>
    <row r="150" spans="1:2">
      <c r="A150" t="s">
        <v>4876</v>
      </c>
      <c r="B150" t="s">
        <v>4877</v>
      </c>
    </row>
    <row r="151" spans="1:2">
      <c r="A151" t="s">
        <v>4878</v>
      </c>
      <c r="B151" t="s">
        <v>4879</v>
      </c>
    </row>
    <row r="152" spans="1:2">
      <c r="A152" t="s">
        <v>2236</v>
      </c>
      <c r="B152" t="s">
        <v>4880</v>
      </c>
    </row>
    <row r="153" spans="1:2">
      <c r="A153" t="s">
        <v>4881</v>
      </c>
      <c r="B153" t="s">
        <v>4882</v>
      </c>
    </row>
    <row r="154" spans="1:2">
      <c r="A154" t="s">
        <v>2245</v>
      </c>
      <c r="B154" t="s">
        <v>4883</v>
      </c>
    </row>
    <row r="155" spans="1:2">
      <c r="A155" t="s">
        <v>4884</v>
      </c>
      <c r="B155" t="s">
        <v>4885</v>
      </c>
    </row>
    <row r="156" spans="1:2">
      <c r="A156" t="s">
        <v>3903</v>
      </c>
      <c r="B156" t="s">
        <v>4886</v>
      </c>
    </row>
    <row r="157" spans="1:2">
      <c r="A157" t="s">
        <v>4887</v>
      </c>
      <c r="B157" t="s">
        <v>4888</v>
      </c>
    </row>
    <row r="158" spans="1:2">
      <c r="A158" t="s">
        <v>4889</v>
      </c>
      <c r="B158" t="s">
        <v>4890</v>
      </c>
    </row>
    <row r="159" spans="1:2">
      <c r="A159" t="s">
        <v>2247</v>
      </c>
      <c r="B159" t="s">
        <v>4891</v>
      </c>
    </row>
    <row r="160" spans="1:2">
      <c r="A160" t="s">
        <v>4892</v>
      </c>
      <c r="B160" t="s">
        <v>4893</v>
      </c>
    </row>
    <row r="161" spans="1:2">
      <c r="A161" t="s">
        <v>2261</v>
      </c>
      <c r="B161" t="s">
        <v>4894</v>
      </c>
    </row>
    <row r="162" spans="1:2">
      <c r="A162" t="s">
        <v>4895</v>
      </c>
      <c r="B162" t="s">
        <v>4896</v>
      </c>
    </row>
    <row r="163" spans="1:2">
      <c r="A163" t="s">
        <v>4897</v>
      </c>
      <c r="B163" t="s">
        <v>4898</v>
      </c>
    </row>
    <row r="164" spans="1:2">
      <c r="A164" t="s">
        <v>4899</v>
      </c>
      <c r="B164" t="s">
        <v>4900</v>
      </c>
    </row>
    <row r="165" spans="1:2">
      <c r="A165" t="s">
        <v>4901</v>
      </c>
      <c r="B165" t="s">
        <v>4902</v>
      </c>
    </row>
    <row r="166" spans="1:2">
      <c r="A166" t="s">
        <v>4903</v>
      </c>
      <c r="B166" t="s">
        <v>4904</v>
      </c>
    </row>
    <row r="167" spans="1:2">
      <c r="A167" t="s">
        <v>4905</v>
      </c>
      <c r="B167" t="s">
        <v>4906</v>
      </c>
    </row>
    <row r="168" spans="1:2">
      <c r="A168" t="s">
        <v>2260</v>
      </c>
      <c r="B168" t="s">
        <v>4907</v>
      </c>
    </row>
    <row r="169" spans="1:2">
      <c r="A169" t="s">
        <v>4908</v>
      </c>
      <c r="B169" t="s">
        <v>4909</v>
      </c>
    </row>
    <row r="170" spans="1:2">
      <c r="A170" t="s">
        <v>2256</v>
      </c>
      <c r="B170" t="s">
        <v>4910</v>
      </c>
    </row>
    <row r="171" spans="1:2">
      <c r="A171" t="s">
        <v>4911</v>
      </c>
      <c r="B171" t="s">
        <v>4912</v>
      </c>
    </row>
    <row r="172" spans="1:2">
      <c r="A172" t="s">
        <v>2251</v>
      </c>
      <c r="B172" t="s">
        <v>4913</v>
      </c>
    </row>
    <row r="173" spans="1:2">
      <c r="A173" t="s">
        <v>4914</v>
      </c>
      <c r="B173" t="s">
        <v>4915</v>
      </c>
    </row>
    <row r="174" spans="1:2">
      <c r="A174" t="s">
        <v>2169</v>
      </c>
      <c r="B174" t="s">
        <v>4916</v>
      </c>
    </row>
    <row r="175" spans="1:2">
      <c r="A175" t="s">
        <v>3169</v>
      </c>
      <c r="B175" t="s">
        <v>4917</v>
      </c>
    </row>
    <row r="176" spans="1:2">
      <c r="A176" t="s">
        <v>4918</v>
      </c>
      <c r="B176" t="s">
        <v>4919</v>
      </c>
    </row>
    <row r="177" spans="1:2">
      <c r="A177" t="s">
        <v>4920</v>
      </c>
      <c r="B177" t="s">
        <v>4921</v>
      </c>
    </row>
    <row r="178" spans="1:2">
      <c r="A178" t="s">
        <v>4922</v>
      </c>
      <c r="B178" t="s">
        <v>4923</v>
      </c>
    </row>
    <row r="179" spans="1:2">
      <c r="A179" t="s">
        <v>2255</v>
      </c>
      <c r="B179" t="s">
        <v>4924</v>
      </c>
    </row>
    <row r="180" spans="1:2">
      <c r="A180" t="s">
        <v>4925</v>
      </c>
      <c r="B180" t="s">
        <v>4926</v>
      </c>
    </row>
    <row r="181" spans="1:2">
      <c r="A181" t="s">
        <v>3281</v>
      </c>
      <c r="B181" t="s">
        <v>4927</v>
      </c>
    </row>
    <row r="182" spans="1:2">
      <c r="A182" t="s">
        <v>4928</v>
      </c>
      <c r="B182" t="s">
        <v>4929</v>
      </c>
    </row>
    <row r="183" spans="1:2">
      <c r="A183" t="s">
        <v>2234</v>
      </c>
      <c r="B183" t="s">
        <v>4930</v>
      </c>
    </row>
    <row r="184" spans="1:2">
      <c r="A184" t="s">
        <v>4931</v>
      </c>
      <c r="B184" t="s">
        <v>4932</v>
      </c>
    </row>
    <row r="185" spans="1:2">
      <c r="A185" t="s">
        <v>2279</v>
      </c>
      <c r="B185" t="s">
        <v>4933</v>
      </c>
    </row>
    <row r="186" spans="1:2">
      <c r="A186" t="s">
        <v>4934</v>
      </c>
      <c r="B186" t="s">
        <v>4935</v>
      </c>
    </row>
    <row r="187" spans="1:2">
      <c r="A187" t="s">
        <v>4936</v>
      </c>
      <c r="B187" t="s">
        <v>4937</v>
      </c>
    </row>
    <row r="188" spans="1:2">
      <c r="A188" t="s">
        <v>4938</v>
      </c>
      <c r="B188" t="s">
        <v>4939</v>
      </c>
    </row>
    <row r="189" spans="1:2">
      <c r="A189" t="s">
        <v>4940</v>
      </c>
      <c r="B189" t="s">
        <v>4939</v>
      </c>
    </row>
    <row r="190" spans="1:2">
      <c r="A190" t="s">
        <v>4941</v>
      </c>
      <c r="B190" t="s">
        <v>4942</v>
      </c>
    </row>
    <row r="191" spans="1:2">
      <c r="A191" t="s">
        <v>4943</v>
      </c>
      <c r="B191" t="s">
        <v>4942</v>
      </c>
    </row>
    <row r="192" spans="1:2">
      <c r="A192" t="s">
        <v>4944</v>
      </c>
      <c r="B192" t="s">
        <v>4939</v>
      </c>
    </row>
    <row r="193" spans="1:2">
      <c r="A193" t="s">
        <v>4945</v>
      </c>
      <c r="B193" t="s">
        <v>4946</v>
      </c>
    </row>
    <row r="194" spans="1:2">
      <c r="A194" t="s">
        <v>4947</v>
      </c>
      <c r="B194" t="s">
        <v>4942</v>
      </c>
    </row>
    <row r="195" spans="1:2">
      <c r="A195" t="s">
        <v>4948</v>
      </c>
      <c r="B195" t="s">
        <v>4939</v>
      </c>
    </row>
    <row r="196" spans="1:2">
      <c r="A196" t="s">
        <v>4949</v>
      </c>
      <c r="B196" t="s">
        <v>4950</v>
      </c>
    </row>
    <row r="197" spans="1:2">
      <c r="A197" t="s">
        <v>4951</v>
      </c>
      <c r="B197" t="s">
        <v>4952</v>
      </c>
    </row>
    <row r="198" spans="1:2">
      <c r="A198" t="s">
        <v>4953</v>
      </c>
      <c r="B198" t="s">
        <v>4954</v>
      </c>
    </row>
    <row r="199" spans="1:2">
      <c r="A199" t="s">
        <v>3568</v>
      </c>
      <c r="B199" t="s">
        <v>4955</v>
      </c>
    </row>
    <row r="200" spans="1:2">
      <c r="A200" t="s">
        <v>4956</v>
      </c>
      <c r="B200" t="s">
        <v>4957</v>
      </c>
    </row>
    <row r="201" spans="1:2">
      <c r="A201" t="s">
        <v>4958</v>
      </c>
      <c r="B201" t="s">
        <v>4939</v>
      </c>
    </row>
    <row r="202" spans="1:2">
      <c r="A202" t="s">
        <v>2240</v>
      </c>
      <c r="B202" t="s">
        <v>4942</v>
      </c>
    </row>
    <row r="203" spans="1:2">
      <c r="A203" t="s">
        <v>4959</v>
      </c>
      <c r="B203" t="s">
        <v>4960</v>
      </c>
    </row>
    <row r="204" spans="1:2">
      <c r="A204" t="s">
        <v>4961</v>
      </c>
      <c r="B204" t="s">
        <v>4962</v>
      </c>
    </row>
    <row r="205" spans="1:2">
      <c r="A205" t="s">
        <v>4963</v>
      </c>
      <c r="B205" t="s">
        <v>4964</v>
      </c>
    </row>
    <row r="206" spans="1:2">
      <c r="A206" t="s">
        <v>4965</v>
      </c>
      <c r="B206" t="s">
        <v>4939</v>
      </c>
    </row>
    <row r="207" spans="1:2">
      <c r="A207" t="s">
        <v>4966</v>
      </c>
      <c r="B207" t="s">
        <v>4967</v>
      </c>
    </row>
    <row r="208" spans="1:2">
      <c r="A208" t="s">
        <v>4968</v>
      </c>
      <c r="B208" t="s">
        <v>4939</v>
      </c>
    </row>
    <row r="209" spans="1:2">
      <c r="A209" t="s">
        <v>4969</v>
      </c>
      <c r="B209" t="s">
        <v>4939</v>
      </c>
    </row>
    <row r="210" spans="1:2">
      <c r="A210" t="s">
        <v>4970</v>
      </c>
      <c r="B210" t="s">
        <v>4971</v>
      </c>
    </row>
    <row r="211" spans="1:2">
      <c r="A211" t="s">
        <v>4972</v>
      </c>
      <c r="B211" t="s">
        <v>4973</v>
      </c>
    </row>
    <row r="212" spans="1:2">
      <c r="A212" t="s">
        <v>4974</v>
      </c>
      <c r="B212" t="s">
        <v>4975</v>
      </c>
    </row>
    <row r="213" spans="1:2">
      <c r="A213" t="s">
        <v>4976</v>
      </c>
      <c r="B213" t="s">
        <v>4977</v>
      </c>
    </row>
    <row r="214" spans="1:2">
      <c r="A214" t="s">
        <v>4978</v>
      </c>
      <c r="B214" t="s">
        <v>4979</v>
      </c>
    </row>
    <row r="215" spans="1:2">
      <c r="A215" t="s">
        <v>4980</v>
      </c>
      <c r="B215" t="s">
        <v>4939</v>
      </c>
    </row>
    <row r="216" spans="1:2">
      <c r="A216" t="s">
        <v>4981</v>
      </c>
      <c r="B216" t="s">
        <v>4939</v>
      </c>
    </row>
    <row r="217" spans="1:2">
      <c r="A217" t="s">
        <v>4982</v>
      </c>
      <c r="B217" t="s">
        <v>4983</v>
      </c>
    </row>
    <row r="218" spans="1:2">
      <c r="A218" t="s">
        <v>3175</v>
      </c>
      <c r="B218" t="s">
        <v>4939</v>
      </c>
    </row>
    <row r="219" spans="1:2">
      <c r="A219" t="s">
        <v>4984</v>
      </c>
      <c r="B219" t="s">
        <v>4971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C4"/>
  <sheetViews>
    <sheetView workbookViewId="0">
      <selection activeCell="C38" sqref="C38"/>
    </sheetView>
  </sheetViews>
  <sheetFormatPr defaultRowHeight="15"/>
  <cols>
    <col min="1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3102</v>
      </c>
      <c r="C2" s="149"/>
    </row>
    <row r="3" spans="1:3">
      <c r="A3" s="149" t="s">
        <v>2296</v>
      </c>
      <c r="B3" s="149" t="s">
        <v>3103</v>
      </c>
    </row>
    <row r="4" spans="1:3">
      <c r="A4" s="149" t="s">
        <v>2297</v>
      </c>
      <c r="B4" s="149" t="s">
        <v>3104</v>
      </c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6"/>
  <dimension ref="A1:P37"/>
  <sheetViews>
    <sheetView topLeftCell="C1" zoomScaleNormal="100" workbookViewId="0">
      <selection activeCell="H12" sqref="H12"/>
    </sheetView>
  </sheetViews>
  <sheetFormatPr defaultColWidth="17.140625" defaultRowHeight="12.75" customHeight="1"/>
  <cols>
    <col min="1" max="1" width="17.140625" style="248"/>
    <col min="2" max="4" width="17.140625" style="248" customWidth="1"/>
    <col min="5" max="5" width="29.42578125" style="248" customWidth="1"/>
    <col min="6" max="10" width="17.140625" style="248" customWidth="1"/>
    <col min="11" max="11" width="18.5703125" style="248" customWidth="1"/>
    <col min="12" max="14" width="17.140625" style="248"/>
    <col min="15" max="15" width="15.140625" style="248" customWidth="1"/>
    <col min="16" max="16384" width="17.140625" style="248"/>
  </cols>
  <sheetData>
    <row r="1" spans="1:16" ht="18.75" customHeight="1" thickBot="1">
      <c r="A1" s="239" t="s">
        <v>3108</v>
      </c>
      <c r="B1" s="240" t="s">
        <v>3109</v>
      </c>
      <c r="C1" s="241" t="s">
        <v>3110</v>
      </c>
      <c r="D1" s="242" t="s">
        <v>2183</v>
      </c>
      <c r="E1" s="240" t="s">
        <v>3111</v>
      </c>
      <c r="F1" s="241" t="s">
        <v>3112</v>
      </c>
      <c r="G1" s="243" t="s">
        <v>3113</v>
      </c>
      <c r="H1" s="244" t="s">
        <v>2168</v>
      </c>
      <c r="I1" s="245" t="s">
        <v>3114</v>
      </c>
      <c r="J1" s="246" t="s">
        <v>3115</v>
      </c>
      <c r="K1" s="246" t="s">
        <v>3116</v>
      </c>
      <c r="L1" s="247" t="s">
        <v>3117</v>
      </c>
      <c r="M1" s="248" t="s">
        <v>3363</v>
      </c>
      <c r="N1" s="248" t="s">
        <v>3364</v>
      </c>
      <c r="O1" s="248" t="s">
        <v>3365</v>
      </c>
      <c r="P1" s="248" t="s">
        <v>3770</v>
      </c>
    </row>
    <row r="2" spans="1:16" ht="18.75" customHeight="1" thickBot="1">
      <c r="A2" s="249" t="s">
        <v>3118</v>
      </c>
      <c r="B2" s="250" t="s">
        <v>111</v>
      </c>
      <c r="C2" s="251">
        <v>1</v>
      </c>
      <c r="D2" s="252" t="s">
        <v>2139</v>
      </c>
      <c r="E2" s="250" t="s">
        <v>3119</v>
      </c>
      <c r="F2" s="252" t="s">
        <v>3120</v>
      </c>
      <c r="G2" s="253" t="s">
        <v>3121</v>
      </c>
      <c r="H2" s="187" t="s">
        <v>3424</v>
      </c>
      <c r="I2" s="254" t="s">
        <v>3122</v>
      </c>
      <c r="J2" s="255" t="s">
        <v>3424</v>
      </c>
      <c r="K2" s="250" t="s">
        <v>3124</v>
      </c>
      <c r="L2" s="256" t="s">
        <v>3424</v>
      </c>
      <c r="P2" s="274" t="s">
        <v>3583</v>
      </c>
    </row>
    <row r="3" spans="1:16" ht="18.75" customHeight="1" thickBot="1">
      <c r="A3" s="249" t="s">
        <v>3118</v>
      </c>
      <c r="B3" s="257" t="s">
        <v>112</v>
      </c>
      <c r="C3" s="258">
        <v>1</v>
      </c>
      <c r="D3" s="259" t="s">
        <v>2142</v>
      </c>
      <c r="E3" s="257" t="s">
        <v>3125</v>
      </c>
      <c r="F3" s="259" t="s">
        <v>3126</v>
      </c>
      <c r="G3" s="260" t="s">
        <v>3127</v>
      </c>
      <c r="H3" s="183" t="s">
        <v>4245</v>
      </c>
      <c r="I3" s="261" t="s">
        <v>3128</v>
      </c>
      <c r="J3" s="262" t="s">
        <v>2214</v>
      </c>
      <c r="K3" s="246" t="s">
        <v>3129</v>
      </c>
      <c r="L3" s="263" t="s">
        <v>2214</v>
      </c>
      <c r="P3" s="274" t="s">
        <v>4238</v>
      </c>
    </row>
    <row r="4" spans="1:16" ht="18.75" customHeight="1" thickBot="1">
      <c r="A4" s="249" t="s">
        <v>3118</v>
      </c>
      <c r="B4" s="264" t="s">
        <v>113</v>
      </c>
      <c r="C4" s="258">
        <v>11</v>
      </c>
      <c r="D4" s="259" t="s">
        <v>2143</v>
      </c>
      <c r="E4" s="264" t="s">
        <v>3130</v>
      </c>
      <c r="F4" s="259" t="s">
        <v>3131</v>
      </c>
      <c r="G4" s="260" t="s">
        <v>3132</v>
      </c>
      <c r="H4" s="183" t="s">
        <v>4245</v>
      </c>
      <c r="I4" s="261" t="s">
        <v>3133</v>
      </c>
      <c r="J4" s="262" t="s">
        <v>2214</v>
      </c>
      <c r="K4" s="246" t="s">
        <v>3134</v>
      </c>
      <c r="L4" s="263" t="s">
        <v>2214</v>
      </c>
      <c r="P4" s="274" t="s">
        <v>4238</v>
      </c>
    </row>
    <row r="5" spans="1:16" ht="18.75" customHeight="1" thickBot="1">
      <c r="A5" s="249" t="s">
        <v>3118</v>
      </c>
      <c r="B5" s="265" t="s">
        <v>114</v>
      </c>
      <c r="C5" s="258">
        <v>1</v>
      </c>
      <c r="D5" s="259" t="s">
        <v>2140</v>
      </c>
      <c r="E5" s="257" t="s">
        <v>3135</v>
      </c>
      <c r="F5" s="259" t="s">
        <v>3136</v>
      </c>
      <c r="G5" s="260" t="s">
        <v>3137</v>
      </c>
      <c r="H5" s="187" t="s">
        <v>3424</v>
      </c>
      <c r="I5" s="261" t="s">
        <v>3138</v>
      </c>
      <c r="J5" s="255" t="s">
        <v>3123</v>
      </c>
      <c r="K5" s="246" t="s">
        <v>3139</v>
      </c>
      <c r="L5" s="266" t="s">
        <v>2215</v>
      </c>
      <c r="P5" s="274" t="s">
        <v>3583</v>
      </c>
    </row>
    <row r="6" spans="1:16" ht="18.75" customHeight="1" thickBot="1">
      <c r="A6" s="249" t="s">
        <v>3118</v>
      </c>
      <c r="B6" s="265" t="s">
        <v>116</v>
      </c>
      <c r="C6" s="258">
        <v>9</v>
      </c>
      <c r="D6" s="258" t="s">
        <v>107</v>
      </c>
      <c r="E6" s="257" t="s">
        <v>3140</v>
      </c>
      <c r="F6" s="259" t="s">
        <v>3141</v>
      </c>
      <c r="G6" s="260" t="s">
        <v>3141</v>
      </c>
      <c r="H6" s="183" t="s">
        <v>4245</v>
      </c>
      <c r="I6" s="261" t="s">
        <v>3142</v>
      </c>
      <c r="J6" s="255" t="s">
        <v>3123</v>
      </c>
      <c r="K6" s="246" t="s">
        <v>3143</v>
      </c>
      <c r="L6" s="263" t="s">
        <v>2214</v>
      </c>
      <c r="P6" s="274" t="s">
        <v>4238</v>
      </c>
    </row>
    <row r="7" spans="1:16" ht="18.75" customHeight="1" thickBot="1">
      <c r="A7" s="249" t="s">
        <v>3118</v>
      </c>
      <c r="B7" s="267" t="s">
        <v>115</v>
      </c>
      <c r="C7" s="268">
        <v>14</v>
      </c>
      <c r="D7" s="268" t="s">
        <v>2141</v>
      </c>
      <c r="E7" s="269" t="s">
        <v>3144</v>
      </c>
      <c r="F7" s="270" t="s">
        <v>3145</v>
      </c>
      <c r="G7" s="271" t="s">
        <v>3146</v>
      </c>
      <c r="H7" s="183" t="s">
        <v>3362</v>
      </c>
      <c r="I7" s="272" t="s">
        <v>3147</v>
      </c>
      <c r="J7" s="262" t="s">
        <v>2214</v>
      </c>
      <c r="K7" s="246" t="s">
        <v>3148</v>
      </c>
      <c r="L7" s="273" t="s">
        <v>2204</v>
      </c>
      <c r="P7" s="274" t="s">
        <v>3585</v>
      </c>
    </row>
    <row r="8" spans="1:16" s="274" customFormat="1">
      <c r="B8" s="275"/>
    </row>
    <row r="9" spans="1:16" s="274" customFormat="1">
      <c r="A9" s="276"/>
      <c r="B9" s="277" t="e">
        <f ca="1">INDIRECT("Лісництва[Підрозділ]")</f>
        <v>#VALUE!</v>
      </c>
    </row>
    <row r="10" spans="1:16" s="274" customFormat="1">
      <c r="A10" s="276"/>
      <c r="B10" s="278"/>
      <c r="C10" s="274">
        <f>VLOOKUP(B2,Лісництва[[#All],[Підрозділ]:[01.фев]],2,FALSE)</f>
        <v>1</v>
      </c>
    </row>
    <row r="11" spans="1:16" s="274" customFormat="1">
      <c r="A11" s="276"/>
      <c r="B11" s="279"/>
    </row>
    <row r="12" spans="1:16" s="274" customFormat="1">
      <c r="A12" s="276"/>
      <c r="B12" s="278"/>
    </row>
    <row r="13" spans="1:16" s="274" customFormat="1">
      <c r="A13" s="276"/>
      <c r="B13" s="279"/>
    </row>
    <row r="14" spans="1:16" s="274" customFormat="1">
      <c r="A14" s="276"/>
      <c r="B14" s="278"/>
    </row>
    <row r="15" spans="1:16" s="274" customFormat="1">
      <c r="A15" s="276"/>
      <c r="B15" s="279"/>
    </row>
    <row r="16" spans="1:16" s="274" customFormat="1">
      <c r="A16" s="276"/>
      <c r="B16" s="279"/>
    </row>
    <row r="17" spans="1:3" s="274" customFormat="1">
      <c r="A17" s="276"/>
      <c r="B17" s="278"/>
    </row>
    <row r="18" spans="1:3" s="274" customFormat="1">
      <c r="A18" s="276"/>
      <c r="B18" s="279"/>
    </row>
    <row r="19" spans="1:3" s="274" customFormat="1">
      <c r="A19" s="276"/>
      <c r="B19" s="279"/>
    </row>
    <row r="20" spans="1:3" s="274" customFormat="1">
      <c r="A20" s="276"/>
      <c r="B20" s="278"/>
    </row>
    <row r="21" spans="1:3" s="274" customFormat="1">
      <c r="A21" s="276"/>
      <c r="B21" s="278"/>
    </row>
    <row r="22" spans="1:3" s="274" customFormat="1">
      <c r="A22" s="276"/>
      <c r="B22" s="278"/>
    </row>
    <row r="23" spans="1:3" s="274" customFormat="1">
      <c r="A23" s="276"/>
      <c r="B23" s="278"/>
      <c r="C23" s="276"/>
    </row>
    <row r="24" spans="1:3" s="274" customFormat="1">
      <c r="A24" s="276"/>
      <c r="B24" s="279"/>
      <c r="C24" s="276"/>
    </row>
    <row r="25" spans="1:3" s="274" customFormat="1">
      <c r="A25" s="276"/>
      <c r="B25" s="279"/>
      <c r="C25" s="276"/>
    </row>
    <row r="26" spans="1:3" s="274" customFormat="1">
      <c r="A26" s="276"/>
      <c r="B26" s="279"/>
    </row>
    <row r="27" spans="1:3" s="274" customFormat="1">
      <c r="A27" s="276"/>
      <c r="B27" s="279"/>
    </row>
    <row r="28" spans="1:3" s="274" customFormat="1">
      <c r="A28" s="276"/>
      <c r="B28" s="279"/>
    </row>
    <row r="29" spans="1:3" s="274" customFormat="1">
      <c r="A29" s="276"/>
      <c r="B29" s="279"/>
    </row>
    <row r="30" spans="1:3" s="274" customFormat="1" ht="12.75" customHeight="1">
      <c r="A30" s="276"/>
      <c r="B30" s="279"/>
    </row>
    <row r="31" spans="1:3" ht="12.75" customHeight="1">
      <c r="A31" s="246"/>
    </row>
    <row r="32" spans="1:3" ht="12.75" customHeight="1">
      <c r="A32" s="246"/>
    </row>
    <row r="33" spans="1:2" ht="12.75" customHeight="1">
      <c r="A33" s="246"/>
    </row>
    <row r="34" spans="1:2" ht="12.75" customHeight="1">
      <c r="A34" s="246"/>
      <c r="B34" s="280"/>
    </row>
    <row r="35" spans="1:2" ht="12.75" customHeight="1">
      <c r="A35" s="246"/>
    </row>
    <row r="36" spans="1:2" ht="12.75" customHeight="1">
      <c r="A36" s="246"/>
    </row>
    <row r="37" spans="1:2" ht="12.75" customHeight="1">
      <c r="A37" s="246"/>
    </row>
  </sheetData>
  <dataValidations count="2">
    <dataValidation type="list" allowBlank="1" showInputMessage="1" showErrorMessage="1" sqref="H2:H7">
      <formula1>INDIRECT("Виконавец[Сокр]")</formula1>
    </dataValidation>
    <dataValidation type="list" allowBlank="1" showInputMessage="1" showErrorMessage="1" sqref="P2:P7">
      <formula1>INDIRECT("Тендер[Тендер]")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4">
    <tabColor rgb="FF00B050"/>
  </sheetPr>
  <dimension ref="A1:D11"/>
  <sheetViews>
    <sheetView workbookViewId="0">
      <selection activeCell="C10" sqref="C10"/>
    </sheetView>
  </sheetViews>
  <sheetFormatPr defaultRowHeight="12.75"/>
  <cols>
    <col min="1" max="1" width="10.28515625" style="187" customWidth="1"/>
    <col min="2" max="2" width="43" style="187" customWidth="1"/>
    <col min="3" max="3" width="57.5703125" style="187" customWidth="1"/>
    <col min="4" max="4" width="18.5703125" style="187" customWidth="1"/>
    <col min="5" max="16384" width="9.140625" style="187"/>
  </cols>
  <sheetData>
    <row r="1" spans="1:4">
      <c r="A1" s="187" t="s">
        <v>3578</v>
      </c>
      <c r="B1" s="187" t="s">
        <v>3581</v>
      </c>
      <c r="C1" s="187" t="s">
        <v>68</v>
      </c>
      <c r="D1" s="187" t="s">
        <v>3582</v>
      </c>
    </row>
    <row r="2" spans="1:4" ht="15">
      <c r="A2" s="187" t="s">
        <v>3584</v>
      </c>
      <c r="B2" s="199">
        <v>42934</v>
      </c>
      <c r="C2" s="183" t="s">
        <v>2165</v>
      </c>
      <c r="D2" s="187">
        <v>350000</v>
      </c>
    </row>
    <row r="3" spans="1:4">
      <c r="A3" s="187" t="s">
        <v>3585</v>
      </c>
      <c r="B3" s="199">
        <v>42934</v>
      </c>
      <c r="C3" s="199" t="s">
        <v>2204</v>
      </c>
      <c r="D3" s="187">
        <v>250000</v>
      </c>
    </row>
    <row r="4" spans="1:4">
      <c r="A4" s="187" t="s">
        <v>3583</v>
      </c>
      <c r="B4" s="199">
        <v>43102</v>
      </c>
      <c r="C4" s="601" t="s">
        <v>3424</v>
      </c>
    </row>
    <row r="5" spans="1:4">
      <c r="A5" s="209" t="s">
        <v>4238</v>
      </c>
      <c r="B5" s="741">
        <v>43252</v>
      </c>
      <c r="C5" s="741" t="s">
        <v>4245</v>
      </c>
    </row>
    <row r="11" spans="1:4">
      <c r="A11" s="187" t="e">
        <f ca="1">INDIRECT("Тендер[Тендер]")</f>
        <v>#VALUE!</v>
      </c>
    </row>
  </sheetData>
  <dataConsolidate link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4"/>
  <sheetViews>
    <sheetView workbookViewId="0">
      <selection activeCell="B11" sqref="B11"/>
    </sheetView>
  </sheetViews>
  <sheetFormatPr defaultRowHeight="15"/>
  <cols>
    <col min="1" max="1" width="11.140625" bestFit="1" customWidth="1"/>
    <col min="2" max="2" width="13.85546875" customWidth="1"/>
    <col min="3" max="3" width="11.140625" bestFit="1" customWidth="1"/>
  </cols>
  <sheetData>
    <row r="1" spans="1:3">
      <c r="A1" s="149" t="s">
        <v>2295</v>
      </c>
      <c r="B1" s="149" t="s">
        <v>2296</v>
      </c>
      <c r="C1" s="149"/>
    </row>
    <row r="2" spans="1:3">
      <c r="A2" s="149" t="s">
        <v>2295</v>
      </c>
      <c r="B2" s="149" t="s">
        <v>2239</v>
      </c>
      <c r="C2" s="149"/>
    </row>
    <row r="3" spans="1:3">
      <c r="A3" s="149" t="s">
        <v>2296</v>
      </c>
      <c r="B3" s="149" t="s">
        <v>2292</v>
      </c>
    </row>
    <row r="4" spans="1:3">
      <c r="A4" s="149" t="s">
        <v>2297</v>
      </c>
      <c r="B4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C2"/>
  <sheetViews>
    <sheetView workbookViewId="0">
      <selection activeCell="B11" sqref="B11"/>
    </sheetView>
  </sheetViews>
  <sheetFormatPr defaultRowHeight="15"/>
  <cols>
    <col min="1" max="1" width="12.85546875" bestFit="1" customWidth="1"/>
    <col min="2" max="2" width="13.85546875" bestFit="1" customWidth="1"/>
    <col min="3" max="3" width="12.85546875" bestFit="1" customWidth="1"/>
  </cols>
  <sheetData>
    <row r="1" spans="1:3">
      <c r="A1" s="149" t="s">
        <v>3102</v>
      </c>
      <c r="B1" s="149" t="s">
        <v>3103</v>
      </c>
      <c r="C1" s="149" t="s">
        <v>3104</v>
      </c>
    </row>
    <row r="2" spans="1:3">
      <c r="A2" s="149" t="s">
        <v>2239</v>
      </c>
      <c r="B2" s="149" t="s">
        <v>2292</v>
      </c>
      <c r="C2" s="149" t="s">
        <v>3101</v>
      </c>
    </row>
  </sheetData>
  <pageMargins left="0.7" right="0.7" top="0.75" bottom="0.75" header="0.3" footer="0.3"/>
  <tableParts count="1">
    <tablePart r:id="rId1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rgb="FF7030A0"/>
  </sheetPr>
  <dimension ref="A1:G2"/>
  <sheetViews>
    <sheetView workbookViewId="0">
      <selection activeCell="B11" sqref="B11"/>
    </sheetView>
  </sheetViews>
  <sheetFormatPr defaultRowHeight="15"/>
  <cols>
    <col min="1" max="1" width="6.5703125" customWidth="1"/>
    <col min="2" max="5" width="12.7109375" customWidth="1"/>
    <col min="6" max="6" width="10.5703125" customWidth="1"/>
    <col min="7" max="7" width="11.85546875" customWidth="1"/>
  </cols>
  <sheetData>
    <row r="1" spans="1:7">
      <c r="A1" s="149" t="s">
        <v>2135</v>
      </c>
      <c r="B1" s="149" t="s">
        <v>3102</v>
      </c>
      <c r="C1" s="149" t="s">
        <v>3103</v>
      </c>
      <c r="D1" s="149" t="s">
        <v>3104</v>
      </c>
      <c r="E1" s="149" t="s">
        <v>3105</v>
      </c>
      <c r="F1" s="149" t="s">
        <v>3106</v>
      </c>
      <c r="G1" s="149" t="s">
        <v>863</v>
      </c>
    </row>
    <row r="2" spans="1:7">
      <c r="A2" s="149"/>
      <c r="B2" s="149"/>
      <c r="C2" s="149"/>
      <c r="D2" s="149"/>
      <c r="E2" s="149"/>
      <c r="F2" s="149"/>
      <c r="G2" s="149"/>
    </row>
  </sheetData>
  <pageMargins left="0.7" right="0.7" top="0.75" bottom="0.75" header="0.3" footer="0.3"/>
  <tableParts count="1">
    <tablePart r:id="rId1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rgb="FF7030A0"/>
  </sheetPr>
  <dimension ref="B1:B14"/>
  <sheetViews>
    <sheetView workbookViewId="0">
      <selection activeCell="B11" sqref="B11"/>
    </sheetView>
  </sheetViews>
  <sheetFormatPr defaultRowHeight="15"/>
  <cols>
    <col min="1" max="1" width="25" customWidth="1"/>
  </cols>
  <sheetData>
    <row r="1" spans="2:2">
      <c r="B1" t="s">
        <v>3731</v>
      </c>
    </row>
    <row r="2" spans="2:2" ht="15.75">
      <c r="B2" s="628" t="s">
        <v>3727</v>
      </c>
    </row>
    <row r="3" spans="2:2">
      <c r="B3" t="s">
        <v>3732</v>
      </c>
    </row>
    <row r="4" spans="2:2">
      <c r="B4" t="s">
        <v>3733</v>
      </c>
    </row>
    <row r="5" spans="2:2">
      <c r="B5" t="s">
        <v>3734</v>
      </c>
    </row>
    <row r="6" spans="2:2">
      <c r="B6" t="s">
        <v>3735</v>
      </c>
    </row>
    <row r="7" spans="2:2">
      <c r="B7" t="s">
        <v>3736</v>
      </c>
    </row>
    <row r="8" spans="2:2">
      <c r="B8" t="s">
        <v>3737</v>
      </c>
    </row>
    <row r="9" spans="2:2">
      <c r="B9" t="s">
        <v>3738</v>
      </c>
    </row>
    <row r="10" spans="2:2" ht="31.5">
      <c r="B10" s="631" t="s">
        <v>3739</v>
      </c>
    </row>
    <row r="11" spans="2:2" ht="63">
      <c r="B11" s="629" t="s">
        <v>3740</v>
      </c>
    </row>
    <row r="12" spans="2:2" ht="47.25">
      <c r="B12" s="630" t="s">
        <v>3728</v>
      </c>
    </row>
    <row r="13" spans="2:2" ht="31.5">
      <c r="B13" s="631" t="s">
        <v>3729</v>
      </c>
    </row>
    <row r="14" spans="2:2" ht="47.25">
      <c r="B14" s="631" t="s">
        <v>3730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rgb="FF7030A0"/>
  </sheetPr>
  <dimension ref="A1"/>
  <sheetViews>
    <sheetView workbookViewId="0">
      <selection activeCell="B11" sqref="B11"/>
    </sheetView>
  </sheetViews>
  <sheetFormatPr defaultRowHeight="1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rgb="FF7030A0"/>
  </sheetPr>
  <dimension ref="A1:L2"/>
  <sheetViews>
    <sheetView workbookViewId="0">
      <selection activeCell="B11" sqref="B11"/>
    </sheetView>
  </sheetViews>
  <sheetFormatPr defaultRowHeight="15"/>
  <cols>
    <col min="1" max="1" width="10.42578125" customWidth="1"/>
    <col min="2" max="2" width="15" customWidth="1"/>
    <col min="3" max="3" width="18" customWidth="1"/>
    <col min="4" max="4" width="9.42578125" customWidth="1"/>
    <col min="5" max="5" width="11.140625" customWidth="1"/>
    <col min="6" max="6" width="14" customWidth="1"/>
    <col min="7" max="7" width="18.5703125" customWidth="1"/>
    <col min="8" max="8" width="18.28515625" customWidth="1"/>
    <col min="9" max="9" width="6.5703125" customWidth="1"/>
    <col min="10" max="10" width="23.85546875" customWidth="1"/>
    <col min="11" max="11" width="12" customWidth="1"/>
    <col min="12" max="12" width="6.42578125" customWidth="1"/>
  </cols>
  <sheetData>
    <row r="1" spans="1:12">
      <c r="A1" s="149" t="s">
        <v>117</v>
      </c>
      <c r="B1" s="149" t="s">
        <v>119</v>
      </c>
      <c r="C1" s="149" t="s">
        <v>120</v>
      </c>
      <c r="D1" s="149" t="s">
        <v>57</v>
      </c>
      <c r="E1" s="149" t="s">
        <v>868</v>
      </c>
      <c r="F1" s="149" t="s">
        <v>68</v>
      </c>
      <c r="G1" s="149" t="s">
        <v>867</v>
      </c>
      <c r="H1" s="149" t="s">
        <v>2134</v>
      </c>
      <c r="I1" s="149" t="s">
        <v>2135</v>
      </c>
      <c r="J1" s="149" t="s">
        <v>2136</v>
      </c>
      <c r="K1" s="149" t="s">
        <v>2137</v>
      </c>
      <c r="L1" s="149" t="s">
        <v>2138</v>
      </c>
    </row>
    <row r="2" spans="1:12">
      <c r="A2" s="149"/>
      <c r="B2" s="281"/>
      <c r="C2" s="281"/>
      <c r="D2" s="149"/>
      <c r="E2" s="149"/>
      <c r="F2" s="149"/>
      <c r="G2" s="149"/>
      <c r="H2" s="149"/>
      <c r="I2" s="149"/>
      <c r="J2" s="149"/>
      <c r="K2" s="149"/>
      <c r="L2" s="149"/>
    </row>
  </sheetData>
  <pageMargins left="0.7" right="0.7" top="0.75" bottom="0.75" header="0.3" footer="0.3"/>
  <tableParts count="1">
    <tablePart r:id="rId1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rgb="FF7030A0"/>
  </sheetPr>
  <dimension ref="A1:M837"/>
  <sheetViews>
    <sheetView topLeftCell="A852" workbookViewId="0">
      <selection activeCell="C868" sqref="C868"/>
    </sheetView>
  </sheetViews>
  <sheetFormatPr defaultRowHeight="15"/>
  <cols>
    <col min="1" max="1" width="17.85546875" customWidth="1"/>
    <col min="2" max="2" width="27.85546875" customWidth="1"/>
    <col min="3" max="3" width="20.5703125" customWidth="1"/>
    <col min="4" max="4" width="9.5703125" bestFit="1" customWidth="1"/>
    <col min="5" max="5" width="15.140625" bestFit="1" customWidth="1"/>
    <col min="6" max="6" width="18.140625" bestFit="1" customWidth="1"/>
    <col min="7" max="8" width="9.5703125" bestFit="1" customWidth="1"/>
    <col min="9" max="9" width="11.7109375" bestFit="1" customWidth="1"/>
    <col min="10" max="10" width="16.140625" bestFit="1" customWidth="1"/>
    <col min="11" max="11" width="27.28515625" bestFit="1" customWidth="1"/>
    <col min="12" max="13" width="12" bestFit="1" customWidth="1"/>
  </cols>
  <sheetData>
    <row r="1" spans="1:13">
      <c r="A1" s="149" t="s">
        <v>54</v>
      </c>
      <c r="B1" s="149" t="s">
        <v>58</v>
      </c>
      <c r="C1" s="149" t="s">
        <v>117</v>
      </c>
      <c r="D1" s="149" t="s">
        <v>118</v>
      </c>
      <c r="E1" s="149" t="s">
        <v>119</v>
      </c>
      <c r="F1" s="149" t="s">
        <v>120</v>
      </c>
      <c r="G1" s="149" t="s">
        <v>57</v>
      </c>
      <c r="H1" s="149" t="s">
        <v>121</v>
      </c>
      <c r="I1" s="149" t="s">
        <v>122</v>
      </c>
      <c r="J1" s="149" t="s">
        <v>123</v>
      </c>
      <c r="K1" s="149" t="s">
        <v>868</v>
      </c>
      <c r="L1" s="149"/>
      <c r="M1" s="149"/>
    </row>
    <row r="2" spans="1:13" hidden="1">
      <c r="A2" s="149" t="s">
        <v>112</v>
      </c>
      <c r="B2" s="149" t="s">
        <v>134</v>
      </c>
      <c r="C2" s="149" t="s">
        <v>340</v>
      </c>
      <c r="D2" s="149">
        <v>240</v>
      </c>
      <c r="E2" s="281">
        <v>42373</v>
      </c>
      <c r="F2" s="281">
        <v>42735</v>
      </c>
      <c r="G2" s="149">
        <v>1.2</v>
      </c>
      <c r="H2" s="149"/>
      <c r="I2" s="149">
        <v>2</v>
      </c>
      <c r="J2" s="149">
        <v>2</v>
      </c>
      <c r="K2" s="149" t="s">
        <v>1722</v>
      </c>
      <c r="L2" s="149"/>
      <c r="M2" s="150" t="s">
        <v>54</v>
      </c>
    </row>
    <row r="3" spans="1:13" hidden="1">
      <c r="A3" s="149" t="s">
        <v>116</v>
      </c>
      <c r="B3" s="149" t="s">
        <v>126</v>
      </c>
      <c r="C3" s="149" t="s">
        <v>671</v>
      </c>
      <c r="D3" s="149">
        <v>141195</v>
      </c>
      <c r="E3" s="281">
        <v>42821</v>
      </c>
      <c r="F3" s="281">
        <v>43100</v>
      </c>
      <c r="G3" s="149">
        <v>1.1000000000000001</v>
      </c>
      <c r="H3" s="149">
        <v>3</v>
      </c>
      <c r="I3" s="149">
        <v>22</v>
      </c>
      <c r="J3" s="149">
        <v>28</v>
      </c>
      <c r="K3" s="149" t="s">
        <v>1452</v>
      </c>
      <c r="L3" s="149"/>
      <c r="M3" s="151" t="s">
        <v>58</v>
      </c>
    </row>
    <row r="4" spans="1:13" hidden="1">
      <c r="A4" s="149" t="s">
        <v>116</v>
      </c>
      <c r="B4" s="149" t="s">
        <v>126</v>
      </c>
      <c r="C4" s="149" t="s">
        <v>690</v>
      </c>
      <c r="D4" s="149">
        <v>141195</v>
      </c>
      <c r="E4" s="281">
        <v>42821</v>
      </c>
      <c r="F4" s="281">
        <v>43100</v>
      </c>
      <c r="G4" s="149">
        <v>1.9</v>
      </c>
      <c r="H4" s="149">
        <v>4</v>
      </c>
      <c r="I4" s="149">
        <v>25</v>
      </c>
      <c r="J4" s="149">
        <v>34</v>
      </c>
      <c r="K4" s="149" t="s">
        <v>1478</v>
      </c>
      <c r="L4" s="149"/>
      <c r="M4" s="151" t="s">
        <v>117</v>
      </c>
    </row>
    <row r="5" spans="1:13" hidden="1">
      <c r="A5" s="149" t="s">
        <v>116</v>
      </c>
      <c r="B5" s="149" t="s">
        <v>126</v>
      </c>
      <c r="C5" s="149" t="s">
        <v>616</v>
      </c>
      <c r="D5" s="149">
        <v>141195</v>
      </c>
      <c r="E5" s="281">
        <v>42821</v>
      </c>
      <c r="F5" s="281">
        <v>43100</v>
      </c>
      <c r="G5" s="149">
        <v>3.2</v>
      </c>
      <c r="H5" s="149">
        <v>7</v>
      </c>
      <c r="I5" s="149">
        <v>58</v>
      </c>
      <c r="J5" s="149">
        <v>76</v>
      </c>
      <c r="K5" s="149" t="s">
        <v>1384</v>
      </c>
      <c r="L5" s="149"/>
      <c r="M5" s="151" t="s">
        <v>118</v>
      </c>
    </row>
    <row r="6" spans="1:13" hidden="1">
      <c r="A6" s="149" t="s">
        <v>116</v>
      </c>
      <c r="B6" s="149" t="s">
        <v>126</v>
      </c>
      <c r="C6" s="149" t="s">
        <v>707</v>
      </c>
      <c r="D6" s="149">
        <v>141195</v>
      </c>
      <c r="E6" s="281">
        <v>42821</v>
      </c>
      <c r="F6" s="281">
        <v>43100</v>
      </c>
      <c r="G6" s="149">
        <v>5</v>
      </c>
      <c r="H6" s="149">
        <v>17</v>
      </c>
      <c r="I6" s="149">
        <v>143</v>
      </c>
      <c r="J6" s="149">
        <v>186</v>
      </c>
      <c r="K6" s="149" t="s">
        <v>1500</v>
      </c>
      <c r="L6" s="149"/>
      <c r="M6" s="151" t="s">
        <v>119</v>
      </c>
    </row>
    <row r="7" spans="1:13" hidden="1">
      <c r="A7" s="149" t="s">
        <v>116</v>
      </c>
      <c r="B7" s="149" t="s">
        <v>126</v>
      </c>
      <c r="C7" s="149" t="s">
        <v>230</v>
      </c>
      <c r="D7" s="149">
        <v>141195</v>
      </c>
      <c r="E7" s="281">
        <v>42821</v>
      </c>
      <c r="F7" s="281">
        <v>43100</v>
      </c>
      <c r="G7" s="149">
        <v>5.0999999999999996</v>
      </c>
      <c r="H7" s="149">
        <v>17</v>
      </c>
      <c r="I7" s="149">
        <v>76</v>
      </c>
      <c r="J7" s="149">
        <v>107</v>
      </c>
      <c r="K7" s="149" t="s">
        <v>1496</v>
      </c>
      <c r="L7" s="149"/>
      <c r="M7" s="151" t="s">
        <v>120</v>
      </c>
    </row>
    <row r="8" spans="1:13" hidden="1">
      <c r="A8" s="149" t="s">
        <v>116</v>
      </c>
      <c r="B8" s="149" t="s">
        <v>128</v>
      </c>
      <c r="C8" s="149" t="s">
        <v>684</v>
      </c>
      <c r="D8" s="149">
        <v>435276</v>
      </c>
      <c r="E8" s="281">
        <v>42354</v>
      </c>
      <c r="F8" s="281">
        <v>42735</v>
      </c>
      <c r="G8" s="149">
        <v>1.1000000000000001</v>
      </c>
      <c r="H8" s="149">
        <v>85</v>
      </c>
      <c r="I8" s="149">
        <v>324</v>
      </c>
      <c r="J8" s="149">
        <v>409</v>
      </c>
      <c r="K8" s="149" t="s">
        <v>1724</v>
      </c>
      <c r="L8" s="149"/>
      <c r="M8" s="149"/>
    </row>
    <row r="9" spans="1:13" hidden="1">
      <c r="A9" s="149" t="s">
        <v>116</v>
      </c>
      <c r="B9" s="149" t="s">
        <v>128</v>
      </c>
      <c r="C9" s="149" t="s">
        <v>676</v>
      </c>
      <c r="D9" s="149">
        <v>435276</v>
      </c>
      <c r="E9" s="281">
        <v>42354</v>
      </c>
      <c r="F9" s="281">
        <v>42735</v>
      </c>
      <c r="G9" s="149">
        <v>2.9</v>
      </c>
      <c r="H9" s="149">
        <v>328</v>
      </c>
      <c r="I9" s="149">
        <v>521</v>
      </c>
      <c r="J9" s="149">
        <v>849</v>
      </c>
      <c r="K9" s="149" t="s">
        <v>1725</v>
      </c>
      <c r="L9" s="149"/>
      <c r="M9" s="149"/>
    </row>
    <row r="10" spans="1:13" hidden="1">
      <c r="A10" s="149" t="s">
        <v>116</v>
      </c>
      <c r="B10" s="149" t="s">
        <v>128</v>
      </c>
      <c r="C10" s="149" t="s">
        <v>705</v>
      </c>
      <c r="D10" s="149">
        <v>435276</v>
      </c>
      <c r="E10" s="281">
        <v>42354</v>
      </c>
      <c r="F10" s="281">
        <v>42735</v>
      </c>
      <c r="G10" s="149">
        <v>1.5</v>
      </c>
      <c r="H10" s="149">
        <v>163</v>
      </c>
      <c r="I10" s="149">
        <v>227</v>
      </c>
      <c r="J10" s="149">
        <v>390</v>
      </c>
      <c r="K10" s="149" t="s">
        <v>1729</v>
      </c>
      <c r="L10" s="149"/>
      <c r="M10" s="149"/>
    </row>
    <row r="11" spans="1:13" hidden="1">
      <c r="A11" s="149" t="s">
        <v>116</v>
      </c>
      <c r="B11" s="149" t="s">
        <v>128</v>
      </c>
      <c r="C11" s="149" t="s">
        <v>712</v>
      </c>
      <c r="D11" s="149">
        <v>435276</v>
      </c>
      <c r="E11" s="281">
        <v>42354</v>
      </c>
      <c r="F11" s="281">
        <v>42735</v>
      </c>
      <c r="G11" s="149">
        <v>3</v>
      </c>
      <c r="H11" s="149">
        <v>284</v>
      </c>
      <c r="I11" s="149">
        <v>636</v>
      </c>
      <c r="J11" s="149">
        <v>920</v>
      </c>
      <c r="K11" s="149" t="s">
        <v>1723</v>
      </c>
      <c r="L11" s="149"/>
      <c r="M11" s="149"/>
    </row>
    <row r="12" spans="1:13" hidden="1">
      <c r="A12" s="149" t="s">
        <v>116</v>
      </c>
      <c r="B12" s="149" t="s">
        <v>128</v>
      </c>
      <c r="C12" s="149" t="s">
        <v>706</v>
      </c>
      <c r="D12" s="149">
        <v>435276</v>
      </c>
      <c r="E12" s="281">
        <v>42354</v>
      </c>
      <c r="F12" s="281">
        <v>42735</v>
      </c>
      <c r="G12" s="149">
        <v>1.2</v>
      </c>
      <c r="H12" s="149">
        <v>170</v>
      </c>
      <c r="I12" s="149">
        <v>43</v>
      </c>
      <c r="J12" s="149">
        <v>213</v>
      </c>
      <c r="K12" s="149" t="s">
        <v>1728</v>
      </c>
      <c r="L12" s="149"/>
      <c r="M12" s="149"/>
    </row>
    <row r="13" spans="1:13" hidden="1">
      <c r="A13" s="149" t="s">
        <v>116</v>
      </c>
      <c r="B13" s="149" t="s">
        <v>128</v>
      </c>
      <c r="C13" s="149" t="s">
        <v>688</v>
      </c>
      <c r="D13" s="149">
        <v>435276</v>
      </c>
      <c r="E13" s="281">
        <v>42354</v>
      </c>
      <c r="F13" s="281">
        <v>42735</v>
      </c>
      <c r="G13" s="149">
        <v>2.7</v>
      </c>
      <c r="H13" s="149">
        <v>469</v>
      </c>
      <c r="I13" s="149">
        <v>245</v>
      </c>
      <c r="J13" s="149">
        <v>714</v>
      </c>
      <c r="K13" s="149" t="s">
        <v>1726</v>
      </c>
      <c r="L13" s="149"/>
      <c r="M13" s="149"/>
    </row>
    <row r="14" spans="1:13" hidden="1">
      <c r="A14" s="149" t="s">
        <v>116</v>
      </c>
      <c r="B14" s="149" t="s">
        <v>128</v>
      </c>
      <c r="C14" s="149" t="s">
        <v>685</v>
      </c>
      <c r="D14" s="149">
        <v>435276</v>
      </c>
      <c r="E14" s="281">
        <v>42354</v>
      </c>
      <c r="F14" s="281">
        <v>42735</v>
      </c>
      <c r="G14" s="149">
        <v>2</v>
      </c>
      <c r="H14" s="149">
        <v>182</v>
      </c>
      <c r="I14" s="149">
        <v>320</v>
      </c>
      <c r="J14" s="149">
        <v>502</v>
      </c>
      <c r="K14" s="149" t="s">
        <v>1732</v>
      </c>
      <c r="L14" s="149"/>
      <c r="M14" s="149"/>
    </row>
    <row r="15" spans="1:13" hidden="1">
      <c r="A15" s="149" t="s">
        <v>116</v>
      </c>
      <c r="B15" s="149" t="s">
        <v>128</v>
      </c>
      <c r="C15" s="149" t="s">
        <v>635</v>
      </c>
      <c r="D15" s="149">
        <v>435276</v>
      </c>
      <c r="E15" s="281">
        <v>42354</v>
      </c>
      <c r="F15" s="281">
        <v>42735</v>
      </c>
      <c r="G15" s="149">
        <v>4.2</v>
      </c>
      <c r="H15" s="149">
        <v>518</v>
      </c>
      <c r="I15" s="149">
        <v>573</v>
      </c>
      <c r="J15" s="149">
        <v>1091</v>
      </c>
      <c r="K15" s="149" t="s">
        <v>1730</v>
      </c>
      <c r="L15" s="149"/>
      <c r="M15" s="149"/>
    </row>
    <row r="16" spans="1:13" hidden="1">
      <c r="A16" s="149" t="s">
        <v>116</v>
      </c>
      <c r="B16" s="149" t="s">
        <v>128</v>
      </c>
      <c r="C16" s="149" t="s">
        <v>597</v>
      </c>
      <c r="D16" s="149">
        <v>435276</v>
      </c>
      <c r="E16" s="281">
        <v>42354</v>
      </c>
      <c r="F16" s="281">
        <v>42735</v>
      </c>
      <c r="G16" s="149">
        <v>2.9</v>
      </c>
      <c r="H16" s="149"/>
      <c r="I16" s="149">
        <v>721</v>
      </c>
      <c r="J16" s="149">
        <v>721</v>
      </c>
      <c r="K16" s="149" t="s">
        <v>1727</v>
      </c>
      <c r="L16" s="149"/>
      <c r="M16" s="149"/>
    </row>
    <row r="17" spans="1:13" hidden="1">
      <c r="A17" s="149" t="s">
        <v>116</v>
      </c>
      <c r="B17" s="149" t="s">
        <v>128</v>
      </c>
      <c r="C17" s="149" t="s">
        <v>622</v>
      </c>
      <c r="D17" s="149">
        <v>435276</v>
      </c>
      <c r="E17" s="281">
        <v>42354</v>
      </c>
      <c r="F17" s="281">
        <v>42735</v>
      </c>
      <c r="G17" s="149">
        <v>2.8</v>
      </c>
      <c r="H17" s="149">
        <v>182</v>
      </c>
      <c r="I17" s="149">
        <v>357</v>
      </c>
      <c r="J17" s="149">
        <v>539</v>
      </c>
      <c r="K17" s="149" t="s">
        <v>1731</v>
      </c>
      <c r="L17" s="149"/>
      <c r="M17" s="149"/>
    </row>
    <row r="18" spans="1:13" hidden="1">
      <c r="A18" s="149" t="s">
        <v>114</v>
      </c>
      <c r="B18" s="149" t="s">
        <v>128</v>
      </c>
      <c r="C18" s="149" t="s">
        <v>444</v>
      </c>
      <c r="D18" s="149">
        <v>435277</v>
      </c>
      <c r="E18" s="281">
        <v>42354</v>
      </c>
      <c r="F18" s="281">
        <v>42735</v>
      </c>
      <c r="G18" s="149">
        <v>2.2000000000000002</v>
      </c>
      <c r="H18" s="149"/>
      <c r="I18" s="149">
        <v>215</v>
      </c>
      <c r="J18" s="149">
        <v>215</v>
      </c>
      <c r="K18" s="149" t="s">
        <v>1736</v>
      </c>
      <c r="L18" s="149"/>
      <c r="M18" s="149"/>
    </row>
    <row r="19" spans="1:13" hidden="1">
      <c r="A19" s="149" t="s">
        <v>114</v>
      </c>
      <c r="B19" s="149" t="s">
        <v>128</v>
      </c>
      <c r="C19" s="149" t="s">
        <v>523</v>
      </c>
      <c r="D19" s="149">
        <v>435277</v>
      </c>
      <c r="E19" s="281">
        <v>42354</v>
      </c>
      <c r="F19" s="281">
        <v>42735</v>
      </c>
      <c r="G19" s="149">
        <v>1</v>
      </c>
      <c r="H19" s="149">
        <v>131</v>
      </c>
      <c r="I19" s="149">
        <v>172</v>
      </c>
      <c r="J19" s="149">
        <v>303</v>
      </c>
      <c r="K19" s="149" t="s">
        <v>1734</v>
      </c>
      <c r="L19" s="149"/>
      <c r="M19" s="149"/>
    </row>
    <row r="20" spans="1:13" hidden="1">
      <c r="A20" s="149" t="s">
        <v>114</v>
      </c>
      <c r="B20" s="149" t="s">
        <v>128</v>
      </c>
      <c r="C20" s="149" t="s">
        <v>469</v>
      </c>
      <c r="D20" s="149">
        <v>435277</v>
      </c>
      <c r="E20" s="281">
        <v>42354</v>
      </c>
      <c r="F20" s="281">
        <v>42735</v>
      </c>
      <c r="G20" s="149">
        <v>4.0999999999999996</v>
      </c>
      <c r="H20" s="149">
        <v>861</v>
      </c>
      <c r="I20" s="149">
        <v>535</v>
      </c>
      <c r="J20" s="149">
        <v>1396</v>
      </c>
      <c r="K20" s="149" t="s">
        <v>1733</v>
      </c>
      <c r="L20" s="149"/>
      <c r="M20" s="149"/>
    </row>
    <row r="21" spans="1:13" hidden="1">
      <c r="A21" s="149" t="s">
        <v>114</v>
      </c>
      <c r="B21" s="149" t="s">
        <v>128</v>
      </c>
      <c r="C21" s="149" t="s">
        <v>461</v>
      </c>
      <c r="D21" s="149">
        <v>435277</v>
      </c>
      <c r="E21" s="281">
        <v>42354</v>
      </c>
      <c r="F21" s="281">
        <v>42735</v>
      </c>
      <c r="G21" s="149">
        <v>2.4</v>
      </c>
      <c r="H21" s="149">
        <v>134</v>
      </c>
      <c r="I21" s="149">
        <v>454</v>
      </c>
      <c r="J21" s="149">
        <v>588</v>
      </c>
      <c r="K21" s="149" t="s">
        <v>1737</v>
      </c>
      <c r="L21" s="149"/>
      <c r="M21" s="149"/>
    </row>
    <row r="22" spans="1:13" hidden="1">
      <c r="A22" s="149" t="s">
        <v>114</v>
      </c>
      <c r="B22" s="149" t="s">
        <v>128</v>
      </c>
      <c r="C22" s="149" t="s">
        <v>454</v>
      </c>
      <c r="D22" s="149">
        <v>435277</v>
      </c>
      <c r="E22" s="281">
        <v>42354</v>
      </c>
      <c r="F22" s="281">
        <v>42735</v>
      </c>
      <c r="G22" s="149">
        <v>3.9</v>
      </c>
      <c r="H22" s="149">
        <v>866</v>
      </c>
      <c r="I22" s="149">
        <v>386</v>
      </c>
      <c r="J22" s="149">
        <v>1252</v>
      </c>
      <c r="K22" s="149" t="s">
        <v>1735</v>
      </c>
      <c r="L22" s="149"/>
      <c r="M22" s="149"/>
    </row>
    <row r="23" spans="1:13" hidden="1">
      <c r="A23" s="149" t="s">
        <v>113</v>
      </c>
      <c r="B23" s="149" t="s">
        <v>128</v>
      </c>
      <c r="C23" s="149" t="s">
        <v>227</v>
      </c>
      <c r="D23" s="149">
        <v>435278</v>
      </c>
      <c r="E23" s="281">
        <v>42354</v>
      </c>
      <c r="F23" s="281">
        <v>42735</v>
      </c>
      <c r="G23" s="149">
        <v>4</v>
      </c>
      <c r="H23" s="149">
        <v>353</v>
      </c>
      <c r="I23" s="149">
        <v>719</v>
      </c>
      <c r="J23" s="149">
        <v>1072</v>
      </c>
      <c r="K23" s="149" t="s">
        <v>1739</v>
      </c>
      <c r="L23" s="149"/>
      <c r="M23" s="149"/>
    </row>
    <row r="24" spans="1:13" hidden="1">
      <c r="A24" s="149" t="s">
        <v>113</v>
      </c>
      <c r="B24" s="149" t="s">
        <v>128</v>
      </c>
      <c r="C24" s="149" t="s">
        <v>148</v>
      </c>
      <c r="D24" s="149">
        <v>435278</v>
      </c>
      <c r="E24" s="281">
        <v>42354</v>
      </c>
      <c r="F24" s="281">
        <v>42735</v>
      </c>
      <c r="G24" s="149">
        <v>4.9000000000000004</v>
      </c>
      <c r="H24" s="149">
        <v>394</v>
      </c>
      <c r="I24" s="149">
        <v>715</v>
      </c>
      <c r="J24" s="149">
        <v>1109</v>
      </c>
      <c r="K24" s="149" t="s">
        <v>1745</v>
      </c>
      <c r="L24" s="149"/>
      <c r="M24" s="149"/>
    </row>
    <row r="25" spans="1:13" hidden="1">
      <c r="A25" s="149" t="s">
        <v>113</v>
      </c>
      <c r="B25" s="149" t="s">
        <v>128</v>
      </c>
      <c r="C25" s="149" t="s">
        <v>211</v>
      </c>
      <c r="D25" s="149">
        <v>435278</v>
      </c>
      <c r="E25" s="281">
        <v>42354</v>
      </c>
      <c r="F25" s="281">
        <v>42735</v>
      </c>
      <c r="G25" s="149">
        <v>2.9</v>
      </c>
      <c r="H25" s="149">
        <v>158</v>
      </c>
      <c r="I25" s="149">
        <v>611</v>
      </c>
      <c r="J25" s="149">
        <v>769</v>
      </c>
      <c r="K25" s="149" t="s">
        <v>1742</v>
      </c>
      <c r="L25" s="149"/>
      <c r="M25" s="149"/>
    </row>
    <row r="26" spans="1:13" hidden="1">
      <c r="A26" s="149" t="s">
        <v>113</v>
      </c>
      <c r="B26" s="149" t="s">
        <v>128</v>
      </c>
      <c r="C26" s="149" t="s">
        <v>206</v>
      </c>
      <c r="D26" s="149">
        <v>435278</v>
      </c>
      <c r="E26" s="281">
        <v>42354</v>
      </c>
      <c r="F26" s="281">
        <v>42735</v>
      </c>
      <c r="G26" s="149">
        <v>3.2</v>
      </c>
      <c r="H26" s="149">
        <v>374</v>
      </c>
      <c r="I26" s="149">
        <v>585</v>
      </c>
      <c r="J26" s="149">
        <v>959</v>
      </c>
      <c r="K26" s="149" t="s">
        <v>1738</v>
      </c>
      <c r="L26" s="149"/>
      <c r="M26" s="149"/>
    </row>
    <row r="27" spans="1:13" hidden="1">
      <c r="A27" s="149" t="s">
        <v>113</v>
      </c>
      <c r="B27" s="149" t="s">
        <v>128</v>
      </c>
      <c r="C27" s="149" t="s">
        <v>150</v>
      </c>
      <c r="D27" s="149">
        <v>435278</v>
      </c>
      <c r="E27" s="281">
        <v>42354</v>
      </c>
      <c r="F27" s="281">
        <v>42735</v>
      </c>
      <c r="G27" s="149">
        <v>2.7</v>
      </c>
      <c r="H27" s="149">
        <v>142</v>
      </c>
      <c r="I27" s="149">
        <v>647</v>
      </c>
      <c r="J27" s="149">
        <v>789</v>
      </c>
      <c r="K27" s="149" t="s">
        <v>1744</v>
      </c>
      <c r="L27" s="149"/>
      <c r="M27" s="149"/>
    </row>
    <row r="28" spans="1:13" hidden="1">
      <c r="A28" s="149" t="s">
        <v>113</v>
      </c>
      <c r="B28" s="149" t="s">
        <v>128</v>
      </c>
      <c r="C28" s="149" t="s">
        <v>156</v>
      </c>
      <c r="D28" s="149">
        <v>435278</v>
      </c>
      <c r="E28" s="281">
        <v>42354</v>
      </c>
      <c r="F28" s="281">
        <v>42735</v>
      </c>
      <c r="G28" s="149">
        <v>2.2000000000000002</v>
      </c>
      <c r="H28" s="149"/>
      <c r="I28" s="149">
        <v>297</v>
      </c>
      <c r="J28" s="149">
        <v>297</v>
      </c>
      <c r="K28" s="149" t="s">
        <v>1743</v>
      </c>
      <c r="L28" s="149"/>
      <c r="M28" s="149"/>
    </row>
    <row r="29" spans="1:13" hidden="1">
      <c r="A29" s="149" t="s">
        <v>113</v>
      </c>
      <c r="B29" s="149" t="s">
        <v>128</v>
      </c>
      <c r="C29" s="149" t="s">
        <v>251</v>
      </c>
      <c r="D29" s="149">
        <v>435278</v>
      </c>
      <c r="E29" s="281">
        <v>42354</v>
      </c>
      <c r="F29" s="281">
        <v>42735</v>
      </c>
      <c r="G29" s="149">
        <v>3</v>
      </c>
      <c r="H29" s="149">
        <v>233</v>
      </c>
      <c r="I29" s="149">
        <v>396</v>
      </c>
      <c r="J29" s="149">
        <v>629</v>
      </c>
      <c r="K29" s="149" t="s">
        <v>1741</v>
      </c>
      <c r="L29" s="149"/>
      <c r="M29" s="149"/>
    </row>
    <row r="30" spans="1:13" hidden="1">
      <c r="A30" s="149" t="s">
        <v>113</v>
      </c>
      <c r="B30" s="149" t="s">
        <v>128</v>
      </c>
      <c r="C30" s="149" t="s">
        <v>241</v>
      </c>
      <c r="D30" s="149">
        <v>435278</v>
      </c>
      <c r="E30" s="281">
        <v>42354</v>
      </c>
      <c r="F30" s="281">
        <v>42735</v>
      </c>
      <c r="G30" s="149">
        <v>2.2999999999999998</v>
      </c>
      <c r="H30" s="149">
        <v>102</v>
      </c>
      <c r="I30" s="149">
        <v>426</v>
      </c>
      <c r="J30" s="149">
        <v>528</v>
      </c>
      <c r="K30" s="149" t="s">
        <v>1740</v>
      </c>
      <c r="L30" s="149"/>
      <c r="M30" s="149"/>
    </row>
    <row r="31" spans="1:13" hidden="1">
      <c r="A31" s="149" t="s">
        <v>111</v>
      </c>
      <c r="B31" s="149" t="s">
        <v>128</v>
      </c>
      <c r="C31" s="149" t="s">
        <v>269</v>
      </c>
      <c r="D31" s="149">
        <v>435280</v>
      </c>
      <c r="E31" s="281">
        <v>42354</v>
      </c>
      <c r="F31" s="281">
        <v>42735</v>
      </c>
      <c r="G31" s="149">
        <v>1.9</v>
      </c>
      <c r="H31" s="149">
        <v>36</v>
      </c>
      <c r="I31" s="149">
        <v>490</v>
      </c>
      <c r="J31" s="149">
        <v>526</v>
      </c>
      <c r="K31" s="149" t="s">
        <v>1750</v>
      </c>
      <c r="L31" s="149"/>
      <c r="M31" s="149"/>
    </row>
    <row r="32" spans="1:13" hidden="1">
      <c r="A32" s="149" t="s">
        <v>111</v>
      </c>
      <c r="B32" s="149" t="s">
        <v>128</v>
      </c>
      <c r="C32" s="149" t="s">
        <v>304</v>
      </c>
      <c r="D32" s="149">
        <v>435280</v>
      </c>
      <c r="E32" s="281">
        <v>42354</v>
      </c>
      <c r="F32" s="281">
        <v>42735</v>
      </c>
      <c r="G32" s="149">
        <v>1.3</v>
      </c>
      <c r="H32" s="149">
        <v>81</v>
      </c>
      <c r="I32" s="149">
        <v>403</v>
      </c>
      <c r="J32" s="149">
        <v>484</v>
      </c>
      <c r="K32" s="149" t="s">
        <v>1746</v>
      </c>
      <c r="L32" s="149"/>
      <c r="M32" s="149"/>
    </row>
    <row r="33" spans="1:13" hidden="1">
      <c r="A33" s="149" t="s">
        <v>111</v>
      </c>
      <c r="B33" s="149" t="s">
        <v>128</v>
      </c>
      <c r="C33" s="149" t="s">
        <v>286</v>
      </c>
      <c r="D33" s="149">
        <v>435280</v>
      </c>
      <c r="E33" s="281">
        <v>42354</v>
      </c>
      <c r="F33" s="281">
        <v>42735</v>
      </c>
      <c r="G33" s="149">
        <v>3</v>
      </c>
      <c r="H33" s="149">
        <v>395</v>
      </c>
      <c r="I33" s="149">
        <v>577</v>
      </c>
      <c r="J33" s="149">
        <v>972</v>
      </c>
      <c r="K33" s="149" t="s">
        <v>1748</v>
      </c>
      <c r="L33" s="149"/>
      <c r="M33" s="149"/>
    </row>
    <row r="34" spans="1:13" hidden="1">
      <c r="A34" s="149" t="s">
        <v>111</v>
      </c>
      <c r="B34" s="149" t="s">
        <v>128</v>
      </c>
      <c r="C34" s="149" t="s">
        <v>285</v>
      </c>
      <c r="D34" s="149">
        <v>435280</v>
      </c>
      <c r="E34" s="281">
        <v>42354</v>
      </c>
      <c r="F34" s="281">
        <v>42735</v>
      </c>
      <c r="G34" s="149">
        <v>2</v>
      </c>
      <c r="H34" s="149">
        <v>350</v>
      </c>
      <c r="I34" s="149">
        <v>407</v>
      </c>
      <c r="J34" s="149">
        <v>757</v>
      </c>
      <c r="K34" s="149" t="s">
        <v>1752</v>
      </c>
      <c r="L34" s="149"/>
      <c r="M34" s="149"/>
    </row>
    <row r="35" spans="1:13" hidden="1">
      <c r="A35" s="149" t="s">
        <v>111</v>
      </c>
      <c r="B35" s="149" t="s">
        <v>128</v>
      </c>
      <c r="C35" s="149" t="s">
        <v>276</v>
      </c>
      <c r="D35" s="149">
        <v>435280</v>
      </c>
      <c r="E35" s="281">
        <v>42354</v>
      </c>
      <c r="F35" s="281">
        <v>42735</v>
      </c>
      <c r="G35" s="149">
        <v>0.6</v>
      </c>
      <c r="H35" s="149">
        <v>24</v>
      </c>
      <c r="I35" s="149">
        <v>112</v>
      </c>
      <c r="J35" s="149">
        <v>136</v>
      </c>
      <c r="K35" s="149" t="s">
        <v>1751</v>
      </c>
      <c r="L35" s="149"/>
      <c r="M35" s="149"/>
    </row>
    <row r="36" spans="1:13" hidden="1">
      <c r="A36" s="149" t="s">
        <v>111</v>
      </c>
      <c r="B36" s="149" t="s">
        <v>128</v>
      </c>
      <c r="C36" s="149" t="s">
        <v>271</v>
      </c>
      <c r="D36" s="149">
        <v>435280</v>
      </c>
      <c r="E36" s="281">
        <v>42354</v>
      </c>
      <c r="F36" s="281">
        <v>42735</v>
      </c>
      <c r="G36" s="149">
        <v>0.7</v>
      </c>
      <c r="H36" s="149">
        <v>33</v>
      </c>
      <c r="I36" s="149">
        <v>196</v>
      </c>
      <c r="J36" s="149">
        <v>229</v>
      </c>
      <c r="K36" s="149" t="s">
        <v>1747</v>
      </c>
      <c r="L36" s="149"/>
      <c r="M36" s="149"/>
    </row>
    <row r="37" spans="1:13" hidden="1">
      <c r="A37" s="149" t="s">
        <v>111</v>
      </c>
      <c r="B37" s="149" t="s">
        <v>128</v>
      </c>
      <c r="C37" s="149" t="s">
        <v>289</v>
      </c>
      <c r="D37" s="149">
        <v>435280</v>
      </c>
      <c r="E37" s="281">
        <v>42354</v>
      </c>
      <c r="F37" s="281">
        <v>42735</v>
      </c>
      <c r="G37" s="149">
        <v>3.2</v>
      </c>
      <c r="H37" s="149">
        <v>446</v>
      </c>
      <c r="I37" s="149">
        <v>561</v>
      </c>
      <c r="J37" s="149">
        <v>1007</v>
      </c>
      <c r="K37" s="149" t="s">
        <v>1749</v>
      </c>
      <c r="L37" s="149"/>
      <c r="M37" s="149"/>
    </row>
    <row r="38" spans="1:13" hidden="1">
      <c r="A38" s="149" t="s">
        <v>115</v>
      </c>
      <c r="B38" s="149" t="s">
        <v>128</v>
      </c>
      <c r="C38" s="149" t="s">
        <v>804</v>
      </c>
      <c r="D38" s="149">
        <v>435281</v>
      </c>
      <c r="E38" s="281">
        <v>42354</v>
      </c>
      <c r="F38" s="281">
        <v>42855</v>
      </c>
      <c r="G38" s="149">
        <v>2.8</v>
      </c>
      <c r="H38" s="149">
        <v>385</v>
      </c>
      <c r="I38" s="149">
        <v>506</v>
      </c>
      <c r="J38" s="149">
        <v>891</v>
      </c>
      <c r="K38" s="149" t="s">
        <v>1753</v>
      </c>
      <c r="L38" s="149"/>
      <c r="M38" s="149"/>
    </row>
    <row r="39" spans="1:13" hidden="1">
      <c r="A39" s="149" t="s">
        <v>115</v>
      </c>
      <c r="B39" s="149" t="s">
        <v>128</v>
      </c>
      <c r="C39" s="149" t="s">
        <v>814</v>
      </c>
      <c r="D39" s="149">
        <v>435281</v>
      </c>
      <c r="E39" s="281">
        <v>42354</v>
      </c>
      <c r="F39" s="281">
        <v>42855</v>
      </c>
      <c r="G39" s="149">
        <v>2.9</v>
      </c>
      <c r="H39" s="149">
        <v>281</v>
      </c>
      <c r="I39" s="149">
        <v>624</v>
      </c>
      <c r="J39" s="149">
        <v>905</v>
      </c>
      <c r="K39" s="149" t="s">
        <v>1758</v>
      </c>
      <c r="L39" s="149"/>
      <c r="M39" s="149"/>
    </row>
    <row r="40" spans="1:13" hidden="1">
      <c r="A40" s="149" t="s">
        <v>115</v>
      </c>
      <c r="B40" s="149" t="s">
        <v>128</v>
      </c>
      <c r="C40" s="149" t="s">
        <v>212</v>
      </c>
      <c r="D40" s="149">
        <v>435281</v>
      </c>
      <c r="E40" s="281">
        <v>42354</v>
      </c>
      <c r="F40" s="281">
        <v>42855</v>
      </c>
      <c r="G40" s="149">
        <v>4.4000000000000004</v>
      </c>
      <c r="H40" s="149">
        <v>598</v>
      </c>
      <c r="I40" s="149">
        <v>830</v>
      </c>
      <c r="J40" s="149">
        <v>1428</v>
      </c>
      <c r="K40" s="149" t="s">
        <v>1759</v>
      </c>
      <c r="L40" s="149"/>
      <c r="M40" s="149"/>
    </row>
    <row r="41" spans="1:13" hidden="1">
      <c r="A41" s="149" t="s">
        <v>115</v>
      </c>
      <c r="B41" s="149" t="s">
        <v>128</v>
      </c>
      <c r="C41" s="149" t="s">
        <v>803</v>
      </c>
      <c r="D41" s="149">
        <v>435281</v>
      </c>
      <c r="E41" s="281">
        <v>42354</v>
      </c>
      <c r="F41" s="281">
        <v>42855</v>
      </c>
      <c r="G41" s="149">
        <v>1.5</v>
      </c>
      <c r="H41" s="149">
        <v>163</v>
      </c>
      <c r="I41" s="149">
        <v>321</v>
      </c>
      <c r="J41" s="149">
        <v>484</v>
      </c>
      <c r="K41" s="149" t="s">
        <v>1760</v>
      </c>
      <c r="L41" s="149"/>
      <c r="M41" s="149"/>
    </row>
    <row r="42" spans="1:13" hidden="1">
      <c r="A42" s="149" t="s">
        <v>115</v>
      </c>
      <c r="B42" s="149" t="s">
        <v>128</v>
      </c>
      <c r="C42" s="149" t="s">
        <v>765</v>
      </c>
      <c r="D42" s="149">
        <v>435281</v>
      </c>
      <c r="E42" s="281">
        <v>42354</v>
      </c>
      <c r="F42" s="281">
        <v>42855</v>
      </c>
      <c r="G42" s="149">
        <v>5</v>
      </c>
      <c r="H42" s="149">
        <v>789</v>
      </c>
      <c r="I42" s="149">
        <v>934</v>
      </c>
      <c r="J42" s="149">
        <v>1723</v>
      </c>
      <c r="K42" s="149" t="s">
        <v>1762</v>
      </c>
      <c r="L42" s="149"/>
      <c r="M42" s="149"/>
    </row>
    <row r="43" spans="1:13" hidden="1">
      <c r="A43" s="149" t="s">
        <v>115</v>
      </c>
      <c r="B43" s="149" t="s">
        <v>128</v>
      </c>
      <c r="C43" s="149" t="s">
        <v>808</v>
      </c>
      <c r="D43" s="149">
        <v>435281</v>
      </c>
      <c r="E43" s="281">
        <v>42354</v>
      </c>
      <c r="F43" s="281">
        <v>42855</v>
      </c>
      <c r="G43" s="149">
        <v>3</v>
      </c>
      <c r="H43" s="149">
        <v>496</v>
      </c>
      <c r="I43" s="149">
        <v>522</v>
      </c>
      <c r="J43" s="149">
        <v>1018</v>
      </c>
      <c r="K43" s="149" t="s">
        <v>1755</v>
      </c>
      <c r="L43" s="149"/>
      <c r="M43" s="149"/>
    </row>
    <row r="44" spans="1:13" hidden="1">
      <c r="A44" s="149" t="s">
        <v>115</v>
      </c>
      <c r="B44" s="149" t="s">
        <v>128</v>
      </c>
      <c r="C44" s="149" t="s">
        <v>742</v>
      </c>
      <c r="D44" s="149">
        <v>435281</v>
      </c>
      <c r="E44" s="281">
        <v>42354</v>
      </c>
      <c r="F44" s="281">
        <v>42855</v>
      </c>
      <c r="G44" s="149">
        <v>4</v>
      </c>
      <c r="H44" s="149">
        <v>411</v>
      </c>
      <c r="I44" s="149">
        <v>810</v>
      </c>
      <c r="J44" s="149">
        <v>1221</v>
      </c>
      <c r="K44" s="149" t="s">
        <v>1761</v>
      </c>
      <c r="L44" s="149"/>
      <c r="M44" s="149"/>
    </row>
    <row r="45" spans="1:13" hidden="1">
      <c r="A45" s="149" t="s">
        <v>115</v>
      </c>
      <c r="B45" s="149" t="s">
        <v>128</v>
      </c>
      <c r="C45" s="149" t="s">
        <v>810</v>
      </c>
      <c r="D45" s="149">
        <v>435281</v>
      </c>
      <c r="E45" s="281">
        <v>42354</v>
      </c>
      <c r="F45" s="281">
        <v>42855</v>
      </c>
      <c r="G45" s="149">
        <v>2.5</v>
      </c>
      <c r="H45" s="149">
        <v>230</v>
      </c>
      <c r="I45" s="149">
        <v>533</v>
      </c>
      <c r="J45" s="149">
        <v>763</v>
      </c>
      <c r="K45" s="149" t="s">
        <v>1754</v>
      </c>
      <c r="L45" s="149"/>
      <c r="M45" s="149"/>
    </row>
    <row r="46" spans="1:13" hidden="1">
      <c r="A46" s="149" t="s">
        <v>115</v>
      </c>
      <c r="B46" s="149" t="s">
        <v>128</v>
      </c>
      <c r="C46" s="149" t="s">
        <v>860</v>
      </c>
      <c r="D46" s="149">
        <v>435281</v>
      </c>
      <c r="E46" s="281">
        <v>42354</v>
      </c>
      <c r="F46" s="281">
        <v>42855</v>
      </c>
      <c r="G46" s="149">
        <v>4.0999999999999996</v>
      </c>
      <c r="H46" s="149">
        <v>713</v>
      </c>
      <c r="I46" s="149">
        <v>609</v>
      </c>
      <c r="J46" s="149">
        <v>1322</v>
      </c>
      <c r="K46" s="149" t="s">
        <v>1756</v>
      </c>
      <c r="L46" s="149"/>
      <c r="M46" s="149"/>
    </row>
    <row r="47" spans="1:13" hidden="1">
      <c r="A47" s="149" t="s">
        <v>115</v>
      </c>
      <c r="B47" s="149" t="s">
        <v>128</v>
      </c>
      <c r="C47" s="149" t="s">
        <v>826</v>
      </c>
      <c r="D47" s="149">
        <v>435281</v>
      </c>
      <c r="E47" s="281">
        <v>42354</v>
      </c>
      <c r="F47" s="281">
        <v>42855</v>
      </c>
      <c r="G47" s="149">
        <v>1.7</v>
      </c>
      <c r="H47" s="149">
        <v>314</v>
      </c>
      <c r="I47" s="149">
        <v>598</v>
      </c>
      <c r="J47" s="149">
        <v>912</v>
      </c>
      <c r="K47" s="149" t="s">
        <v>1757</v>
      </c>
      <c r="L47" s="149"/>
      <c r="M47" s="149"/>
    </row>
    <row r="48" spans="1:13" hidden="1">
      <c r="A48" s="149" t="s">
        <v>112</v>
      </c>
      <c r="B48" s="149" t="s">
        <v>128</v>
      </c>
      <c r="C48" s="149" t="s">
        <v>320</v>
      </c>
      <c r="D48" s="149">
        <v>435283</v>
      </c>
      <c r="E48" s="281">
        <v>42354</v>
      </c>
      <c r="F48" s="281">
        <v>42735</v>
      </c>
      <c r="G48" s="149">
        <v>2.2000000000000002</v>
      </c>
      <c r="H48" s="149">
        <v>280</v>
      </c>
      <c r="I48" s="149">
        <v>439</v>
      </c>
      <c r="J48" s="149">
        <v>719</v>
      </c>
      <c r="K48" s="149" t="s">
        <v>1765</v>
      </c>
      <c r="L48" s="149"/>
      <c r="M48" s="149"/>
    </row>
    <row r="49" spans="1:13" hidden="1">
      <c r="A49" s="149" t="s">
        <v>112</v>
      </c>
      <c r="B49" s="149" t="s">
        <v>128</v>
      </c>
      <c r="C49" s="149" t="s">
        <v>330</v>
      </c>
      <c r="D49" s="149">
        <v>435283</v>
      </c>
      <c r="E49" s="281">
        <v>42354</v>
      </c>
      <c r="F49" s="281">
        <v>42735</v>
      </c>
      <c r="G49" s="149">
        <v>4.5</v>
      </c>
      <c r="H49" s="149">
        <v>855</v>
      </c>
      <c r="I49" s="149">
        <v>977</v>
      </c>
      <c r="J49" s="149">
        <v>1832</v>
      </c>
      <c r="K49" s="149" t="s">
        <v>1763</v>
      </c>
      <c r="L49" s="149"/>
      <c r="M49" s="149"/>
    </row>
    <row r="50" spans="1:13" hidden="1">
      <c r="A50" s="149" t="s">
        <v>112</v>
      </c>
      <c r="B50" s="149" t="s">
        <v>128</v>
      </c>
      <c r="C50" s="149" t="s">
        <v>409</v>
      </c>
      <c r="D50" s="149">
        <v>435283</v>
      </c>
      <c r="E50" s="281">
        <v>42354</v>
      </c>
      <c r="F50" s="281">
        <v>42735</v>
      </c>
      <c r="G50" s="149">
        <v>2.9</v>
      </c>
      <c r="H50" s="149">
        <v>479</v>
      </c>
      <c r="I50" s="149">
        <v>538</v>
      </c>
      <c r="J50" s="149">
        <v>1017</v>
      </c>
      <c r="K50" s="149" t="s">
        <v>1769</v>
      </c>
      <c r="L50" s="149"/>
      <c r="M50" s="149"/>
    </row>
    <row r="51" spans="1:13" hidden="1">
      <c r="A51" s="149" t="s">
        <v>112</v>
      </c>
      <c r="B51" s="149" t="s">
        <v>128</v>
      </c>
      <c r="C51" s="149" t="s">
        <v>393</v>
      </c>
      <c r="D51" s="149">
        <v>435283</v>
      </c>
      <c r="E51" s="281">
        <v>42354</v>
      </c>
      <c r="F51" s="281">
        <v>42735</v>
      </c>
      <c r="G51" s="149">
        <v>3</v>
      </c>
      <c r="H51" s="149">
        <v>573</v>
      </c>
      <c r="I51" s="149">
        <v>660</v>
      </c>
      <c r="J51" s="149">
        <v>1233</v>
      </c>
      <c r="K51" s="149" t="s">
        <v>1767</v>
      </c>
      <c r="L51" s="149"/>
      <c r="M51" s="149"/>
    </row>
    <row r="52" spans="1:13" hidden="1">
      <c r="A52" s="149" t="s">
        <v>112</v>
      </c>
      <c r="B52" s="149" t="s">
        <v>128</v>
      </c>
      <c r="C52" s="149" t="s">
        <v>377</v>
      </c>
      <c r="D52" s="149">
        <v>435283</v>
      </c>
      <c r="E52" s="281">
        <v>42354</v>
      </c>
      <c r="F52" s="281">
        <v>42735</v>
      </c>
      <c r="G52" s="149">
        <v>3.6</v>
      </c>
      <c r="H52" s="149">
        <v>473</v>
      </c>
      <c r="I52" s="149">
        <v>1058</v>
      </c>
      <c r="J52" s="149">
        <v>1531</v>
      </c>
      <c r="K52" s="149" t="s">
        <v>1770</v>
      </c>
      <c r="L52" s="149"/>
      <c r="M52" s="149"/>
    </row>
    <row r="53" spans="1:13" hidden="1">
      <c r="A53" s="149" t="s">
        <v>112</v>
      </c>
      <c r="B53" s="149" t="s">
        <v>128</v>
      </c>
      <c r="C53" s="149" t="s">
        <v>410</v>
      </c>
      <c r="D53" s="149">
        <v>435283</v>
      </c>
      <c r="E53" s="281">
        <v>42354</v>
      </c>
      <c r="F53" s="281">
        <v>42735</v>
      </c>
      <c r="G53" s="149">
        <v>1.6</v>
      </c>
      <c r="H53" s="149">
        <v>298</v>
      </c>
      <c r="I53" s="149">
        <v>308</v>
      </c>
      <c r="J53" s="149">
        <v>606</v>
      </c>
      <c r="K53" s="149" t="s">
        <v>1768</v>
      </c>
      <c r="L53" s="149"/>
      <c r="M53" s="149"/>
    </row>
    <row r="54" spans="1:13" hidden="1">
      <c r="A54" s="149" t="s">
        <v>112</v>
      </c>
      <c r="B54" s="149" t="s">
        <v>128</v>
      </c>
      <c r="C54" s="149" t="s">
        <v>358</v>
      </c>
      <c r="D54" s="149">
        <v>435283</v>
      </c>
      <c r="E54" s="281">
        <v>42354</v>
      </c>
      <c r="F54" s="281">
        <v>42735</v>
      </c>
      <c r="G54" s="149">
        <v>3.1</v>
      </c>
      <c r="H54" s="149">
        <v>582</v>
      </c>
      <c r="I54" s="149">
        <v>591</v>
      </c>
      <c r="J54" s="149">
        <v>1173</v>
      </c>
      <c r="K54" s="149" t="s">
        <v>1764</v>
      </c>
      <c r="L54" s="149"/>
      <c r="M54" s="149"/>
    </row>
    <row r="55" spans="1:13" hidden="1">
      <c r="A55" s="149" t="s">
        <v>112</v>
      </c>
      <c r="B55" s="149" t="s">
        <v>128</v>
      </c>
      <c r="C55" s="149" t="s">
        <v>362</v>
      </c>
      <c r="D55" s="149">
        <v>435283</v>
      </c>
      <c r="E55" s="281">
        <v>42354</v>
      </c>
      <c r="F55" s="281">
        <v>42735</v>
      </c>
      <c r="G55" s="149">
        <v>1.4</v>
      </c>
      <c r="H55" s="149">
        <v>255</v>
      </c>
      <c r="I55" s="149">
        <v>293</v>
      </c>
      <c r="J55" s="149">
        <v>548</v>
      </c>
      <c r="K55" s="149" t="s">
        <v>1766</v>
      </c>
      <c r="L55" s="149"/>
      <c r="M55" s="149"/>
    </row>
    <row r="56" spans="1:13" hidden="1">
      <c r="A56" s="149" t="s">
        <v>113</v>
      </c>
      <c r="B56" s="149" t="s">
        <v>126</v>
      </c>
      <c r="C56" s="149" t="s">
        <v>137</v>
      </c>
      <c r="D56" s="149">
        <v>435286</v>
      </c>
      <c r="E56" s="281">
        <v>42373</v>
      </c>
      <c r="F56" s="281">
        <v>42734</v>
      </c>
      <c r="G56" s="149">
        <v>4</v>
      </c>
      <c r="H56" s="149">
        <v>3</v>
      </c>
      <c r="I56" s="149">
        <v>65</v>
      </c>
      <c r="J56" s="149">
        <v>68</v>
      </c>
      <c r="K56" s="149" t="s">
        <v>1771</v>
      </c>
      <c r="L56" s="149"/>
      <c r="M56" s="149"/>
    </row>
    <row r="57" spans="1:13" hidden="1">
      <c r="A57" s="149" t="s">
        <v>113</v>
      </c>
      <c r="B57" s="149" t="s">
        <v>126</v>
      </c>
      <c r="C57" s="149" t="s">
        <v>222</v>
      </c>
      <c r="D57" s="149">
        <v>435286</v>
      </c>
      <c r="E57" s="281">
        <v>42373</v>
      </c>
      <c r="F57" s="281">
        <v>42734</v>
      </c>
      <c r="G57" s="149">
        <v>8.5</v>
      </c>
      <c r="H57" s="149">
        <v>2</v>
      </c>
      <c r="I57" s="149">
        <v>68</v>
      </c>
      <c r="J57" s="149">
        <v>70</v>
      </c>
      <c r="K57" s="149" t="s">
        <v>1772</v>
      </c>
      <c r="L57" s="149"/>
      <c r="M57" s="149"/>
    </row>
    <row r="58" spans="1:13" hidden="1">
      <c r="A58" s="149" t="s">
        <v>113</v>
      </c>
      <c r="B58" s="149" t="s">
        <v>126</v>
      </c>
      <c r="C58" s="149" t="s">
        <v>253</v>
      </c>
      <c r="D58" s="149">
        <v>435286</v>
      </c>
      <c r="E58" s="281">
        <v>42373</v>
      </c>
      <c r="F58" s="281">
        <v>42734</v>
      </c>
      <c r="G58" s="149">
        <v>5</v>
      </c>
      <c r="H58" s="149"/>
      <c r="I58" s="149">
        <v>43</v>
      </c>
      <c r="J58" s="149">
        <v>43</v>
      </c>
      <c r="K58" s="149" t="s">
        <v>1773</v>
      </c>
      <c r="L58" s="149"/>
      <c r="M58" s="149"/>
    </row>
    <row r="59" spans="1:13" hidden="1">
      <c r="A59" s="149" t="s">
        <v>113</v>
      </c>
      <c r="B59" s="149" t="s">
        <v>126</v>
      </c>
      <c r="C59" s="149" t="s">
        <v>188</v>
      </c>
      <c r="D59" s="149">
        <v>435286</v>
      </c>
      <c r="E59" s="281">
        <v>42373</v>
      </c>
      <c r="F59" s="281">
        <v>42734</v>
      </c>
      <c r="G59" s="149">
        <v>11.6</v>
      </c>
      <c r="H59" s="149">
        <v>4</v>
      </c>
      <c r="I59" s="149">
        <v>75</v>
      </c>
      <c r="J59" s="149">
        <v>79</v>
      </c>
      <c r="K59" s="149" t="s">
        <v>1774</v>
      </c>
      <c r="L59" s="149"/>
      <c r="M59" s="149"/>
    </row>
    <row r="60" spans="1:13" hidden="1">
      <c r="A60" s="149" t="s">
        <v>113</v>
      </c>
      <c r="B60" s="149" t="s">
        <v>140</v>
      </c>
      <c r="C60" s="149" t="s">
        <v>149</v>
      </c>
      <c r="D60" s="149">
        <v>435287</v>
      </c>
      <c r="E60" s="281">
        <v>42373</v>
      </c>
      <c r="F60" s="281">
        <v>42735</v>
      </c>
      <c r="G60" s="149">
        <v>3.2</v>
      </c>
      <c r="H60" s="149">
        <v>3</v>
      </c>
      <c r="I60" s="149">
        <v>95</v>
      </c>
      <c r="J60" s="149">
        <v>98</v>
      </c>
      <c r="K60" s="149" t="s">
        <v>1776</v>
      </c>
      <c r="L60" s="149"/>
      <c r="M60" s="149"/>
    </row>
    <row r="61" spans="1:13" hidden="1">
      <c r="A61" s="149" t="s">
        <v>113</v>
      </c>
      <c r="B61" s="149" t="s">
        <v>140</v>
      </c>
      <c r="C61" s="149" t="s">
        <v>182</v>
      </c>
      <c r="D61" s="149">
        <v>435287</v>
      </c>
      <c r="E61" s="281">
        <v>42373</v>
      </c>
      <c r="F61" s="281">
        <v>42735</v>
      </c>
      <c r="G61" s="149">
        <v>15.2</v>
      </c>
      <c r="H61" s="149">
        <v>121</v>
      </c>
      <c r="I61" s="149">
        <v>396</v>
      </c>
      <c r="J61" s="149">
        <v>517</v>
      </c>
      <c r="K61" s="149" t="s">
        <v>1775</v>
      </c>
      <c r="L61" s="149"/>
      <c r="M61" s="149"/>
    </row>
    <row r="62" spans="1:13" hidden="1">
      <c r="A62" s="149" t="s">
        <v>113</v>
      </c>
      <c r="B62" s="149" t="s">
        <v>124</v>
      </c>
      <c r="C62" s="149" t="s">
        <v>230</v>
      </c>
      <c r="D62" s="149">
        <v>435288</v>
      </c>
      <c r="E62" s="281">
        <v>42373</v>
      </c>
      <c r="F62" s="281">
        <v>42735</v>
      </c>
      <c r="G62" s="149">
        <v>1.6</v>
      </c>
      <c r="H62" s="149"/>
      <c r="I62" s="149">
        <v>16</v>
      </c>
      <c r="J62" s="149">
        <v>16</v>
      </c>
      <c r="K62" s="149" t="s">
        <v>1778</v>
      </c>
      <c r="L62" s="149"/>
      <c r="M62" s="149"/>
    </row>
    <row r="63" spans="1:13" hidden="1">
      <c r="A63" s="149" t="s">
        <v>113</v>
      </c>
      <c r="B63" s="149" t="s">
        <v>124</v>
      </c>
      <c r="C63" s="149" t="s">
        <v>125</v>
      </c>
      <c r="D63" s="149">
        <v>435288</v>
      </c>
      <c r="E63" s="281">
        <v>42373</v>
      </c>
      <c r="F63" s="281">
        <v>42735</v>
      </c>
      <c r="G63" s="149">
        <v>2.4</v>
      </c>
      <c r="H63" s="149"/>
      <c r="I63" s="149">
        <v>39</v>
      </c>
      <c r="J63" s="149">
        <v>39</v>
      </c>
      <c r="K63" s="149" t="s">
        <v>1780</v>
      </c>
      <c r="L63" s="149"/>
      <c r="M63" s="149"/>
    </row>
    <row r="64" spans="1:13" hidden="1">
      <c r="A64" s="149" t="s">
        <v>113</v>
      </c>
      <c r="B64" s="149" t="s">
        <v>124</v>
      </c>
      <c r="C64" s="149" t="s">
        <v>212</v>
      </c>
      <c r="D64" s="149">
        <v>435288</v>
      </c>
      <c r="E64" s="281">
        <v>42373</v>
      </c>
      <c r="F64" s="281">
        <v>42735</v>
      </c>
      <c r="G64" s="149">
        <v>3.6</v>
      </c>
      <c r="H64" s="149"/>
      <c r="I64" s="149">
        <v>57</v>
      </c>
      <c r="J64" s="149">
        <v>57</v>
      </c>
      <c r="K64" s="149" t="s">
        <v>1777</v>
      </c>
      <c r="L64" s="149"/>
      <c r="M64" s="149"/>
    </row>
    <row r="65" spans="1:13" hidden="1">
      <c r="A65" s="149" t="s">
        <v>113</v>
      </c>
      <c r="B65" s="149" t="s">
        <v>124</v>
      </c>
      <c r="C65" s="149" t="s">
        <v>197</v>
      </c>
      <c r="D65" s="149">
        <v>435288</v>
      </c>
      <c r="E65" s="281">
        <v>42373</v>
      </c>
      <c r="F65" s="281">
        <v>42735</v>
      </c>
      <c r="G65" s="149">
        <v>4.8</v>
      </c>
      <c r="H65" s="149"/>
      <c r="I65" s="149">
        <v>43</v>
      </c>
      <c r="J65" s="149">
        <v>43</v>
      </c>
      <c r="K65" s="149" t="s">
        <v>1779</v>
      </c>
      <c r="L65" s="149"/>
      <c r="M65" s="149"/>
    </row>
    <row r="66" spans="1:13" hidden="1">
      <c r="A66" s="149" t="s">
        <v>113</v>
      </c>
      <c r="B66" s="149" t="s">
        <v>124</v>
      </c>
      <c r="C66" s="149" t="s">
        <v>158</v>
      </c>
      <c r="D66" s="149">
        <v>435288</v>
      </c>
      <c r="E66" s="281">
        <v>42373</v>
      </c>
      <c r="F66" s="281">
        <v>42735</v>
      </c>
      <c r="G66" s="149">
        <v>3.5</v>
      </c>
      <c r="H66" s="149"/>
      <c r="I66" s="149">
        <v>23</v>
      </c>
      <c r="J66" s="149">
        <v>23</v>
      </c>
      <c r="K66" s="149" t="s">
        <v>1781</v>
      </c>
      <c r="L66" s="149"/>
      <c r="M66" s="149"/>
    </row>
    <row r="67" spans="1:13" hidden="1">
      <c r="A67" s="149" t="s">
        <v>113</v>
      </c>
      <c r="B67" s="149" t="s">
        <v>124</v>
      </c>
      <c r="C67" s="149" t="s">
        <v>155</v>
      </c>
      <c r="D67" s="149">
        <v>435288</v>
      </c>
      <c r="E67" s="281">
        <v>42373</v>
      </c>
      <c r="F67" s="281">
        <v>42735</v>
      </c>
      <c r="G67" s="149">
        <v>0.6</v>
      </c>
      <c r="H67" s="149"/>
      <c r="I67" s="149">
        <v>18</v>
      </c>
      <c r="J67" s="149">
        <v>18</v>
      </c>
      <c r="K67" s="149" t="s">
        <v>1782</v>
      </c>
      <c r="L67" s="149"/>
      <c r="M67" s="149"/>
    </row>
    <row r="68" spans="1:13" hidden="1">
      <c r="A68" s="149" t="s">
        <v>111</v>
      </c>
      <c r="B68" s="149" t="s">
        <v>140</v>
      </c>
      <c r="C68" s="149" t="s">
        <v>315</v>
      </c>
      <c r="D68" s="149">
        <v>435290</v>
      </c>
      <c r="E68" s="281">
        <v>42373</v>
      </c>
      <c r="F68" s="281">
        <v>42735</v>
      </c>
      <c r="G68" s="149">
        <v>4.4000000000000004</v>
      </c>
      <c r="H68" s="149">
        <v>22</v>
      </c>
      <c r="I68" s="149">
        <v>241</v>
      </c>
      <c r="J68" s="149">
        <v>263</v>
      </c>
      <c r="K68" s="149" t="s">
        <v>1787</v>
      </c>
      <c r="L68" s="149"/>
      <c r="M68" s="149"/>
    </row>
    <row r="69" spans="1:13" hidden="1">
      <c r="A69" s="149" t="s">
        <v>111</v>
      </c>
      <c r="B69" s="149" t="s">
        <v>140</v>
      </c>
      <c r="C69" s="149" t="s">
        <v>313</v>
      </c>
      <c r="D69" s="149">
        <v>435290</v>
      </c>
      <c r="E69" s="281">
        <v>42373</v>
      </c>
      <c r="F69" s="281">
        <v>42735</v>
      </c>
      <c r="G69" s="149">
        <v>1.7</v>
      </c>
      <c r="H69" s="149">
        <v>19</v>
      </c>
      <c r="I69" s="149">
        <v>127</v>
      </c>
      <c r="J69" s="149">
        <v>146</v>
      </c>
      <c r="K69" s="149" t="s">
        <v>1785</v>
      </c>
      <c r="L69" s="149"/>
      <c r="M69" s="149"/>
    </row>
    <row r="70" spans="1:13" hidden="1">
      <c r="A70" s="149" t="s">
        <v>111</v>
      </c>
      <c r="B70" s="149" t="s">
        <v>140</v>
      </c>
      <c r="C70" s="149" t="s">
        <v>314</v>
      </c>
      <c r="D70" s="149">
        <v>435290</v>
      </c>
      <c r="E70" s="281">
        <v>42373</v>
      </c>
      <c r="F70" s="281">
        <v>42735</v>
      </c>
      <c r="G70" s="149">
        <v>8</v>
      </c>
      <c r="H70" s="149">
        <v>33</v>
      </c>
      <c r="I70" s="149">
        <v>245</v>
      </c>
      <c r="J70" s="149">
        <v>278</v>
      </c>
      <c r="K70" s="149" t="s">
        <v>1786</v>
      </c>
      <c r="L70" s="149"/>
      <c r="M70" s="149"/>
    </row>
    <row r="71" spans="1:13" hidden="1">
      <c r="A71" s="149" t="s">
        <v>111</v>
      </c>
      <c r="B71" s="149" t="s">
        <v>140</v>
      </c>
      <c r="C71" s="149" t="s">
        <v>316</v>
      </c>
      <c r="D71" s="149">
        <v>435290</v>
      </c>
      <c r="E71" s="281">
        <v>42373</v>
      </c>
      <c r="F71" s="281">
        <v>42735</v>
      </c>
      <c r="G71" s="149">
        <v>4.5</v>
      </c>
      <c r="H71" s="149">
        <v>19</v>
      </c>
      <c r="I71" s="149">
        <v>142</v>
      </c>
      <c r="J71" s="149">
        <v>161</v>
      </c>
      <c r="K71" s="149" t="s">
        <v>1784</v>
      </c>
      <c r="L71" s="149"/>
      <c r="M71" s="149"/>
    </row>
    <row r="72" spans="1:13" hidden="1">
      <c r="A72" s="149" t="s">
        <v>111</v>
      </c>
      <c r="B72" s="149" t="s">
        <v>140</v>
      </c>
      <c r="C72" s="149" t="s">
        <v>317</v>
      </c>
      <c r="D72" s="149">
        <v>435290</v>
      </c>
      <c r="E72" s="281">
        <v>42373</v>
      </c>
      <c r="F72" s="281">
        <v>42735</v>
      </c>
      <c r="G72" s="149">
        <v>6.8</v>
      </c>
      <c r="H72" s="149">
        <v>88</v>
      </c>
      <c r="I72" s="149">
        <v>469</v>
      </c>
      <c r="J72" s="149">
        <v>557</v>
      </c>
      <c r="K72" s="149" t="s">
        <v>1783</v>
      </c>
      <c r="L72" s="149"/>
      <c r="M72" s="149"/>
    </row>
    <row r="73" spans="1:13" hidden="1">
      <c r="A73" s="149" t="s">
        <v>111</v>
      </c>
      <c r="B73" s="149" t="s">
        <v>124</v>
      </c>
      <c r="C73" s="149" t="s">
        <v>311</v>
      </c>
      <c r="D73" s="149">
        <v>507234</v>
      </c>
      <c r="E73" s="281">
        <v>42373</v>
      </c>
      <c r="F73" s="281">
        <v>42735</v>
      </c>
      <c r="G73" s="149">
        <v>2.2000000000000002</v>
      </c>
      <c r="H73" s="149"/>
      <c r="I73" s="149">
        <v>41</v>
      </c>
      <c r="J73" s="149">
        <v>41</v>
      </c>
      <c r="K73" s="149" t="s">
        <v>1789</v>
      </c>
      <c r="L73" s="149"/>
      <c r="M73" s="149"/>
    </row>
    <row r="74" spans="1:13" hidden="1">
      <c r="A74" s="149" t="s">
        <v>111</v>
      </c>
      <c r="B74" s="149" t="s">
        <v>124</v>
      </c>
      <c r="C74" s="149" t="s">
        <v>283</v>
      </c>
      <c r="D74" s="149">
        <v>507234</v>
      </c>
      <c r="E74" s="281">
        <v>42373</v>
      </c>
      <c r="F74" s="281">
        <v>42735</v>
      </c>
      <c r="G74" s="149">
        <v>8.4</v>
      </c>
      <c r="H74" s="149"/>
      <c r="I74" s="149"/>
      <c r="J74" s="149"/>
      <c r="K74" s="149" t="s">
        <v>1788</v>
      </c>
      <c r="L74" s="149"/>
      <c r="M74" s="149"/>
    </row>
    <row r="75" spans="1:13" hidden="1">
      <c r="A75" s="149" t="s">
        <v>116</v>
      </c>
      <c r="B75" s="149" t="s">
        <v>140</v>
      </c>
      <c r="C75" s="149" t="s">
        <v>587</v>
      </c>
      <c r="D75" s="149">
        <v>507235</v>
      </c>
      <c r="E75" s="281">
        <v>42373</v>
      </c>
      <c r="F75" s="281">
        <v>42735</v>
      </c>
      <c r="G75" s="149">
        <v>2.2999999999999998</v>
      </c>
      <c r="H75" s="149">
        <v>2</v>
      </c>
      <c r="I75" s="149">
        <v>31</v>
      </c>
      <c r="J75" s="149">
        <v>33</v>
      </c>
      <c r="K75" s="149" t="s">
        <v>1790</v>
      </c>
      <c r="L75" s="149"/>
      <c r="M75" s="149"/>
    </row>
    <row r="76" spans="1:13" hidden="1">
      <c r="A76" s="149" t="s">
        <v>116</v>
      </c>
      <c r="B76" s="149" t="s">
        <v>140</v>
      </c>
      <c r="C76" s="149" t="s">
        <v>560</v>
      </c>
      <c r="D76" s="149">
        <v>507235</v>
      </c>
      <c r="E76" s="281">
        <v>42373</v>
      </c>
      <c r="F76" s="281">
        <v>42735</v>
      </c>
      <c r="G76" s="149">
        <v>4.5999999999999996</v>
      </c>
      <c r="H76" s="149">
        <v>10</v>
      </c>
      <c r="I76" s="149">
        <v>102</v>
      </c>
      <c r="J76" s="149">
        <v>112</v>
      </c>
      <c r="K76" s="149" t="s">
        <v>1794</v>
      </c>
      <c r="L76" s="149"/>
      <c r="M76" s="149"/>
    </row>
    <row r="77" spans="1:13" hidden="1">
      <c r="A77" s="149" t="s">
        <v>116</v>
      </c>
      <c r="B77" s="149" t="s">
        <v>140</v>
      </c>
      <c r="C77" s="149" t="s">
        <v>693</v>
      </c>
      <c r="D77" s="149">
        <v>507235</v>
      </c>
      <c r="E77" s="281">
        <v>42373</v>
      </c>
      <c r="F77" s="281">
        <v>42735</v>
      </c>
      <c r="G77" s="149">
        <v>5.4</v>
      </c>
      <c r="H77" s="149">
        <v>8</v>
      </c>
      <c r="I77" s="149">
        <v>48</v>
      </c>
      <c r="J77" s="149">
        <v>56</v>
      </c>
      <c r="K77" s="149" t="s">
        <v>1792</v>
      </c>
      <c r="L77" s="149"/>
      <c r="M77" s="149"/>
    </row>
    <row r="78" spans="1:13" hidden="1">
      <c r="A78" s="149" t="s">
        <v>116</v>
      </c>
      <c r="B78" s="149" t="s">
        <v>140</v>
      </c>
      <c r="C78" s="149" t="s">
        <v>657</v>
      </c>
      <c r="D78" s="149">
        <v>507235</v>
      </c>
      <c r="E78" s="281">
        <v>42373</v>
      </c>
      <c r="F78" s="281">
        <v>42735</v>
      </c>
      <c r="G78" s="149">
        <v>2.2000000000000002</v>
      </c>
      <c r="H78" s="149">
        <v>3</v>
      </c>
      <c r="I78" s="149">
        <v>28</v>
      </c>
      <c r="J78" s="149">
        <v>31</v>
      </c>
      <c r="K78" s="149" t="s">
        <v>1791</v>
      </c>
      <c r="L78" s="149"/>
      <c r="M78" s="149"/>
    </row>
    <row r="79" spans="1:13" hidden="1">
      <c r="A79" s="149" t="s">
        <v>116</v>
      </c>
      <c r="B79" s="149" t="s">
        <v>140</v>
      </c>
      <c r="C79" s="149" t="s">
        <v>316</v>
      </c>
      <c r="D79" s="149">
        <v>507235</v>
      </c>
      <c r="E79" s="281">
        <v>42373</v>
      </c>
      <c r="F79" s="281">
        <v>42735</v>
      </c>
      <c r="G79" s="149">
        <v>9.5</v>
      </c>
      <c r="H79" s="149">
        <v>18</v>
      </c>
      <c r="I79" s="149">
        <v>72</v>
      </c>
      <c r="J79" s="149">
        <v>90</v>
      </c>
      <c r="K79" s="149" t="s">
        <v>1793</v>
      </c>
      <c r="L79" s="149"/>
      <c r="M79" s="149"/>
    </row>
    <row r="80" spans="1:13" hidden="1">
      <c r="A80" s="149" t="s">
        <v>116</v>
      </c>
      <c r="B80" s="149" t="s">
        <v>124</v>
      </c>
      <c r="C80" s="149" t="s">
        <v>644</v>
      </c>
      <c r="D80" s="149">
        <v>507236</v>
      </c>
      <c r="E80" s="281">
        <v>42373</v>
      </c>
      <c r="F80" s="281">
        <v>42735</v>
      </c>
      <c r="G80" s="149">
        <v>0.7</v>
      </c>
      <c r="H80" s="149"/>
      <c r="I80" s="149">
        <v>9</v>
      </c>
      <c r="J80" s="149">
        <v>9</v>
      </c>
      <c r="K80" s="149" t="s">
        <v>1797</v>
      </c>
      <c r="L80" s="149"/>
      <c r="M80" s="149"/>
    </row>
    <row r="81" spans="1:13" hidden="1">
      <c r="A81" s="149" t="s">
        <v>116</v>
      </c>
      <c r="B81" s="149" t="s">
        <v>124</v>
      </c>
      <c r="C81" s="149" t="s">
        <v>562</v>
      </c>
      <c r="D81" s="149">
        <v>507236</v>
      </c>
      <c r="E81" s="281">
        <v>42373</v>
      </c>
      <c r="F81" s="281">
        <v>42735</v>
      </c>
      <c r="G81" s="149">
        <v>1</v>
      </c>
      <c r="H81" s="149"/>
      <c r="I81" s="149">
        <v>19</v>
      </c>
      <c r="J81" s="149">
        <v>19</v>
      </c>
      <c r="K81" s="149" t="s">
        <v>1801</v>
      </c>
      <c r="L81" s="149"/>
      <c r="M81" s="149"/>
    </row>
    <row r="82" spans="1:13" hidden="1">
      <c r="A82" s="149" t="s">
        <v>116</v>
      </c>
      <c r="B82" s="149" t="s">
        <v>124</v>
      </c>
      <c r="C82" s="149" t="s">
        <v>176</v>
      </c>
      <c r="D82" s="149">
        <v>507236</v>
      </c>
      <c r="E82" s="281">
        <v>42373</v>
      </c>
      <c r="F82" s="281">
        <v>42735</v>
      </c>
      <c r="G82" s="149">
        <v>7.1</v>
      </c>
      <c r="H82" s="149"/>
      <c r="I82" s="149">
        <v>65</v>
      </c>
      <c r="J82" s="149">
        <v>65</v>
      </c>
      <c r="K82" s="149" t="s">
        <v>1795</v>
      </c>
      <c r="L82" s="149"/>
      <c r="M82" s="149"/>
    </row>
    <row r="83" spans="1:13" hidden="1">
      <c r="A83" s="149" t="s">
        <v>116</v>
      </c>
      <c r="B83" s="149" t="s">
        <v>124</v>
      </c>
      <c r="C83" s="149" t="s">
        <v>662</v>
      </c>
      <c r="D83" s="149">
        <v>507236</v>
      </c>
      <c r="E83" s="281">
        <v>42373</v>
      </c>
      <c r="F83" s="281">
        <v>42735</v>
      </c>
      <c r="G83" s="149">
        <v>1.8</v>
      </c>
      <c r="H83" s="149"/>
      <c r="I83" s="149">
        <v>30</v>
      </c>
      <c r="J83" s="149">
        <v>30</v>
      </c>
      <c r="K83" s="149" t="s">
        <v>1796</v>
      </c>
      <c r="L83" s="149"/>
      <c r="M83" s="149"/>
    </row>
    <row r="84" spans="1:13" hidden="1">
      <c r="A84" s="149" t="s">
        <v>116</v>
      </c>
      <c r="B84" s="149" t="s">
        <v>124</v>
      </c>
      <c r="C84" s="149" t="s">
        <v>604</v>
      </c>
      <c r="D84" s="149">
        <v>507236</v>
      </c>
      <c r="E84" s="281">
        <v>42373</v>
      </c>
      <c r="F84" s="281">
        <v>42735</v>
      </c>
      <c r="G84" s="149">
        <v>2.7</v>
      </c>
      <c r="H84" s="149"/>
      <c r="I84" s="149">
        <v>17</v>
      </c>
      <c r="J84" s="149">
        <v>17</v>
      </c>
      <c r="K84" s="149" t="s">
        <v>1800</v>
      </c>
      <c r="L84" s="149"/>
      <c r="M84" s="149"/>
    </row>
    <row r="85" spans="1:13" hidden="1">
      <c r="A85" s="149" t="s">
        <v>116</v>
      </c>
      <c r="B85" s="149" t="s">
        <v>124</v>
      </c>
      <c r="C85" s="149" t="s">
        <v>673</v>
      </c>
      <c r="D85" s="149">
        <v>507236</v>
      </c>
      <c r="E85" s="281">
        <v>42373</v>
      </c>
      <c r="F85" s="281">
        <v>42735</v>
      </c>
      <c r="G85" s="149">
        <v>3.6</v>
      </c>
      <c r="H85" s="149">
        <v>5</v>
      </c>
      <c r="I85" s="149">
        <v>74</v>
      </c>
      <c r="J85" s="149">
        <v>79</v>
      </c>
      <c r="K85" s="149" t="s">
        <v>1798</v>
      </c>
      <c r="L85" s="149"/>
      <c r="M85" s="149"/>
    </row>
    <row r="86" spans="1:13" hidden="1">
      <c r="A86" s="149" t="s">
        <v>116</v>
      </c>
      <c r="B86" s="149" t="s">
        <v>124</v>
      </c>
      <c r="C86" s="149" t="s">
        <v>498</v>
      </c>
      <c r="D86" s="149">
        <v>507236</v>
      </c>
      <c r="E86" s="281">
        <v>42373</v>
      </c>
      <c r="F86" s="281">
        <v>42735</v>
      </c>
      <c r="G86" s="149">
        <v>1.6</v>
      </c>
      <c r="H86" s="149"/>
      <c r="I86" s="149">
        <v>30</v>
      </c>
      <c r="J86" s="149">
        <v>30</v>
      </c>
      <c r="K86" s="149" t="s">
        <v>1799</v>
      </c>
      <c r="L86" s="149"/>
      <c r="M86" s="149"/>
    </row>
    <row r="87" spans="1:13" hidden="1">
      <c r="A87" s="149" t="s">
        <v>112</v>
      </c>
      <c r="B87" s="149" t="s">
        <v>140</v>
      </c>
      <c r="C87" s="149" t="s">
        <v>428</v>
      </c>
      <c r="D87" s="149">
        <v>507237</v>
      </c>
      <c r="E87" s="281">
        <v>42373</v>
      </c>
      <c r="F87" s="281">
        <v>42735</v>
      </c>
      <c r="G87" s="149">
        <v>5</v>
      </c>
      <c r="H87" s="149">
        <v>1</v>
      </c>
      <c r="I87" s="149">
        <v>55</v>
      </c>
      <c r="J87" s="149">
        <v>56</v>
      </c>
      <c r="K87" s="149" t="s">
        <v>1802</v>
      </c>
      <c r="L87" s="149"/>
      <c r="M87" s="149"/>
    </row>
    <row r="88" spans="1:13" hidden="1">
      <c r="A88" s="149" t="s">
        <v>112</v>
      </c>
      <c r="B88" s="149" t="s">
        <v>124</v>
      </c>
      <c r="C88" s="149" t="s">
        <v>421</v>
      </c>
      <c r="D88" s="149">
        <v>507238</v>
      </c>
      <c r="E88" s="281">
        <v>42373</v>
      </c>
      <c r="F88" s="281">
        <v>42735</v>
      </c>
      <c r="G88" s="149">
        <v>2.2999999999999998</v>
      </c>
      <c r="H88" s="149"/>
      <c r="I88" s="149">
        <v>132</v>
      </c>
      <c r="J88" s="149">
        <v>132</v>
      </c>
      <c r="K88" s="149" t="s">
        <v>1803</v>
      </c>
      <c r="L88" s="149"/>
      <c r="M88" s="149"/>
    </row>
    <row r="89" spans="1:13" hidden="1">
      <c r="A89" s="149" t="s">
        <v>112</v>
      </c>
      <c r="B89" s="149" t="s">
        <v>124</v>
      </c>
      <c r="C89" s="149" t="s">
        <v>343</v>
      </c>
      <c r="D89" s="149">
        <v>507238</v>
      </c>
      <c r="E89" s="281">
        <v>42373</v>
      </c>
      <c r="F89" s="281">
        <v>42735</v>
      </c>
      <c r="G89" s="149">
        <v>4.4000000000000004</v>
      </c>
      <c r="H89" s="149"/>
      <c r="I89" s="149">
        <v>133</v>
      </c>
      <c r="J89" s="149">
        <v>133</v>
      </c>
      <c r="K89" s="149" t="s">
        <v>1804</v>
      </c>
      <c r="L89" s="149"/>
      <c r="M89" s="149"/>
    </row>
    <row r="90" spans="1:13" hidden="1">
      <c r="A90" s="149" t="s">
        <v>112</v>
      </c>
      <c r="B90" s="149" t="s">
        <v>124</v>
      </c>
      <c r="C90" s="149" t="s">
        <v>396</v>
      </c>
      <c r="D90" s="149">
        <v>507238</v>
      </c>
      <c r="E90" s="281">
        <v>42373</v>
      </c>
      <c r="F90" s="281">
        <v>42735</v>
      </c>
      <c r="G90" s="149">
        <v>1.1000000000000001</v>
      </c>
      <c r="H90" s="149"/>
      <c r="I90" s="149">
        <v>28</v>
      </c>
      <c r="J90" s="149">
        <v>28</v>
      </c>
      <c r="K90" s="149" t="s">
        <v>1805</v>
      </c>
      <c r="L90" s="149"/>
      <c r="M90" s="149"/>
    </row>
    <row r="91" spans="1:13" hidden="1">
      <c r="A91" s="149" t="s">
        <v>116</v>
      </c>
      <c r="B91" s="149" t="s">
        <v>134</v>
      </c>
      <c r="C91" s="149" t="s">
        <v>691</v>
      </c>
      <c r="D91" s="149">
        <v>507241</v>
      </c>
      <c r="E91" s="281">
        <v>42373</v>
      </c>
      <c r="F91" s="281">
        <v>42735</v>
      </c>
      <c r="G91" s="149">
        <v>2.7</v>
      </c>
      <c r="H91" s="149"/>
      <c r="I91" s="149">
        <v>2</v>
      </c>
      <c r="J91" s="149">
        <v>2</v>
      </c>
      <c r="K91" s="149" t="s">
        <v>1806</v>
      </c>
      <c r="L91" s="149"/>
      <c r="M91" s="149"/>
    </row>
    <row r="92" spans="1:13" hidden="1">
      <c r="A92" s="149" t="s">
        <v>114</v>
      </c>
      <c r="B92" s="149" t="s">
        <v>140</v>
      </c>
      <c r="C92" s="149" t="s">
        <v>541</v>
      </c>
      <c r="D92" s="149">
        <v>507242</v>
      </c>
      <c r="E92" s="281">
        <v>42373</v>
      </c>
      <c r="F92" s="281">
        <v>42735</v>
      </c>
      <c r="G92" s="149">
        <v>5.8</v>
      </c>
      <c r="H92" s="149">
        <v>10</v>
      </c>
      <c r="I92" s="149">
        <v>131</v>
      </c>
      <c r="J92" s="149">
        <v>141</v>
      </c>
      <c r="K92" s="149" t="s">
        <v>1808</v>
      </c>
      <c r="L92" s="149"/>
      <c r="M92" s="149"/>
    </row>
    <row r="93" spans="1:13" hidden="1">
      <c r="A93" s="149" t="s">
        <v>114</v>
      </c>
      <c r="B93" s="149" t="s">
        <v>140</v>
      </c>
      <c r="C93" s="149" t="s">
        <v>506</v>
      </c>
      <c r="D93" s="149">
        <v>507242</v>
      </c>
      <c r="E93" s="281">
        <v>42373</v>
      </c>
      <c r="F93" s="281">
        <v>42735</v>
      </c>
      <c r="G93" s="149">
        <v>8.8000000000000007</v>
      </c>
      <c r="H93" s="149">
        <v>14</v>
      </c>
      <c r="I93" s="149">
        <v>107</v>
      </c>
      <c r="J93" s="149">
        <v>121</v>
      </c>
      <c r="K93" s="149" t="s">
        <v>1809</v>
      </c>
      <c r="L93" s="149"/>
      <c r="M93" s="149"/>
    </row>
    <row r="94" spans="1:13" hidden="1">
      <c r="A94" s="149" t="s">
        <v>114</v>
      </c>
      <c r="B94" s="149" t="s">
        <v>140</v>
      </c>
      <c r="C94" s="149" t="s">
        <v>349</v>
      </c>
      <c r="D94" s="149">
        <v>507242</v>
      </c>
      <c r="E94" s="281">
        <v>42373</v>
      </c>
      <c r="F94" s="281">
        <v>42735</v>
      </c>
      <c r="G94" s="149">
        <v>3.2</v>
      </c>
      <c r="H94" s="149">
        <v>2</v>
      </c>
      <c r="I94" s="149">
        <v>69</v>
      </c>
      <c r="J94" s="149">
        <v>71</v>
      </c>
      <c r="K94" s="149" t="s">
        <v>1807</v>
      </c>
      <c r="L94" s="149"/>
      <c r="M94" s="149"/>
    </row>
    <row r="95" spans="1:13" hidden="1">
      <c r="A95" s="149" t="s">
        <v>114</v>
      </c>
      <c r="B95" s="149" t="s">
        <v>124</v>
      </c>
      <c r="C95" s="149" t="s">
        <v>448</v>
      </c>
      <c r="D95" s="149">
        <v>507243</v>
      </c>
      <c r="E95" s="281">
        <v>42373</v>
      </c>
      <c r="F95" s="281">
        <v>42735</v>
      </c>
      <c r="G95" s="149">
        <v>4.2</v>
      </c>
      <c r="H95" s="149">
        <v>3</v>
      </c>
      <c r="I95" s="149">
        <v>63</v>
      </c>
      <c r="J95" s="149">
        <v>66</v>
      </c>
      <c r="K95" s="149" t="s">
        <v>1811</v>
      </c>
      <c r="L95" s="149"/>
      <c r="M95" s="149"/>
    </row>
    <row r="96" spans="1:13" hidden="1">
      <c r="A96" s="149" t="s">
        <v>114</v>
      </c>
      <c r="B96" s="149" t="s">
        <v>124</v>
      </c>
      <c r="C96" s="149" t="s">
        <v>459</v>
      </c>
      <c r="D96" s="149">
        <v>507243</v>
      </c>
      <c r="E96" s="281">
        <v>42373</v>
      </c>
      <c r="F96" s="281">
        <v>42735</v>
      </c>
      <c r="G96" s="149">
        <v>6.5</v>
      </c>
      <c r="H96" s="149"/>
      <c r="I96" s="149">
        <v>67</v>
      </c>
      <c r="J96" s="149">
        <v>67</v>
      </c>
      <c r="K96" s="149" t="s">
        <v>1812</v>
      </c>
      <c r="L96" s="149"/>
      <c r="M96" s="149"/>
    </row>
    <row r="97" spans="1:13" hidden="1">
      <c r="A97" s="149" t="s">
        <v>114</v>
      </c>
      <c r="B97" s="149" t="s">
        <v>124</v>
      </c>
      <c r="C97" s="149" t="s">
        <v>200</v>
      </c>
      <c r="D97" s="149">
        <v>507243</v>
      </c>
      <c r="E97" s="281">
        <v>42373</v>
      </c>
      <c r="F97" s="281">
        <v>42735</v>
      </c>
      <c r="G97" s="149">
        <v>3.1</v>
      </c>
      <c r="H97" s="149"/>
      <c r="I97" s="149">
        <v>40</v>
      </c>
      <c r="J97" s="149">
        <v>40</v>
      </c>
      <c r="K97" s="149" t="s">
        <v>1810</v>
      </c>
      <c r="L97" s="149"/>
      <c r="M97" s="149"/>
    </row>
    <row r="98" spans="1:13" hidden="1">
      <c r="A98" s="149" t="s">
        <v>114</v>
      </c>
      <c r="B98" s="149" t="s">
        <v>134</v>
      </c>
      <c r="C98" s="149" t="s">
        <v>452</v>
      </c>
      <c r="D98" s="149">
        <v>507244</v>
      </c>
      <c r="E98" s="281">
        <v>42373</v>
      </c>
      <c r="F98" s="281">
        <v>42735</v>
      </c>
      <c r="G98" s="149">
        <v>1.2</v>
      </c>
      <c r="H98" s="149"/>
      <c r="I98" s="149">
        <v>5</v>
      </c>
      <c r="J98" s="149">
        <v>5</v>
      </c>
      <c r="K98" s="149" t="s">
        <v>1815</v>
      </c>
      <c r="L98" s="149"/>
      <c r="M98" s="149"/>
    </row>
    <row r="99" spans="1:13" hidden="1">
      <c r="A99" s="149" t="s">
        <v>114</v>
      </c>
      <c r="B99" s="149" t="s">
        <v>134</v>
      </c>
      <c r="C99" s="149" t="s">
        <v>481</v>
      </c>
      <c r="D99" s="149">
        <v>507244</v>
      </c>
      <c r="E99" s="281">
        <v>42373</v>
      </c>
      <c r="F99" s="281">
        <v>42735</v>
      </c>
      <c r="G99" s="149">
        <v>1.5</v>
      </c>
      <c r="H99" s="149"/>
      <c r="I99" s="149">
        <v>11</v>
      </c>
      <c r="J99" s="149">
        <v>11</v>
      </c>
      <c r="K99" s="149" t="s">
        <v>1818</v>
      </c>
      <c r="L99" s="149"/>
      <c r="M99" s="149"/>
    </row>
    <row r="100" spans="1:13" hidden="1">
      <c r="A100" s="149" t="s">
        <v>114</v>
      </c>
      <c r="B100" s="149" t="s">
        <v>134</v>
      </c>
      <c r="C100" s="149" t="s">
        <v>501</v>
      </c>
      <c r="D100" s="149">
        <v>507244</v>
      </c>
      <c r="E100" s="281">
        <v>42373</v>
      </c>
      <c r="F100" s="281">
        <v>42735</v>
      </c>
      <c r="G100" s="149">
        <v>1.2</v>
      </c>
      <c r="H100" s="149"/>
      <c r="I100" s="149"/>
      <c r="J100" s="149"/>
      <c r="K100" s="149" t="s">
        <v>1816</v>
      </c>
      <c r="L100" s="149"/>
      <c r="M100" s="149"/>
    </row>
    <row r="101" spans="1:13" hidden="1">
      <c r="A101" s="149" t="s">
        <v>114</v>
      </c>
      <c r="B101" s="149" t="s">
        <v>134</v>
      </c>
      <c r="C101" s="149" t="s">
        <v>449</v>
      </c>
      <c r="D101" s="149">
        <v>507244</v>
      </c>
      <c r="E101" s="281">
        <v>42373</v>
      </c>
      <c r="F101" s="281">
        <v>42735</v>
      </c>
      <c r="G101" s="149">
        <v>5.6</v>
      </c>
      <c r="H101" s="149"/>
      <c r="I101" s="149"/>
      <c r="J101" s="149"/>
      <c r="K101" s="149" t="s">
        <v>1817</v>
      </c>
      <c r="L101" s="149"/>
      <c r="M101" s="149"/>
    </row>
    <row r="102" spans="1:13" hidden="1">
      <c r="A102" s="149" t="s">
        <v>114</v>
      </c>
      <c r="B102" s="149" t="s">
        <v>134</v>
      </c>
      <c r="C102" s="149" t="s">
        <v>521</v>
      </c>
      <c r="D102" s="149">
        <v>507244</v>
      </c>
      <c r="E102" s="281">
        <v>42373</v>
      </c>
      <c r="F102" s="281">
        <v>42735</v>
      </c>
      <c r="G102" s="149">
        <v>4</v>
      </c>
      <c r="H102" s="149"/>
      <c r="I102" s="149"/>
      <c r="J102" s="149"/>
      <c r="K102" s="149" t="s">
        <v>1814</v>
      </c>
      <c r="L102" s="149"/>
      <c r="M102" s="149"/>
    </row>
    <row r="103" spans="1:13" hidden="1">
      <c r="A103" s="149" t="s">
        <v>114</v>
      </c>
      <c r="B103" s="149" t="s">
        <v>134</v>
      </c>
      <c r="C103" s="149" t="s">
        <v>496</v>
      </c>
      <c r="D103" s="149">
        <v>507244</v>
      </c>
      <c r="E103" s="281">
        <v>42373</v>
      </c>
      <c r="F103" s="281">
        <v>42735</v>
      </c>
      <c r="G103" s="149">
        <v>3.2</v>
      </c>
      <c r="H103" s="149"/>
      <c r="I103" s="149"/>
      <c r="J103" s="149"/>
      <c r="K103" s="149" t="s">
        <v>1813</v>
      </c>
      <c r="L103" s="149"/>
      <c r="M103" s="149"/>
    </row>
    <row r="104" spans="1:13" hidden="1">
      <c r="A104" s="149" t="s">
        <v>115</v>
      </c>
      <c r="B104" s="149" t="s">
        <v>140</v>
      </c>
      <c r="C104" s="149" t="s">
        <v>764</v>
      </c>
      <c r="D104" s="149">
        <v>507246</v>
      </c>
      <c r="E104" s="281">
        <v>42373</v>
      </c>
      <c r="F104" s="281">
        <v>42735</v>
      </c>
      <c r="G104" s="149">
        <v>3.6</v>
      </c>
      <c r="H104" s="149">
        <v>13</v>
      </c>
      <c r="I104" s="149">
        <v>173</v>
      </c>
      <c r="J104" s="149">
        <v>186</v>
      </c>
      <c r="K104" s="149" t="s">
        <v>1825</v>
      </c>
      <c r="L104" s="149"/>
      <c r="M104" s="149"/>
    </row>
    <row r="105" spans="1:13" hidden="1">
      <c r="A105" s="149" t="s">
        <v>115</v>
      </c>
      <c r="B105" s="149" t="s">
        <v>140</v>
      </c>
      <c r="C105" s="149" t="s">
        <v>747</v>
      </c>
      <c r="D105" s="149">
        <v>507246</v>
      </c>
      <c r="E105" s="281">
        <v>42373</v>
      </c>
      <c r="F105" s="281">
        <v>42735</v>
      </c>
      <c r="G105" s="149">
        <v>5.7</v>
      </c>
      <c r="H105" s="149">
        <v>44</v>
      </c>
      <c r="I105" s="149">
        <v>210</v>
      </c>
      <c r="J105" s="149">
        <v>254</v>
      </c>
      <c r="K105" s="149" t="s">
        <v>1821</v>
      </c>
      <c r="L105" s="149"/>
      <c r="M105" s="149"/>
    </row>
    <row r="106" spans="1:13" hidden="1">
      <c r="A106" s="149" t="s">
        <v>115</v>
      </c>
      <c r="B106" s="149" t="s">
        <v>140</v>
      </c>
      <c r="C106" s="149" t="s">
        <v>845</v>
      </c>
      <c r="D106" s="149">
        <v>507246</v>
      </c>
      <c r="E106" s="281">
        <v>42373</v>
      </c>
      <c r="F106" s="281">
        <v>42735</v>
      </c>
      <c r="G106" s="149">
        <v>2.4</v>
      </c>
      <c r="H106" s="149">
        <v>9</v>
      </c>
      <c r="I106" s="149">
        <v>54</v>
      </c>
      <c r="J106" s="149">
        <v>63</v>
      </c>
      <c r="K106" s="149" t="s">
        <v>1824</v>
      </c>
      <c r="L106" s="149"/>
      <c r="M106" s="149"/>
    </row>
    <row r="107" spans="1:13" hidden="1">
      <c r="A107" s="149" t="s">
        <v>115</v>
      </c>
      <c r="B107" s="149" t="s">
        <v>140</v>
      </c>
      <c r="C107" s="149" t="s">
        <v>840</v>
      </c>
      <c r="D107" s="149">
        <v>507246</v>
      </c>
      <c r="E107" s="281">
        <v>42373</v>
      </c>
      <c r="F107" s="281">
        <v>42735</v>
      </c>
      <c r="G107" s="149">
        <v>3.3</v>
      </c>
      <c r="H107" s="149">
        <v>48</v>
      </c>
      <c r="I107" s="149">
        <v>100</v>
      </c>
      <c r="J107" s="149">
        <v>148</v>
      </c>
      <c r="K107" s="149" t="s">
        <v>1822</v>
      </c>
      <c r="L107" s="149"/>
      <c r="M107" s="149"/>
    </row>
    <row r="108" spans="1:13" hidden="1">
      <c r="A108" s="149" t="s">
        <v>115</v>
      </c>
      <c r="B108" s="149" t="s">
        <v>140</v>
      </c>
      <c r="C108" s="149" t="s">
        <v>739</v>
      </c>
      <c r="D108" s="149">
        <v>507246</v>
      </c>
      <c r="E108" s="281">
        <v>42373</v>
      </c>
      <c r="F108" s="281">
        <v>42735</v>
      </c>
      <c r="G108" s="149">
        <v>4.7</v>
      </c>
      <c r="H108" s="149">
        <v>80</v>
      </c>
      <c r="I108" s="149">
        <v>199</v>
      </c>
      <c r="J108" s="149">
        <v>279</v>
      </c>
      <c r="K108" s="149" t="s">
        <v>1823</v>
      </c>
      <c r="L108" s="149"/>
      <c r="M108" s="149"/>
    </row>
    <row r="109" spans="1:13" hidden="1">
      <c r="A109" s="149" t="s">
        <v>115</v>
      </c>
      <c r="B109" s="149" t="s">
        <v>140</v>
      </c>
      <c r="C109" s="149" t="s">
        <v>818</v>
      </c>
      <c r="D109" s="149">
        <v>507246</v>
      </c>
      <c r="E109" s="281">
        <v>42373</v>
      </c>
      <c r="F109" s="281">
        <v>42735</v>
      </c>
      <c r="G109" s="149">
        <v>8.1999999999999993</v>
      </c>
      <c r="H109" s="149">
        <v>28</v>
      </c>
      <c r="I109" s="149">
        <v>238</v>
      </c>
      <c r="J109" s="149">
        <v>266</v>
      </c>
      <c r="K109" s="149" t="s">
        <v>1820</v>
      </c>
      <c r="L109" s="149"/>
      <c r="M109" s="149"/>
    </row>
    <row r="110" spans="1:13" hidden="1">
      <c r="A110" s="149" t="s">
        <v>115</v>
      </c>
      <c r="B110" s="149" t="s">
        <v>140</v>
      </c>
      <c r="C110" s="149" t="s">
        <v>829</v>
      </c>
      <c r="D110" s="149">
        <v>507246</v>
      </c>
      <c r="E110" s="281">
        <v>42373</v>
      </c>
      <c r="F110" s="281">
        <v>42735</v>
      </c>
      <c r="G110" s="149">
        <v>0.5</v>
      </c>
      <c r="H110" s="149">
        <v>1</v>
      </c>
      <c r="I110" s="149">
        <v>44</v>
      </c>
      <c r="J110" s="149">
        <v>45</v>
      </c>
      <c r="K110" s="149" t="s">
        <v>1819</v>
      </c>
      <c r="L110" s="149"/>
      <c r="M110" s="149"/>
    </row>
    <row r="111" spans="1:13" hidden="1">
      <c r="A111" s="149" t="s">
        <v>115</v>
      </c>
      <c r="B111" s="149" t="s">
        <v>124</v>
      </c>
      <c r="C111" s="149" t="s">
        <v>748</v>
      </c>
      <c r="D111" s="149">
        <v>507247</v>
      </c>
      <c r="E111" s="281">
        <v>42373</v>
      </c>
      <c r="F111" s="281">
        <v>42735</v>
      </c>
      <c r="G111" s="149">
        <v>5.8</v>
      </c>
      <c r="H111" s="149">
        <v>4</v>
      </c>
      <c r="I111" s="149">
        <v>99</v>
      </c>
      <c r="J111" s="149">
        <v>103</v>
      </c>
      <c r="K111" s="149" t="s">
        <v>1828</v>
      </c>
      <c r="L111" s="149"/>
      <c r="M111" s="149"/>
    </row>
    <row r="112" spans="1:13" hidden="1">
      <c r="A112" s="149" t="s">
        <v>115</v>
      </c>
      <c r="B112" s="149" t="s">
        <v>124</v>
      </c>
      <c r="C112" s="149" t="s">
        <v>220</v>
      </c>
      <c r="D112" s="149">
        <v>507247</v>
      </c>
      <c r="E112" s="281">
        <v>42373</v>
      </c>
      <c r="F112" s="281">
        <v>42735</v>
      </c>
      <c r="G112" s="149">
        <v>3.2</v>
      </c>
      <c r="H112" s="149"/>
      <c r="I112" s="149">
        <v>49</v>
      </c>
      <c r="J112" s="149">
        <v>49</v>
      </c>
      <c r="K112" s="149" t="s">
        <v>1826</v>
      </c>
      <c r="L112" s="149"/>
      <c r="M112" s="149"/>
    </row>
    <row r="113" spans="1:13" hidden="1">
      <c r="A113" s="149" t="s">
        <v>115</v>
      </c>
      <c r="B113" s="149" t="s">
        <v>124</v>
      </c>
      <c r="C113" s="149" t="s">
        <v>527</v>
      </c>
      <c r="D113" s="149">
        <v>507247</v>
      </c>
      <c r="E113" s="281">
        <v>42373</v>
      </c>
      <c r="F113" s="281">
        <v>42735</v>
      </c>
      <c r="G113" s="149">
        <v>1.4</v>
      </c>
      <c r="H113" s="149"/>
      <c r="I113" s="149">
        <v>40</v>
      </c>
      <c r="J113" s="149">
        <v>40</v>
      </c>
      <c r="K113" s="149" t="s">
        <v>1830</v>
      </c>
      <c r="L113" s="149"/>
      <c r="M113" s="149"/>
    </row>
    <row r="114" spans="1:13" hidden="1">
      <c r="A114" s="149" t="s">
        <v>115</v>
      </c>
      <c r="B114" s="149" t="s">
        <v>124</v>
      </c>
      <c r="C114" s="149" t="s">
        <v>855</v>
      </c>
      <c r="D114" s="149">
        <v>507247</v>
      </c>
      <c r="E114" s="281">
        <v>42373</v>
      </c>
      <c r="F114" s="281">
        <v>42735</v>
      </c>
      <c r="G114" s="149">
        <v>4.0999999999999996</v>
      </c>
      <c r="H114" s="149"/>
      <c r="I114" s="149">
        <v>32</v>
      </c>
      <c r="J114" s="149">
        <v>32</v>
      </c>
      <c r="K114" s="149" t="s">
        <v>1829</v>
      </c>
      <c r="L114" s="149"/>
      <c r="M114" s="149"/>
    </row>
    <row r="115" spans="1:13" hidden="1">
      <c r="A115" s="149" t="s">
        <v>115</v>
      </c>
      <c r="B115" s="149" t="s">
        <v>124</v>
      </c>
      <c r="C115" s="149" t="s">
        <v>295</v>
      </c>
      <c r="D115" s="149">
        <v>507247</v>
      </c>
      <c r="E115" s="281">
        <v>42373</v>
      </c>
      <c r="F115" s="281">
        <v>42735</v>
      </c>
      <c r="G115" s="149">
        <v>5</v>
      </c>
      <c r="H115" s="149">
        <v>2</v>
      </c>
      <c r="I115" s="149">
        <v>70</v>
      </c>
      <c r="J115" s="149">
        <v>72</v>
      </c>
      <c r="K115" s="149" t="s">
        <v>1827</v>
      </c>
      <c r="L115" s="149"/>
      <c r="M115" s="149"/>
    </row>
    <row r="116" spans="1:13" hidden="1">
      <c r="A116" s="149" t="s">
        <v>111</v>
      </c>
      <c r="B116" s="149" t="s">
        <v>126</v>
      </c>
      <c r="C116" s="149" t="s">
        <v>299</v>
      </c>
      <c r="D116" s="149">
        <v>507249</v>
      </c>
      <c r="E116" s="281">
        <v>42373</v>
      </c>
      <c r="F116" s="281">
        <v>42734</v>
      </c>
      <c r="G116" s="149">
        <v>2</v>
      </c>
      <c r="H116" s="149"/>
      <c r="I116" s="149">
        <v>46</v>
      </c>
      <c r="J116" s="149">
        <v>46</v>
      </c>
      <c r="K116" s="149" t="s">
        <v>1831</v>
      </c>
      <c r="L116" s="149"/>
      <c r="M116" s="149"/>
    </row>
    <row r="117" spans="1:13" hidden="1">
      <c r="A117" s="149" t="s">
        <v>111</v>
      </c>
      <c r="B117" s="149" t="s">
        <v>126</v>
      </c>
      <c r="C117" s="149" t="s">
        <v>264</v>
      </c>
      <c r="D117" s="149">
        <v>507249</v>
      </c>
      <c r="E117" s="281">
        <v>42373</v>
      </c>
      <c r="F117" s="281">
        <v>42734</v>
      </c>
      <c r="G117" s="149">
        <v>21.1</v>
      </c>
      <c r="H117" s="149">
        <v>68</v>
      </c>
      <c r="I117" s="149">
        <v>1106</v>
      </c>
      <c r="J117" s="149">
        <v>1174</v>
      </c>
      <c r="K117" s="149" t="s">
        <v>1832</v>
      </c>
      <c r="L117" s="149"/>
      <c r="M117" s="149"/>
    </row>
    <row r="118" spans="1:13" hidden="1">
      <c r="A118" s="149" t="s">
        <v>111</v>
      </c>
      <c r="B118" s="149" t="s">
        <v>126</v>
      </c>
      <c r="C118" s="149" t="s">
        <v>298</v>
      </c>
      <c r="D118" s="149">
        <v>507249</v>
      </c>
      <c r="E118" s="281">
        <v>42373</v>
      </c>
      <c r="F118" s="281">
        <v>42734</v>
      </c>
      <c r="G118" s="149">
        <v>9.9</v>
      </c>
      <c r="H118" s="149"/>
      <c r="I118" s="149">
        <v>224</v>
      </c>
      <c r="J118" s="149">
        <v>224</v>
      </c>
      <c r="K118" s="149" t="s">
        <v>1835</v>
      </c>
      <c r="L118" s="149"/>
      <c r="M118" s="149"/>
    </row>
    <row r="119" spans="1:13" hidden="1">
      <c r="A119" s="149" t="s">
        <v>111</v>
      </c>
      <c r="B119" s="149" t="s">
        <v>126</v>
      </c>
      <c r="C119" s="149" t="s">
        <v>266</v>
      </c>
      <c r="D119" s="149">
        <v>507249</v>
      </c>
      <c r="E119" s="281">
        <v>42373</v>
      </c>
      <c r="F119" s="281">
        <v>42734</v>
      </c>
      <c r="G119" s="149">
        <v>0.7</v>
      </c>
      <c r="H119" s="149">
        <v>6</v>
      </c>
      <c r="I119" s="149">
        <v>23</v>
      </c>
      <c r="J119" s="149">
        <v>29</v>
      </c>
      <c r="K119" s="149" t="s">
        <v>1833</v>
      </c>
      <c r="L119" s="149"/>
      <c r="M119" s="149"/>
    </row>
    <row r="120" spans="1:13" hidden="1">
      <c r="A120" s="149" t="s">
        <v>111</v>
      </c>
      <c r="B120" s="149" t="s">
        <v>126</v>
      </c>
      <c r="C120" s="149" t="s">
        <v>265</v>
      </c>
      <c r="D120" s="149">
        <v>507249</v>
      </c>
      <c r="E120" s="281">
        <v>42373</v>
      </c>
      <c r="F120" s="281">
        <v>42734</v>
      </c>
      <c r="G120" s="149">
        <v>0.6</v>
      </c>
      <c r="H120" s="149">
        <v>2</v>
      </c>
      <c r="I120" s="149">
        <v>9</v>
      </c>
      <c r="J120" s="149">
        <v>11</v>
      </c>
      <c r="K120" s="149" t="s">
        <v>1834</v>
      </c>
      <c r="L120" s="149"/>
      <c r="M120" s="149"/>
    </row>
    <row r="121" spans="1:13" hidden="1">
      <c r="A121" s="149" t="s">
        <v>116</v>
      </c>
      <c r="B121" s="149" t="s">
        <v>126</v>
      </c>
      <c r="C121" s="149" t="s">
        <v>636</v>
      </c>
      <c r="D121" s="149">
        <v>507250</v>
      </c>
      <c r="E121" s="281">
        <v>42383</v>
      </c>
      <c r="F121" s="281">
        <v>42734</v>
      </c>
      <c r="G121" s="149">
        <v>4</v>
      </c>
      <c r="H121" s="149">
        <v>4</v>
      </c>
      <c r="I121" s="149">
        <v>31</v>
      </c>
      <c r="J121" s="149">
        <v>35</v>
      </c>
      <c r="K121" s="149" t="s">
        <v>1837</v>
      </c>
      <c r="L121" s="149"/>
      <c r="M121" s="149"/>
    </row>
    <row r="122" spans="1:13" hidden="1">
      <c r="A122" s="149" t="s">
        <v>116</v>
      </c>
      <c r="B122" s="149" t="s">
        <v>126</v>
      </c>
      <c r="C122" s="149" t="s">
        <v>602</v>
      </c>
      <c r="D122" s="149">
        <v>507250</v>
      </c>
      <c r="E122" s="281">
        <v>42383</v>
      </c>
      <c r="F122" s="281">
        <v>42734</v>
      </c>
      <c r="G122" s="149">
        <v>5.0999999999999996</v>
      </c>
      <c r="H122" s="149">
        <v>17</v>
      </c>
      <c r="I122" s="149">
        <v>90</v>
      </c>
      <c r="J122" s="149">
        <v>107</v>
      </c>
      <c r="K122" s="149" t="s">
        <v>1838</v>
      </c>
      <c r="L122" s="149"/>
      <c r="M122" s="149"/>
    </row>
    <row r="123" spans="1:13" hidden="1">
      <c r="A123" s="149" t="s">
        <v>116</v>
      </c>
      <c r="B123" s="149" t="s">
        <v>126</v>
      </c>
      <c r="C123" s="149" t="s">
        <v>573</v>
      </c>
      <c r="D123" s="149">
        <v>507250</v>
      </c>
      <c r="E123" s="281">
        <v>42383</v>
      </c>
      <c r="F123" s="281">
        <v>42734</v>
      </c>
      <c r="G123" s="149">
        <v>4</v>
      </c>
      <c r="H123" s="149">
        <v>17</v>
      </c>
      <c r="I123" s="149">
        <v>69</v>
      </c>
      <c r="J123" s="149">
        <v>86</v>
      </c>
      <c r="K123" s="149" t="s">
        <v>1836</v>
      </c>
      <c r="L123" s="149"/>
      <c r="M123" s="149"/>
    </row>
    <row r="124" spans="1:13" hidden="1">
      <c r="A124" s="149" t="s">
        <v>116</v>
      </c>
      <c r="B124" s="149" t="s">
        <v>126</v>
      </c>
      <c r="C124" s="149" t="s">
        <v>532</v>
      </c>
      <c r="D124" s="149">
        <v>507250</v>
      </c>
      <c r="E124" s="281">
        <v>42383</v>
      </c>
      <c r="F124" s="281">
        <v>42734</v>
      </c>
      <c r="G124" s="149">
        <v>13.5</v>
      </c>
      <c r="H124" s="149">
        <v>29</v>
      </c>
      <c r="I124" s="149">
        <v>152</v>
      </c>
      <c r="J124" s="149">
        <v>181</v>
      </c>
      <c r="K124" s="149" t="s">
        <v>1839</v>
      </c>
      <c r="L124" s="149"/>
      <c r="M124" s="149"/>
    </row>
    <row r="125" spans="1:13" hidden="1">
      <c r="A125" s="149" t="s">
        <v>116</v>
      </c>
      <c r="B125" s="149" t="s">
        <v>126</v>
      </c>
      <c r="C125" s="149" t="s">
        <v>734</v>
      </c>
      <c r="D125" s="149">
        <v>507250</v>
      </c>
      <c r="E125" s="281">
        <v>42383</v>
      </c>
      <c r="F125" s="281">
        <v>42734</v>
      </c>
      <c r="G125" s="149">
        <v>1.4</v>
      </c>
      <c r="H125" s="149">
        <v>5</v>
      </c>
      <c r="I125" s="149">
        <v>37</v>
      </c>
      <c r="J125" s="149">
        <v>42</v>
      </c>
      <c r="K125" s="149" t="s">
        <v>1841</v>
      </c>
      <c r="L125" s="149"/>
      <c r="M125" s="149"/>
    </row>
    <row r="126" spans="1:13" hidden="1">
      <c r="A126" s="149" t="s">
        <v>116</v>
      </c>
      <c r="B126" s="149" t="s">
        <v>126</v>
      </c>
      <c r="C126" s="149" t="s">
        <v>730</v>
      </c>
      <c r="D126" s="149">
        <v>507250</v>
      </c>
      <c r="E126" s="281">
        <v>42383</v>
      </c>
      <c r="F126" s="281">
        <v>42734</v>
      </c>
      <c r="G126" s="149">
        <v>0.4</v>
      </c>
      <c r="H126" s="149">
        <v>1</v>
      </c>
      <c r="I126" s="149">
        <v>11</v>
      </c>
      <c r="J126" s="149">
        <v>12</v>
      </c>
      <c r="K126" s="149" t="s">
        <v>1840</v>
      </c>
      <c r="L126" s="149"/>
      <c r="M126" s="149"/>
    </row>
    <row r="127" spans="1:13" hidden="1">
      <c r="A127" s="149" t="s">
        <v>114</v>
      </c>
      <c r="B127" s="149" t="s">
        <v>126</v>
      </c>
      <c r="C127" s="149" t="s">
        <v>538</v>
      </c>
      <c r="D127" s="149">
        <v>507251</v>
      </c>
      <c r="E127" s="281">
        <v>42384</v>
      </c>
      <c r="F127" s="281">
        <v>42735</v>
      </c>
      <c r="G127" s="149">
        <v>1.5</v>
      </c>
      <c r="H127" s="149">
        <v>14</v>
      </c>
      <c r="I127" s="149">
        <v>39</v>
      </c>
      <c r="J127" s="149">
        <v>53</v>
      </c>
      <c r="K127" s="149" t="s">
        <v>1845</v>
      </c>
      <c r="L127" s="149"/>
      <c r="M127" s="149"/>
    </row>
    <row r="128" spans="1:13" hidden="1">
      <c r="A128" s="149" t="s">
        <v>114</v>
      </c>
      <c r="B128" s="149" t="s">
        <v>126</v>
      </c>
      <c r="C128" s="149" t="s">
        <v>539</v>
      </c>
      <c r="D128" s="149">
        <v>507251</v>
      </c>
      <c r="E128" s="281">
        <v>42384</v>
      </c>
      <c r="F128" s="281">
        <v>42735</v>
      </c>
      <c r="G128" s="149">
        <v>1.9</v>
      </c>
      <c r="H128" s="149">
        <v>5</v>
      </c>
      <c r="I128" s="149">
        <v>29</v>
      </c>
      <c r="J128" s="149">
        <v>34</v>
      </c>
      <c r="K128" s="149" t="s">
        <v>1842</v>
      </c>
      <c r="L128" s="149"/>
      <c r="M128" s="149"/>
    </row>
    <row r="129" spans="1:13" hidden="1">
      <c r="A129" s="149" t="s">
        <v>114</v>
      </c>
      <c r="B129" s="149" t="s">
        <v>126</v>
      </c>
      <c r="C129" s="149" t="s">
        <v>528</v>
      </c>
      <c r="D129" s="149">
        <v>507251</v>
      </c>
      <c r="E129" s="281">
        <v>42384</v>
      </c>
      <c r="F129" s="281">
        <v>42735</v>
      </c>
      <c r="G129" s="149">
        <v>25.5</v>
      </c>
      <c r="H129" s="149">
        <v>28</v>
      </c>
      <c r="I129" s="149">
        <v>180</v>
      </c>
      <c r="J129" s="149">
        <v>208</v>
      </c>
      <c r="K129" s="149" t="s">
        <v>1844</v>
      </c>
      <c r="L129" s="149"/>
      <c r="M129" s="149"/>
    </row>
    <row r="130" spans="1:13" hidden="1">
      <c r="A130" s="149" t="s">
        <v>114</v>
      </c>
      <c r="B130" s="149" t="s">
        <v>126</v>
      </c>
      <c r="C130" s="149" t="s">
        <v>535</v>
      </c>
      <c r="D130" s="149">
        <v>507251</v>
      </c>
      <c r="E130" s="281">
        <v>42384</v>
      </c>
      <c r="F130" s="281">
        <v>42735</v>
      </c>
      <c r="G130" s="149">
        <v>1.1000000000000001</v>
      </c>
      <c r="H130" s="149">
        <v>2</v>
      </c>
      <c r="I130" s="149">
        <v>20</v>
      </c>
      <c r="J130" s="149">
        <v>22</v>
      </c>
      <c r="K130" s="149" t="s">
        <v>1843</v>
      </c>
      <c r="L130" s="149"/>
      <c r="M130" s="149"/>
    </row>
    <row r="131" spans="1:13" hidden="1">
      <c r="A131" s="149" t="s">
        <v>116</v>
      </c>
      <c r="B131" s="149" t="s">
        <v>126</v>
      </c>
      <c r="C131" s="149" t="s">
        <v>699</v>
      </c>
      <c r="D131" s="149">
        <v>507252</v>
      </c>
      <c r="E131" s="281">
        <v>42395</v>
      </c>
      <c r="F131" s="281">
        <v>42734</v>
      </c>
      <c r="G131" s="149">
        <v>9.4</v>
      </c>
      <c r="H131" s="149">
        <v>24</v>
      </c>
      <c r="I131" s="149">
        <v>120</v>
      </c>
      <c r="J131" s="149">
        <v>144</v>
      </c>
      <c r="K131" s="149" t="s">
        <v>1846</v>
      </c>
      <c r="L131" s="149"/>
      <c r="M131" s="149"/>
    </row>
    <row r="132" spans="1:13" hidden="1">
      <c r="A132" s="149" t="s">
        <v>116</v>
      </c>
      <c r="B132" s="149" t="s">
        <v>126</v>
      </c>
      <c r="C132" s="149" t="s">
        <v>592</v>
      </c>
      <c r="D132" s="149">
        <v>507252</v>
      </c>
      <c r="E132" s="281">
        <v>42395</v>
      </c>
      <c r="F132" s="281">
        <v>42734</v>
      </c>
      <c r="G132" s="149">
        <v>3</v>
      </c>
      <c r="H132" s="149">
        <v>5</v>
      </c>
      <c r="I132" s="149">
        <v>59</v>
      </c>
      <c r="J132" s="149">
        <v>64</v>
      </c>
      <c r="K132" s="149" t="s">
        <v>1847</v>
      </c>
      <c r="L132" s="149"/>
      <c r="M132" s="149"/>
    </row>
    <row r="133" spans="1:13" hidden="1">
      <c r="A133" s="149" t="s">
        <v>114</v>
      </c>
      <c r="B133" s="149" t="s">
        <v>450</v>
      </c>
      <c r="C133" s="149" t="s">
        <v>280</v>
      </c>
      <c r="D133" s="149">
        <v>507253</v>
      </c>
      <c r="E133" s="281">
        <v>42395</v>
      </c>
      <c r="F133" s="281">
        <v>42734</v>
      </c>
      <c r="G133" s="149">
        <v>0.3</v>
      </c>
      <c r="H133" s="149"/>
      <c r="I133" s="149">
        <v>1</v>
      </c>
      <c r="J133" s="149">
        <v>1</v>
      </c>
      <c r="K133" s="149" t="s">
        <v>1849</v>
      </c>
      <c r="L133" s="149"/>
      <c r="M133" s="149"/>
    </row>
    <row r="134" spans="1:13" hidden="1">
      <c r="A134" s="149" t="s">
        <v>114</v>
      </c>
      <c r="B134" s="149" t="s">
        <v>450</v>
      </c>
      <c r="C134" s="149" t="s">
        <v>505</v>
      </c>
      <c r="D134" s="149">
        <v>507253</v>
      </c>
      <c r="E134" s="281">
        <v>42395</v>
      </c>
      <c r="F134" s="281">
        <v>42734</v>
      </c>
      <c r="G134" s="149">
        <v>0.5</v>
      </c>
      <c r="H134" s="149"/>
      <c r="I134" s="149">
        <v>1</v>
      </c>
      <c r="J134" s="149">
        <v>1</v>
      </c>
      <c r="K134" s="149" t="s">
        <v>1852</v>
      </c>
      <c r="L134" s="149"/>
      <c r="M134" s="149"/>
    </row>
    <row r="135" spans="1:13" hidden="1">
      <c r="A135" s="149" t="s">
        <v>114</v>
      </c>
      <c r="B135" s="149" t="s">
        <v>450</v>
      </c>
      <c r="C135" s="149" t="s">
        <v>468</v>
      </c>
      <c r="D135" s="149">
        <v>507253</v>
      </c>
      <c r="E135" s="281">
        <v>42395</v>
      </c>
      <c r="F135" s="281">
        <v>42734</v>
      </c>
      <c r="G135" s="149">
        <v>0.3</v>
      </c>
      <c r="H135" s="149"/>
      <c r="I135" s="149"/>
      <c r="J135" s="149"/>
      <c r="K135" s="149" t="s">
        <v>1848</v>
      </c>
      <c r="L135" s="149"/>
      <c r="M135" s="149"/>
    </row>
    <row r="136" spans="1:13" hidden="1">
      <c r="A136" s="149" t="s">
        <v>114</v>
      </c>
      <c r="B136" s="149" t="s">
        <v>450</v>
      </c>
      <c r="C136" s="149" t="s">
        <v>480</v>
      </c>
      <c r="D136" s="149">
        <v>507253</v>
      </c>
      <c r="E136" s="281">
        <v>42395</v>
      </c>
      <c r="F136" s="281">
        <v>42734</v>
      </c>
      <c r="G136" s="149">
        <v>0.5</v>
      </c>
      <c r="H136" s="149"/>
      <c r="I136" s="149">
        <v>1</v>
      </c>
      <c r="J136" s="149">
        <v>1</v>
      </c>
      <c r="K136" s="149" t="s">
        <v>1853</v>
      </c>
      <c r="L136" s="149"/>
      <c r="M136" s="149"/>
    </row>
    <row r="137" spans="1:13" hidden="1">
      <c r="A137" s="149" t="s">
        <v>114</v>
      </c>
      <c r="B137" s="149" t="s">
        <v>450</v>
      </c>
      <c r="C137" s="149" t="s">
        <v>498</v>
      </c>
      <c r="D137" s="149">
        <v>507253</v>
      </c>
      <c r="E137" s="281">
        <v>42395</v>
      </c>
      <c r="F137" s="281">
        <v>42734</v>
      </c>
      <c r="G137" s="149">
        <v>0.1</v>
      </c>
      <c r="H137" s="149"/>
      <c r="I137" s="149"/>
      <c r="J137" s="149"/>
      <c r="K137" s="149" t="s">
        <v>1850</v>
      </c>
      <c r="L137" s="149"/>
      <c r="M137" s="149"/>
    </row>
    <row r="138" spans="1:13" hidden="1">
      <c r="A138" s="149" t="s">
        <v>114</v>
      </c>
      <c r="B138" s="149" t="s">
        <v>450</v>
      </c>
      <c r="C138" s="149" t="s">
        <v>500</v>
      </c>
      <c r="D138" s="149">
        <v>507253</v>
      </c>
      <c r="E138" s="281">
        <v>42395</v>
      </c>
      <c r="F138" s="281">
        <v>42734</v>
      </c>
      <c r="G138" s="149">
        <v>0.1</v>
      </c>
      <c r="H138" s="149"/>
      <c r="I138" s="149"/>
      <c r="J138" s="149"/>
      <c r="K138" s="149" t="s">
        <v>1851</v>
      </c>
      <c r="L138" s="149"/>
      <c r="M138" s="149"/>
    </row>
    <row r="139" spans="1:13" hidden="1">
      <c r="A139" s="149" t="s">
        <v>114</v>
      </c>
      <c r="B139" s="149" t="s">
        <v>478</v>
      </c>
      <c r="C139" s="149" t="s">
        <v>510</v>
      </c>
      <c r="D139" s="149">
        <v>507255</v>
      </c>
      <c r="E139" s="281">
        <v>42395</v>
      </c>
      <c r="F139" s="281">
        <v>42734</v>
      </c>
      <c r="G139" s="149">
        <v>0.3</v>
      </c>
      <c r="H139" s="149"/>
      <c r="I139" s="149"/>
      <c r="J139" s="149"/>
      <c r="K139" s="149" t="s">
        <v>1855</v>
      </c>
      <c r="L139" s="149"/>
      <c r="M139" s="149"/>
    </row>
    <row r="140" spans="1:13" hidden="1">
      <c r="A140" s="149" t="s">
        <v>114</v>
      </c>
      <c r="B140" s="149" t="s">
        <v>478</v>
      </c>
      <c r="C140" s="149" t="s">
        <v>507</v>
      </c>
      <c r="D140" s="149">
        <v>507255</v>
      </c>
      <c r="E140" s="281">
        <v>42395</v>
      </c>
      <c r="F140" s="281">
        <v>42734</v>
      </c>
      <c r="G140" s="149">
        <v>0.2</v>
      </c>
      <c r="H140" s="149"/>
      <c r="I140" s="149"/>
      <c r="J140" s="149"/>
      <c r="K140" s="149" t="s">
        <v>1854</v>
      </c>
      <c r="L140" s="149"/>
      <c r="M140" s="149"/>
    </row>
    <row r="141" spans="1:13" hidden="1">
      <c r="A141" s="149" t="s">
        <v>112</v>
      </c>
      <c r="B141" s="149" t="s">
        <v>126</v>
      </c>
      <c r="C141" s="149" t="s">
        <v>355</v>
      </c>
      <c r="D141" s="149">
        <v>507256</v>
      </c>
      <c r="E141" s="281">
        <v>42403</v>
      </c>
      <c r="F141" s="281">
        <v>42734</v>
      </c>
      <c r="G141" s="149">
        <v>3.5</v>
      </c>
      <c r="H141" s="149">
        <v>15</v>
      </c>
      <c r="I141" s="149">
        <v>61</v>
      </c>
      <c r="J141" s="149">
        <v>76</v>
      </c>
      <c r="K141" s="149" t="s">
        <v>1858</v>
      </c>
      <c r="L141" s="149"/>
      <c r="M141" s="149"/>
    </row>
    <row r="142" spans="1:13" hidden="1">
      <c r="A142" s="149" t="s">
        <v>112</v>
      </c>
      <c r="B142" s="149" t="s">
        <v>126</v>
      </c>
      <c r="C142" s="149" t="s">
        <v>333</v>
      </c>
      <c r="D142" s="149">
        <v>507256</v>
      </c>
      <c r="E142" s="281">
        <v>42403</v>
      </c>
      <c r="F142" s="281">
        <v>42734</v>
      </c>
      <c r="G142" s="149">
        <v>9.1</v>
      </c>
      <c r="H142" s="149">
        <v>6</v>
      </c>
      <c r="I142" s="149">
        <v>140</v>
      </c>
      <c r="J142" s="149">
        <v>146</v>
      </c>
      <c r="K142" s="149" t="s">
        <v>1856</v>
      </c>
      <c r="L142" s="149"/>
      <c r="M142" s="149"/>
    </row>
    <row r="143" spans="1:13" hidden="1">
      <c r="A143" s="149" t="s">
        <v>112</v>
      </c>
      <c r="B143" s="149" t="s">
        <v>126</v>
      </c>
      <c r="C143" s="149" t="s">
        <v>414</v>
      </c>
      <c r="D143" s="149">
        <v>507256</v>
      </c>
      <c r="E143" s="281">
        <v>42403</v>
      </c>
      <c r="F143" s="281">
        <v>42734</v>
      </c>
      <c r="G143" s="149">
        <v>2</v>
      </c>
      <c r="H143" s="149">
        <v>2</v>
      </c>
      <c r="I143" s="149">
        <v>38</v>
      </c>
      <c r="J143" s="149">
        <v>40</v>
      </c>
      <c r="K143" s="149" t="s">
        <v>1857</v>
      </c>
      <c r="L143" s="149"/>
      <c r="M143" s="149"/>
    </row>
    <row r="144" spans="1:13" hidden="1">
      <c r="A144" s="149" t="s">
        <v>112</v>
      </c>
      <c r="B144" s="149" t="s">
        <v>126</v>
      </c>
      <c r="C144" s="149" t="s">
        <v>401</v>
      </c>
      <c r="D144" s="149">
        <v>507256</v>
      </c>
      <c r="E144" s="281">
        <v>42403</v>
      </c>
      <c r="F144" s="281">
        <v>42734</v>
      </c>
      <c r="G144" s="149">
        <v>2.9</v>
      </c>
      <c r="H144" s="149">
        <v>22</v>
      </c>
      <c r="I144" s="149">
        <v>86</v>
      </c>
      <c r="J144" s="149">
        <v>108</v>
      </c>
      <c r="K144" s="149" t="s">
        <v>1859</v>
      </c>
      <c r="L144" s="149"/>
      <c r="M144" s="149"/>
    </row>
    <row r="145" spans="1:13" hidden="1">
      <c r="A145" s="149" t="s">
        <v>112</v>
      </c>
      <c r="B145" s="149" t="s">
        <v>126</v>
      </c>
      <c r="C145" s="149" t="s">
        <v>436</v>
      </c>
      <c r="D145" s="149">
        <v>507257</v>
      </c>
      <c r="E145" s="281">
        <v>42409</v>
      </c>
      <c r="F145" s="281">
        <v>42734</v>
      </c>
      <c r="G145" s="149">
        <v>2.4</v>
      </c>
      <c r="H145" s="149"/>
      <c r="I145" s="149">
        <v>57</v>
      </c>
      <c r="J145" s="149">
        <v>57</v>
      </c>
      <c r="K145" s="149" t="s">
        <v>1860</v>
      </c>
      <c r="L145" s="149"/>
      <c r="M145" s="149"/>
    </row>
    <row r="146" spans="1:13" hidden="1">
      <c r="A146" s="149" t="s">
        <v>113</v>
      </c>
      <c r="B146" s="149" t="s">
        <v>126</v>
      </c>
      <c r="C146" s="149" t="s">
        <v>187</v>
      </c>
      <c r="D146" s="149">
        <v>507258</v>
      </c>
      <c r="E146" s="281">
        <v>42412</v>
      </c>
      <c r="F146" s="281">
        <v>42734</v>
      </c>
      <c r="G146" s="149">
        <v>4.3</v>
      </c>
      <c r="H146" s="149">
        <v>20</v>
      </c>
      <c r="I146" s="149">
        <v>88</v>
      </c>
      <c r="J146" s="149">
        <v>108</v>
      </c>
      <c r="K146" s="149" t="s">
        <v>1861</v>
      </c>
      <c r="L146" s="149"/>
      <c r="M146" s="149"/>
    </row>
    <row r="147" spans="1:13" hidden="1">
      <c r="A147" s="149" t="s">
        <v>113</v>
      </c>
      <c r="B147" s="149" t="s">
        <v>126</v>
      </c>
      <c r="C147" s="149" t="s">
        <v>220</v>
      </c>
      <c r="D147" s="149">
        <v>507258</v>
      </c>
      <c r="E147" s="281">
        <v>42412</v>
      </c>
      <c r="F147" s="281">
        <v>42734</v>
      </c>
      <c r="G147" s="149">
        <v>3.2</v>
      </c>
      <c r="H147" s="149"/>
      <c r="I147" s="149">
        <v>45</v>
      </c>
      <c r="J147" s="149">
        <v>45</v>
      </c>
      <c r="K147" s="149" t="s">
        <v>1863</v>
      </c>
      <c r="L147" s="149"/>
      <c r="M147" s="149"/>
    </row>
    <row r="148" spans="1:13" hidden="1">
      <c r="A148" s="149" t="s">
        <v>113</v>
      </c>
      <c r="B148" s="149" t="s">
        <v>126</v>
      </c>
      <c r="C148" s="149" t="s">
        <v>131</v>
      </c>
      <c r="D148" s="149">
        <v>507258</v>
      </c>
      <c r="E148" s="281">
        <v>42412</v>
      </c>
      <c r="F148" s="281">
        <v>42734</v>
      </c>
      <c r="G148" s="149">
        <v>8.9</v>
      </c>
      <c r="H148" s="149">
        <v>4</v>
      </c>
      <c r="I148" s="149">
        <v>102</v>
      </c>
      <c r="J148" s="149">
        <v>106</v>
      </c>
      <c r="K148" s="149" t="s">
        <v>1862</v>
      </c>
      <c r="L148" s="149"/>
      <c r="M148" s="149"/>
    </row>
    <row r="149" spans="1:13" hidden="1">
      <c r="A149" s="149" t="s">
        <v>116</v>
      </c>
      <c r="B149" s="149" t="s">
        <v>126</v>
      </c>
      <c r="C149" s="149" t="s">
        <v>591</v>
      </c>
      <c r="D149" s="149">
        <v>507259</v>
      </c>
      <c r="E149" s="281">
        <v>42417</v>
      </c>
      <c r="F149" s="281">
        <v>42734</v>
      </c>
      <c r="G149" s="149">
        <v>7.1</v>
      </c>
      <c r="H149" s="149">
        <v>24</v>
      </c>
      <c r="I149" s="149">
        <v>90</v>
      </c>
      <c r="J149" s="149">
        <v>114</v>
      </c>
      <c r="K149" s="149" t="s">
        <v>1864</v>
      </c>
      <c r="L149" s="149"/>
      <c r="M149" s="149"/>
    </row>
    <row r="150" spans="1:13" hidden="1">
      <c r="A150" s="149" t="s">
        <v>116</v>
      </c>
      <c r="B150" s="149" t="s">
        <v>126</v>
      </c>
      <c r="C150" s="149" t="s">
        <v>679</v>
      </c>
      <c r="D150" s="149">
        <v>507259</v>
      </c>
      <c r="E150" s="281">
        <v>42417</v>
      </c>
      <c r="F150" s="281">
        <v>42734</v>
      </c>
      <c r="G150" s="149">
        <v>11.2</v>
      </c>
      <c r="H150" s="149">
        <v>37</v>
      </c>
      <c r="I150" s="149">
        <v>275</v>
      </c>
      <c r="J150" s="149">
        <v>312</v>
      </c>
      <c r="K150" s="149" t="s">
        <v>1865</v>
      </c>
      <c r="L150" s="149"/>
      <c r="M150" s="149"/>
    </row>
    <row r="151" spans="1:13" hidden="1">
      <c r="A151" s="149" t="s">
        <v>115</v>
      </c>
      <c r="B151" s="149" t="s">
        <v>126</v>
      </c>
      <c r="C151" s="149" t="s">
        <v>830</v>
      </c>
      <c r="D151" s="149">
        <v>507260</v>
      </c>
      <c r="E151" s="281">
        <v>42423</v>
      </c>
      <c r="F151" s="281">
        <v>42735</v>
      </c>
      <c r="G151" s="149">
        <v>4.9000000000000004</v>
      </c>
      <c r="H151" s="149">
        <v>9</v>
      </c>
      <c r="I151" s="149">
        <v>107</v>
      </c>
      <c r="J151" s="149">
        <v>116</v>
      </c>
      <c r="K151" s="149" t="s">
        <v>1870</v>
      </c>
      <c r="L151" s="149"/>
      <c r="M151" s="149"/>
    </row>
    <row r="152" spans="1:13" hidden="1">
      <c r="A152" s="149" t="s">
        <v>115</v>
      </c>
      <c r="B152" s="149" t="s">
        <v>126</v>
      </c>
      <c r="C152" s="149" t="s">
        <v>805</v>
      </c>
      <c r="D152" s="149">
        <v>507260</v>
      </c>
      <c r="E152" s="281">
        <v>42423</v>
      </c>
      <c r="F152" s="281">
        <v>42735</v>
      </c>
      <c r="G152" s="149">
        <v>5.9</v>
      </c>
      <c r="H152" s="149">
        <v>10</v>
      </c>
      <c r="I152" s="149">
        <v>132</v>
      </c>
      <c r="J152" s="149">
        <v>142</v>
      </c>
      <c r="K152" s="149" t="s">
        <v>1867</v>
      </c>
      <c r="L152" s="149"/>
      <c r="M152" s="149"/>
    </row>
    <row r="153" spans="1:13" hidden="1">
      <c r="A153" s="149" t="s">
        <v>115</v>
      </c>
      <c r="B153" s="149" t="s">
        <v>126</v>
      </c>
      <c r="C153" s="149" t="s">
        <v>789</v>
      </c>
      <c r="D153" s="149">
        <v>507260</v>
      </c>
      <c r="E153" s="281">
        <v>42423</v>
      </c>
      <c r="F153" s="281">
        <v>42735</v>
      </c>
      <c r="G153" s="149">
        <v>0.5</v>
      </c>
      <c r="H153" s="149">
        <v>3</v>
      </c>
      <c r="I153" s="149">
        <v>20</v>
      </c>
      <c r="J153" s="149">
        <v>23</v>
      </c>
      <c r="K153" s="149" t="s">
        <v>1873</v>
      </c>
      <c r="L153" s="149"/>
      <c r="M153" s="149"/>
    </row>
    <row r="154" spans="1:13" hidden="1">
      <c r="A154" s="149" t="s">
        <v>115</v>
      </c>
      <c r="B154" s="149" t="s">
        <v>126</v>
      </c>
      <c r="C154" s="149" t="s">
        <v>788</v>
      </c>
      <c r="D154" s="149">
        <v>507260</v>
      </c>
      <c r="E154" s="281">
        <v>42423</v>
      </c>
      <c r="F154" s="281">
        <v>42735</v>
      </c>
      <c r="G154" s="149">
        <v>0.5</v>
      </c>
      <c r="H154" s="149">
        <v>7</v>
      </c>
      <c r="I154" s="149">
        <v>24</v>
      </c>
      <c r="J154" s="149">
        <v>31</v>
      </c>
      <c r="K154" s="149" t="s">
        <v>1871</v>
      </c>
      <c r="L154" s="149"/>
      <c r="M154" s="149"/>
    </row>
    <row r="155" spans="1:13" hidden="1">
      <c r="A155" s="149" t="s">
        <v>115</v>
      </c>
      <c r="B155" s="149" t="s">
        <v>126</v>
      </c>
      <c r="C155" s="149" t="s">
        <v>790</v>
      </c>
      <c r="D155" s="149">
        <v>507260</v>
      </c>
      <c r="E155" s="281">
        <v>42423</v>
      </c>
      <c r="F155" s="281">
        <v>42735</v>
      </c>
      <c r="G155" s="149">
        <v>1.1000000000000001</v>
      </c>
      <c r="H155" s="149">
        <v>6</v>
      </c>
      <c r="I155" s="149">
        <v>26</v>
      </c>
      <c r="J155" s="149">
        <v>32</v>
      </c>
      <c r="K155" s="149" t="s">
        <v>1869</v>
      </c>
      <c r="L155" s="149"/>
      <c r="M155" s="149"/>
    </row>
    <row r="156" spans="1:13" hidden="1">
      <c r="A156" s="149" t="s">
        <v>115</v>
      </c>
      <c r="B156" s="149" t="s">
        <v>126</v>
      </c>
      <c r="C156" s="149" t="s">
        <v>849</v>
      </c>
      <c r="D156" s="149">
        <v>507260</v>
      </c>
      <c r="E156" s="281">
        <v>42423</v>
      </c>
      <c r="F156" s="281">
        <v>42735</v>
      </c>
      <c r="G156" s="149">
        <v>5.8</v>
      </c>
      <c r="H156" s="149">
        <v>7</v>
      </c>
      <c r="I156" s="149">
        <v>179</v>
      </c>
      <c r="J156" s="149">
        <v>186</v>
      </c>
      <c r="K156" s="149" t="s">
        <v>1876</v>
      </c>
      <c r="L156" s="149"/>
      <c r="M156" s="149"/>
    </row>
    <row r="157" spans="1:13" hidden="1">
      <c r="A157" s="149" t="s">
        <v>115</v>
      </c>
      <c r="B157" s="149" t="s">
        <v>126</v>
      </c>
      <c r="C157" s="149" t="s">
        <v>759</v>
      </c>
      <c r="D157" s="149">
        <v>507260</v>
      </c>
      <c r="E157" s="281">
        <v>42423</v>
      </c>
      <c r="F157" s="281">
        <v>42735</v>
      </c>
      <c r="G157" s="149">
        <v>7.5</v>
      </c>
      <c r="H157" s="149">
        <v>30</v>
      </c>
      <c r="I157" s="149">
        <v>302</v>
      </c>
      <c r="J157" s="149">
        <v>332</v>
      </c>
      <c r="K157" s="149" t="s">
        <v>1874</v>
      </c>
      <c r="L157" s="149"/>
      <c r="M157" s="149"/>
    </row>
    <row r="158" spans="1:13" hidden="1">
      <c r="A158" s="149" t="s">
        <v>115</v>
      </c>
      <c r="B158" s="149" t="s">
        <v>126</v>
      </c>
      <c r="C158" s="149" t="s">
        <v>755</v>
      </c>
      <c r="D158" s="149">
        <v>507260</v>
      </c>
      <c r="E158" s="281">
        <v>42423</v>
      </c>
      <c r="F158" s="281">
        <v>42735</v>
      </c>
      <c r="G158" s="149">
        <v>7.7</v>
      </c>
      <c r="H158" s="149">
        <v>1</v>
      </c>
      <c r="I158" s="149">
        <v>111</v>
      </c>
      <c r="J158" s="149">
        <v>112</v>
      </c>
      <c r="K158" s="149" t="s">
        <v>1875</v>
      </c>
      <c r="L158" s="149"/>
      <c r="M158" s="149"/>
    </row>
    <row r="159" spans="1:13" hidden="1">
      <c r="A159" s="149" t="s">
        <v>115</v>
      </c>
      <c r="B159" s="149" t="s">
        <v>126</v>
      </c>
      <c r="C159" s="149" t="s">
        <v>816</v>
      </c>
      <c r="D159" s="149">
        <v>507260</v>
      </c>
      <c r="E159" s="281">
        <v>42423</v>
      </c>
      <c r="F159" s="281">
        <v>42735</v>
      </c>
      <c r="G159" s="149">
        <v>1.8</v>
      </c>
      <c r="H159" s="149"/>
      <c r="I159" s="149">
        <v>11</v>
      </c>
      <c r="J159" s="149">
        <v>11</v>
      </c>
      <c r="K159" s="149" t="s">
        <v>1872</v>
      </c>
      <c r="L159" s="149"/>
      <c r="M159" s="149"/>
    </row>
    <row r="160" spans="1:13" hidden="1">
      <c r="A160" s="149" t="s">
        <v>115</v>
      </c>
      <c r="B160" s="149" t="s">
        <v>126</v>
      </c>
      <c r="C160" s="149" t="s">
        <v>354</v>
      </c>
      <c r="D160" s="149">
        <v>507260</v>
      </c>
      <c r="E160" s="281">
        <v>42423</v>
      </c>
      <c r="F160" s="281">
        <v>42735</v>
      </c>
      <c r="G160" s="149">
        <v>9.4</v>
      </c>
      <c r="H160" s="149">
        <v>7</v>
      </c>
      <c r="I160" s="149">
        <v>108</v>
      </c>
      <c r="J160" s="149">
        <v>115</v>
      </c>
      <c r="K160" s="149" t="s">
        <v>1868</v>
      </c>
      <c r="L160" s="149"/>
      <c r="M160" s="149"/>
    </row>
    <row r="161" spans="1:13" hidden="1">
      <c r="A161" s="149" t="s">
        <v>115</v>
      </c>
      <c r="B161" s="149" t="s">
        <v>126</v>
      </c>
      <c r="C161" s="149" t="s">
        <v>815</v>
      </c>
      <c r="D161" s="149">
        <v>507260</v>
      </c>
      <c r="E161" s="281">
        <v>42423</v>
      </c>
      <c r="F161" s="281">
        <v>42735</v>
      </c>
      <c r="G161" s="149">
        <v>1.1000000000000001</v>
      </c>
      <c r="H161" s="149"/>
      <c r="I161" s="149">
        <v>8</v>
      </c>
      <c r="J161" s="149">
        <v>8</v>
      </c>
      <c r="K161" s="149" t="s">
        <v>1866</v>
      </c>
      <c r="L161" s="149"/>
      <c r="M161" s="149"/>
    </row>
    <row r="162" spans="1:13" hidden="1">
      <c r="A162" s="149" t="s">
        <v>115</v>
      </c>
      <c r="B162" s="149" t="s">
        <v>126</v>
      </c>
      <c r="C162" s="149" t="s">
        <v>741</v>
      </c>
      <c r="D162" s="149">
        <v>507260</v>
      </c>
      <c r="E162" s="281">
        <v>42423</v>
      </c>
      <c r="F162" s="281">
        <v>42735</v>
      </c>
      <c r="G162" s="149">
        <v>3.3</v>
      </c>
      <c r="H162" s="149">
        <v>2</v>
      </c>
      <c r="I162" s="149">
        <v>21</v>
      </c>
      <c r="J162" s="149">
        <v>23</v>
      </c>
      <c r="K162" s="149" t="s">
        <v>1877</v>
      </c>
      <c r="L162" s="149"/>
      <c r="M162" s="149"/>
    </row>
    <row r="163" spans="1:13" hidden="1">
      <c r="A163" s="149" t="s">
        <v>115</v>
      </c>
      <c r="B163" s="149" t="s">
        <v>126</v>
      </c>
      <c r="C163" s="149" t="s">
        <v>567</v>
      </c>
      <c r="D163" s="149">
        <v>507260</v>
      </c>
      <c r="E163" s="281">
        <v>42423</v>
      </c>
      <c r="F163" s="281">
        <v>42735</v>
      </c>
      <c r="G163" s="149">
        <v>24.4</v>
      </c>
      <c r="H163" s="149">
        <v>52</v>
      </c>
      <c r="I163" s="149">
        <v>523</v>
      </c>
      <c r="J163" s="149">
        <v>575</v>
      </c>
      <c r="K163" s="149" t="s">
        <v>1878</v>
      </c>
      <c r="L163" s="149"/>
      <c r="M163" s="149"/>
    </row>
    <row r="164" spans="1:13" hidden="1">
      <c r="A164" s="149" t="s">
        <v>113</v>
      </c>
      <c r="B164" s="149" t="s">
        <v>126</v>
      </c>
      <c r="C164" s="149" t="s">
        <v>229</v>
      </c>
      <c r="D164" s="149">
        <v>507261</v>
      </c>
      <c r="E164" s="281">
        <v>42429</v>
      </c>
      <c r="F164" s="281">
        <v>42734</v>
      </c>
      <c r="G164" s="149">
        <v>5.7</v>
      </c>
      <c r="H164" s="149">
        <v>2</v>
      </c>
      <c r="I164" s="149">
        <v>70</v>
      </c>
      <c r="J164" s="149">
        <v>72</v>
      </c>
      <c r="K164" s="149" t="s">
        <v>1879</v>
      </c>
      <c r="L164" s="149"/>
      <c r="M164" s="149"/>
    </row>
    <row r="165" spans="1:13" hidden="1">
      <c r="A165" s="149" t="s">
        <v>114</v>
      </c>
      <c r="B165" s="149" t="s">
        <v>126</v>
      </c>
      <c r="C165" s="149" t="s">
        <v>526</v>
      </c>
      <c r="D165" s="149">
        <v>507262</v>
      </c>
      <c r="E165" s="281">
        <v>42429</v>
      </c>
      <c r="F165" s="281">
        <v>42734</v>
      </c>
      <c r="G165" s="149">
        <v>7.4</v>
      </c>
      <c r="H165" s="149">
        <v>35</v>
      </c>
      <c r="I165" s="149">
        <v>106</v>
      </c>
      <c r="J165" s="149">
        <v>141</v>
      </c>
      <c r="K165" s="149" t="s">
        <v>1880</v>
      </c>
      <c r="L165" s="149"/>
      <c r="M165" s="149"/>
    </row>
    <row r="166" spans="1:13" hidden="1">
      <c r="A166" s="149" t="s">
        <v>115</v>
      </c>
      <c r="B166" s="149" t="s">
        <v>126</v>
      </c>
      <c r="C166" s="149" t="s">
        <v>354</v>
      </c>
      <c r="D166" s="149">
        <v>507265</v>
      </c>
      <c r="E166" s="281">
        <v>42453</v>
      </c>
      <c r="F166" s="281">
        <v>42735</v>
      </c>
      <c r="G166" s="149">
        <v>0.1</v>
      </c>
      <c r="H166" s="149"/>
      <c r="I166" s="149">
        <v>12</v>
      </c>
      <c r="J166" s="149">
        <v>12</v>
      </c>
      <c r="K166" s="149" t="s">
        <v>1884</v>
      </c>
      <c r="L166" s="149"/>
      <c r="M166" s="149"/>
    </row>
    <row r="167" spans="1:13" hidden="1">
      <c r="A167" s="149" t="s">
        <v>115</v>
      </c>
      <c r="B167" s="149" t="s">
        <v>126</v>
      </c>
      <c r="C167" s="149" t="s">
        <v>767</v>
      </c>
      <c r="D167" s="149">
        <v>507265</v>
      </c>
      <c r="E167" s="281">
        <v>42453</v>
      </c>
      <c r="F167" s="281">
        <v>42735</v>
      </c>
      <c r="G167" s="149">
        <v>1.3</v>
      </c>
      <c r="H167" s="149">
        <v>1</v>
      </c>
      <c r="I167" s="149">
        <v>35</v>
      </c>
      <c r="J167" s="149">
        <v>36</v>
      </c>
      <c r="K167" s="149" t="s">
        <v>1886</v>
      </c>
      <c r="L167" s="149"/>
      <c r="M167" s="149"/>
    </row>
    <row r="168" spans="1:13" hidden="1">
      <c r="A168" s="149" t="s">
        <v>115</v>
      </c>
      <c r="B168" s="149" t="s">
        <v>126</v>
      </c>
      <c r="C168" s="149" t="s">
        <v>760</v>
      </c>
      <c r="D168" s="149">
        <v>507265</v>
      </c>
      <c r="E168" s="281">
        <v>42453</v>
      </c>
      <c r="F168" s="281">
        <v>42735</v>
      </c>
      <c r="G168" s="149">
        <v>0.1</v>
      </c>
      <c r="H168" s="149"/>
      <c r="I168" s="149">
        <v>15</v>
      </c>
      <c r="J168" s="149">
        <v>15</v>
      </c>
      <c r="K168" s="149" t="s">
        <v>1887</v>
      </c>
      <c r="L168" s="149"/>
      <c r="M168" s="149"/>
    </row>
    <row r="169" spans="1:13" hidden="1">
      <c r="A169" s="149" t="s">
        <v>115</v>
      </c>
      <c r="B169" s="149" t="s">
        <v>126</v>
      </c>
      <c r="C169" s="149" t="s">
        <v>831</v>
      </c>
      <c r="D169" s="149">
        <v>507265</v>
      </c>
      <c r="E169" s="281">
        <v>42453</v>
      </c>
      <c r="F169" s="281">
        <v>42735</v>
      </c>
      <c r="G169" s="149">
        <v>0.1</v>
      </c>
      <c r="H169" s="149"/>
      <c r="I169" s="149">
        <v>4</v>
      </c>
      <c r="J169" s="149">
        <v>4</v>
      </c>
      <c r="K169" s="149" t="s">
        <v>1881</v>
      </c>
      <c r="L169" s="149"/>
      <c r="M169" s="149"/>
    </row>
    <row r="170" spans="1:13" hidden="1">
      <c r="A170" s="149" t="s">
        <v>115</v>
      </c>
      <c r="B170" s="149" t="s">
        <v>126</v>
      </c>
      <c r="C170" s="149" t="s">
        <v>755</v>
      </c>
      <c r="D170" s="149">
        <v>507265</v>
      </c>
      <c r="E170" s="281">
        <v>42453</v>
      </c>
      <c r="F170" s="281">
        <v>42735</v>
      </c>
      <c r="G170" s="149">
        <v>0.1</v>
      </c>
      <c r="H170" s="149"/>
      <c r="I170" s="149">
        <v>5</v>
      </c>
      <c r="J170" s="149">
        <v>5</v>
      </c>
      <c r="K170" s="149" t="s">
        <v>1882</v>
      </c>
      <c r="L170" s="149"/>
      <c r="M170" s="149"/>
    </row>
    <row r="171" spans="1:13" hidden="1">
      <c r="A171" s="149" t="s">
        <v>115</v>
      </c>
      <c r="B171" s="149" t="s">
        <v>126</v>
      </c>
      <c r="C171" s="149" t="s">
        <v>743</v>
      </c>
      <c r="D171" s="149">
        <v>507265</v>
      </c>
      <c r="E171" s="281">
        <v>42453</v>
      </c>
      <c r="F171" s="281">
        <v>42735</v>
      </c>
      <c r="G171" s="149">
        <v>0.1</v>
      </c>
      <c r="H171" s="149"/>
      <c r="I171" s="149">
        <v>17</v>
      </c>
      <c r="J171" s="149">
        <v>17</v>
      </c>
      <c r="K171" s="149" t="s">
        <v>1885</v>
      </c>
      <c r="L171" s="149"/>
      <c r="M171" s="149"/>
    </row>
    <row r="172" spans="1:13" hidden="1">
      <c r="A172" s="149" t="s">
        <v>115</v>
      </c>
      <c r="B172" s="149" t="s">
        <v>126</v>
      </c>
      <c r="C172" s="149" t="s">
        <v>806</v>
      </c>
      <c r="D172" s="149">
        <v>507265</v>
      </c>
      <c r="E172" s="281">
        <v>42453</v>
      </c>
      <c r="F172" s="281">
        <v>42735</v>
      </c>
      <c r="G172" s="149">
        <v>0.1</v>
      </c>
      <c r="H172" s="149"/>
      <c r="I172" s="149">
        <v>3</v>
      </c>
      <c r="J172" s="149">
        <v>3</v>
      </c>
      <c r="K172" s="149" t="s">
        <v>1883</v>
      </c>
      <c r="L172" s="149"/>
      <c r="M172" s="149"/>
    </row>
    <row r="173" spans="1:13" hidden="1">
      <c r="A173" s="149" t="s">
        <v>116</v>
      </c>
      <c r="B173" s="149" t="s">
        <v>126</v>
      </c>
      <c r="C173" s="149" t="s">
        <v>666</v>
      </c>
      <c r="D173" s="149">
        <v>507266</v>
      </c>
      <c r="E173" s="281">
        <v>42454</v>
      </c>
      <c r="F173" s="281">
        <v>42734</v>
      </c>
      <c r="G173" s="149">
        <v>6.8</v>
      </c>
      <c r="H173" s="149">
        <v>15</v>
      </c>
      <c r="I173" s="149">
        <v>99</v>
      </c>
      <c r="J173" s="149">
        <v>114</v>
      </c>
      <c r="K173" s="149" t="s">
        <v>1888</v>
      </c>
      <c r="L173" s="149"/>
      <c r="M173" s="149"/>
    </row>
    <row r="174" spans="1:13" hidden="1">
      <c r="A174" s="149" t="s">
        <v>116</v>
      </c>
      <c r="B174" s="149" t="s">
        <v>126</v>
      </c>
      <c r="C174" s="149" t="s">
        <v>574</v>
      </c>
      <c r="D174" s="149">
        <v>507266</v>
      </c>
      <c r="E174" s="281">
        <v>42454</v>
      </c>
      <c r="F174" s="281">
        <v>42734</v>
      </c>
      <c r="G174" s="149">
        <v>3.1</v>
      </c>
      <c r="H174" s="149">
        <v>4</v>
      </c>
      <c r="I174" s="149">
        <v>13</v>
      </c>
      <c r="J174" s="149">
        <v>17</v>
      </c>
      <c r="K174" s="149" t="s">
        <v>1898</v>
      </c>
      <c r="L174" s="149"/>
      <c r="M174" s="149"/>
    </row>
    <row r="175" spans="1:13" hidden="1">
      <c r="A175" s="149" t="s">
        <v>116</v>
      </c>
      <c r="B175" s="149" t="s">
        <v>126</v>
      </c>
      <c r="C175" s="149" t="s">
        <v>708</v>
      </c>
      <c r="D175" s="149">
        <v>507266</v>
      </c>
      <c r="E175" s="281">
        <v>42454</v>
      </c>
      <c r="F175" s="281">
        <v>42734</v>
      </c>
      <c r="G175" s="149">
        <v>0.5</v>
      </c>
      <c r="H175" s="149">
        <v>1</v>
      </c>
      <c r="I175" s="149">
        <v>20</v>
      </c>
      <c r="J175" s="149">
        <v>21</v>
      </c>
      <c r="K175" s="149" t="s">
        <v>1891</v>
      </c>
      <c r="L175" s="149"/>
      <c r="M175" s="149"/>
    </row>
    <row r="176" spans="1:13" hidden="1">
      <c r="A176" s="149" t="s">
        <v>116</v>
      </c>
      <c r="B176" s="149" t="s">
        <v>126</v>
      </c>
      <c r="C176" s="149" t="s">
        <v>659</v>
      </c>
      <c r="D176" s="149">
        <v>507266</v>
      </c>
      <c r="E176" s="281">
        <v>42454</v>
      </c>
      <c r="F176" s="281">
        <v>42734</v>
      </c>
      <c r="G176" s="149">
        <v>2.7</v>
      </c>
      <c r="H176" s="149">
        <v>1</v>
      </c>
      <c r="I176" s="149">
        <v>63</v>
      </c>
      <c r="J176" s="149">
        <v>64</v>
      </c>
      <c r="K176" s="149" t="s">
        <v>1893</v>
      </c>
      <c r="L176" s="149"/>
      <c r="M176" s="149"/>
    </row>
    <row r="177" spans="1:13" hidden="1">
      <c r="A177" s="149" t="s">
        <v>116</v>
      </c>
      <c r="B177" s="149" t="s">
        <v>126</v>
      </c>
      <c r="C177" s="149" t="s">
        <v>710</v>
      </c>
      <c r="D177" s="149">
        <v>507266</v>
      </c>
      <c r="E177" s="281">
        <v>42454</v>
      </c>
      <c r="F177" s="281">
        <v>42734</v>
      </c>
      <c r="G177" s="149">
        <v>1.3</v>
      </c>
      <c r="H177" s="149">
        <v>1</v>
      </c>
      <c r="I177" s="149">
        <v>21</v>
      </c>
      <c r="J177" s="149">
        <v>22</v>
      </c>
      <c r="K177" s="149" t="s">
        <v>1896</v>
      </c>
      <c r="L177" s="149"/>
      <c r="M177" s="149"/>
    </row>
    <row r="178" spans="1:13" hidden="1">
      <c r="A178" s="149" t="s">
        <v>116</v>
      </c>
      <c r="B178" s="149" t="s">
        <v>126</v>
      </c>
      <c r="C178" s="149" t="s">
        <v>640</v>
      </c>
      <c r="D178" s="149">
        <v>507266</v>
      </c>
      <c r="E178" s="281">
        <v>42454</v>
      </c>
      <c r="F178" s="281">
        <v>42734</v>
      </c>
      <c r="G178" s="149">
        <v>2</v>
      </c>
      <c r="H178" s="149">
        <v>2</v>
      </c>
      <c r="I178" s="149">
        <v>31</v>
      </c>
      <c r="J178" s="149">
        <v>33</v>
      </c>
      <c r="K178" s="149" t="s">
        <v>1894</v>
      </c>
      <c r="L178" s="149"/>
      <c r="M178" s="149"/>
    </row>
    <row r="179" spans="1:13" hidden="1">
      <c r="A179" s="149" t="s">
        <v>116</v>
      </c>
      <c r="B179" s="149" t="s">
        <v>126</v>
      </c>
      <c r="C179" s="149" t="s">
        <v>620</v>
      </c>
      <c r="D179" s="149">
        <v>507266</v>
      </c>
      <c r="E179" s="281">
        <v>42454</v>
      </c>
      <c r="F179" s="281">
        <v>42734</v>
      </c>
      <c r="G179" s="149">
        <v>2.2999999999999998</v>
      </c>
      <c r="H179" s="149">
        <v>7</v>
      </c>
      <c r="I179" s="149">
        <v>51</v>
      </c>
      <c r="J179" s="149">
        <v>58</v>
      </c>
      <c r="K179" s="149" t="s">
        <v>1895</v>
      </c>
      <c r="L179" s="149"/>
      <c r="M179" s="149"/>
    </row>
    <row r="180" spans="1:13" hidden="1">
      <c r="A180" s="149" t="s">
        <v>116</v>
      </c>
      <c r="B180" s="149" t="s">
        <v>126</v>
      </c>
      <c r="C180" s="149" t="s">
        <v>589</v>
      </c>
      <c r="D180" s="149">
        <v>507266</v>
      </c>
      <c r="E180" s="281">
        <v>42454</v>
      </c>
      <c r="F180" s="281">
        <v>42734</v>
      </c>
      <c r="G180" s="149">
        <v>6</v>
      </c>
      <c r="H180" s="149">
        <v>10</v>
      </c>
      <c r="I180" s="149">
        <v>147</v>
      </c>
      <c r="J180" s="149">
        <v>157</v>
      </c>
      <c r="K180" s="149" t="s">
        <v>1892</v>
      </c>
      <c r="L180" s="149"/>
      <c r="M180" s="149"/>
    </row>
    <row r="181" spans="1:13" hidden="1">
      <c r="A181" s="149" t="s">
        <v>116</v>
      </c>
      <c r="B181" s="149" t="s">
        <v>126</v>
      </c>
      <c r="C181" s="149" t="s">
        <v>721</v>
      </c>
      <c r="D181" s="149">
        <v>507266</v>
      </c>
      <c r="E181" s="281">
        <v>42454</v>
      </c>
      <c r="F181" s="281">
        <v>42734</v>
      </c>
      <c r="G181" s="149">
        <v>3.1</v>
      </c>
      <c r="H181" s="149">
        <v>4</v>
      </c>
      <c r="I181" s="149">
        <v>61</v>
      </c>
      <c r="J181" s="149">
        <v>65</v>
      </c>
      <c r="K181" s="149" t="s">
        <v>1889</v>
      </c>
      <c r="L181" s="149"/>
      <c r="M181" s="149"/>
    </row>
    <row r="182" spans="1:13" hidden="1">
      <c r="A182" s="149" t="s">
        <v>116</v>
      </c>
      <c r="B182" s="149" t="s">
        <v>126</v>
      </c>
      <c r="C182" s="149" t="s">
        <v>731</v>
      </c>
      <c r="D182" s="149">
        <v>507266</v>
      </c>
      <c r="E182" s="281">
        <v>42454</v>
      </c>
      <c r="F182" s="281">
        <v>42734</v>
      </c>
      <c r="G182" s="149">
        <v>0.6</v>
      </c>
      <c r="H182" s="149">
        <v>2</v>
      </c>
      <c r="I182" s="149">
        <v>19</v>
      </c>
      <c r="J182" s="149">
        <v>21</v>
      </c>
      <c r="K182" s="149" t="s">
        <v>1890</v>
      </c>
      <c r="L182" s="149"/>
      <c r="M182" s="149"/>
    </row>
    <row r="183" spans="1:13" hidden="1">
      <c r="A183" s="149" t="s">
        <v>116</v>
      </c>
      <c r="B183" s="149" t="s">
        <v>126</v>
      </c>
      <c r="C183" s="149" t="s">
        <v>700</v>
      </c>
      <c r="D183" s="149">
        <v>507266</v>
      </c>
      <c r="E183" s="281">
        <v>42454</v>
      </c>
      <c r="F183" s="281">
        <v>42734</v>
      </c>
      <c r="G183" s="149">
        <v>11.5</v>
      </c>
      <c r="H183" s="149">
        <v>44</v>
      </c>
      <c r="I183" s="149">
        <v>166</v>
      </c>
      <c r="J183" s="149">
        <v>210</v>
      </c>
      <c r="K183" s="149" t="s">
        <v>1897</v>
      </c>
      <c r="L183" s="149"/>
      <c r="M183" s="149"/>
    </row>
    <row r="184" spans="1:13" hidden="1">
      <c r="A184" s="149" t="s">
        <v>114</v>
      </c>
      <c r="B184" s="149" t="s">
        <v>126</v>
      </c>
      <c r="C184" s="149" t="s">
        <v>529</v>
      </c>
      <c r="D184" s="149">
        <v>507267</v>
      </c>
      <c r="E184" s="281">
        <v>42458</v>
      </c>
      <c r="F184" s="281">
        <v>42734</v>
      </c>
      <c r="G184" s="149">
        <v>0.1</v>
      </c>
      <c r="H184" s="149"/>
      <c r="I184" s="149">
        <v>7</v>
      </c>
      <c r="J184" s="149">
        <v>7</v>
      </c>
      <c r="K184" s="149" t="s">
        <v>1899</v>
      </c>
      <c r="L184" s="149"/>
      <c r="M184" s="149"/>
    </row>
    <row r="185" spans="1:13" hidden="1">
      <c r="A185" s="149" t="s">
        <v>114</v>
      </c>
      <c r="B185" s="149" t="s">
        <v>126</v>
      </c>
      <c r="C185" s="149" t="s">
        <v>469</v>
      </c>
      <c r="D185" s="149">
        <v>507267</v>
      </c>
      <c r="E185" s="281">
        <v>42458</v>
      </c>
      <c r="F185" s="281">
        <v>42734</v>
      </c>
      <c r="G185" s="149">
        <v>14.4</v>
      </c>
      <c r="H185" s="149">
        <v>33</v>
      </c>
      <c r="I185" s="149">
        <v>140</v>
      </c>
      <c r="J185" s="149">
        <v>173</v>
      </c>
      <c r="K185" s="149" t="s">
        <v>1900</v>
      </c>
      <c r="L185" s="149"/>
      <c r="M185" s="149"/>
    </row>
    <row r="186" spans="1:13" hidden="1">
      <c r="A186" s="149" t="s">
        <v>113</v>
      </c>
      <c r="B186" s="149" t="s">
        <v>126</v>
      </c>
      <c r="C186" s="149" t="s">
        <v>138</v>
      </c>
      <c r="D186" s="149">
        <v>507268</v>
      </c>
      <c r="E186" s="281">
        <v>42458</v>
      </c>
      <c r="F186" s="281">
        <v>42735</v>
      </c>
      <c r="G186" s="149">
        <v>0.1</v>
      </c>
      <c r="H186" s="149"/>
      <c r="I186" s="149">
        <v>1</v>
      </c>
      <c r="J186" s="149">
        <v>1</v>
      </c>
      <c r="K186" s="149" t="s">
        <v>1901</v>
      </c>
      <c r="L186" s="149"/>
      <c r="M186" s="149"/>
    </row>
    <row r="187" spans="1:13" hidden="1">
      <c r="A187" s="149" t="s">
        <v>116</v>
      </c>
      <c r="B187" s="149" t="s">
        <v>605</v>
      </c>
      <c r="C187" s="149" t="s">
        <v>606</v>
      </c>
      <c r="D187" s="149">
        <v>507275</v>
      </c>
      <c r="E187" s="281">
        <v>42487</v>
      </c>
      <c r="F187" s="281">
        <v>42734</v>
      </c>
      <c r="G187" s="149"/>
      <c r="H187" s="149"/>
      <c r="I187" s="149">
        <v>43</v>
      </c>
      <c r="J187" s="149">
        <v>43</v>
      </c>
      <c r="K187" s="149" t="s">
        <v>1902</v>
      </c>
      <c r="L187" s="149"/>
      <c r="M187" s="149"/>
    </row>
    <row r="188" spans="1:13" hidden="1">
      <c r="A188" s="149" t="s">
        <v>116</v>
      </c>
      <c r="B188" s="149" t="s">
        <v>190</v>
      </c>
      <c r="C188" s="149" t="s">
        <v>610</v>
      </c>
      <c r="D188" s="149">
        <v>507276</v>
      </c>
      <c r="E188" s="281">
        <v>42487</v>
      </c>
      <c r="F188" s="281">
        <v>42734</v>
      </c>
      <c r="G188" s="149"/>
      <c r="H188" s="149">
        <v>1</v>
      </c>
      <c r="I188" s="149">
        <v>11</v>
      </c>
      <c r="J188" s="149">
        <v>12</v>
      </c>
      <c r="K188" s="149" t="s">
        <v>1903</v>
      </c>
      <c r="L188" s="149"/>
      <c r="M188" s="149"/>
    </row>
    <row r="189" spans="1:13" hidden="1">
      <c r="A189" s="149" t="s">
        <v>116</v>
      </c>
      <c r="B189" s="149" t="s">
        <v>190</v>
      </c>
      <c r="C189" s="149" t="s">
        <v>609</v>
      </c>
      <c r="D189" s="149">
        <v>507276</v>
      </c>
      <c r="E189" s="281">
        <v>42487</v>
      </c>
      <c r="F189" s="281">
        <v>42734</v>
      </c>
      <c r="G189" s="149"/>
      <c r="H189" s="149"/>
      <c r="I189" s="149">
        <v>4</v>
      </c>
      <c r="J189" s="149">
        <v>4</v>
      </c>
      <c r="K189" s="149" t="s">
        <v>1905</v>
      </c>
      <c r="L189" s="149"/>
      <c r="M189" s="149"/>
    </row>
    <row r="190" spans="1:13" hidden="1">
      <c r="A190" s="149" t="s">
        <v>116</v>
      </c>
      <c r="B190" s="149" t="s">
        <v>190</v>
      </c>
      <c r="C190" s="149" t="s">
        <v>613</v>
      </c>
      <c r="D190" s="149">
        <v>507276</v>
      </c>
      <c r="E190" s="281">
        <v>42487</v>
      </c>
      <c r="F190" s="281">
        <v>42734</v>
      </c>
      <c r="G190" s="149"/>
      <c r="H190" s="149"/>
      <c r="I190" s="149">
        <v>3</v>
      </c>
      <c r="J190" s="149">
        <v>3</v>
      </c>
      <c r="K190" s="149" t="s">
        <v>1904</v>
      </c>
      <c r="L190" s="149"/>
      <c r="M190" s="149"/>
    </row>
    <row r="191" spans="1:13" hidden="1">
      <c r="A191" s="149" t="s">
        <v>116</v>
      </c>
      <c r="B191" s="149" t="s">
        <v>190</v>
      </c>
      <c r="C191" s="149" t="s">
        <v>618</v>
      </c>
      <c r="D191" s="149">
        <v>507276</v>
      </c>
      <c r="E191" s="281">
        <v>42487</v>
      </c>
      <c r="F191" s="281">
        <v>42734</v>
      </c>
      <c r="G191" s="149"/>
      <c r="H191" s="149">
        <v>1</v>
      </c>
      <c r="I191" s="149">
        <v>7</v>
      </c>
      <c r="J191" s="149">
        <v>8</v>
      </c>
      <c r="K191" s="149" t="s">
        <v>1906</v>
      </c>
      <c r="L191" s="149"/>
      <c r="M191" s="149"/>
    </row>
    <row r="192" spans="1:13" hidden="1">
      <c r="A192" s="149" t="s">
        <v>113</v>
      </c>
      <c r="B192" s="149" t="s">
        <v>190</v>
      </c>
      <c r="C192" s="149" t="s">
        <v>235</v>
      </c>
      <c r="D192" s="149">
        <v>507277</v>
      </c>
      <c r="E192" s="281">
        <v>42502</v>
      </c>
      <c r="F192" s="281">
        <v>42735</v>
      </c>
      <c r="G192" s="149">
        <v>0.3</v>
      </c>
      <c r="H192" s="149"/>
      <c r="I192" s="149">
        <v>4</v>
      </c>
      <c r="J192" s="149">
        <v>4</v>
      </c>
      <c r="K192" s="149" t="s">
        <v>1910</v>
      </c>
      <c r="L192" s="149"/>
      <c r="M192" s="149"/>
    </row>
    <row r="193" spans="1:13" hidden="1">
      <c r="A193" s="149" t="s">
        <v>113</v>
      </c>
      <c r="B193" s="149" t="s">
        <v>190</v>
      </c>
      <c r="C193" s="149" t="s">
        <v>226</v>
      </c>
      <c r="D193" s="149">
        <v>507277</v>
      </c>
      <c r="E193" s="281">
        <v>42502</v>
      </c>
      <c r="F193" s="281">
        <v>42735</v>
      </c>
      <c r="G193" s="149">
        <v>0.8</v>
      </c>
      <c r="H193" s="149">
        <v>1</v>
      </c>
      <c r="I193" s="149">
        <v>17</v>
      </c>
      <c r="J193" s="149">
        <v>18</v>
      </c>
      <c r="K193" s="149" t="s">
        <v>1911</v>
      </c>
      <c r="L193" s="149"/>
      <c r="M193" s="149"/>
    </row>
    <row r="194" spans="1:13" hidden="1">
      <c r="A194" s="149" t="s">
        <v>113</v>
      </c>
      <c r="B194" s="149" t="s">
        <v>190</v>
      </c>
      <c r="C194" s="149" t="s">
        <v>191</v>
      </c>
      <c r="D194" s="149">
        <v>507277</v>
      </c>
      <c r="E194" s="281">
        <v>42502</v>
      </c>
      <c r="F194" s="281">
        <v>42735</v>
      </c>
      <c r="G194" s="149">
        <v>0.3</v>
      </c>
      <c r="H194" s="149"/>
      <c r="I194" s="149">
        <v>1</v>
      </c>
      <c r="J194" s="149">
        <v>1</v>
      </c>
      <c r="K194" s="149" t="s">
        <v>1909</v>
      </c>
      <c r="L194" s="149"/>
      <c r="M194" s="149"/>
    </row>
    <row r="195" spans="1:13" hidden="1">
      <c r="A195" s="149" t="s">
        <v>113</v>
      </c>
      <c r="B195" s="149" t="s">
        <v>190</v>
      </c>
      <c r="C195" s="149" t="s">
        <v>192</v>
      </c>
      <c r="D195" s="149">
        <v>507277</v>
      </c>
      <c r="E195" s="281">
        <v>42502</v>
      </c>
      <c r="F195" s="281">
        <v>42735</v>
      </c>
      <c r="G195" s="149">
        <v>0.2</v>
      </c>
      <c r="H195" s="149"/>
      <c r="I195" s="149">
        <v>1</v>
      </c>
      <c r="J195" s="149">
        <v>1</v>
      </c>
      <c r="K195" s="149" t="s">
        <v>1907</v>
      </c>
      <c r="L195" s="149"/>
      <c r="M195" s="149"/>
    </row>
    <row r="196" spans="1:13" hidden="1">
      <c r="A196" s="149" t="s">
        <v>113</v>
      </c>
      <c r="B196" s="149" t="s">
        <v>190</v>
      </c>
      <c r="C196" s="149" t="s">
        <v>225</v>
      </c>
      <c r="D196" s="149">
        <v>507277</v>
      </c>
      <c r="E196" s="281">
        <v>42502</v>
      </c>
      <c r="F196" s="281">
        <v>42735</v>
      </c>
      <c r="G196" s="149">
        <v>0.5</v>
      </c>
      <c r="H196" s="149"/>
      <c r="I196" s="149">
        <v>5</v>
      </c>
      <c r="J196" s="149">
        <v>5</v>
      </c>
      <c r="K196" s="149" t="s">
        <v>1908</v>
      </c>
      <c r="L196" s="149"/>
      <c r="M196" s="149"/>
    </row>
    <row r="197" spans="1:13" hidden="1">
      <c r="A197" s="149" t="s">
        <v>114</v>
      </c>
      <c r="B197" s="149" t="s">
        <v>325</v>
      </c>
      <c r="C197" s="149" t="s">
        <v>470</v>
      </c>
      <c r="D197" s="149">
        <v>507278</v>
      </c>
      <c r="E197" s="281">
        <v>42517</v>
      </c>
      <c r="F197" s="281">
        <v>42735</v>
      </c>
      <c r="G197" s="149">
        <v>14.2</v>
      </c>
      <c r="H197" s="149">
        <v>55</v>
      </c>
      <c r="I197" s="149">
        <v>143</v>
      </c>
      <c r="J197" s="149">
        <v>198</v>
      </c>
      <c r="K197" s="149" t="s">
        <v>1912</v>
      </c>
      <c r="L197" s="149"/>
      <c r="M197" s="149"/>
    </row>
    <row r="198" spans="1:13" hidden="1">
      <c r="A198" s="149" t="s">
        <v>114</v>
      </c>
      <c r="B198" s="149" t="s">
        <v>126</v>
      </c>
      <c r="C198" s="149" t="s">
        <v>232</v>
      </c>
      <c r="D198" s="149">
        <v>507279</v>
      </c>
      <c r="E198" s="281">
        <v>42517</v>
      </c>
      <c r="F198" s="281">
        <v>42735</v>
      </c>
      <c r="G198" s="149">
        <v>5.2</v>
      </c>
      <c r="H198" s="149">
        <v>25</v>
      </c>
      <c r="I198" s="149">
        <v>108</v>
      </c>
      <c r="J198" s="149">
        <v>133</v>
      </c>
      <c r="K198" s="149" t="s">
        <v>1916</v>
      </c>
      <c r="L198" s="149"/>
      <c r="M198" s="149"/>
    </row>
    <row r="199" spans="1:13" hidden="1">
      <c r="A199" s="149" t="s">
        <v>114</v>
      </c>
      <c r="B199" s="149" t="s">
        <v>126</v>
      </c>
      <c r="C199" s="149" t="s">
        <v>552</v>
      </c>
      <c r="D199" s="149">
        <v>507279</v>
      </c>
      <c r="E199" s="281">
        <v>42517</v>
      </c>
      <c r="F199" s="281">
        <v>42735</v>
      </c>
      <c r="G199" s="149">
        <v>1.3</v>
      </c>
      <c r="H199" s="149"/>
      <c r="I199" s="149">
        <v>27</v>
      </c>
      <c r="J199" s="149">
        <v>27</v>
      </c>
      <c r="K199" s="149" t="s">
        <v>1913</v>
      </c>
      <c r="L199" s="149"/>
      <c r="M199" s="149"/>
    </row>
    <row r="200" spans="1:13" hidden="1">
      <c r="A200" s="149" t="s">
        <v>114</v>
      </c>
      <c r="B200" s="149" t="s">
        <v>126</v>
      </c>
      <c r="C200" s="149" t="s">
        <v>488</v>
      </c>
      <c r="D200" s="149">
        <v>507279</v>
      </c>
      <c r="E200" s="281">
        <v>42517</v>
      </c>
      <c r="F200" s="281">
        <v>42735</v>
      </c>
      <c r="G200" s="149">
        <v>2.6</v>
      </c>
      <c r="H200" s="149">
        <v>6</v>
      </c>
      <c r="I200" s="149">
        <v>50</v>
      </c>
      <c r="J200" s="149">
        <v>56</v>
      </c>
      <c r="K200" s="149" t="s">
        <v>1915</v>
      </c>
      <c r="L200" s="149"/>
      <c r="M200" s="149"/>
    </row>
    <row r="201" spans="1:13" hidden="1">
      <c r="A201" s="149" t="s">
        <v>114</v>
      </c>
      <c r="B201" s="149" t="s">
        <v>126</v>
      </c>
      <c r="C201" s="149" t="s">
        <v>280</v>
      </c>
      <c r="D201" s="149">
        <v>507279</v>
      </c>
      <c r="E201" s="281">
        <v>42517</v>
      </c>
      <c r="F201" s="281">
        <v>42735</v>
      </c>
      <c r="G201" s="149">
        <v>4.8</v>
      </c>
      <c r="H201" s="149">
        <v>13</v>
      </c>
      <c r="I201" s="149">
        <v>55</v>
      </c>
      <c r="J201" s="149">
        <v>68</v>
      </c>
      <c r="K201" s="149" t="s">
        <v>1917</v>
      </c>
      <c r="L201" s="149"/>
      <c r="M201" s="149"/>
    </row>
    <row r="202" spans="1:13" hidden="1">
      <c r="A202" s="149" t="s">
        <v>114</v>
      </c>
      <c r="B202" s="149" t="s">
        <v>126</v>
      </c>
      <c r="C202" s="149" t="s">
        <v>551</v>
      </c>
      <c r="D202" s="149">
        <v>507279</v>
      </c>
      <c r="E202" s="281">
        <v>42517</v>
      </c>
      <c r="F202" s="281">
        <v>42735</v>
      </c>
      <c r="G202" s="149">
        <v>4.0999999999999996</v>
      </c>
      <c r="H202" s="149">
        <v>17</v>
      </c>
      <c r="I202" s="149">
        <v>79</v>
      </c>
      <c r="J202" s="149">
        <v>96</v>
      </c>
      <c r="K202" s="149" t="s">
        <v>1914</v>
      </c>
      <c r="L202" s="149"/>
      <c r="M202" s="149"/>
    </row>
    <row r="203" spans="1:13" hidden="1">
      <c r="A203" s="149" t="s">
        <v>111</v>
      </c>
      <c r="B203" s="149" t="s">
        <v>126</v>
      </c>
      <c r="C203" s="149" t="s">
        <v>293</v>
      </c>
      <c r="D203" s="149">
        <v>507280</v>
      </c>
      <c r="E203" s="281">
        <v>42521</v>
      </c>
      <c r="F203" s="281">
        <v>42825</v>
      </c>
      <c r="G203" s="149">
        <v>1.2</v>
      </c>
      <c r="H203" s="149">
        <v>1</v>
      </c>
      <c r="I203" s="149">
        <v>40</v>
      </c>
      <c r="J203" s="149">
        <v>41</v>
      </c>
      <c r="K203" s="149" t="s">
        <v>1920</v>
      </c>
      <c r="L203" s="149"/>
      <c r="M203" s="149"/>
    </row>
    <row r="204" spans="1:13" hidden="1">
      <c r="A204" s="149" t="s">
        <v>111</v>
      </c>
      <c r="B204" s="149" t="s">
        <v>126</v>
      </c>
      <c r="C204" s="149" t="s">
        <v>258</v>
      </c>
      <c r="D204" s="149">
        <v>507280</v>
      </c>
      <c r="E204" s="281">
        <v>42521</v>
      </c>
      <c r="F204" s="281">
        <v>42825</v>
      </c>
      <c r="G204" s="149">
        <v>17.5</v>
      </c>
      <c r="H204" s="149">
        <v>37</v>
      </c>
      <c r="I204" s="149">
        <v>500</v>
      </c>
      <c r="J204" s="149">
        <v>537</v>
      </c>
      <c r="K204" s="149" t="s">
        <v>993</v>
      </c>
      <c r="L204" s="149"/>
      <c r="M204" s="149"/>
    </row>
    <row r="205" spans="1:13" hidden="1">
      <c r="A205" s="149" t="s">
        <v>111</v>
      </c>
      <c r="B205" s="149" t="s">
        <v>126</v>
      </c>
      <c r="C205" s="149" t="s">
        <v>273</v>
      </c>
      <c r="D205" s="149">
        <v>507280</v>
      </c>
      <c r="E205" s="281">
        <v>42521</v>
      </c>
      <c r="F205" s="281">
        <v>42825</v>
      </c>
      <c r="G205" s="149">
        <v>3.6</v>
      </c>
      <c r="H205" s="149">
        <v>12</v>
      </c>
      <c r="I205" s="149">
        <v>268</v>
      </c>
      <c r="J205" s="149">
        <v>280</v>
      </c>
      <c r="K205" s="149" t="s">
        <v>1922</v>
      </c>
      <c r="L205" s="149"/>
      <c r="M205" s="149"/>
    </row>
    <row r="206" spans="1:13" hidden="1">
      <c r="A206" s="149" t="s">
        <v>111</v>
      </c>
      <c r="B206" s="149" t="s">
        <v>126</v>
      </c>
      <c r="C206" s="149" t="s">
        <v>260</v>
      </c>
      <c r="D206" s="149">
        <v>507280</v>
      </c>
      <c r="E206" s="281">
        <v>42521</v>
      </c>
      <c r="F206" s="281">
        <v>42825</v>
      </c>
      <c r="G206" s="149">
        <v>0.9</v>
      </c>
      <c r="H206" s="149">
        <v>11</v>
      </c>
      <c r="I206" s="149">
        <v>18</v>
      </c>
      <c r="J206" s="149">
        <v>29</v>
      </c>
      <c r="K206" s="149" t="s">
        <v>997</v>
      </c>
      <c r="L206" s="149"/>
      <c r="M206" s="149"/>
    </row>
    <row r="207" spans="1:13" hidden="1">
      <c r="A207" s="149" t="s">
        <v>111</v>
      </c>
      <c r="B207" s="149" t="s">
        <v>126</v>
      </c>
      <c r="C207" s="149" t="s">
        <v>259</v>
      </c>
      <c r="D207" s="149">
        <v>507280</v>
      </c>
      <c r="E207" s="281">
        <v>42521</v>
      </c>
      <c r="F207" s="281">
        <v>42825</v>
      </c>
      <c r="G207" s="149">
        <v>9.1999999999999993</v>
      </c>
      <c r="H207" s="149">
        <v>39</v>
      </c>
      <c r="I207" s="149">
        <v>269</v>
      </c>
      <c r="J207" s="149">
        <v>308</v>
      </c>
      <c r="K207" s="149" t="s">
        <v>995</v>
      </c>
      <c r="L207" s="149"/>
      <c r="M207" s="149"/>
    </row>
    <row r="208" spans="1:13" hidden="1">
      <c r="A208" s="149" t="s">
        <v>111</v>
      </c>
      <c r="B208" s="149" t="s">
        <v>126</v>
      </c>
      <c r="C208" s="149" t="s">
        <v>294</v>
      </c>
      <c r="D208" s="149">
        <v>507280</v>
      </c>
      <c r="E208" s="281">
        <v>42521</v>
      </c>
      <c r="F208" s="281">
        <v>42825</v>
      </c>
      <c r="G208" s="149">
        <v>1.7</v>
      </c>
      <c r="H208" s="149"/>
      <c r="I208" s="149">
        <v>14</v>
      </c>
      <c r="J208" s="149">
        <v>14</v>
      </c>
      <c r="K208" s="149" t="s">
        <v>1921</v>
      </c>
      <c r="L208" s="149"/>
      <c r="M208" s="149"/>
    </row>
    <row r="209" spans="1:13" hidden="1">
      <c r="A209" s="149" t="s">
        <v>111</v>
      </c>
      <c r="B209" s="149" t="s">
        <v>126</v>
      </c>
      <c r="C209" s="149" t="s">
        <v>287</v>
      </c>
      <c r="D209" s="149">
        <v>507280</v>
      </c>
      <c r="E209" s="281">
        <v>42521</v>
      </c>
      <c r="F209" s="281">
        <v>42825</v>
      </c>
      <c r="G209" s="149">
        <v>9.6999999999999993</v>
      </c>
      <c r="H209" s="149">
        <v>27</v>
      </c>
      <c r="I209" s="149">
        <v>580</v>
      </c>
      <c r="J209" s="149">
        <v>607</v>
      </c>
      <c r="K209" s="149" t="s">
        <v>1918</v>
      </c>
      <c r="L209" s="149"/>
      <c r="M209" s="149"/>
    </row>
    <row r="210" spans="1:13" hidden="1">
      <c r="A210" s="149" t="s">
        <v>111</v>
      </c>
      <c r="B210" s="149" t="s">
        <v>126</v>
      </c>
      <c r="C210" s="149" t="s">
        <v>292</v>
      </c>
      <c r="D210" s="149">
        <v>507280</v>
      </c>
      <c r="E210" s="281">
        <v>42521</v>
      </c>
      <c r="F210" s="281">
        <v>42825</v>
      </c>
      <c r="G210" s="149">
        <v>10</v>
      </c>
      <c r="H210" s="149">
        <v>4</v>
      </c>
      <c r="I210" s="149">
        <v>102</v>
      </c>
      <c r="J210" s="149">
        <v>106</v>
      </c>
      <c r="K210" s="149" t="s">
        <v>1919</v>
      </c>
      <c r="L210" s="149"/>
      <c r="M210" s="149"/>
    </row>
    <row r="211" spans="1:13" hidden="1">
      <c r="A211" s="149" t="s">
        <v>116</v>
      </c>
      <c r="B211" s="149" t="s">
        <v>126</v>
      </c>
      <c r="C211" s="149" t="s">
        <v>566</v>
      </c>
      <c r="D211" s="149">
        <v>507281</v>
      </c>
      <c r="E211" s="281">
        <v>42521</v>
      </c>
      <c r="F211" s="281">
        <v>42735</v>
      </c>
      <c r="G211" s="149">
        <v>7.8</v>
      </c>
      <c r="H211" s="149">
        <v>20</v>
      </c>
      <c r="I211" s="149">
        <v>124</v>
      </c>
      <c r="J211" s="149">
        <v>144</v>
      </c>
      <c r="K211" s="149" t="s">
        <v>1930</v>
      </c>
      <c r="L211" s="149"/>
      <c r="M211" s="149"/>
    </row>
    <row r="212" spans="1:13" hidden="1">
      <c r="A212" s="149" t="s">
        <v>116</v>
      </c>
      <c r="B212" s="149" t="s">
        <v>126</v>
      </c>
      <c r="C212" s="149" t="s">
        <v>715</v>
      </c>
      <c r="D212" s="149">
        <v>507281</v>
      </c>
      <c r="E212" s="281">
        <v>42521</v>
      </c>
      <c r="F212" s="281">
        <v>42735</v>
      </c>
      <c r="G212" s="149">
        <v>2.9</v>
      </c>
      <c r="H212" s="149">
        <v>7</v>
      </c>
      <c r="I212" s="149">
        <v>47</v>
      </c>
      <c r="J212" s="149">
        <v>54</v>
      </c>
      <c r="K212" s="149" t="s">
        <v>1926</v>
      </c>
      <c r="L212" s="149"/>
      <c r="M212" s="149"/>
    </row>
    <row r="213" spans="1:13" hidden="1">
      <c r="A213" s="149" t="s">
        <v>116</v>
      </c>
      <c r="B213" s="149" t="s">
        <v>126</v>
      </c>
      <c r="C213" s="149" t="s">
        <v>716</v>
      </c>
      <c r="D213" s="149">
        <v>507281</v>
      </c>
      <c r="E213" s="281">
        <v>42521</v>
      </c>
      <c r="F213" s="281">
        <v>42735</v>
      </c>
      <c r="G213" s="149">
        <v>15.6</v>
      </c>
      <c r="H213" s="149">
        <v>44</v>
      </c>
      <c r="I213" s="149">
        <v>319</v>
      </c>
      <c r="J213" s="149">
        <v>363</v>
      </c>
      <c r="K213" s="149" t="s">
        <v>1925</v>
      </c>
      <c r="L213" s="149"/>
      <c r="M213" s="149"/>
    </row>
    <row r="214" spans="1:13" hidden="1">
      <c r="A214" s="149" t="s">
        <v>116</v>
      </c>
      <c r="B214" s="149" t="s">
        <v>126</v>
      </c>
      <c r="C214" s="149" t="s">
        <v>680</v>
      </c>
      <c r="D214" s="149">
        <v>507281</v>
      </c>
      <c r="E214" s="281">
        <v>42521</v>
      </c>
      <c r="F214" s="281">
        <v>42735</v>
      </c>
      <c r="G214" s="149">
        <v>2.6</v>
      </c>
      <c r="H214" s="149">
        <v>9</v>
      </c>
      <c r="I214" s="149">
        <v>45</v>
      </c>
      <c r="J214" s="149">
        <v>54</v>
      </c>
      <c r="K214" s="149" t="s">
        <v>1933</v>
      </c>
      <c r="L214" s="149"/>
      <c r="M214" s="149"/>
    </row>
    <row r="215" spans="1:13" hidden="1">
      <c r="A215" s="149" t="s">
        <v>116</v>
      </c>
      <c r="B215" s="149" t="s">
        <v>126</v>
      </c>
      <c r="C215" s="149" t="s">
        <v>612</v>
      </c>
      <c r="D215" s="149">
        <v>507281</v>
      </c>
      <c r="E215" s="281">
        <v>42521</v>
      </c>
      <c r="F215" s="281">
        <v>42735</v>
      </c>
      <c r="G215" s="149">
        <v>4.3</v>
      </c>
      <c r="H215" s="149">
        <v>8</v>
      </c>
      <c r="I215" s="149">
        <v>64</v>
      </c>
      <c r="J215" s="149">
        <v>72</v>
      </c>
      <c r="K215" s="149" t="s">
        <v>1932</v>
      </c>
      <c r="L215" s="149"/>
      <c r="M215" s="149"/>
    </row>
    <row r="216" spans="1:13" hidden="1">
      <c r="A216" s="149" t="s">
        <v>116</v>
      </c>
      <c r="B216" s="149" t="s">
        <v>126</v>
      </c>
      <c r="C216" s="149" t="s">
        <v>661</v>
      </c>
      <c r="D216" s="149">
        <v>507281</v>
      </c>
      <c r="E216" s="281">
        <v>42521</v>
      </c>
      <c r="F216" s="281">
        <v>42735</v>
      </c>
      <c r="G216" s="149">
        <v>7.9</v>
      </c>
      <c r="H216" s="149">
        <v>13</v>
      </c>
      <c r="I216" s="149">
        <v>149</v>
      </c>
      <c r="J216" s="149">
        <v>162</v>
      </c>
      <c r="K216" s="149" t="s">
        <v>1934</v>
      </c>
      <c r="L216" s="149"/>
      <c r="M216" s="149"/>
    </row>
    <row r="217" spans="1:13" hidden="1">
      <c r="A217" s="149" t="s">
        <v>116</v>
      </c>
      <c r="B217" s="149" t="s">
        <v>126</v>
      </c>
      <c r="C217" s="149" t="s">
        <v>726</v>
      </c>
      <c r="D217" s="149">
        <v>507281</v>
      </c>
      <c r="E217" s="281">
        <v>42521</v>
      </c>
      <c r="F217" s="281">
        <v>42735</v>
      </c>
      <c r="G217" s="149">
        <v>3</v>
      </c>
      <c r="H217" s="149">
        <v>11</v>
      </c>
      <c r="I217" s="149">
        <v>60</v>
      </c>
      <c r="J217" s="149">
        <v>71</v>
      </c>
      <c r="K217" s="149" t="s">
        <v>1929</v>
      </c>
      <c r="L217" s="149"/>
      <c r="M217" s="149"/>
    </row>
    <row r="218" spans="1:13" hidden="1">
      <c r="A218" s="149" t="s">
        <v>116</v>
      </c>
      <c r="B218" s="149" t="s">
        <v>126</v>
      </c>
      <c r="C218" s="149" t="s">
        <v>696</v>
      </c>
      <c r="D218" s="149">
        <v>507281</v>
      </c>
      <c r="E218" s="281">
        <v>42521</v>
      </c>
      <c r="F218" s="281">
        <v>42735</v>
      </c>
      <c r="G218" s="149">
        <v>6.7</v>
      </c>
      <c r="H218" s="149">
        <v>21</v>
      </c>
      <c r="I218" s="149">
        <v>47</v>
      </c>
      <c r="J218" s="149">
        <v>68</v>
      </c>
      <c r="K218" s="149" t="s">
        <v>1928</v>
      </c>
      <c r="L218" s="149"/>
      <c r="M218" s="149"/>
    </row>
    <row r="219" spans="1:13" hidden="1">
      <c r="A219" s="149" t="s">
        <v>116</v>
      </c>
      <c r="B219" s="149" t="s">
        <v>126</v>
      </c>
      <c r="C219" s="149" t="s">
        <v>531</v>
      </c>
      <c r="D219" s="149">
        <v>507281</v>
      </c>
      <c r="E219" s="281">
        <v>42521</v>
      </c>
      <c r="F219" s="281">
        <v>42735</v>
      </c>
      <c r="G219" s="149">
        <v>1.3</v>
      </c>
      <c r="H219" s="149">
        <v>4</v>
      </c>
      <c r="I219" s="149">
        <v>32</v>
      </c>
      <c r="J219" s="149">
        <v>36</v>
      </c>
      <c r="K219" s="149" t="s">
        <v>1927</v>
      </c>
      <c r="L219" s="149"/>
      <c r="M219" s="149"/>
    </row>
    <row r="220" spans="1:13" hidden="1">
      <c r="A220" s="149" t="s">
        <v>116</v>
      </c>
      <c r="B220" s="149" t="s">
        <v>126</v>
      </c>
      <c r="C220" s="149" t="s">
        <v>583</v>
      </c>
      <c r="D220" s="149">
        <v>507281</v>
      </c>
      <c r="E220" s="281">
        <v>42521</v>
      </c>
      <c r="F220" s="281">
        <v>42735</v>
      </c>
      <c r="G220" s="149">
        <v>3.7</v>
      </c>
      <c r="H220" s="149">
        <v>5</v>
      </c>
      <c r="I220" s="149">
        <v>48</v>
      </c>
      <c r="J220" s="149">
        <v>53</v>
      </c>
      <c r="K220" s="149" t="s">
        <v>1924</v>
      </c>
      <c r="L220" s="149"/>
      <c r="M220" s="149"/>
    </row>
    <row r="221" spans="1:13" hidden="1">
      <c r="A221" s="149" t="s">
        <v>116</v>
      </c>
      <c r="B221" s="149" t="s">
        <v>126</v>
      </c>
      <c r="C221" s="149" t="s">
        <v>585</v>
      </c>
      <c r="D221" s="149">
        <v>507281</v>
      </c>
      <c r="E221" s="281">
        <v>42521</v>
      </c>
      <c r="F221" s="281">
        <v>42735</v>
      </c>
      <c r="G221" s="149">
        <v>5.7</v>
      </c>
      <c r="H221" s="149">
        <v>7</v>
      </c>
      <c r="I221" s="149">
        <v>63</v>
      </c>
      <c r="J221" s="149">
        <v>70</v>
      </c>
      <c r="K221" s="149" t="s">
        <v>1935</v>
      </c>
      <c r="L221" s="149"/>
      <c r="M221" s="149"/>
    </row>
    <row r="222" spans="1:13" hidden="1">
      <c r="A222" s="149" t="s">
        <v>116</v>
      </c>
      <c r="B222" s="149" t="s">
        <v>126</v>
      </c>
      <c r="C222" s="149" t="s">
        <v>694</v>
      </c>
      <c r="D222" s="149">
        <v>507281</v>
      </c>
      <c r="E222" s="281">
        <v>42521</v>
      </c>
      <c r="F222" s="281">
        <v>42735</v>
      </c>
      <c r="G222" s="149">
        <v>1.2</v>
      </c>
      <c r="H222" s="149">
        <v>7</v>
      </c>
      <c r="I222" s="149">
        <v>35</v>
      </c>
      <c r="J222" s="149">
        <v>42</v>
      </c>
      <c r="K222" s="149" t="s">
        <v>1923</v>
      </c>
      <c r="L222" s="149"/>
      <c r="M222" s="149"/>
    </row>
    <row r="223" spans="1:13" hidden="1">
      <c r="A223" s="149" t="s">
        <v>116</v>
      </c>
      <c r="B223" s="149" t="s">
        <v>126</v>
      </c>
      <c r="C223" s="149" t="s">
        <v>646</v>
      </c>
      <c r="D223" s="149">
        <v>507281</v>
      </c>
      <c r="E223" s="281">
        <v>42521</v>
      </c>
      <c r="F223" s="281">
        <v>42735</v>
      </c>
      <c r="G223" s="149">
        <v>2.5</v>
      </c>
      <c r="H223" s="149">
        <v>5</v>
      </c>
      <c r="I223" s="149">
        <v>37</v>
      </c>
      <c r="J223" s="149">
        <v>42</v>
      </c>
      <c r="K223" s="149" t="s">
        <v>1931</v>
      </c>
      <c r="L223" s="149"/>
      <c r="M223" s="149"/>
    </row>
    <row r="224" spans="1:13" hidden="1">
      <c r="A224" s="149" t="s">
        <v>112</v>
      </c>
      <c r="B224" s="149" t="s">
        <v>126</v>
      </c>
      <c r="C224" s="149" t="s">
        <v>405</v>
      </c>
      <c r="D224" s="149">
        <v>507282</v>
      </c>
      <c r="E224" s="281">
        <v>42521</v>
      </c>
      <c r="F224" s="281">
        <v>42735</v>
      </c>
      <c r="G224" s="149"/>
      <c r="H224" s="149">
        <v>26</v>
      </c>
      <c r="I224" s="149">
        <v>76</v>
      </c>
      <c r="J224" s="149">
        <v>102</v>
      </c>
      <c r="K224" s="149" t="s">
        <v>1937</v>
      </c>
      <c r="L224" s="149"/>
      <c r="M224" s="149"/>
    </row>
    <row r="225" spans="1:13" hidden="1">
      <c r="A225" s="149" t="s">
        <v>112</v>
      </c>
      <c r="B225" s="149" t="s">
        <v>126</v>
      </c>
      <c r="C225" s="149" t="s">
        <v>408</v>
      </c>
      <c r="D225" s="149">
        <v>507282</v>
      </c>
      <c r="E225" s="281">
        <v>42521</v>
      </c>
      <c r="F225" s="281">
        <v>42735</v>
      </c>
      <c r="G225" s="149">
        <v>3.2</v>
      </c>
      <c r="H225" s="149">
        <v>22</v>
      </c>
      <c r="I225" s="149">
        <v>42</v>
      </c>
      <c r="J225" s="149">
        <v>64</v>
      </c>
      <c r="K225" s="149" t="s">
        <v>1938</v>
      </c>
      <c r="L225" s="149"/>
      <c r="M225" s="149"/>
    </row>
    <row r="226" spans="1:13" hidden="1">
      <c r="A226" s="149" t="s">
        <v>112</v>
      </c>
      <c r="B226" s="149" t="s">
        <v>126</v>
      </c>
      <c r="C226" s="149" t="s">
        <v>400</v>
      </c>
      <c r="D226" s="149">
        <v>507282</v>
      </c>
      <c r="E226" s="281">
        <v>42521</v>
      </c>
      <c r="F226" s="281">
        <v>42735</v>
      </c>
      <c r="G226" s="149">
        <v>0.9</v>
      </c>
      <c r="H226" s="149"/>
      <c r="I226" s="149">
        <v>40</v>
      </c>
      <c r="J226" s="149">
        <v>40</v>
      </c>
      <c r="K226" s="149" t="s">
        <v>1940</v>
      </c>
      <c r="L226" s="149"/>
      <c r="M226" s="149"/>
    </row>
    <row r="227" spans="1:13" hidden="1">
      <c r="A227" s="149" t="s">
        <v>112</v>
      </c>
      <c r="B227" s="149" t="s">
        <v>126</v>
      </c>
      <c r="C227" s="149" t="s">
        <v>402</v>
      </c>
      <c r="D227" s="149">
        <v>507282</v>
      </c>
      <c r="E227" s="281">
        <v>42521</v>
      </c>
      <c r="F227" s="281">
        <v>42735</v>
      </c>
      <c r="G227" s="149">
        <v>1.7</v>
      </c>
      <c r="H227" s="149">
        <v>12</v>
      </c>
      <c r="I227" s="149">
        <v>42</v>
      </c>
      <c r="J227" s="149">
        <v>54</v>
      </c>
      <c r="K227" s="149" t="s">
        <v>1941</v>
      </c>
      <c r="L227" s="149"/>
      <c r="M227" s="149"/>
    </row>
    <row r="228" spans="1:13" hidden="1">
      <c r="A228" s="149" t="s">
        <v>112</v>
      </c>
      <c r="B228" s="149" t="s">
        <v>126</v>
      </c>
      <c r="C228" s="149" t="s">
        <v>319</v>
      </c>
      <c r="D228" s="149">
        <v>507282</v>
      </c>
      <c r="E228" s="281">
        <v>42521</v>
      </c>
      <c r="F228" s="281">
        <v>42735</v>
      </c>
      <c r="G228" s="149">
        <v>2</v>
      </c>
      <c r="H228" s="149"/>
      <c r="I228" s="149"/>
      <c r="J228" s="149"/>
      <c r="K228" s="149" t="s">
        <v>1936</v>
      </c>
      <c r="L228" s="149"/>
      <c r="M228" s="149"/>
    </row>
    <row r="229" spans="1:13" hidden="1">
      <c r="A229" s="149" t="s">
        <v>112</v>
      </c>
      <c r="B229" s="149" t="s">
        <v>126</v>
      </c>
      <c r="C229" s="149" t="s">
        <v>430</v>
      </c>
      <c r="D229" s="149">
        <v>507282</v>
      </c>
      <c r="E229" s="281">
        <v>42521</v>
      </c>
      <c r="F229" s="281">
        <v>42735</v>
      </c>
      <c r="G229" s="149">
        <v>4</v>
      </c>
      <c r="H229" s="149"/>
      <c r="I229" s="149">
        <v>43</v>
      </c>
      <c r="J229" s="149">
        <v>43</v>
      </c>
      <c r="K229" s="149" t="s">
        <v>1942</v>
      </c>
      <c r="L229" s="149"/>
      <c r="M229" s="149"/>
    </row>
    <row r="230" spans="1:13" hidden="1">
      <c r="A230" s="149" t="s">
        <v>112</v>
      </c>
      <c r="B230" s="149" t="s">
        <v>126</v>
      </c>
      <c r="C230" s="149" t="s">
        <v>423</v>
      </c>
      <c r="D230" s="149">
        <v>507282</v>
      </c>
      <c r="E230" s="281">
        <v>42521</v>
      </c>
      <c r="F230" s="281">
        <v>42735</v>
      </c>
      <c r="G230" s="149">
        <v>4</v>
      </c>
      <c r="H230" s="149">
        <v>27</v>
      </c>
      <c r="I230" s="149">
        <v>41</v>
      </c>
      <c r="J230" s="149">
        <v>68</v>
      </c>
      <c r="K230" s="149" t="s">
        <v>1939</v>
      </c>
      <c r="L230" s="149"/>
      <c r="M230" s="149"/>
    </row>
    <row r="231" spans="1:13" hidden="1">
      <c r="A231" s="149" t="s">
        <v>113</v>
      </c>
      <c r="B231" s="149" t="s">
        <v>126</v>
      </c>
      <c r="C231" s="149" t="s">
        <v>130</v>
      </c>
      <c r="D231" s="149">
        <v>507283</v>
      </c>
      <c r="E231" s="281">
        <v>42521</v>
      </c>
      <c r="F231" s="281">
        <v>42735</v>
      </c>
      <c r="G231" s="149">
        <v>18.399999999999999</v>
      </c>
      <c r="H231" s="149">
        <v>3</v>
      </c>
      <c r="I231" s="149">
        <v>188</v>
      </c>
      <c r="J231" s="149">
        <v>191</v>
      </c>
      <c r="K231" s="149" t="s">
        <v>1950</v>
      </c>
      <c r="L231" s="149"/>
      <c r="M231" s="149"/>
    </row>
    <row r="232" spans="1:13" hidden="1">
      <c r="A232" s="149" t="s">
        <v>113</v>
      </c>
      <c r="B232" s="149" t="s">
        <v>126</v>
      </c>
      <c r="C232" s="149" t="s">
        <v>239</v>
      </c>
      <c r="D232" s="149">
        <v>507283</v>
      </c>
      <c r="E232" s="281">
        <v>42521</v>
      </c>
      <c r="F232" s="281">
        <v>42735</v>
      </c>
      <c r="G232" s="149">
        <v>11.7</v>
      </c>
      <c r="H232" s="149">
        <v>2</v>
      </c>
      <c r="I232" s="149">
        <v>106</v>
      </c>
      <c r="J232" s="149">
        <v>108</v>
      </c>
      <c r="K232" s="149" t="s">
        <v>1949</v>
      </c>
      <c r="L232" s="149"/>
      <c r="M232" s="149"/>
    </row>
    <row r="233" spans="1:13" hidden="1">
      <c r="A233" s="149" t="s">
        <v>113</v>
      </c>
      <c r="B233" s="149" t="s">
        <v>126</v>
      </c>
      <c r="C233" s="149" t="s">
        <v>232</v>
      </c>
      <c r="D233" s="149">
        <v>507283</v>
      </c>
      <c r="E233" s="281">
        <v>42521</v>
      </c>
      <c r="F233" s="281">
        <v>42735</v>
      </c>
      <c r="G233" s="149">
        <v>19</v>
      </c>
      <c r="H233" s="149">
        <v>17</v>
      </c>
      <c r="I233" s="149">
        <v>265</v>
      </c>
      <c r="J233" s="149">
        <v>282</v>
      </c>
      <c r="K233" s="149" t="s">
        <v>1947</v>
      </c>
      <c r="L233" s="149"/>
      <c r="M233" s="149"/>
    </row>
    <row r="234" spans="1:13" hidden="1">
      <c r="A234" s="149" t="s">
        <v>113</v>
      </c>
      <c r="B234" s="149" t="s">
        <v>126</v>
      </c>
      <c r="C234" s="149" t="s">
        <v>165</v>
      </c>
      <c r="D234" s="149">
        <v>507283</v>
      </c>
      <c r="E234" s="281">
        <v>42521</v>
      </c>
      <c r="F234" s="281">
        <v>42735</v>
      </c>
      <c r="G234" s="149">
        <v>7.3</v>
      </c>
      <c r="H234" s="149">
        <v>7</v>
      </c>
      <c r="I234" s="149">
        <v>129</v>
      </c>
      <c r="J234" s="149">
        <v>136</v>
      </c>
      <c r="K234" s="149" t="s">
        <v>1946</v>
      </c>
      <c r="L234" s="149"/>
      <c r="M234" s="149"/>
    </row>
    <row r="235" spans="1:13" hidden="1">
      <c r="A235" s="149" t="s">
        <v>113</v>
      </c>
      <c r="B235" s="149" t="s">
        <v>126</v>
      </c>
      <c r="C235" s="149" t="s">
        <v>245</v>
      </c>
      <c r="D235" s="149">
        <v>507283</v>
      </c>
      <c r="E235" s="281">
        <v>42521</v>
      </c>
      <c r="F235" s="281">
        <v>42735</v>
      </c>
      <c r="G235" s="149">
        <v>7.4</v>
      </c>
      <c r="H235" s="149">
        <v>25</v>
      </c>
      <c r="I235" s="149">
        <v>166</v>
      </c>
      <c r="J235" s="149">
        <v>191</v>
      </c>
      <c r="K235" s="149" t="s">
        <v>1951</v>
      </c>
      <c r="L235" s="149"/>
      <c r="M235" s="149"/>
    </row>
    <row r="236" spans="1:13" hidden="1">
      <c r="A236" s="149" t="s">
        <v>113</v>
      </c>
      <c r="B236" s="149" t="s">
        <v>126</v>
      </c>
      <c r="C236" s="149" t="s">
        <v>221</v>
      </c>
      <c r="D236" s="149">
        <v>507283</v>
      </c>
      <c r="E236" s="281">
        <v>42521</v>
      </c>
      <c r="F236" s="281">
        <v>42735</v>
      </c>
      <c r="G236" s="149">
        <v>4.8</v>
      </c>
      <c r="H236" s="149">
        <v>4</v>
      </c>
      <c r="I236" s="149">
        <v>63</v>
      </c>
      <c r="J236" s="149">
        <v>67</v>
      </c>
      <c r="K236" s="149" t="s">
        <v>1948</v>
      </c>
      <c r="L236" s="149"/>
      <c r="M236" s="149"/>
    </row>
    <row r="237" spans="1:13" hidden="1">
      <c r="A237" s="149" t="s">
        <v>113</v>
      </c>
      <c r="B237" s="149" t="s">
        <v>126</v>
      </c>
      <c r="C237" s="149" t="s">
        <v>199</v>
      </c>
      <c r="D237" s="149">
        <v>507283</v>
      </c>
      <c r="E237" s="281">
        <v>42521</v>
      </c>
      <c r="F237" s="281">
        <v>42735</v>
      </c>
      <c r="G237" s="149">
        <v>2.2999999999999998</v>
      </c>
      <c r="H237" s="149">
        <v>1</v>
      </c>
      <c r="I237" s="149">
        <v>36</v>
      </c>
      <c r="J237" s="149">
        <v>37</v>
      </c>
      <c r="K237" s="149" t="s">
        <v>1943</v>
      </c>
      <c r="L237" s="149"/>
      <c r="M237" s="149"/>
    </row>
    <row r="238" spans="1:13" hidden="1">
      <c r="A238" s="149" t="s">
        <v>113</v>
      </c>
      <c r="B238" s="149" t="s">
        <v>126</v>
      </c>
      <c r="C238" s="149" t="s">
        <v>195</v>
      </c>
      <c r="D238" s="149">
        <v>507283</v>
      </c>
      <c r="E238" s="281">
        <v>42521</v>
      </c>
      <c r="F238" s="281">
        <v>42735</v>
      </c>
      <c r="G238" s="149">
        <v>1.4</v>
      </c>
      <c r="H238" s="149">
        <v>7</v>
      </c>
      <c r="I238" s="149">
        <v>48</v>
      </c>
      <c r="J238" s="149">
        <v>55</v>
      </c>
      <c r="K238" s="149" t="s">
        <v>1944</v>
      </c>
      <c r="L238" s="149"/>
      <c r="M238" s="149"/>
    </row>
    <row r="239" spans="1:13" hidden="1">
      <c r="A239" s="149" t="s">
        <v>113</v>
      </c>
      <c r="B239" s="149" t="s">
        <v>126</v>
      </c>
      <c r="C239" s="149" t="s">
        <v>218</v>
      </c>
      <c r="D239" s="149">
        <v>507283</v>
      </c>
      <c r="E239" s="281">
        <v>42521</v>
      </c>
      <c r="F239" s="281">
        <v>42735</v>
      </c>
      <c r="G239" s="149">
        <v>15.2</v>
      </c>
      <c r="H239" s="149">
        <v>13</v>
      </c>
      <c r="I239" s="149">
        <v>197</v>
      </c>
      <c r="J239" s="149">
        <v>210</v>
      </c>
      <c r="K239" s="149" t="s">
        <v>1945</v>
      </c>
      <c r="L239" s="149"/>
      <c r="M239" s="149"/>
    </row>
    <row r="240" spans="1:13" hidden="1">
      <c r="A240" s="149" t="s">
        <v>115</v>
      </c>
      <c r="B240" s="149" t="s">
        <v>152</v>
      </c>
      <c r="C240" s="149" t="s">
        <v>791</v>
      </c>
      <c r="D240" s="149">
        <v>514127</v>
      </c>
      <c r="E240" s="281">
        <v>42558</v>
      </c>
      <c r="F240" s="281">
        <v>42735</v>
      </c>
      <c r="G240" s="149">
        <v>3.8</v>
      </c>
      <c r="H240" s="149">
        <v>31</v>
      </c>
      <c r="I240" s="149">
        <v>699</v>
      </c>
      <c r="J240" s="149">
        <v>730</v>
      </c>
      <c r="K240" s="149" t="s">
        <v>1952</v>
      </c>
      <c r="L240" s="149"/>
      <c r="M240" s="149"/>
    </row>
    <row r="241" spans="1:13" hidden="1">
      <c r="A241" s="149" t="s">
        <v>116</v>
      </c>
      <c r="B241" s="149" t="s">
        <v>152</v>
      </c>
      <c r="C241" s="149" t="s">
        <v>624</v>
      </c>
      <c r="D241" s="149">
        <v>514128</v>
      </c>
      <c r="E241" s="281">
        <v>42558</v>
      </c>
      <c r="F241" s="281">
        <v>42734</v>
      </c>
      <c r="G241" s="149">
        <v>3.7</v>
      </c>
      <c r="H241" s="149">
        <v>1</v>
      </c>
      <c r="I241" s="149">
        <v>657</v>
      </c>
      <c r="J241" s="149">
        <v>658</v>
      </c>
      <c r="K241" s="149" t="s">
        <v>1955</v>
      </c>
      <c r="L241" s="149"/>
      <c r="M241" s="149"/>
    </row>
    <row r="242" spans="1:13" hidden="1">
      <c r="A242" s="149" t="s">
        <v>116</v>
      </c>
      <c r="B242" s="149" t="s">
        <v>152</v>
      </c>
      <c r="C242" s="149" t="s">
        <v>674</v>
      </c>
      <c r="D242" s="149">
        <v>514128</v>
      </c>
      <c r="E242" s="281">
        <v>42558</v>
      </c>
      <c r="F242" s="281">
        <v>42734</v>
      </c>
      <c r="G242" s="149">
        <v>1.3</v>
      </c>
      <c r="H242" s="149">
        <v>71</v>
      </c>
      <c r="I242" s="149">
        <v>113</v>
      </c>
      <c r="J242" s="149">
        <v>184</v>
      </c>
      <c r="K242" s="149" t="s">
        <v>1953</v>
      </c>
      <c r="L242" s="149"/>
      <c r="M242" s="149"/>
    </row>
    <row r="243" spans="1:13" hidden="1">
      <c r="A243" s="149" t="s">
        <v>116</v>
      </c>
      <c r="B243" s="149" t="s">
        <v>152</v>
      </c>
      <c r="C243" s="149" t="s">
        <v>608</v>
      </c>
      <c r="D243" s="149">
        <v>514128</v>
      </c>
      <c r="E243" s="281">
        <v>42558</v>
      </c>
      <c r="F243" s="281">
        <v>42734</v>
      </c>
      <c r="G243" s="149">
        <v>2.8</v>
      </c>
      <c r="H243" s="149">
        <v>3</v>
      </c>
      <c r="I243" s="149">
        <v>441</v>
      </c>
      <c r="J243" s="149">
        <v>444</v>
      </c>
      <c r="K243" s="149" t="s">
        <v>1954</v>
      </c>
      <c r="L243" s="149"/>
      <c r="M243" s="149"/>
    </row>
    <row r="244" spans="1:13" hidden="1">
      <c r="A244" s="149" t="s">
        <v>116</v>
      </c>
      <c r="B244" s="149" t="s">
        <v>152</v>
      </c>
      <c r="C244" s="149" t="s">
        <v>720</v>
      </c>
      <c r="D244" s="149">
        <v>514128</v>
      </c>
      <c r="E244" s="281">
        <v>42558</v>
      </c>
      <c r="F244" s="281">
        <v>42734</v>
      </c>
      <c r="G244" s="149">
        <v>0.7</v>
      </c>
      <c r="H244" s="149">
        <v>57</v>
      </c>
      <c r="I244" s="149">
        <v>69</v>
      </c>
      <c r="J244" s="149">
        <v>126</v>
      </c>
      <c r="K244" s="149" t="s">
        <v>1956</v>
      </c>
      <c r="L244" s="149"/>
      <c r="M244" s="149"/>
    </row>
    <row r="245" spans="1:13" hidden="1">
      <c r="A245" s="149" t="s">
        <v>114</v>
      </c>
      <c r="B245" s="149" t="s">
        <v>325</v>
      </c>
      <c r="C245" s="149" t="s">
        <v>486</v>
      </c>
      <c r="D245" s="149">
        <v>514130</v>
      </c>
      <c r="E245" s="281">
        <v>42564</v>
      </c>
      <c r="F245" s="281">
        <v>42735</v>
      </c>
      <c r="G245" s="149">
        <v>2.2999999999999998</v>
      </c>
      <c r="H245" s="149"/>
      <c r="I245" s="149"/>
      <c r="J245" s="149"/>
      <c r="K245" s="149" t="s">
        <v>1957</v>
      </c>
      <c r="L245" s="149"/>
      <c r="M245" s="149"/>
    </row>
    <row r="246" spans="1:13" hidden="1">
      <c r="A246" s="149" t="s">
        <v>111</v>
      </c>
      <c r="B246" s="149" t="s">
        <v>152</v>
      </c>
      <c r="C246" s="149" t="s">
        <v>309</v>
      </c>
      <c r="D246" s="149">
        <v>514131</v>
      </c>
      <c r="E246" s="281">
        <v>42566</v>
      </c>
      <c r="F246" s="281">
        <v>42735</v>
      </c>
      <c r="G246" s="149">
        <v>3</v>
      </c>
      <c r="H246" s="149"/>
      <c r="I246" s="149">
        <v>526</v>
      </c>
      <c r="J246" s="149">
        <v>526</v>
      </c>
      <c r="K246" s="149" t="s">
        <v>1959</v>
      </c>
      <c r="L246" s="149"/>
      <c r="M246" s="149"/>
    </row>
    <row r="247" spans="1:13" hidden="1">
      <c r="A247" s="149" t="s">
        <v>111</v>
      </c>
      <c r="B247" s="149" t="s">
        <v>152</v>
      </c>
      <c r="C247" s="149" t="s">
        <v>288</v>
      </c>
      <c r="D247" s="149">
        <v>514131</v>
      </c>
      <c r="E247" s="281">
        <v>42566</v>
      </c>
      <c r="F247" s="281">
        <v>42735</v>
      </c>
      <c r="G247" s="149">
        <v>0.4</v>
      </c>
      <c r="H247" s="149">
        <v>26</v>
      </c>
      <c r="I247" s="149">
        <v>112</v>
      </c>
      <c r="J247" s="149">
        <v>138</v>
      </c>
      <c r="K247" s="149" t="s">
        <v>1960</v>
      </c>
      <c r="L247" s="149"/>
      <c r="M247" s="149"/>
    </row>
    <row r="248" spans="1:13" hidden="1">
      <c r="A248" s="149" t="s">
        <v>111</v>
      </c>
      <c r="B248" s="149" t="s">
        <v>152</v>
      </c>
      <c r="C248" s="149" t="s">
        <v>308</v>
      </c>
      <c r="D248" s="149">
        <v>514131</v>
      </c>
      <c r="E248" s="281">
        <v>42566</v>
      </c>
      <c r="F248" s="281">
        <v>42735</v>
      </c>
      <c r="G248" s="149">
        <v>0.8</v>
      </c>
      <c r="H248" s="149">
        <v>82</v>
      </c>
      <c r="I248" s="149">
        <v>177</v>
      </c>
      <c r="J248" s="149">
        <v>259</v>
      </c>
      <c r="K248" s="149" t="s">
        <v>1958</v>
      </c>
      <c r="L248" s="149"/>
      <c r="M248" s="149"/>
    </row>
    <row r="249" spans="1:13" hidden="1">
      <c r="A249" s="149" t="s">
        <v>116</v>
      </c>
      <c r="B249" s="149" t="s">
        <v>325</v>
      </c>
      <c r="C249" s="149" t="s">
        <v>642</v>
      </c>
      <c r="D249" s="149">
        <v>514133</v>
      </c>
      <c r="E249" s="281">
        <v>42572</v>
      </c>
      <c r="F249" s="281">
        <v>42735</v>
      </c>
      <c r="G249" s="149">
        <v>0.1</v>
      </c>
      <c r="H249" s="149"/>
      <c r="I249" s="149"/>
      <c r="J249" s="149"/>
      <c r="K249" s="149" t="s">
        <v>1974</v>
      </c>
      <c r="L249" s="149"/>
      <c r="M249" s="149"/>
    </row>
    <row r="250" spans="1:13" hidden="1">
      <c r="A250" s="149" t="s">
        <v>116</v>
      </c>
      <c r="B250" s="149" t="s">
        <v>325</v>
      </c>
      <c r="C250" s="149" t="s">
        <v>641</v>
      </c>
      <c r="D250" s="149">
        <v>514133</v>
      </c>
      <c r="E250" s="281">
        <v>42572</v>
      </c>
      <c r="F250" s="281">
        <v>42735</v>
      </c>
      <c r="G250" s="149">
        <v>0.1</v>
      </c>
      <c r="H250" s="149"/>
      <c r="I250" s="149"/>
      <c r="J250" s="149"/>
      <c r="K250" s="149" t="s">
        <v>1961</v>
      </c>
      <c r="L250" s="149"/>
      <c r="M250" s="149"/>
    </row>
    <row r="251" spans="1:13" hidden="1">
      <c r="A251" s="149" t="s">
        <v>116</v>
      </c>
      <c r="B251" s="149" t="s">
        <v>325</v>
      </c>
      <c r="C251" s="149" t="s">
        <v>643</v>
      </c>
      <c r="D251" s="149">
        <v>514133</v>
      </c>
      <c r="E251" s="281">
        <v>42572</v>
      </c>
      <c r="F251" s="281">
        <v>42735</v>
      </c>
      <c r="G251" s="149">
        <v>0.1</v>
      </c>
      <c r="H251" s="149"/>
      <c r="I251" s="149"/>
      <c r="J251" s="149"/>
      <c r="K251" s="149" t="s">
        <v>1962</v>
      </c>
      <c r="L251" s="149"/>
      <c r="M251" s="149"/>
    </row>
    <row r="252" spans="1:13" hidden="1">
      <c r="A252" s="149" t="s">
        <v>116</v>
      </c>
      <c r="B252" s="149" t="s">
        <v>325</v>
      </c>
      <c r="C252" s="149" t="s">
        <v>470</v>
      </c>
      <c r="D252" s="149">
        <v>514133</v>
      </c>
      <c r="E252" s="281">
        <v>42572</v>
      </c>
      <c r="F252" s="281">
        <v>42735</v>
      </c>
      <c r="G252" s="149">
        <v>0.1</v>
      </c>
      <c r="H252" s="149"/>
      <c r="I252" s="149"/>
      <c r="J252" s="149"/>
      <c r="K252" s="149" t="s">
        <v>1963</v>
      </c>
      <c r="L252" s="149"/>
      <c r="M252" s="149"/>
    </row>
    <row r="253" spans="1:13" hidden="1">
      <c r="A253" s="149" t="s">
        <v>116</v>
      </c>
      <c r="B253" s="149" t="s">
        <v>325</v>
      </c>
      <c r="C253" s="149" t="s">
        <v>628</v>
      </c>
      <c r="D253" s="149">
        <v>514133</v>
      </c>
      <c r="E253" s="281">
        <v>42572</v>
      </c>
      <c r="F253" s="281">
        <v>42735</v>
      </c>
      <c r="G253" s="149">
        <v>0.1</v>
      </c>
      <c r="H253" s="149"/>
      <c r="I253" s="149"/>
      <c r="J253" s="149"/>
      <c r="K253" s="149" t="s">
        <v>1973</v>
      </c>
      <c r="L253" s="149"/>
      <c r="M253" s="149"/>
    </row>
    <row r="254" spans="1:13" hidden="1">
      <c r="A254" s="149" t="s">
        <v>116</v>
      </c>
      <c r="B254" s="149" t="s">
        <v>325</v>
      </c>
      <c r="C254" s="149" t="s">
        <v>659</v>
      </c>
      <c r="D254" s="149">
        <v>514133</v>
      </c>
      <c r="E254" s="281">
        <v>42572</v>
      </c>
      <c r="F254" s="281">
        <v>42735</v>
      </c>
      <c r="G254" s="149">
        <v>0.1</v>
      </c>
      <c r="H254" s="149"/>
      <c r="I254" s="149"/>
      <c r="J254" s="149"/>
      <c r="K254" s="149" t="s">
        <v>1966</v>
      </c>
      <c r="L254" s="149"/>
      <c r="M254" s="149"/>
    </row>
    <row r="255" spans="1:13" hidden="1">
      <c r="A255" s="149" t="s">
        <v>116</v>
      </c>
      <c r="B255" s="149" t="s">
        <v>325</v>
      </c>
      <c r="C255" s="149" t="s">
        <v>455</v>
      </c>
      <c r="D255" s="149">
        <v>514133</v>
      </c>
      <c r="E255" s="281">
        <v>42572</v>
      </c>
      <c r="F255" s="281">
        <v>42735</v>
      </c>
      <c r="G255" s="149">
        <v>0.1</v>
      </c>
      <c r="H255" s="149"/>
      <c r="I255" s="149"/>
      <c r="J255" s="149"/>
      <c r="K255" s="149" t="s">
        <v>1976</v>
      </c>
      <c r="L255" s="149"/>
      <c r="M255" s="149"/>
    </row>
    <row r="256" spans="1:13" hidden="1">
      <c r="A256" s="149" t="s">
        <v>116</v>
      </c>
      <c r="B256" s="149" t="s">
        <v>325</v>
      </c>
      <c r="C256" s="149" t="s">
        <v>630</v>
      </c>
      <c r="D256" s="149">
        <v>514133</v>
      </c>
      <c r="E256" s="281">
        <v>42572</v>
      </c>
      <c r="F256" s="281">
        <v>42735</v>
      </c>
      <c r="G256" s="149">
        <v>0.1</v>
      </c>
      <c r="H256" s="149"/>
      <c r="I256" s="149"/>
      <c r="J256" s="149"/>
      <c r="K256" s="149" t="s">
        <v>1975</v>
      </c>
      <c r="L256" s="149"/>
      <c r="M256" s="149"/>
    </row>
    <row r="257" spans="1:13" hidden="1">
      <c r="A257" s="149" t="s">
        <v>116</v>
      </c>
      <c r="B257" s="149" t="s">
        <v>325</v>
      </c>
      <c r="C257" s="149" t="s">
        <v>472</v>
      </c>
      <c r="D257" s="149">
        <v>514133</v>
      </c>
      <c r="E257" s="281">
        <v>42572</v>
      </c>
      <c r="F257" s="281">
        <v>42735</v>
      </c>
      <c r="G257" s="149">
        <v>0.1</v>
      </c>
      <c r="H257" s="149"/>
      <c r="I257" s="149"/>
      <c r="J257" s="149"/>
      <c r="K257" s="149" t="s">
        <v>1970</v>
      </c>
      <c r="L257" s="149"/>
      <c r="M257" s="149"/>
    </row>
    <row r="258" spans="1:13" hidden="1">
      <c r="A258" s="149" t="s">
        <v>116</v>
      </c>
      <c r="B258" s="149" t="s">
        <v>325</v>
      </c>
      <c r="C258" s="149" t="s">
        <v>186</v>
      </c>
      <c r="D258" s="149">
        <v>514133</v>
      </c>
      <c r="E258" s="281">
        <v>42572</v>
      </c>
      <c r="F258" s="281">
        <v>42735</v>
      </c>
      <c r="G258" s="149">
        <v>0.1</v>
      </c>
      <c r="H258" s="149"/>
      <c r="I258" s="149">
        <v>1</v>
      </c>
      <c r="J258" s="149">
        <v>1</v>
      </c>
      <c r="K258" s="149" t="s">
        <v>1972</v>
      </c>
      <c r="L258" s="149"/>
      <c r="M258" s="149"/>
    </row>
    <row r="259" spans="1:13" hidden="1">
      <c r="A259" s="149" t="s">
        <v>116</v>
      </c>
      <c r="B259" s="149" t="s">
        <v>325</v>
      </c>
      <c r="C259" s="149" t="s">
        <v>287</v>
      </c>
      <c r="D259" s="149">
        <v>514133</v>
      </c>
      <c r="E259" s="281">
        <v>42572</v>
      </c>
      <c r="F259" s="281">
        <v>42735</v>
      </c>
      <c r="G259" s="149">
        <v>0.6</v>
      </c>
      <c r="H259" s="149">
        <v>1</v>
      </c>
      <c r="I259" s="149">
        <v>14</v>
      </c>
      <c r="J259" s="149">
        <v>15</v>
      </c>
      <c r="K259" s="149" t="s">
        <v>1969</v>
      </c>
      <c r="L259" s="149"/>
      <c r="M259" s="149"/>
    </row>
    <row r="260" spans="1:13" hidden="1">
      <c r="A260" s="149" t="s">
        <v>116</v>
      </c>
      <c r="B260" s="149" t="s">
        <v>325</v>
      </c>
      <c r="C260" s="149" t="s">
        <v>477</v>
      </c>
      <c r="D260" s="149">
        <v>514133</v>
      </c>
      <c r="E260" s="281">
        <v>42572</v>
      </c>
      <c r="F260" s="281">
        <v>42735</v>
      </c>
      <c r="G260" s="149">
        <v>0.5</v>
      </c>
      <c r="H260" s="149"/>
      <c r="I260" s="149">
        <v>10</v>
      </c>
      <c r="J260" s="149">
        <v>10</v>
      </c>
      <c r="K260" s="149" t="s">
        <v>1968</v>
      </c>
      <c r="L260" s="149"/>
      <c r="M260" s="149"/>
    </row>
    <row r="261" spans="1:13" hidden="1">
      <c r="A261" s="149" t="s">
        <v>116</v>
      </c>
      <c r="B261" s="149" t="s">
        <v>325</v>
      </c>
      <c r="C261" s="149" t="s">
        <v>658</v>
      </c>
      <c r="D261" s="149">
        <v>514133</v>
      </c>
      <c r="E261" s="281">
        <v>42572</v>
      </c>
      <c r="F261" s="281">
        <v>42735</v>
      </c>
      <c r="G261" s="149">
        <v>0.5</v>
      </c>
      <c r="H261" s="149"/>
      <c r="I261" s="149">
        <v>7</v>
      </c>
      <c r="J261" s="149">
        <v>7</v>
      </c>
      <c r="K261" s="149" t="s">
        <v>1971</v>
      </c>
      <c r="L261" s="149"/>
      <c r="M261" s="149"/>
    </row>
    <row r="262" spans="1:13" hidden="1">
      <c r="A262" s="149" t="s">
        <v>116</v>
      </c>
      <c r="B262" s="149" t="s">
        <v>325</v>
      </c>
      <c r="C262" s="149" t="s">
        <v>481</v>
      </c>
      <c r="D262" s="149">
        <v>514133</v>
      </c>
      <c r="E262" s="281">
        <v>42572</v>
      </c>
      <c r="F262" s="281">
        <v>42735</v>
      </c>
      <c r="G262" s="149">
        <v>0.1</v>
      </c>
      <c r="H262" s="149"/>
      <c r="I262" s="149"/>
      <c r="J262" s="149"/>
      <c r="K262" s="149" t="s">
        <v>1965</v>
      </c>
      <c r="L262" s="149"/>
      <c r="M262" s="149"/>
    </row>
    <row r="263" spans="1:13" hidden="1">
      <c r="A263" s="149" t="s">
        <v>116</v>
      </c>
      <c r="B263" s="149" t="s">
        <v>325</v>
      </c>
      <c r="C263" s="149" t="s">
        <v>288</v>
      </c>
      <c r="D263" s="149">
        <v>514133</v>
      </c>
      <c r="E263" s="281">
        <v>42572</v>
      </c>
      <c r="F263" s="281">
        <v>42735</v>
      </c>
      <c r="G263" s="149">
        <v>0.4</v>
      </c>
      <c r="H263" s="149"/>
      <c r="I263" s="149">
        <v>3</v>
      </c>
      <c r="J263" s="149">
        <v>3</v>
      </c>
      <c r="K263" s="149" t="s">
        <v>1967</v>
      </c>
      <c r="L263" s="149"/>
      <c r="M263" s="149"/>
    </row>
    <row r="264" spans="1:13" hidden="1">
      <c r="A264" s="149" t="s">
        <v>116</v>
      </c>
      <c r="B264" s="149" t="s">
        <v>325</v>
      </c>
      <c r="C264" s="149" t="s">
        <v>187</v>
      </c>
      <c r="D264" s="149">
        <v>514133</v>
      </c>
      <c r="E264" s="281">
        <v>42572</v>
      </c>
      <c r="F264" s="281">
        <v>42735</v>
      </c>
      <c r="G264" s="149">
        <v>0.1</v>
      </c>
      <c r="H264" s="149"/>
      <c r="I264" s="149">
        <v>1</v>
      </c>
      <c r="J264" s="149">
        <v>1</v>
      </c>
      <c r="K264" s="149" t="s">
        <v>1964</v>
      </c>
      <c r="L264" s="149"/>
      <c r="M264" s="149"/>
    </row>
    <row r="265" spans="1:13" hidden="1">
      <c r="A265" s="149" t="s">
        <v>114</v>
      </c>
      <c r="B265" s="149" t="s">
        <v>126</v>
      </c>
      <c r="C265" s="149" t="s">
        <v>531</v>
      </c>
      <c r="D265" s="149">
        <v>514134</v>
      </c>
      <c r="E265" s="281">
        <v>42620</v>
      </c>
      <c r="F265" s="281">
        <v>42735</v>
      </c>
      <c r="G265" s="149">
        <v>3.6</v>
      </c>
      <c r="H265" s="149"/>
      <c r="I265" s="149">
        <v>26</v>
      </c>
      <c r="J265" s="149">
        <v>26</v>
      </c>
      <c r="K265" s="149" t="s">
        <v>1978</v>
      </c>
      <c r="L265" s="149"/>
      <c r="M265" s="149"/>
    </row>
    <row r="266" spans="1:13" hidden="1">
      <c r="A266" s="149" t="s">
        <v>114</v>
      </c>
      <c r="B266" s="149" t="s">
        <v>126</v>
      </c>
      <c r="C266" s="149" t="s">
        <v>445</v>
      </c>
      <c r="D266" s="149">
        <v>514134</v>
      </c>
      <c r="E266" s="281">
        <v>42620</v>
      </c>
      <c r="F266" s="281">
        <v>42735</v>
      </c>
      <c r="G266" s="149">
        <v>3.4</v>
      </c>
      <c r="H266" s="149">
        <v>3</v>
      </c>
      <c r="I266" s="149">
        <v>31</v>
      </c>
      <c r="J266" s="149">
        <v>34</v>
      </c>
      <c r="K266" s="149" t="s">
        <v>1982</v>
      </c>
      <c r="L266" s="149"/>
      <c r="M266" s="149"/>
    </row>
    <row r="267" spans="1:13" hidden="1">
      <c r="A267" s="149" t="s">
        <v>114</v>
      </c>
      <c r="B267" s="149" t="s">
        <v>126</v>
      </c>
      <c r="C267" s="149" t="s">
        <v>453</v>
      </c>
      <c r="D267" s="149">
        <v>514134</v>
      </c>
      <c r="E267" s="281">
        <v>42620</v>
      </c>
      <c r="F267" s="281">
        <v>42735</v>
      </c>
      <c r="G267" s="149">
        <v>3.7</v>
      </c>
      <c r="H267" s="149">
        <v>12</v>
      </c>
      <c r="I267" s="149">
        <v>57</v>
      </c>
      <c r="J267" s="149">
        <v>69</v>
      </c>
      <c r="K267" s="149" t="s">
        <v>1981</v>
      </c>
      <c r="L267" s="149"/>
      <c r="M267" s="149"/>
    </row>
    <row r="268" spans="1:13" hidden="1">
      <c r="A268" s="149" t="s">
        <v>114</v>
      </c>
      <c r="B268" s="149" t="s">
        <v>126</v>
      </c>
      <c r="C268" s="149" t="s">
        <v>514</v>
      </c>
      <c r="D268" s="149">
        <v>514134</v>
      </c>
      <c r="E268" s="281">
        <v>42620</v>
      </c>
      <c r="F268" s="281">
        <v>42735</v>
      </c>
      <c r="G268" s="149">
        <v>6</v>
      </c>
      <c r="H268" s="149">
        <v>9</v>
      </c>
      <c r="I268" s="149">
        <v>90</v>
      </c>
      <c r="J268" s="149">
        <v>99</v>
      </c>
      <c r="K268" s="149" t="s">
        <v>1983</v>
      </c>
      <c r="L268" s="149"/>
      <c r="M268" s="149"/>
    </row>
    <row r="269" spans="1:13" hidden="1">
      <c r="A269" s="149" t="s">
        <v>114</v>
      </c>
      <c r="B269" s="149" t="s">
        <v>126</v>
      </c>
      <c r="C269" s="149" t="s">
        <v>495</v>
      </c>
      <c r="D269" s="149">
        <v>514134</v>
      </c>
      <c r="E269" s="281">
        <v>42620</v>
      </c>
      <c r="F269" s="281">
        <v>42735</v>
      </c>
      <c r="G269" s="149">
        <v>0.8</v>
      </c>
      <c r="H269" s="149">
        <v>3</v>
      </c>
      <c r="I269" s="149">
        <v>13</v>
      </c>
      <c r="J269" s="149">
        <v>16</v>
      </c>
      <c r="K269" s="149" t="s">
        <v>1979</v>
      </c>
      <c r="L269" s="149"/>
      <c r="M269" s="149"/>
    </row>
    <row r="270" spans="1:13" hidden="1">
      <c r="A270" s="149" t="s">
        <v>114</v>
      </c>
      <c r="B270" s="149" t="s">
        <v>126</v>
      </c>
      <c r="C270" s="149" t="s">
        <v>442</v>
      </c>
      <c r="D270" s="149">
        <v>514134</v>
      </c>
      <c r="E270" s="281">
        <v>42620</v>
      </c>
      <c r="F270" s="281">
        <v>42735</v>
      </c>
      <c r="G270" s="149">
        <v>2.9</v>
      </c>
      <c r="H270" s="149"/>
      <c r="I270" s="149">
        <v>28</v>
      </c>
      <c r="J270" s="149">
        <v>28</v>
      </c>
      <c r="K270" s="149" t="s">
        <v>1977</v>
      </c>
      <c r="L270" s="149"/>
      <c r="M270" s="149"/>
    </row>
    <row r="271" spans="1:13" hidden="1">
      <c r="A271" s="149" t="s">
        <v>114</v>
      </c>
      <c r="B271" s="149" t="s">
        <v>126</v>
      </c>
      <c r="C271" s="149" t="s">
        <v>489</v>
      </c>
      <c r="D271" s="149">
        <v>514134</v>
      </c>
      <c r="E271" s="281">
        <v>42620</v>
      </c>
      <c r="F271" s="281">
        <v>42735</v>
      </c>
      <c r="G271" s="149">
        <v>4.8</v>
      </c>
      <c r="H271" s="149">
        <v>10</v>
      </c>
      <c r="I271" s="149">
        <v>71</v>
      </c>
      <c r="J271" s="149">
        <v>81</v>
      </c>
      <c r="K271" s="149" t="s">
        <v>1980</v>
      </c>
      <c r="L271" s="149"/>
      <c r="M271" s="149"/>
    </row>
    <row r="272" spans="1:13" hidden="1">
      <c r="A272" s="149" t="s">
        <v>113</v>
      </c>
      <c r="B272" s="149" t="s">
        <v>152</v>
      </c>
      <c r="C272" s="149" t="s">
        <v>252</v>
      </c>
      <c r="D272" s="149">
        <v>514135</v>
      </c>
      <c r="E272" s="281">
        <v>42632</v>
      </c>
      <c r="F272" s="281">
        <v>42735</v>
      </c>
      <c r="G272" s="149">
        <v>2.2999999999999998</v>
      </c>
      <c r="H272" s="149">
        <v>74</v>
      </c>
      <c r="I272" s="149">
        <v>308</v>
      </c>
      <c r="J272" s="149">
        <v>382</v>
      </c>
      <c r="K272" s="149" t="s">
        <v>1984</v>
      </c>
      <c r="L272" s="149"/>
      <c r="M272" s="149"/>
    </row>
    <row r="273" spans="1:13" hidden="1">
      <c r="A273" s="149" t="s">
        <v>113</v>
      </c>
      <c r="B273" s="149" t="s">
        <v>126</v>
      </c>
      <c r="C273" s="149" t="s">
        <v>246</v>
      </c>
      <c r="D273" s="149">
        <v>514136</v>
      </c>
      <c r="E273" s="281">
        <v>42633</v>
      </c>
      <c r="F273" s="281">
        <v>42735</v>
      </c>
      <c r="G273" s="149"/>
      <c r="H273" s="149"/>
      <c r="I273" s="149">
        <v>4</v>
      </c>
      <c r="J273" s="149">
        <v>4</v>
      </c>
      <c r="K273" s="149" t="s">
        <v>1987</v>
      </c>
      <c r="L273" s="149"/>
      <c r="M273" s="149"/>
    </row>
    <row r="274" spans="1:13" hidden="1">
      <c r="A274" s="149" t="s">
        <v>113</v>
      </c>
      <c r="B274" s="149" t="s">
        <v>126</v>
      </c>
      <c r="C274" s="149" t="s">
        <v>240</v>
      </c>
      <c r="D274" s="149">
        <v>514136</v>
      </c>
      <c r="E274" s="281">
        <v>42633</v>
      </c>
      <c r="F274" s="281">
        <v>42735</v>
      </c>
      <c r="G274" s="149"/>
      <c r="H274" s="149"/>
      <c r="I274" s="149">
        <v>7</v>
      </c>
      <c r="J274" s="149">
        <v>7</v>
      </c>
      <c r="K274" s="149" t="s">
        <v>1985</v>
      </c>
      <c r="L274" s="149"/>
      <c r="M274" s="149"/>
    </row>
    <row r="275" spans="1:13" hidden="1">
      <c r="A275" s="149" t="s">
        <v>113</v>
      </c>
      <c r="B275" s="149" t="s">
        <v>126</v>
      </c>
      <c r="C275" s="149" t="s">
        <v>219</v>
      </c>
      <c r="D275" s="149">
        <v>514136</v>
      </c>
      <c r="E275" s="281">
        <v>42633</v>
      </c>
      <c r="F275" s="281">
        <v>42735</v>
      </c>
      <c r="G275" s="149"/>
      <c r="H275" s="149"/>
      <c r="I275" s="149">
        <v>2</v>
      </c>
      <c r="J275" s="149">
        <v>2</v>
      </c>
      <c r="K275" s="149" t="s">
        <v>1986</v>
      </c>
      <c r="L275" s="149"/>
      <c r="M275" s="149"/>
    </row>
    <row r="276" spans="1:13" hidden="1">
      <c r="A276" s="149" t="s">
        <v>116</v>
      </c>
      <c r="B276" s="149" t="s">
        <v>126</v>
      </c>
      <c r="C276" s="149" t="s">
        <v>732</v>
      </c>
      <c r="D276" s="149">
        <v>514137</v>
      </c>
      <c r="E276" s="281">
        <v>42634</v>
      </c>
      <c r="F276" s="281">
        <v>42735</v>
      </c>
      <c r="G276" s="149">
        <v>1.2</v>
      </c>
      <c r="H276" s="149">
        <v>7</v>
      </c>
      <c r="I276" s="149">
        <v>41</v>
      </c>
      <c r="J276" s="149">
        <v>48</v>
      </c>
      <c r="K276" s="149" t="s">
        <v>1994</v>
      </c>
      <c r="L276" s="149"/>
      <c r="M276" s="149"/>
    </row>
    <row r="277" spans="1:13" hidden="1">
      <c r="A277" s="149" t="s">
        <v>116</v>
      </c>
      <c r="B277" s="149" t="s">
        <v>126</v>
      </c>
      <c r="C277" s="149" t="s">
        <v>576</v>
      </c>
      <c r="D277" s="149">
        <v>514137</v>
      </c>
      <c r="E277" s="281">
        <v>42634</v>
      </c>
      <c r="F277" s="281">
        <v>42735</v>
      </c>
      <c r="G277" s="149">
        <v>10.4</v>
      </c>
      <c r="H277" s="149">
        <v>25</v>
      </c>
      <c r="I277" s="149">
        <v>150</v>
      </c>
      <c r="J277" s="149">
        <v>175</v>
      </c>
      <c r="K277" s="149" t="s">
        <v>1988</v>
      </c>
      <c r="L277" s="149"/>
      <c r="M277" s="149"/>
    </row>
    <row r="278" spans="1:13" hidden="1">
      <c r="A278" s="149" t="s">
        <v>116</v>
      </c>
      <c r="B278" s="149" t="s">
        <v>126</v>
      </c>
      <c r="C278" s="149" t="s">
        <v>727</v>
      </c>
      <c r="D278" s="149">
        <v>514137</v>
      </c>
      <c r="E278" s="281">
        <v>42634</v>
      </c>
      <c r="F278" s="281">
        <v>42735</v>
      </c>
      <c r="G278" s="149">
        <v>2.2000000000000002</v>
      </c>
      <c r="H278" s="149">
        <v>7</v>
      </c>
      <c r="I278" s="149">
        <v>41</v>
      </c>
      <c r="J278" s="149">
        <v>48</v>
      </c>
      <c r="K278" s="149" t="s">
        <v>1993</v>
      </c>
      <c r="L278" s="149"/>
      <c r="M278" s="149"/>
    </row>
    <row r="279" spans="1:13" hidden="1">
      <c r="A279" s="149" t="s">
        <v>116</v>
      </c>
      <c r="B279" s="149" t="s">
        <v>126</v>
      </c>
      <c r="C279" s="149" t="s">
        <v>670</v>
      </c>
      <c r="D279" s="149">
        <v>514137</v>
      </c>
      <c r="E279" s="281">
        <v>42634</v>
      </c>
      <c r="F279" s="281">
        <v>42735</v>
      </c>
      <c r="G279" s="149">
        <v>2.6</v>
      </c>
      <c r="H279" s="149">
        <v>9</v>
      </c>
      <c r="I279" s="149">
        <v>41</v>
      </c>
      <c r="J279" s="149">
        <v>50</v>
      </c>
      <c r="K279" s="149" t="s">
        <v>1995</v>
      </c>
      <c r="L279" s="149"/>
      <c r="M279" s="149"/>
    </row>
    <row r="280" spans="1:13" hidden="1">
      <c r="A280" s="149" t="s">
        <v>116</v>
      </c>
      <c r="B280" s="149" t="s">
        <v>126</v>
      </c>
      <c r="C280" s="149" t="s">
        <v>633</v>
      </c>
      <c r="D280" s="149">
        <v>514137</v>
      </c>
      <c r="E280" s="281">
        <v>42634</v>
      </c>
      <c r="F280" s="281">
        <v>42735</v>
      </c>
      <c r="G280" s="149">
        <v>3.7</v>
      </c>
      <c r="H280" s="149">
        <v>9</v>
      </c>
      <c r="I280" s="149">
        <v>91</v>
      </c>
      <c r="J280" s="149">
        <v>100</v>
      </c>
      <c r="K280" s="149" t="s">
        <v>1990</v>
      </c>
      <c r="L280" s="149"/>
      <c r="M280" s="149"/>
    </row>
    <row r="281" spans="1:13" hidden="1">
      <c r="A281" s="149" t="s">
        <v>116</v>
      </c>
      <c r="B281" s="149" t="s">
        <v>126</v>
      </c>
      <c r="C281" s="149" t="s">
        <v>692</v>
      </c>
      <c r="D281" s="149">
        <v>514137</v>
      </c>
      <c r="E281" s="281">
        <v>42634</v>
      </c>
      <c r="F281" s="281">
        <v>42735</v>
      </c>
      <c r="G281" s="149">
        <v>4.3</v>
      </c>
      <c r="H281" s="149">
        <v>13</v>
      </c>
      <c r="I281" s="149">
        <v>91</v>
      </c>
      <c r="J281" s="149">
        <v>104</v>
      </c>
      <c r="K281" s="149" t="s">
        <v>1992</v>
      </c>
      <c r="L281" s="149"/>
      <c r="M281" s="149"/>
    </row>
    <row r="282" spans="1:13" hidden="1">
      <c r="A282" s="149" t="s">
        <v>116</v>
      </c>
      <c r="B282" s="149" t="s">
        <v>126</v>
      </c>
      <c r="C282" s="149" t="s">
        <v>689</v>
      </c>
      <c r="D282" s="149">
        <v>514137</v>
      </c>
      <c r="E282" s="281">
        <v>42634</v>
      </c>
      <c r="F282" s="281">
        <v>42735</v>
      </c>
      <c r="G282" s="149">
        <v>5.5</v>
      </c>
      <c r="H282" s="149">
        <v>20</v>
      </c>
      <c r="I282" s="149">
        <v>84</v>
      </c>
      <c r="J282" s="149">
        <v>104</v>
      </c>
      <c r="K282" s="149" t="s">
        <v>1996</v>
      </c>
      <c r="L282" s="149"/>
      <c r="M282" s="149"/>
    </row>
    <row r="283" spans="1:13" hidden="1">
      <c r="A283" s="149" t="s">
        <v>116</v>
      </c>
      <c r="B283" s="149" t="s">
        <v>126</v>
      </c>
      <c r="C283" s="149" t="s">
        <v>713</v>
      </c>
      <c r="D283" s="149">
        <v>514137</v>
      </c>
      <c r="E283" s="281">
        <v>42634</v>
      </c>
      <c r="F283" s="281">
        <v>42735</v>
      </c>
      <c r="G283" s="149">
        <v>1.4</v>
      </c>
      <c r="H283" s="149">
        <v>3</v>
      </c>
      <c r="I283" s="149">
        <v>20</v>
      </c>
      <c r="J283" s="149">
        <v>23</v>
      </c>
      <c r="K283" s="149" t="s">
        <v>1989</v>
      </c>
      <c r="L283" s="149"/>
      <c r="M283" s="149"/>
    </row>
    <row r="284" spans="1:13" hidden="1">
      <c r="A284" s="149" t="s">
        <v>116</v>
      </c>
      <c r="B284" s="149" t="s">
        <v>126</v>
      </c>
      <c r="C284" s="149" t="s">
        <v>572</v>
      </c>
      <c r="D284" s="149">
        <v>514137</v>
      </c>
      <c r="E284" s="281">
        <v>42634</v>
      </c>
      <c r="F284" s="281">
        <v>42735</v>
      </c>
      <c r="G284" s="149">
        <v>2.2000000000000002</v>
      </c>
      <c r="H284" s="149">
        <v>5</v>
      </c>
      <c r="I284" s="149">
        <v>41</v>
      </c>
      <c r="J284" s="149">
        <v>46</v>
      </c>
      <c r="K284" s="149" t="s">
        <v>1991</v>
      </c>
      <c r="L284" s="149"/>
      <c r="M284" s="149"/>
    </row>
    <row r="285" spans="1:13" hidden="1">
      <c r="A285" s="149" t="s">
        <v>112</v>
      </c>
      <c r="B285" s="149" t="s">
        <v>126</v>
      </c>
      <c r="C285" s="149" t="s">
        <v>353</v>
      </c>
      <c r="D285" s="149">
        <v>514138</v>
      </c>
      <c r="E285" s="281">
        <v>42641</v>
      </c>
      <c r="F285" s="281">
        <v>42735</v>
      </c>
      <c r="G285" s="149">
        <v>5.8</v>
      </c>
      <c r="H285" s="149">
        <v>9</v>
      </c>
      <c r="I285" s="149">
        <v>91</v>
      </c>
      <c r="J285" s="149">
        <v>100</v>
      </c>
      <c r="K285" s="149" t="s">
        <v>1998</v>
      </c>
      <c r="L285" s="149"/>
      <c r="M285" s="149"/>
    </row>
    <row r="286" spans="1:13" hidden="1">
      <c r="A286" s="149" t="s">
        <v>112</v>
      </c>
      <c r="B286" s="149" t="s">
        <v>126</v>
      </c>
      <c r="C286" s="149" t="s">
        <v>182</v>
      </c>
      <c r="D286" s="149">
        <v>514138</v>
      </c>
      <c r="E286" s="281">
        <v>42641</v>
      </c>
      <c r="F286" s="281">
        <v>42735</v>
      </c>
      <c r="G286" s="149"/>
      <c r="H286" s="149">
        <v>4</v>
      </c>
      <c r="I286" s="149">
        <v>105</v>
      </c>
      <c r="J286" s="149">
        <v>109</v>
      </c>
      <c r="K286" s="149" t="s">
        <v>1999</v>
      </c>
      <c r="L286" s="149"/>
      <c r="M286" s="149"/>
    </row>
    <row r="287" spans="1:13" hidden="1">
      <c r="A287" s="149" t="s">
        <v>112</v>
      </c>
      <c r="B287" s="149" t="s">
        <v>126</v>
      </c>
      <c r="C287" s="149" t="s">
        <v>432</v>
      </c>
      <c r="D287" s="149">
        <v>514138</v>
      </c>
      <c r="E287" s="281">
        <v>42641</v>
      </c>
      <c r="F287" s="281">
        <v>42735</v>
      </c>
      <c r="G287" s="149">
        <v>1.1000000000000001</v>
      </c>
      <c r="H287" s="149"/>
      <c r="I287" s="149">
        <v>23</v>
      </c>
      <c r="J287" s="149">
        <v>23</v>
      </c>
      <c r="K287" s="149" t="s">
        <v>1997</v>
      </c>
      <c r="L287" s="149"/>
      <c r="M287" s="149"/>
    </row>
    <row r="288" spans="1:13" hidden="1">
      <c r="A288" s="149" t="s">
        <v>112</v>
      </c>
      <c r="B288" s="149" t="s">
        <v>126</v>
      </c>
      <c r="C288" s="149" t="s">
        <v>431</v>
      </c>
      <c r="D288" s="149">
        <v>514138</v>
      </c>
      <c r="E288" s="281">
        <v>42641</v>
      </c>
      <c r="F288" s="281">
        <v>42735</v>
      </c>
      <c r="G288" s="149">
        <v>1.3</v>
      </c>
      <c r="H288" s="149"/>
      <c r="I288" s="149">
        <v>34</v>
      </c>
      <c r="J288" s="149">
        <v>34</v>
      </c>
      <c r="K288" s="149" t="s">
        <v>2000</v>
      </c>
      <c r="L288" s="149"/>
      <c r="M288" s="149"/>
    </row>
    <row r="289" spans="1:13" hidden="1">
      <c r="A289" s="149" t="s">
        <v>115</v>
      </c>
      <c r="B289" s="149" t="s">
        <v>126</v>
      </c>
      <c r="C289" s="149" t="s">
        <v>802</v>
      </c>
      <c r="D289" s="149">
        <v>514139</v>
      </c>
      <c r="E289" s="281">
        <v>42643</v>
      </c>
      <c r="F289" s="281">
        <v>42735</v>
      </c>
      <c r="G289" s="149">
        <v>2.4</v>
      </c>
      <c r="H289" s="149"/>
      <c r="I289" s="149">
        <v>11</v>
      </c>
      <c r="J289" s="149">
        <v>11</v>
      </c>
      <c r="K289" s="149" t="s">
        <v>2005</v>
      </c>
      <c r="L289" s="149"/>
      <c r="M289" s="149"/>
    </row>
    <row r="290" spans="1:13" hidden="1">
      <c r="A290" s="149" t="s">
        <v>115</v>
      </c>
      <c r="B290" s="149" t="s">
        <v>126</v>
      </c>
      <c r="C290" s="149" t="s">
        <v>827</v>
      </c>
      <c r="D290" s="149">
        <v>514139</v>
      </c>
      <c r="E290" s="281">
        <v>42643</v>
      </c>
      <c r="F290" s="281">
        <v>42735</v>
      </c>
      <c r="G290" s="149">
        <v>9.3000000000000007</v>
      </c>
      <c r="H290" s="149">
        <v>11</v>
      </c>
      <c r="I290" s="149">
        <v>101</v>
      </c>
      <c r="J290" s="149">
        <v>112</v>
      </c>
      <c r="K290" s="149" t="s">
        <v>2003</v>
      </c>
      <c r="L290" s="149"/>
      <c r="M290" s="149"/>
    </row>
    <row r="291" spans="1:13" hidden="1">
      <c r="A291" s="149" t="s">
        <v>115</v>
      </c>
      <c r="B291" s="149" t="s">
        <v>126</v>
      </c>
      <c r="C291" s="149" t="s">
        <v>169</v>
      </c>
      <c r="D291" s="149">
        <v>514139</v>
      </c>
      <c r="E291" s="281">
        <v>42643</v>
      </c>
      <c r="F291" s="281">
        <v>42735</v>
      </c>
      <c r="G291" s="149">
        <v>12.1</v>
      </c>
      <c r="H291" s="149">
        <v>7</v>
      </c>
      <c r="I291" s="149">
        <v>264</v>
      </c>
      <c r="J291" s="149">
        <v>271</v>
      </c>
      <c r="K291" s="149" t="s">
        <v>2004</v>
      </c>
      <c r="L291" s="149"/>
      <c r="M291" s="149"/>
    </row>
    <row r="292" spans="1:13" hidden="1">
      <c r="A292" s="149" t="s">
        <v>115</v>
      </c>
      <c r="B292" s="149" t="s">
        <v>126</v>
      </c>
      <c r="C292" s="149" t="s">
        <v>844</v>
      </c>
      <c r="D292" s="149">
        <v>514139</v>
      </c>
      <c r="E292" s="281">
        <v>42643</v>
      </c>
      <c r="F292" s="281">
        <v>42735</v>
      </c>
      <c r="G292" s="149">
        <v>12.4</v>
      </c>
      <c r="H292" s="149">
        <v>5</v>
      </c>
      <c r="I292" s="149">
        <v>107</v>
      </c>
      <c r="J292" s="149">
        <v>112</v>
      </c>
      <c r="K292" s="149" t="s">
        <v>2002</v>
      </c>
      <c r="L292" s="149"/>
      <c r="M292" s="149"/>
    </row>
    <row r="293" spans="1:13" hidden="1">
      <c r="A293" s="149" t="s">
        <v>115</v>
      </c>
      <c r="B293" s="149" t="s">
        <v>126</v>
      </c>
      <c r="C293" s="149" t="s">
        <v>759</v>
      </c>
      <c r="D293" s="149">
        <v>514139</v>
      </c>
      <c r="E293" s="281">
        <v>42643</v>
      </c>
      <c r="F293" s="281">
        <v>42735</v>
      </c>
      <c r="G293" s="149">
        <v>7.5</v>
      </c>
      <c r="H293" s="149">
        <v>21</v>
      </c>
      <c r="I293" s="149">
        <v>192</v>
      </c>
      <c r="J293" s="149">
        <v>213</v>
      </c>
      <c r="K293" s="149" t="s">
        <v>2001</v>
      </c>
      <c r="L293" s="149"/>
      <c r="M293" s="149"/>
    </row>
    <row r="294" spans="1:13" hidden="1">
      <c r="A294" s="149" t="s">
        <v>114</v>
      </c>
      <c r="B294" s="149" t="s">
        <v>126</v>
      </c>
      <c r="C294" s="149" t="s">
        <v>446</v>
      </c>
      <c r="D294" s="149">
        <v>514140</v>
      </c>
      <c r="E294" s="281">
        <v>42662</v>
      </c>
      <c r="F294" s="281">
        <v>42735</v>
      </c>
      <c r="G294" s="149">
        <v>8.5</v>
      </c>
      <c r="H294" s="149">
        <v>4</v>
      </c>
      <c r="I294" s="149">
        <v>92</v>
      </c>
      <c r="J294" s="149">
        <v>96</v>
      </c>
      <c r="K294" s="149" t="s">
        <v>2006</v>
      </c>
      <c r="L294" s="149"/>
      <c r="M294" s="149"/>
    </row>
    <row r="295" spans="1:13" hidden="1">
      <c r="A295" s="149" t="s">
        <v>114</v>
      </c>
      <c r="B295" s="149" t="s">
        <v>126</v>
      </c>
      <c r="C295" s="149" t="s">
        <v>513</v>
      </c>
      <c r="D295" s="149">
        <v>514140</v>
      </c>
      <c r="E295" s="281">
        <v>42662</v>
      </c>
      <c r="F295" s="281">
        <v>42735</v>
      </c>
      <c r="G295" s="149">
        <v>4.5</v>
      </c>
      <c r="H295" s="149">
        <v>5</v>
      </c>
      <c r="I295" s="149">
        <v>63</v>
      </c>
      <c r="J295" s="149">
        <v>68</v>
      </c>
      <c r="K295" s="149" t="s">
        <v>2007</v>
      </c>
      <c r="L295" s="149"/>
      <c r="M295" s="149"/>
    </row>
    <row r="296" spans="1:13" hidden="1">
      <c r="A296" s="149" t="s">
        <v>114</v>
      </c>
      <c r="B296" s="149" t="s">
        <v>325</v>
      </c>
      <c r="C296" s="149" t="s">
        <v>396</v>
      </c>
      <c r="D296" s="149">
        <v>514141</v>
      </c>
      <c r="E296" s="281">
        <v>42667</v>
      </c>
      <c r="F296" s="281">
        <v>42735</v>
      </c>
      <c r="G296" s="149">
        <v>2.5</v>
      </c>
      <c r="H296" s="149"/>
      <c r="I296" s="149"/>
      <c r="J296" s="149"/>
      <c r="K296" s="149" t="s">
        <v>2010</v>
      </c>
      <c r="L296" s="149"/>
      <c r="M296" s="149"/>
    </row>
    <row r="297" spans="1:13" hidden="1">
      <c r="A297" s="149" t="s">
        <v>114</v>
      </c>
      <c r="B297" s="149" t="s">
        <v>325</v>
      </c>
      <c r="C297" s="149" t="s">
        <v>187</v>
      </c>
      <c r="D297" s="149">
        <v>514141</v>
      </c>
      <c r="E297" s="281">
        <v>42667</v>
      </c>
      <c r="F297" s="281">
        <v>42735</v>
      </c>
      <c r="G297" s="149">
        <v>1.1000000000000001</v>
      </c>
      <c r="H297" s="149"/>
      <c r="I297" s="149"/>
      <c r="J297" s="149"/>
      <c r="K297" s="149" t="s">
        <v>2009</v>
      </c>
      <c r="L297" s="149"/>
      <c r="M297" s="149"/>
    </row>
    <row r="298" spans="1:13" hidden="1">
      <c r="A298" s="149" t="s">
        <v>114</v>
      </c>
      <c r="B298" s="149" t="s">
        <v>325</v>
      </c>
      <c r="C298" s="149" t="s">
        <v>463</v>
      </c>
      <c r="D298" s="149">
        <v>514141</v>
      </c>
      <c r="E298" s="281">
        <v>42667</v>
      </c>
      <c r="F298" s="281">
        <v>42735</v>
      </c>
      <c r="G298" s="149">
        <v>3.9</v>
      </c>
      <c r="H298" s="149"/>
      <c r="I298" s="149"/>
      <c r="J298" s="149"/>
      <c r="K298" s="149" t="s">
        <v>2011</v>
      </c>
      <c r="L298" s="149"/>
      <c r="M298" s="149"/>
    </row>
    <row r="299" spans="1:13" hidden="1">
      <c r="A299" s="149" t="s">
        <v>114</v>
      </c>
      <c r="B299" s="149" t="s">
        <v>325</v>
      </c>
      <c r="C299" s="149" t="s">
        <v>493</v>
      </c>
      <c r="D299" s="149">
        <v>514141</v>
      </c>
      <c r="E299" s="281">
        <v>42667</v>
      </c>
      <c r="F299" s="281">
        <v>42735</v>
      </c>
      <c r="G299" s="149">
        <v>2.5</v>
      </c>
      <c r="H299" s="149"/>
      <c r="I299" s="149"/>
      <c r="J299" s="149"/>
      <c r="K299" s="149" t="s">
        <v>2008</v>
      </c>
      <c r="L299" s="149"/>
      <c r="M299" s="149"/>
    </row>
    <row r="300" spans="1:13" hidden="1">
      <c r="A300" s="149" t="s">
        <v>113</v>
      </c>
      <c r="B300" s="149" t="s">
        <v>126</v>
      </c>
      <c r="C300" s="149" t="s">
        <v>233</v>
      </c>
      <c r="D300" s="149">
        <v>514142</v>
      </c>
      <c r="E300" s="281">
        <v>42667</v>
      </c>
      <c r="F300" s="281">
        <v>42735</v>
      </c>
      <c r="G300" s="149">
        <v>10.1</v>
      </c>
      <c r="H300" s="149">
        <v>7</v>
      </c>
      <c r="I300" s="149">
        <v>178</v>
      </c>
      <c r="J300" s="149">
        <v>185</v>
      </c>
      <c r="K300" s="149" t="s">
        <v>2013</v>
      </c>
      <c r="L300" s="149"/>
      <c r="M300" s="149"/>
    </row>
    <row r="301" spans="1:13" hidden="1">
      <c r="A301" s="149" t="s">
        <v>113</v>
      </c>
      <c r="B301" s="149" t="s">
        <v>126</v>
      </c>
      <c r="C301" s="149" t="s">
        <v>163</v>
      </c>
      <c r="D301" s="149">
        <v>514142</v>
      </c>
      <c r="E301" s="281">
        <v>42667</v>
      </c>
      <c r="F301" s="281">
        <v>42735</v>
      </c>
      <c r="G301" s="149">
        <v>4.2</v>
      </c>
      <c r="H301" s="149"/>
      <c r="I301" s="149">
        <v>36</v>
      </c>
      <c r="J301" s="149">
        <v>36</v>
      </c>
      <c r="K301" s="149" t="s">
        <v>2014</v>
      </c>
      <c r="L301" s="149"/>
      <c r="M301" s="149"/>
    </row>
    <row r="302" spans="1:13" hidden="1">
      <c r="A302" s="149" t="s">
        <v>113</v>
      </c>
      <c r="B302" s="149" t="s">
        <v>126</v>
      </c>
      <c r="C302" s="149" t="s">
        <v>127</v>
      </c>
      <c r="D302" s="149">
        <v>514142</v>
      </c>
      <c r="E302" s="281">
        <v>42667</v>
      </c>
      <c r="F302" s="281">
        <v>42735</v>
      </c>
      <c r="G302" s="149">
        <v>18.2</v>
      </c>
      <c r="H302" s="149">
        <v>7</v>
      </c>
      <c r="I302" s="149">
        <v>166</v>
      </c>
      <c r="J302" s="149">
        <v>173</v>
      </c>
      <c r="K302" s="149" t="s">
        <v>2012</v>
      </c>
      <c r="L302" s="149"/>
      <c r="M302" s="149"/>
    </row>
    <row r="303" spans="1:13" hidden="1">
      <c r="A303" s="149" t="s">
        <v>113</v>
      </c>
      <c r="B303" s="149" t="s">
        <v>126</v>
      </c>
      <c r="C303" s="149" t="s">
        <v>213</v>
      </c>
      <c r="D303" s="149">
        <v>514142</v>
      </c>
      <c r="E303" s="281">
        <v>42667</v>
      </c>
      <c r="F303" s="281">
        <v>42735</v>
      </c>
      <c r="G303" s="149">
        <v>10</v>
      </c>
      <c r="H303" s="149">
        <v>11</v>
      </c>
      <c r="I303" s="149">
        <v>124</v>
      </c>
      <c r="J303" s="149">
        <v>135</v>
      </c>
      <c r="K303" s="149" t="s">
        <v>2015</v>
      </c>
      <c r="L303" s="149"/>
      <c r="M303" s="149"/>
    </row>
    <row r="304" spans="1:13" hidden="1">
      <c r="A304" s="149" t="s">
        <v>116</v>
      </c>
      <c r="B304" s="149" t="s">
        <v>126</v>
      </c>
      <c r="C304" s="149" t="s">
        <v>687</v>
      </c>
      <c r="D304" s="149">
        <v>514143</v>
      </c>
      <c r="E304" s="281">
        <v>42667</v>
      </c>
      <c r="F304" s="281">
        <v>42735</v>
      </c>
      <c r="G304" s="149">
        <v>17.7</v>
      </c>
      <c r="H304" s="149">
        <v>51</v>
      </c>
      <c r="I304" s="149">
        <v>201</v>
      </c>
      <c r="J304" s="149">
        <v>290</v>
      </c>
      <c r="K304" s="149" t="s">
        <v>2028</v>
      </c>
      <c r="L304" s="149"/>
      <c r="M304" s="149"/>
    </row>
    <row r="305" spans="1:13" hidden="1">
      <c r="A305" s="149" t="s">
        <v>116</v>
      </c>
      <c r="B305" s="149" t="s">
        <v>126</v>
      </c>
      <c r="C305" s="149" t="s">
        <v>578</v>
      </c>
      <c r="D305" s="149">
        <v>514143</v>
      </c>
      <c r="E305" s="281">
        <v>42667</v>
      </c>
      <c r="F305" s="281">
        <v>42735</v>
      </c>
      <c r="G305" s="149">
        <v>4.4000000000000004</v>
      </c>
      <c r="H305" s="149">
        <v>10</v>
      </c>
      <c r="I305" s="149">
        <v>110</v>
      </c>
      <c r="J305" s="149">
        <v>139</v>
      </c>
      <c r="K305" s="149" t="s">
        <v>2017</v>
      </c>
      <c r="L305" s="149"/>
      <c r="M305" s="149"/>
    </row>
    <row r="306" spans="1:13" hidden="1">
      <c r="A306" s="149" t="s">
        <v>116</v>
      </c>
      <c r="B306" s="149" t="s">
        <v>126</v>
      </c>
      <c r="C306" s="149" t="s">
        <v>582</v>
      </c>
      <c r="D306" s="149">
        <v>514143</v>
      </c>
      <c r="E306" s="281">
        <v>42667</v>
      </c>
      <c r="F306" s="281">
        <v>42735</v>
      </c>
      <c r="G306" s="149">
        <v>0.7</v>
      </c>
      <c r="H306" s="149">
        <v>1</v>
      </c>
      <c r="I306" s="149">
        <v>30</v>
      </c>
      <c r="J306" s="149">
        <v>36</v>
      </c>
      <c r="K306" s="149" t="s">
        <v>2018</v>
      </c>
      <c r="L306" s="149"/>
      <c r="M306" s="149"/>
    </row>
    <row r="307" spans="1:13" hidden="1">
      <c r="A307" s="149" t="s">
        <v>116</v>
      </c>
      <c r="B307" s="149" t="s">
        <v>126</v>
      </c>
      <c r="C307" s="149" t="s">
        <v>288</v>
      </c>
      <c r="D307" s="149">
        <v>514143</v>
      </c>
      <c r="E307" s="281">
        <v>42667</v>
      </c>
      <c r="F307" s="281">
        <v>42735</v>
      </c>
      <c r="G307" s="149">
        <v>0.7</v>
      </c>
      <c r="H307" s="149">
        <v>1</v>
      </c>
      <c r="I307" s="149">
        <v>29</v>
      </c>
      <c r="J307" s="149">
        <v>35</v>
      </c>
      <c r="K307" s="149" t="s">
        <v>2023</v>
      </c>
      <c r="L307" s="149"/>
      <c r="M307" s="149"/>
    </row>
    <row r="308" spans="1:13" hidden="1">
      <c r="A308" s="149" t="s">
        <v>116</v>
      </c>
      <c r="B308" s="149" t="s">
        <v>126</v>
      </c>
      <c r="C308" s="149" t="s">
        <v>590</v>
      </c>
      <c r="D308" s="149">
        <v>514143</v>
      </c>
      <c r="E308" s="281">
        <v>42667</v>
      </c>
      <c r="F308" s="281">
        <v>42735</v>
      </c>
      <c r="G308" s="149">
        <v>1</v>
      </c>
      <c r="H308" s="149">
        <v>2</v>
      </c>
      <c r="I308" s="149">
        <v>45</v>
      </c>
      <c r="J308" s="149">
        <v>55</v>
      </c>
      <c r="K308" s="149" t="s">
        <v>2016</v>
      </c>
      <c r="L308" s="149"/>
      <c r="M308" s="149"/>
    </row>
    <row r="309" spans="1:13" hidden="1">
      <c r="A309" s="149" t="s">
        <v>116</v>
      </c>
      <c r="B309" s="149" t="s">
        <v>126</v>
      </c>
      <c r="C309" s="149" t="s">
        <v>704</v>
      </c>
      <c r="D309" s="149">
        <v>514143</v>
      </c>
      <c r="E309" s="281">
        <v>42667</v>
      </c>
      <c r="F309" s="281">
        <v>42735</v>
      </c>
      <c r="G309" s="149">
        <v>3.1</v>
      </c>
      <c r="H309" s="149">
        <v>6</v>
      </c>
      <c r="I309" s="149">
        <v>47</v>
      </c>
      <c r="J309" s="149">
        <v>61</v>
      </c>
      <c r="K309" s="149" t="s">
        <v>2024</v>
      </c>
      <c r="L309" s="149"/>
      <c r="M309" s="149"/>
    </row>
    <row r="310" spans="1:13" hidden="1">
      <c r="A310" s="149" t="s">
        <v>116</v>
      </c>
      <c r="B310" s="149" t="s">
        <v>126</v>
      </c>
      <c r="C310" s="149" t="s">
        <v>672</v>
      </c>
      <c r="D310" s="149">
        <v>514143</v>
      </c>
      <c r="E310" s="281">
        <v>42667</v>
      </c>
      <c r="F310" s="281">
        <v>42735</v>
      </c>
      <c r="G310" s="149">
        <v>1</v>
      </c>
      <c r="H310" s="149">
        <v>5</v>
      </c>
      <c r="I310" s="149">
        <v>19</v>
      </c>
      <c r="J310" s="149">
        <v>27</v>
      </c>
      <c r="K310" s="149" t="s">
        <v>2021</v>
      </c>
      <c r="L310" s="149"/>
      <c r="M310" s="149"/>
    </row>
    <row r="311" spans="1:13" hidden="1">
      <c r="A311" s="149" t="s">
        <v>116</v>
      </c>
      <c r="B311" s="149" t="s">
        <v>126</v>
      </c>
      <c r="C311" s="149" t="s">
        <v>669</v>
      </c>
      <c r="D311" s="149">
        <v>514143</v>
      </c>
      <c r="E311" s="281">
        <v>42667</v>
      </c>
      <c r="F311" s="281">
        <v>42735</v>
      </c>
      <c r="G311" s="149">
        <v>0.6</v>
      </c>
      <c r="H311" s="149">
        <v>3</v>
      </c>
      <c r="I311" s="149">
        <v>12</v>
      </c>
      <c r="J311" s="149">
        <v>17</v>
      </c>
      <c r="K311" s="149" t="s">
        <v>2025</v>
      </c>
      <c r="L311" s="149"/>
      <c r="M311" s="149"/>
    </row>
    <row r="312" spans="1:13" hidden="1">
      <c r="A312" s="149" t="s">
        <v>116</v>
      </c>
      <c r="B312" s="149" t="s">
        <v>126</v>
      </c>
      <c r="C312" s="149" t="s">
        <v>714</v>
      </c>
      <c r="D312" s="149">
        <v>514143</v>
      </c>
      <c r="E312" s="281">
        <v>42667</v>
      </c>
      <c r="F312" s="281">
        <v>42735</v>
      </c>
      <c r="G312" s="149">
        <v>5.2</v>
      </c>
      <c r="H312" s="149">
        <v>7</v>
      </c>
      <c r="I312" s="149">
        <v>89</v>
      </c>
      <c r="J312" s="149">
        <v>110</v>
      </c>
      <c r="K312" s="149" t="s">
        <v>2020</v>
      </c>
      <c r="L312" s="149"/>
      <c r="M312" s="149"/>
    </row>
    <row r="313" spans="1:13" hidden="1">
      <c r="A313" s="149" t="s">
        <v>116</v>
      </c>
      <c r="B313" s="149" t="s">
        <v>126</v>
      </c>
      <c r="C313" s="149" t="s">
        <v>632</v>
      </c>
      <c r="D313" s="149">
        <v>514143</v>
      </c>
      <c r="E313" s="281">
        <v>42667</v>
      </c>
      <c r="F313" s="281">
        <v>42735</v>
      </c>
      <c r="G313" s="149">
        <v>2.5</v>
      </c>
      <c r="H313" s="149">
        <v>5</v>
      </c>
      <c r="I313" s="149">
        <v>34</v>
      </c>
      <c r="J313" s="149">
        <v>46</v>
      </c>
      <c r="K313" s="149" t="s">
        <v>2026</v>
      </c>
      <c r="L313" s="149"/>
      <c r="M313" s="149"/>
    </row>
    <row r="314" spans="1:13" hidden="1">
      <c r="A314" s="149" t="s">
        <v>116</v>
      </c>
      <c r="B314" s="149" t="s">
        <v>126</v>
      </c>
      <c r="C314" s="149" t="s">
        <v>678</v>
      </c>
      <c r="D314" s="149">
        <v>514143</v>
      </c>
      <c r="E314" s="281">
        <v>42667</v>
      </c>
      <c r="F314" s="281">
        <v>42735</v>
      </c>
      <c r="G314" s="149">
        <v>3.9</v>
      </c>
      <c r="H314" s="149">
        <v>9</v>
      </c>
      <c r="I314" s="149">
        <v>89</v>
      </c>
      <c r="J314" s="149">
        <v>114</v>
      </c>
      <c r="K314" s="149" t="s">
        <v>2019</v>
      </c>
      <c r="L314" s="149"/>
      <c r="M314" s="149"/>
    </row>
    <row r="315" spans="1:13" hidden="1">
      <c r="A315" s="149" t="s">
        <v>116</v>
      </c>
      <c r="B315" s="149" t="s">
        <v>126</v>
      </c>
      <c r="C315" s="149" t="s">
        <v>729</v>
      </c>
      <c r="D315" s="149">
        <v>514143</v>
      </c>
      <c r="E315" s="281">
        <v>42667</v>
      </c>
      <c r="F315" s="281">
        <v>42735</v>
      </c>
      <c r="G315" s="149">
        <v>4.5999999999999996</v>
      </c>
      <c r="H315" s="149">
        <v>16</v>
      </c>
      <c r="I315" s="149">
        <v>111</v>
      </c>
      <c r="J315" s="149">
        <v>148</v>
      </c>
      <c r="K315" s="149" t="s">
        <v>2022</v>
      </c>
      <c r="L315" s="149"/>
      <c r="M315" s="149"/>
    </row>
    <row r="316" spans="1:13" hidden="1">
      <c r="A316" s="149" t="s">
        <v>116</v>
      </c>
      <c r="B316" s="149" t="s">
        <v>126</v>
      </c>
      <c r="C316" s="149" t="s">
        <v>719</v>
      </c>
      <c r="D316" s="149">
        <v>514143</v>
      </c>
      <c r="E316" s="281">
        <v>42667</v>
      </c>
      <c r="F316" s="281">
        <v>42735</v>
      </c>
      <c r="G316" s="149">
        <v>11.2</v>
      </c>
      <c r="H316" s="149">
        <v>18</v>
      </c>
      <c r="I316" s="149">
        <v>148</v>
      </c>
      <c r="J316" s="149">
        <v>192</v>
      </c>
      <c r="K316" s="149" t="s">
        <v>2027</v>
      </c>
      <c r="L316" s="149"/>
      <c r="M316" s="149"/>
    </row>
    <row r="317" spans="1:13" hidden="1">
      <c r="A317" s="149" t="s">
        <v>115</v>
      </c>
      <c r="B317" s="149" t="s">
        <v>126</v>
      </c>
      <c r="C317" s="149" t="s">
        <v>824</v>
      </c>
      <c r="D317" s="149">
        <v>514144</v>
      </c>
      <c r="E317" s="281">
        <v>42667</v>
      </c>
      <c r="F317" s="281">
        <v>42825</v>
      </c>
      <c r="G317" s="149">
        <v>0.1</v>
      </c>
      <c r="H317" s="149"/>
      <c r="I317" s="149"/>
      <c r="J317" s="149"/>
      <c r="K317" s="149" t="s">
        <v>2032</v>
      </c>
      <c r="L317" s="149"/>
      <c r="M317" s="149"/>
    </row>
    <row r="318" spans="1:13" hidden="1">
      <c r="A318" s="149" t="s">
        <v>115</v>
      </c>
      <c r="B318" s="149" t="s">
        <v>126</v>
      </c>
      <c r="C318" s="149" t="s">
        <v>743</v>
      </c>
      <c r="D318" s="149">
        <v>514144</v>
      </c>
      <c r="E318" s="281">
        <v>42667</v>
      </c>
      <c r="F318" s="281">
        <v>42825</v>
      </c>
      <c r="G318" s="149">
        <v>0.1</v>
      </c>
      <c r="H318" s="149"/>
      <c r="I318" s="149"/>
      <c r="J318" s="149"/>
      <c r="K318" s="149" t="s">
        <v>2034</v>
      </c>
      <c r="L318" s="149"/>
      <c r="M318" s="149"/>
    </row>
    <row r="319" spans="1:13" hidden="1">
      <c r="A319" s="149" t="s">
        <v>115</v>
      </c>
      <c r="B319" s="149" t="s">
        <v>126</v>
      </c>
      <c r="C319" s="149" t="s">
        <v>746</v>
      </c>
      <c r="D319" s="149">
        <v>514144</v>
      </c>
      <c r="E319" s="281">
        <v>42667</v>
      </c>
      <c r="F319" s="281">
        <v>42825</v>
      </c>
      <c r="G319" s="149">
        <v>18.899999999999999</v>
      </c>
      <c r="H319" s="149"/>
      <c r="I319" s="149"/>
      <c r="J319" s="149"/>
      <c r="K319" s="149" t="s">
        <v>2029</v>
      </c>
      <c r="L319" s="149"/>
      <c r="M319" s="149"/>
    </row>
    <row r="320" spans="1:13" hidden="1">
      <c r="A320" s="149" t="s">
        <v>115</v>
      </c>
      <c r="B320" s="149" t="s">
        <v>126</v>
      </c>
      <c r="C320" s="149" t="s">
        <v>766</v>
      </c>
      <c r="D320" s="149">
        <v>514144</v>
      </c>
      <c r="E320" s="281">
        <v>42667</v>
      </c>
      <c r="F320" s="281">
        <v>42825</v>
      </c>
      <c r="G320" s="149">
        <v>4.8</v>
      </c>
      <c r="H320" s="149"/>
      <c r="I320" s="149"/>
      <c r="J320" s="149"/>
      <c r="K320" s="149" t="s">
        <v>2035</v>
      </c>
      <c r="L320" s="149"/>
      <c r="M320" s="149"/>
    </row>
    <row r="321" spans="1:13" hidden="1">
      <c r="A321" s="149" t="s">
        <v>115</v>
      </c>
      <c r="B321" s="149" t="s">
        <v>126</v>
      </c>
      <c r="C321" s="149" t="s">
        <v>745</v>
      </c>
      <c r="D321" s="149">
        <v>514144</v>
      </c>
      <c r="E321" s="281">
        <v>42667</v>
      </c>
      <c r="F321" s="281">
        <v>42825</v>
      </c>
      <c r="G321" s="149">
        <v>0.1</v>
      </c>
      <c r="H321" s="149"/>
      <c r="I321" s="149"/>
      <c r="J321" s="149"/>
      <c r="K321" s="149" t="s">
        <v>2033</v>
      </c>
      <c r="L321" s="149"/>
      <c r="M321" s="149"/>
    </row>
    <row r="322" spans="1:13" hidden="1">
      <c r="A322" s="149" t="s">
        <v>115</v>
      </c>
      <c r="B322" s="149" t="s">
        <v>126</v>
      </c>
      <c r="C322" s="149" t="s">
        <v>852</v>
      </c>
      <c r="D322" s="149">
        <v>514144</v>
      </c>
      <c r="E322" s="281">
        <v>42667</v>
      </c>
      <c r="F322" s="281">
        <v>42825</v>
      </c>
      <c r="G322" s="149">
        <v>6.3</v>
      </c>
      <c r="H322" s="149"/>
      <c r="I322" s="149"/>
      <c r="J322" s="149"/>
      <c r="K322" s="149" t="s">
        <v>2030</v>
      </c>
      <c r="L322" s="149"/>
      <c r="M322" s="149"/>
    </row>
    <row r="323" spans="1:13" hidden="1">
      <c r="A323" s="149" t="s">
        <v>115</v>
      </c>
      <c r="B323" s="149" t="s">
        <v>126</v>
      </c>
      <c r="C323" s="149" t="s">
        <v>778</v>
      </c>
      <c r="D323" s="149">
        <v>514144</v>
      </c>
      <c r="E323" s="281">
        <v>42667</v>
      </c>
      <c r="F323" s="281">
        <v>42825</v>
      </c>
      <c r="G323" s="149">
        <v>4.5</v>
      </c>
      <c r="H323" s="149"/>
      <c r="I323" s="149"/>
      <c r="J323" s="149"/>
      <c r="K323" s="149" t="s">
        <v>2036</v>
      </c>
      <c r="L323" s="149"/>
      <c r="M323" s="149"/>
    </row>
    <row r="324" spans="1:13" hidden="1">
      <c r="A324" s="149" t="s">
        <v>115</v>
      </c>
      <c r="B324" s="149" t="s">
        <v>126</v>
      </c>
      <c r="C324" s="149" t="s">
        <v>798</v>
      </c>
      <c r="D324" s="149">
        <v>514144</v>
      </c>
      <c r="E324" s="281">
        <v>42667</v>
      </c>
      <c r="F324" s="281">
        <v>42825</v>
      </c>
      <c r="G324" s="149">
        <v>2.7</v>
      </c>
      <c r="H324" s="149"/>
      <c r="I324" s="149"/>
      <c r="J324" s="149"/>
      <c r="K324" s="149" t="s">
        <v>2031</v>
      </c>
      <c r="L324" s="149"/>
      <c r="M324" s="149"/>
    </row>
    <row r="325" spans="1:13" hidden="1">
      <c r="A325" s="149" t="s">
        <v>112</v>
      </c>
      <c r="B325" s="149" t="s">
        <v>126</v>
      </c>
      <c r="C325" s="149" t="s">
        <v>434</v>
      </c>
      <c r="D325" s="149">
        <v>514145</v>
      </c>
      <c r="E325" s="281">
        <v>42667</v>
      </c>
      <c r="F325" s="281">
        <v>42735</v>
      </c>
      <c r="G325" s="149">
        <v>4</v>
      </c>
      <c r="H325" s="149"/>
      <c r="I325" s="149">
        <v>39</v>
      </c>
      <c r="J325" s="149">
        <v>48</v>
      </c>
      <c r="K325" s="149" t="s">
        <v>2037</v>
      </c>
      <c r="L325" s="149"/>
      <c r="M325" s="149"/>
    </row>
    <row r="326" spans="1:13" hidden="1">
      <c r="A326" s="149" t="s">
        <v>112</v>
      </c>
      <c r="B326" s="149" t="s">
        <v>126</v>
      </c>
      <c r="C326" s="149" t="s">
        <v>323</v>
      </c>
      <c r="D326" s="149">
        <v>514145</v>
      </c>
      <c r="E326" s="281">
        <v>42667</v>
      </c>
      <c r="F326" s="281">
        <v>42735</v>
      </c>
      <c r="G326" s="149">
        <v>3.8</v>
      </c>
      <c r="H326" s="149">
        <v>4</v>
      </c>
      <c r="I326" s="149">
        <v>69</v>
      </c>
      <c r="J326" s="149">
        <v>84</v>
      </c>
      <c r="K326" s="149" t="s">
        <v>2039</v>
      </c>
      <c r="L326" s="149"/>
      <c r="M326" s="149"/>
    </row>
    <row r="327" spans="1:13" hidden="1">
      <c r="A327" s="149" t="s">
        <v>112</v>
      </c>
      <c r="B327" s="149" t="s">
        <v>126</v>
      </c>
      <c r="C327" s="149" t="s">
        <v>417</v>
      </c>
      <c r="D327" s="149">
        <v>514145</v>
      </c>
      <c r="E327" s="281">
        <v>42667</v>
      </c>
      <c r="F327" s="281">
        <v>42735</v>
      </c>
      <c r="G327" s="149">
        <v>7</v>
      </c>
      <c r="H327" s="149">
        <v>4</v>
      </c>
      <c r="I327" s="149">
        <v>91</v>
      </c>
      <c r="J327" s="149">
        <v>109</v>
      </c>
      <c r="K327" s="149" t="s">
        <v>2040</v>
      </c>
      <c r="L327" s="149"/>
      <c r="M327" s="149"/>
    </row>
    <row r="328" spans="1:13" hidden="1">
      <c r="A328" s="149" t="s">
        <v>112</v>
      </c>
      <c r="B328" s="149" t="s">
        <v>126</v>
      </c>
      <c r="C328" s="149" t="s">
        <v>419</v>
      </c>
      <c r="D328" s="149">
        <v>514145</v>
      </c>
      <c r="E328" s="281">
        <v>42667</v>
      </c>
      <c r="F328" s="281">
        <v>42735</v>
      </c>
      <c r="G328" s="149">
        <v>1</v>
      </c>
      <c r="H328" s="149">
        <v>7</v>
      </c>
      <c r="I328" s="149">
        <v>60</v>
      </c>
      <c r="J328" s="149">
        <v>72</v>
      </c>
      <c r="K328" s="149" t="s">
        <v>2038</v>
      </c>
      <c r="L328" s="149"/>
      <c r="M328" s="149"/>
    </row>
    <row r="329" spans="1:13" hidden="1">
      <c r="A329" s="149" t="s">
        <v>111</v>
      </c>
      <c r="B329" s="149" t="s">
        <v>152</v>
      </c>
      <c r="C329" s="149" t="s">
        <v>280</v>
      </c>
      <c r="D329" s="149">
        <v>514146</v>
      </c>
      <c r="E329" s="281">
        <v>42667</v>
      </c>
      <c r="F329" s="281">
        <v>42826</v>
      </c>
      <c r="G329" s="149">
        <v>3.1</v>
      </c>
      <c r="H329" s="149">
        <v>331</v>
      </c>
      <c r="I329" s="149">
        <v>735</v>
      </c>
      <c r="J329" s="149">
        <v>1221</v>
      </c>
      <c r="K329" s="149" t="s">
        <v>1019</v>
      </c>
      <c r="L329" s="149"/>
      <c r="M329" s="149"/>
    </row>
    <row r="330" spans="1:13" hidden="1">
      <c r="A330" s="149" t="s">
        <v>114</v>
      </c>
      <c r="B330" s="149" t="s">
        <v>126</v>
      </c>
      <c r="C330" s="149" t="s">
        <v>536</v>
      </c>
      <c r="D330" s="149">
        <v>514147</v>
      </c>
      <c r="E330" s="281">
        <v>42688</v>
      </c>
      <c r="F330" s="281">
        <v>42735</v>
      </c>
      <c r="G330" s="149">
        <v>2.2999999999999998</v>
      </c>
      <c r="H330" s="149">
        <v>4</v>
      </c>
      <c r="I330" s="149">
        <v>28</v>
      </c>
      <c r="J330" s="149">
        <v>37</v>
      </c>
      <c r="K330" s="149" t="s">
        <v>2042</v>
      </c>
      <c r="L330" s="149"/>
      <c r="M330" s="149"/>
    </row>
    <row r="331" spans="1:13" hidden="1">
      <c r="A331" s="149" t="s">
        <v>114</v>
      </c>
      <c r="B331" s="149" t="s">
        <v>126</v>
      </c>
      <c r="C331" s="149" t="s">
        <v>504</v>
      </c>
      <c r="D331" s="149">
        <v>514147</v>
      </c>
      <c r="E331" s="281">
        <v>42688</v>
      </c>
      <c r="F331" s="281">
        <v>42735</v>
      </c>
      <c r="G331" s="149">
        <v>2.8</v>
      </c>
      <c r="H331" s="149">
        <v>4</v>
      </c>
      <c r="I331" s="149">
        <v>40</v>
      </c>
      <c r="J331" s="149">
        <v>51</v>
      </c>
      <c r="K331" s="149" t="s">
        <v>2041</v>
      </c>
      <c r="L331" s="149"/>
      <c r="M331" s="149"/>
    </row>
    <row r="332" spans="1:13" hidden="1">
      <c r="A332" s="149" t="s">
        <v>114</v>
      </c>
      <c r="B332" s="149" t="s">
        <v>511</v>
      </c>
      <c r="C332" s="149" t="s">
        <v>512</v>
      </c>
      <c r="D332" s="149">
        <v>514148</v>
      </c>
      <c r="E332" s="281">
        <v>42695</v>
      </c>
      <c r="F332" s="281">
        <v>42735</v>
      </c>
      <c r="G332" s="149">
        <v>2.2999999999999998</v>
      </c>
      <c r="H332" s="149"/>
      <c r="I332" s="149">
        <v>2</v>
      </c>
      <c r="J332" s="149">
        <v>28</v>
      </c>
      <c r="K332" s="149" t="s">
        <v>1258</v>
      </c>
      <c r="L332" s="149"/>
      <c r="M332" s="149"/>
    </row>
    <row r="333" spans="1:13" hidden="1">
      <c r="A333" s="149" t="s">
        <v>113</v>
      </c>
      <c r="B333" s="149" t="s">
        <v>126</v>
      </c>
      <c r="C333" s="149" t="s">
        <v>234</v>
      </c>
      <c r="D333" s="149">
        <v>514149</v>
      </c>
      <c r="E333" s="281">
        <v>42703</v>
      </c>
      <c r="F333" s="281">
        <v>42735</v>
      </c>
      <c r="G333" s="149">
        <v>1.9</v>
      </c>
      <c r="H333" s="149">
        <v>1</v>
      </c>
      <c r="I333" s="149">
        <v>56</v>
      </c>
      <c r="J333" s="149">
        <v>66</v>
      </c>
      <c r="K333" s="149" t="s">
        <v>2043</v>
      </c>
      <c r="L333" s="149"/>
      <c r="M333" s="149"/>
    </row>
    <row r="334" spans="1:13" hidden="1">
      <c r="A334" s="149" t="s">
        <v>115</v>
      </c>
      <c r="B334" s="149" t="s">
        <v>126</v>
      </c>
      <c r="C334" s="149" t="s">
        <v>853</v>
      </c>
      <c r="D334" s="149">
        <v>514150</v>
      </c>
      <c r="E334" s="281">
        <v>42711</v>
      </c>
      <c r="F334" s="281">
        <v>42735</v>
      </c>
      <c r="G334" s="149"/>
      <c r="H334" s="149"/>
      <c r="I334" s="149"/>
      <c r="J334" s="149"/>
      <c r="K334" s="149" t="s">
        <v>1705</v>
      </c>
      <c r="L334" s="149"/>
      <c r="M334" s="149"/>
    </row>
    <row r="335" spans="1:13" hidden="1">
      <c r="A335" s="149" t="s">
        <v>112</v>
      </c>
      <c r="B335" s="149" t="s">
        <v>128</v>
      </c>
      <c r="C335" s="149" t="s">
        <v>337</v>
      </c>
      <c r="D335" s="149">
        <v>514151</v>
      </c>
      <c r="E335" s="281">
        <v>42731</v>
      </c>
      <c r="F335" s="281">
        <v>43100</v>
      </c>
      <c r="G335" s="149">
        <v>4.2</v>
      </c>
      <c r="H335" s="149">
        <v>566</v>
      </c>
      <c r="I335" s="149">
        <v>960</v>
      </c>
      <c r="J335" s="149">
        <v>1755</v>
      </c>
      <c r="K335" s="149" t="s">
        <v>1071</v>
      </c>
      <c r="L335" s="149"/>
      <c r="M335" s="149"/>
    </row>
    <row r="336" spans="1:13" hidden="1">
      <c r="A336" s="149" t="s">
        <v>112</v>
      </c>
      <c r="B336" s="149" t="s">
        <v>128</v>
      </c>
      <c r="C336" s="149" t="s">
        <v>363</v>
      </c>
      <c r="D336" s="149">
        <v>514151</v>
      </c>
      <c r="E336" s="281">
        <v>42731</v>
      </c>
      <c r="F336" s="281">
        <v>43100</v>
      </c>
      <c r="G336" s="149">
        <v>3.3</v>
      </c>
      <c r="H336" s="149">
        <v>602</v>
      </c>
      <c r="I336" s="149">
        <v>595</v>
      </c>
      <c r="J336" s="149">
        <v>1381</v>
      </c>
      <c r="K336" s="149" t="s">
        <v>1093</v>
      </c>
      <c r="L336" s="149"/>
      <c r="M336" s="149"/>
    </row>
    <row r="337" spans="1:13" hidden="1">
      <c r="A337" s="149" t="s">
        <v>112</v>
      </c>
      <c r="B337" s="149" t="s">
        <v>128</v>
      </c>
      <c r="C337" s="149" t="s">
        <v>399</v>
      </c>
      <c r="D337" s="149">
        <v>514151</v>
      </c>
      <c r="E337" s="281">
        <v>42731</v>
      </c>
      <c r="F337" s="281">
        <v>43100</v>
      </c>
      <c r="G337" s="149">
        <v>3.3</v>
      </c>
      <c r="H337" s="149">
        <v>327</v>
      </c>
      <c r="I337" s="149">
        <v>688</v>
      </c>
      <c r="J337" s="149">
        <v>1166</v>
      </c>
      <c r="K337" s="149" t="s">
        <v>1133</v>
      </c>
      <c r="L337" s="149"/>
      <c r="M337" s="149"/>
    </row>
    <row r="338" spans="1:13" hidden="1">
      <c r="A338" s="149" t="s">
        <v>112</v>
      </c>
      <c r="B338" s="149" t="s">
        <v>128</v>
      </c>
      <c r="C338" s="149" t="s">
        <v>423</v>
      </c>
      <c r="D338" s="149">
        <v>514151</v>
      </c>
      <c r="E338" s="281">
        <v>42731</v>
      </c>
      <c r="F338" s="281">
        <v>43100</v>
      </c>
      <c r="G338" s="149">
        <v>5</v>
      </c>
      <c r="H338" s="149">
        <v>727</v>
      </c>
      <c r="I338" s="149">
        <v>876</v>
      </c>
      <c r="J338" s="149">
        <v>1856</v>
      </c>
      <c r="K338" s="149" t="s">
        <v>1158</v>
      </c>
      <c r="L338" s="149"/>
      <c r="M338" s="149"/>
    </row>
    <row r="339" spans="1:13" hidden="1">
      <c r="A339" s="149" t="s">
        <v>112</v>
      </c>
      <c r="B339" s="149" t="s">
        <v>128</v>
      </c>
      <c r="C339" s="149" t="s">
        <v>406</v>
      </c>
      <c r="D339" s="149">
        <v>514151</v>
      </c>
      <c r="E339" s="281">
        <v>42731</v>
      </c>
      <c r="F339" s="281">
        <v>43100</v>
      </c>
      <c r="G339" s="149">
        <v>1.5</v>
      </c>
      <c r="H339" s="149">
        <v>240</v>
      </c>
      <c r="I339" s="149">
        <v>300</v>
      </c>
      <c r="J339" s="149">
        <v>620</v>
      </c>
      <c r="K339" s="149" t="s">
        <v>1142</v>
      </c>
      <c r="L339" s="149"/>
      <c r="M339" s="149"/>
    </row>
    <row r="340" spans="1:13" hidden="1">
      <c r="A340" s="149" t="s">
        <v>112</v>
      </c>
      <c r="B340" s="149" t="s">
        <v>128</v>
      </c>
      <c r="C340" s="149" t="s">
        <v>412</v>
      </c>
      <c r="D340" s="149">
        <v>514151</v>
      </c>
      <c r="E340" s="281">
        <v>42731</v>
      </c>
      <c r="F340" s="281">
        <v>43100</v>
      </c>
      <c r="G340" s="149">
        <v>2.5</v>
      </c>
      <c r="H340" s="149">
        <v>307</v>
      </c>
      <c r="I340" s="149">
        <v>495</v>
      </c>
      <c r="J340" s="149">
        <v>926</v>
      </c>
      <c r="K340" s="149" t="s">
        <v>1148</v>
      </c>
      <c r="L340" s="149"/>
      <c r="M340" s="149"/>
    </row>
    <row r="341" spans="1:13" hidden="1">
      <c r="A341" s="149" t="s">
        <v>112</v>
      </c>
      <c r="B341" s="149" t="s">
        <v>128</v>
      </c>
      <c r="C341" s="149" t="s">
        <v>408</v>
      </c>
      <c r="D341" s="149">
        <v>514151</v>
      </c>
      <c r="E341" s="281">
        <v>42731</v>
      </c>
      <c r="F341" s="281">
        <v>43100</v>
      </c>
      <c r="G341" s="149">
        <v>3.1</v>
      </c>
      <c r="H341" s="149">
        <v>350</v>
      </c>
      <c r="I341" s="149">
        <v>483</v>
      </c>
      <c r="J341" s="149">
        <v>962</v>
      </c>
      <c r="K341" s="149" t="s">
        <v>1146</v>
      </c>
      <c r="L341" s="149"/>
      <c r="M341" s="149"/>
    </row>
    <row r="342" spans="1:13" hidden="1">
      <c r="A342" s="149" t="s">
        <v>112</v>
      </c>
      <c r="B342" s="149" t="s">
        <v>128</v>
      </c>
      <c r="C342" s="149" t="s">
        <v>369</v>
      </c>
      <c r="D342" s="149">
        <v>514151</v>
      </c>
      <c r="E342" s="281">
        <v>42731</v>
      </c>
      <c r="F342" s="281">
        <v>43100</v>
      </c>
      <c r="G342" s="149">
        <v>2.6</v>
      </c>
      <c r="H342" s="149">
        <v>630</v>
      </c>
      <c r="I342" s="149">
        <v>568</v>
      </c>
      <c r="J342" s="149">
        <v>1378</v>
      </c>
      <c r="K342" s="149" t="s">
        <v>1097</v>
      </c>
      <c r="L342" s="149"/>
      <c r="M342" s="149"/>
    </row>
    <row r="343" spans="1:13" hidden="1">
      <c r="A343" s="149" t="s">
        <v>116</v>
      </c>
      <c r="B343" s="149" t="s">
        <v>128</v>
      </c>
      <c r="C343" s="149" t="s">
        <v>677</v>
      </c>
      <c r="D343" s="149">
        <v>514152</v>
      </c>
      <c r="E343" s="281">
        <v>42736</v>
      </c>
      <c r="F343" s="281">
        <v>43100</v>
      </c>
      <c r="G343" s="149">
        <v>1.4</v>
      </c>
      <c r="H343" s="149">
        <v>66</v>
      </c>
      <c r="I343" s="149">
        <v>304</v>
      </c>
      <c r="J343" s="149">
        <v>425</v>
      </c>
      <c r="K343" s="149" t="s">
        <v>1460</v>
      </c>
      <c r="L343" s="149"/>
      <c r="M343" s="149"/>
    </row>
    <row r="344" spans="1:13" hidden="1">
      <c r="A344" s="149" t="s">
        <v>116</v>
      </c>
      <c r="B344" s="149" t="s">
        <v>128</v>
      </c>
      <c r="C344" s="149" t="s">
        <v>718</v>
      </c>
      <c r="D344" s="149">
        <v>514152</v>
      </c>
      <c r="E344" s="281">
        <v>42736</v>
      </c>
      <c r="F344" s="281">
        <v>43100</v>
      </c>
      <c r="G344" s="149">
        <v>1.5</v>
      </c>
      <c r="H344" s="149">
        <v>130</v>
      </c>
      <c r="I344" s="149">
        <v>232</v>
      </c>
      <c r="J344" s="149">
        <v>411</v>
      </c>
      <c r="K344" s="149" t="s">
        <v>1514</v>
      </c>
      <c r="L344" s="149"/>
      <c r="M344" s="149"/>
    </row>
    <row r="345" spans="1:13" hidden="1">
      <c r="A345" s="149" t="s">
        <v>116</v>
      </c>
      <c r="B345" s="149" t="s">
        <v>128</v>
      </c>
      <c r="C345" s="149" t="s">
        <v>563</v>
      </c>
      <c r="D345" s="149">
        <v>514152</v>
      </c>
      <c r="E345" s="281">
        <v>42736</v>
      </c>
      <c r="F345" s="281">
        <v>43100</v>
      </c>
      <c r="G345" s="149">
        <v>0.8</v>
      </c>
      <c r="H345" s="149">
        <v>135</v>
      </c>
      <c r="I345" s="149">
        <v>174</v>
      </c>
      <c r="J345" s="149">
        <v>355</v>
      </c>
      <c r="K345" s="149" t="s">
        <v>1324</v>
      </c>
      <c r="L345" s="149"/>
      <c r="M345" s="149"/>
    </row>
    <row r="346" spans="1:13" hidden="1">
      <c r="A346" s="149" t="s">
        <v>116</v>
      </c>
      <c r="B346" s="149" t="s">
        <v>128</v>
      </c>
      <c r="C346" s="149" t="s">
        <v>559</v>
      </c>
      <c r="D346" s="149">
        <v>514152</v>
      </c>
      <c r="E346" s="281">
        <v>42736</v>
      </c>
      <c r="F346" s="281">
        <v>43100</v>
      </c>
      <c r="G346" s="149">
        <v>1.6</v>
      </c>
      <c r="H346" s="149">
        <v>148</v>
      </c>
      <c r="I346" s="149">
        <v>342</v>
      </c>
      <c r="J346" s="149">
        <v>566</v>
      </c>
      <c r="K346" s="149" t="s">
        <v>1320</v>
      </c>
      <c r="L346" s="149"/>
      <c r="M346" s="149"/>
    </row>
    <row r="347" spans="1:13" hidden="1">
      <c r="A347" s="149" t="s">
        <v>116</v>
      </c>
      <c r="B347" s="149" t="s">
        <v>128</v>
      </c>
      <c r="C347" s="149" t="s">
        <v>623</v>
      </c>
      <c r="D347" s="149">
        <v>514152</v>
      </c>
      <c r="E347" s="281">
        <v>42736</v>
      </c>
      <c r="F347" s="281">
        <v>43100</v>
      </c>
      <c r="G347" s="149">
        <v>2.8</v>
      </c>
      <c r="H347" s="149">
        <v>4</v>
      </c>
      <c r="I347" s="149">
        <v>406</v>
      </c>
      <c r="J347" s="149">
        <v>483</v>
      </c>
      <c r="K347" s="149" t="s">
        <v>1392</v>
      </c>
      <c r="L347" s="149"/>
      <c r="M347" s="149"/>
    </row>
    <row r="348" spans="1:13" hidden="1">
      <c r="A348" s="149" t="s">
        <v>116</v>
      </c>
      <c r="B348" s="149" t="s">
        <v>128</v>
      </c>
      <c r="C348" s="149" t="s">
        <v>615</v>
      </c>
      <c r="D348" s="149">
        <v>514152</v>
      </c>
      <c r="E348" s="281">
        <v>42736</v>
      </c>
      <c r="F348" s="281">
        <v>43100</v>
      </c>
      <c r="G348" s="149">
        <v>0.4</v>
      </c>
      <c r="H348" s="149"/>
      <c r="I348" s="149">
        <v>60</v>
      </c>
      <c r="J348" s="149">
        <v>74</v>
      </c>
      <c r="K348" s="149" t="s">
        <v>1382</v>
      </c>
      <c r="L348" s="149"/>
      <c r="M348" s="149"/>
    </row>
    <row r="349" spans="1:13" hidden="1">
      <c r="A349" s="149" t="s">
        <v>116</v>
      </c>
      <c r="B349" s="149" t="s">
        <v>128</v>
      </c>
      <c r="C349" s="149" t="s">
        <v>619</v>
      </c>
      <c r="D349" s="149">
        <v>514152</v>
      </c>
      <c r="E349" s="281">
        <v>42736</v>
      </c>
      <c r="F349" s="281">
        <v>43100</v>
      </c>
      <c r="G349" s="149">
        <v>2.2999999999999998</v>
      </c>
      <c r="H349" s="149">
        <v>277</v>
      </c>
      <c r="I349" s="149">
        <v>309</v>
      </c>
      <c r="J349" s="149">
        <v>681</v>
      </c>
      <c r="K349" s="149" t="s">
        <v>1388</v>
      </c>
      <c r="L349" s="149"/>
      <c r="M349" s="149"/>
    </row>
    <row r="350" spans="1:13" hidden="1">
      <c r="A350" s="149" t="s">
        <v>116</v>
      </c>
      <c r="B350" s="149" t="s">
        <v>128</v>
      </c>
      <c r="C350" s="149" t="s">
        <v>683</v>
      </c>
      <c r="D350" s="149">
        <v>514152</v>
      </c>
      <c r="E350" s="281">
        <v>42736</v>
      </c>
      <c r="F350" s="281">
        <v>43100</v>
      </c>
      <c r="G350" s="149">
        <v>2.9</v>
      </c>
      <c r="H350" s="149">
        <v>427</v>
      </c>
      <c r="I350" s="149">
        <v>439</v>
      </c>
      <c r="J350" s="149">
        <v>1003</v>
      </c>
      <c r="K350" s="149" t="s">
        <v>1468</v>
      </c>
      <c r="L350" s="149"/>
      <c r="M350" s="149"/>
    </row>
    <row r="351" spans="1:13" hidden="1">
      <c r="A351" s="149" t="s">
        <v>116</v>
      </c>
      <c r="B351" s="149" t="s">
        <v>128</v>
      </c>
      <c r="C351" s="149" t="s">
        <v>703</v>
      </c>
      <c r="D351" s="149">
        <v>514152</v>
      </c>
      <c r="E351" s="281">
        <v>42736</v>
      </c>
      <c r="F351" s="281">
        <v>43100</v>
      </c>
      <c r="G351" s="149">
        <v>2.6</v>
      </c>
      <c r="H351" s="149">
        <v>491</v>
      </c>
      <c r="I351" s="149">
        <v>195</v>
      </c>
      <c r="J351" s="149">
        <v>790</v>
      </c>
      <c r="K351" s="149" t="s">
        <v>1494</v>
      </c>
      <c r="L351" s="149"/>
      <c r="M351" s="149"/>
    </row>
    <row r="352" spans="1:13" hidden="1">
      <c r="A352" s="149" t="s">
        <v>116</v>
      </c>
      <c r="B352" s="149" t="s">
        <v>128</v>
      </c>
      <c r="C352" s="149" t="s">
        <v>655</v>
      </c>
      <c r="D352" s="149">
        <v>514152</v>
      </c>
      <c r="E352" s="281">
        <v>42736</v>
      </c>
      <c r="F352" s="281">
        <v>43100</v>
      </c>
      <c r="G352" s="149">
        <v>1.2</v>
      </c>
      <c r="H352" s="149">
        <v>133</v>
      </c>
      <c r="I352" s="149">
        <v>227</v>
      </c>
      <c r="J352" s="149">
        <v>413</v>
      </c>
      <c r="K352" s="149" t="s">
        <v>1430</v>
      </c>
      <c r="L352" s="149"/>
      <c r="M352" s="149"/>
    </row>
    <row r="353" spans="1:13" hidden="1">
      <c r="A353" s="149" t="s">
        <v>116</v>
      </c>
      <c r="B353" s="149" t="s">
        <v>128</v>
      </c>
      <c r="C353" s="149" t="s">
        <v>614</v>
      </c>
      <c r="D353" s="149">
        <v>514152</v>
      </c>
      <c r="E353" s="281">
        <v>42736</v>
      </c>
      <c r="F353" s="281">
        <v>43100</v>
      </c>
      <c r="G353" s="149">
        <v>0.3</v>
      </c>
      <c r="H353" s="149"/>
      <c r="I353" s="149">
        <v>44</v>
      </c>
      <c r="J353" s="149">
        <v>53</v>
      </c>
      <c r="K353" s="149" t="s">
        <v>1380</v>
      </c>
      <c r="L353" s="149"/>
      <c r="M353" s="149"/>
    </row>
    <row r="354" spans="1:13" hidden="1">
      <c r="A354" s="149" t="s">
        <v>116</v>
      </c>
      <c r="B354" s="149" t="s">
        <v>128</v>
      </c>
      <c r="C354" s="149" t="s">
        <v>581</v>
      </c>
      <c r="D354" s="149">
        <v>514152</v>
      </c>
      <c r="E354" s="281">
        <v>42736</v>
      </c>
      <c r="F354" s="281">
        <v>43100</v>
      </c>
      <c r="G354" s="149">
        <v>1.4</v>
      </c>
      <c r="H354" s="149">
        <v>147</v>
      </c>
      <c r="I354" s="149">
        <v>295</v>
      </c>
      <c r="J354" s="149">
        <v>507</v>
      </c>
      <c r="K354" s="149" t="s">
        <v>1350</v>
      </c>
      <c r="L354" s="149"/>
      <c r="M354" s="149"/>
    </row>
    <row r="355" spans="1:13" hidden="1">
      <c r="A355" s="149" t="s">
        <v>116</v>
      </c>
      <c r="B355" s="149" t="s">
        <v>128</v>
      </c>
      <c r="C355" s="149" t="s">
        <v>568</v>
      </c>
      <c r="D355" s="149">
        <v>514152</v>
      </c>
      <c r="E355" s="281">
        <v>42736</v>
      </c>
      <c r="F355" s="281">
        <v>43100</v>
      </c>
      <c r="G355" s="149">
        <v>1</v>
      </c>
      <c r="H355" s="149">
        <v>91</v>
      </c>
      <c r="I355" s="149">
        <v>135</v>
      </c>
      <c r="J355" s="149">
        <v>265</v>
      </c>
      <c r="K355" s="149" t="s">
        <v>1334</v>
      </c>
      <c r="L355" s="149"/>
      <c r="M355" s="149"/>
    </row>
    <row r="356" spans="1:13" hidden="1">
      <c r="A356" s="149" t="s">
        <v>116</v>
      </c>
      <c r="B356" s="149" t="s">
        <v>128</v>
      </c>
      <c r="C356" s="149" t="s">
        <v>709</v>
      </c>
      <c r="D356" s="149">
        <v>514152</v>
      </c>
      <c r="E356" s="281">
        <v>42736</v>
      </c>
      <c r="F356" s="281">
        <v>43100</v>
      </c>
      <c r="G356" s="149">
        <v>2.1</v>
      </c>
      <c r="H356" s="149">
        <v>288</v>
      </c>
      <c r="I356" s="149">
        <v>209</v>
      </c>
      <c r="J356" s="149">
        <v>567</v>
      </c>
      <c r="K356" s="149" t="s">
        <v>1502</v>
      </c>
      <c r="L356" s="149"/>
      <c r="M356" s="149"/>
    </row>
    <row r="357" spans="1:13" hidden="1">
      <c r="A357" s="149" t="s">
        <v>116</v>
      </c>
      <c r="B357" s="149" t="s">
        <v>128</v>
      </c>
      <c r="C357" s="149" t="s">
        <v>607</v>
      </c>
      <c r="D357" s="149">
        <v>514152</v>
      </c>
      <c r="E357" s="281">
        <v>42736</v>
      </c>
      <c r="F357" s="281">
        <v>43100</v>
      </c>
      <c r="G357" s="149">
        <v>3</v>
      </c>
      <c r="H357" s="149"/>
      <c r="I357" s="149">
        <v>240</v>
      </c>
      <c r="J357" s="149">
        <v>529</v>
      </c>
      <c r="K357" s="149" t="s">
        <v>1376</v>
      </c>
      <c r="L357" s="149"/>
      <c r="M357" s="149"/>
    </row>
    <row r="358" spans="1:13" hidden="1">
      <c r="A358" s="149" t="s">
        <v>114</v>
      </c>
      <c r="B358" s="149" t="s">
        <v>128</v>
      </c>
      <c r="C358" s="149" t="s">
        <v>516</v>
      </c>
      <c r="D358" s="149">
        <v>514153</v>
      </c>
      <c r="E358" s="281">
        <v>42731</v>
      </c>
      <c r="F358" s="281">
        <v>43100</v>
      </c>
      <c r="G358" s="149">
        <v>1</v>
      </c>
      <c r="H358" s="149">
        <v>107</v>
      </c>
      <c r="I358" s="149">
        <v>146</v>
      </c>
      <c r="J358" s="149">
        <v>296</v>
      </c>
      <c r="K358" s="149" t="s">
        <v>1262</v>
      </c>
      <c r="L358" s="149"/>
      <c r="M358" s="149"/>
    </row>
    <row r="359" spans="1:13" hidden="1">
      <c r="A359" s="149" t="s">
        <v>114</v>
      </c>
      <c r="B359" s="149" t="s">
        <v>128</v>
      </c>
      <c r="C359" s="149" t="s">
        <v>532</v>
      </c>
      <c r="D359" s="149">
        <v>514153</v>
      </c>
      <c r="E359" s="281">
        <v>42731</v>
      </c>
      <c r="F359" s="281">
        <v>43100</v>
      </c>
      <c r="G359" s="149">
        <v>0.6</v>
      </c>
      <c r="H359" s="149">
        <v>150</v>
      </c>
      <c r="I359" s="149">
        <v>145</v>
      </c>
      <c r="J359" s="149">
        <v>342</v>
      </c>
      <c r="K359" s="149" t="s">
        <v>1280</v>
      </c>
      <c r="L359" s="149"/>
      <c r="M359" s="149"/>
    </row>
    <row r="360" spans="1:13" hidden="1">
      <c r="A360" s="149" t="s">
        <v>114</v>
      </c>
      <c r="B360" s="149" t="s">
        <v>128</v>
      </c>
      <c r="C360" s="149" t="s">
        <v>509</v>
      </c>
      <c r="D360" s="149">
        <v>514153</v>
      </c>
      <c r="E360" s="281">
        <v>42731</v>
      </c>
      <c r="F360" s="281">
        <v>43100</v>
      </c>
      <c r="G360" s="149">
        <v>2.9</v>
      </c>
      <c r="H360" s="149">
        <v>279</v>
      </c>
      <c r="I360" s="149">
        <v>389</v>
      </c>
      <c r="J360" s="149">
        <v>772</v>
      </c>
      <c r="K360" s="149" t="s">
        <v>1255</v>
      </c>
      <c r="L360" s="149"/>
      <c r="M360" s="149"/>
    </row>
    <row r="361" spans="1:13" hidden="1">
      <c r="A361" s="149" t="s">
        <v>114</v>
      </c>
      <c r="B361" s="149" t="s">
        <v>128</v>
      </c>
      <c r="C361" s="149" t="s">
        <v>451</v>
      </c>
      <c r="D361" s="149">
        <v>514153</v>
      </c>
      <c r="E361" s="281">
        <v>42731</v>
      </c>
      <c r="F361" s="281">
        <v>43100</v>
      </c>
      <c r="G361" s="149">
        <v>2.1</v>
      </c>
      <c r="H361" s="149">
        <v>402</v>
      </c>
      <c r="I361" s="149">
        <v>214</v>
      </c>
      <c r="J361" s="149">
        <v>719</v>
      </c>
      <c r="K361" s="149" t="s">
        <v>1187</v>
      </c>
      <c r="L361" s="149"/>
      <c r="M361" s="149"/>
    </row>
    <row r="362" spans="1:13" hidden="1">
      <c r="A362" s="149" t="s">
        <v>114</v>
      </c>
      <c r="B362" s="149" t="s">
        <v>128</v>
      </c>
      <c r="C362" s="149" t="s">
        <v>465</v>
      </c>
      <c r="D362" s="149">
        <v>514153</v>
      </c>
      <c r="E362" s="281">
        <v>42731</v>
      </c>
      <c r="F362" s="281">
        <v>43100</v>
      </c>
      <c r="G362" s="149">
        <v>3.6</v>
      </c>
      <c r="H362" s="149">
        <v>174</v>
      </c>
      <c r="I362" s="149">
        <v>587</v>
      </c>
      <c r="J362" s="149">
        <v>888</v>
      </c>
      <c r="K362" s="149" t="s">
        <v>1203</v>
      </c>
      <c r="L362" s="149"/>
      <c r="M362" s="149"/>
    </row>
    <row r="363" spans="1:13" hidden="1">
      <c r="A363" s="149" t="s">
        <v>113</v>
      </c>
      <c r="B363" s="149" t="s">
        <v>128</v>
      </c>
      <c r="C363" s="149" t="s">
        <v>254</v>
      </c>
      <c r="D363" s="149">
        <v>514154</v>
      </c>
      <c r="E363" s="281">
        <v>42731</v>
      </c>
      <c r="F363" s="281">
        <v>43100</v>
      </c>
      <c r="G363" s="149">
        <v>3</v>
      </c>
      <c r="H363" s="149">
        <v>169</v>
      </c>
      <c r="I363" s="149">
        <v>513</v>
      </c>
      <c r="J363" s="149">
        <v>783</v>
      </c>
      <c r="K363" s="149" t="s">
        <v>986</v>
      </c>
      <c r="L363" s="149"/>
      <c r="M363" s="149"/>
    </row>
    <row r="364" spans="1:13" hidden="1">
      <c r="A364" s="149" t="s">
        <v>113</v>
      </c>
      <c r="B364" s="149" t="s">
        <v>128</v>
      </c>
      <c r="C364" s="149" t="s">
        <v>157</v>
      </c>
      <c r="D364" s="149">
        <v>514154</v>
      </c>
      <c r="E364" s="281">
        <v>42731</v>
      </c>
      <c r="F364" s="281">
        <v>43100</v>
      </c>
      <c r="G364" s="149">
        <v>2.8</v>
      </c>
      <c r="H364" s="149">
        <v>150</v>
      </c>
      <c r="I364" s="149">
        <v>470</v>
      </c>
      <c r="J364" s="149">
        <v>718</v>
      </c>
      <c r="K364" s="149" t="s">
        <v>890</v>
      </c>
      <c r="L364" s="149"/>
      <c r="M364" s="149"/>
    </row>
    <row r="365" spans="1:13" hidden="1">
      <c r="A365" s="149" t="s">
        <v>113</v>
      </c>
      <c r="B365" s="149" t="s">
        <v>128</v>
      </c>
      <c r="C365" s="149" t="s">
        <v>228</v>
      </c>
      <c r="D365" s="149">
        <v>514154</v>
      </c>
      <c r="E365" s="281">
        <v>42731</v>
      </c>
      <c r="F365" s="281">
        <v>43100</v>
      </c>
      <c r="G365" s="149">
        <v>0.7</v>
      </c>
      <c r="H365" s="149">
        <v>55</v>
      </c>
      <c r="I365" s="149">
        <v>216</v>
      </c>
      <c r="J365" s="149">
        <v>313</v>
      </c>
      <c r="K365" s="149" t="s">
        <v>966</v>
      </c>
      <c r="L365" s="149"/>
      <c r="M365" s="149"/>
    </row>
    <row r="366" spans="1:13" hidden="1">
      <c r="A366" s="149" t="s">
        <v>113</v>
      </c>
      <c r="B366" s="149" t="s">
        <v>128</v>
      </c>
      <c r="C366" s="149" t="s">
        <v>196</v>
      </c>
      <c r="D366" s="149">
        <v>514154</v>
      </c>
      <c r="E366" s="281">
        <v>42731</v>
      </c>
      <c r="F366" s="281">
        <v>43100</v>
      </c>
      <c r="G366" s="149">
        <v>3.6</v>
      </c>
      <c r="H366" s="149">
        <v>116</v>
      </c>
      <c r="I366" s="149">
        <v>437</v>
      </c>
      <c r="J366" s="149">
        <v>643</v>
      </c>
      <c r="K366" s="149" t="s">
        <v>940</v>
      </c>
      <c r="L366" s="149"/>
      <c r="M366" s="149"/>
    </row>
    <row r="367" spans="1:13" hidden="1">
      <c r="A367" s="149" t="s">
        <v>113</v>
      </c>
      <c r="B367" s="149" t="s">
        <v>128</v>
      </c>
      <c r="C367" s="149" t="s">
        <v>214</v>
      </c>
      <c r="D367" s="149">
        <v>514154</v>
      </c>
      <c r="E367" s="281">
        <v>42731</v>
      </c>
      <c r="F367" s="281">
        <v>43100</v>
      </c>
      <c r="G367" s="149">
        <v>2.4</v>
      </c>
      <c r="H367" s="149">
        <v>403</v>
      </c>
      <c r="I367" s="149">
        <v>276</v>
      </c>
      <c r="J367" s="149">
        <v>788</v>
      </c>
      <c r="K367" s="149" t="s">
        <v>956</v>
      </c>
      <c r="L367" s="149"/>
      <c r="M367" s="149"/>
    </row>
    <row r="368" spans="1:13" hidden="1">
      <c r="A368" s="149" t="s">
        <v>113</v>
      </c>
      <c r="B368" s="149" t="s">
        <v>128</v>
      </c>
      <c r="C368" s="149" t="s">
        <v>129</v>
      </c>
      <c r="D368" s="149">
        <v>514154</v>
      </c>
      <c r="E368" s="281">
        <v>42731</v>
      </c>
      <c r="F368" s="281">
        <v>43100</v>
      </c>
      <c r="G368" s="149">
        <v>4.5</v>
      </c>
      <c r="H368" s="149">
        <v>374</v>
      </c>
      <c r="I368" s="149">
        <v>744</v>
      </c>
      <c r="J368" s="149">
        <v>1286</v>
      </c>
      <c r="K368" s="149" t="s">
        <v>872</v>
      </c>
      <c r="L368" s="149"/>
      <c r="M368" s="149"/>
    </row>
    <row r="369" spans="1:13" hidden="1">
      <c r="A369" s="149" t="s">
        <v>113</v>
      </c>
      <c r="B369" s="149" t="s">
        <v>128</v>
      </c>
      <c r="C369" s="149" t="s">
        <v>209</v>
      </c>
      <c r="D369" s="149">
        <v>514154</v>
      </c>
      <c r="E369" s="281">
        <v>42731</v>
      </c>
      <c r="F369" s="281">
        <v>43100</v>
      </c>
      <c r="G369" s="149">
        <v>0.5</v>
      </c>
      <c r="H369" s="149">
        <v>41</v>
      </c>
      <c r="I369" s="149">
        <v>86</v>
      </c>
      <c r="J369" s="149">
        <v>147</v>
      </c>
      <c r="K369" s="149" t="s">
        <v>954</v>
      </c>
      <c r="L369" s="149"/>
      <c r="M369" s="149"/>
    </row>
    <row r="370" spans="1:13" hidden="1">
      <c r="A370" s="149" t="s">
        <v>113</v>
      </c>
      <c r="B370" s="149" t="s">
        <v>128</v>
      </c>
      <c r="C370" s="149" t="s">
        <v>181</v>
      </c>
      <c r="D370" s="149">
        <v>514154</v>
      </c>
      <c r="E370" s="281">
        <v>42731</v>
      </c>
      <c r="F370" s="281">
        <v>43100</v>
      </c>
      <c r="G370" s="149">
        <v>3</v>
      </c>
      <c r="H370" s="149">
        <v>2</v>
      </c>
      <c r="I370" s="149">
        <v>342</v>
      </c>
      <c r="J370" s="149">
        <v>415</v>
      </c>
      <c r="K370" s="149" t="s">
        <v>928</v>
      </c>
      <c r="L370" s="149"/>
      <c r="M370" s="149"/>
    </row>
    <row r="371" spans="1:13" hidden="1">
      <c r="A371" s="149" t="s">
        <v>113</v>
      </c>
      <c r="B371" s="149" t="s">
        <v>128</v>
      </c>
      <c r="C371" s="149" t="s">
        <v>236</v>
      </c>
      <c r="D371" s="149">
        <v>514154</v>
      </c>
      <c r="E371" s="281">
        <v>42731</v>
      </c>
      <c r="F371" s="281">
        <v>43100</v>
      </c>
      <c r="G371" s="149">
        <v>0.6</v>
      </c>
      <c r="H371" s="149">
        <v>36</v>
      </c>
      <c r="I371" s="149">
        <v>158</v>
      </c>
      <c r="J371" s="149">
        <v>223</v>
      </c>
      <c r="K371" s="149" t="s">
        <v>970</v>
      </c>
      <c r="L371" s="149"/>
      <c r="M371" s="149"/>
    </row>
    <row r="372" spans="1:13" hidden="1">
      <c r="A372" s="149" t="s">
        <v>113</v>
      </c>
      <c r="B372" s="149" t="s">
        <v>128</v>
      </c>
      <c r="C372" s="149" t="s">
        <v>180</v>
      </c>
      <c r="D372" s="149">
        <v>514154</v>
      </c>
      <c r="E372" s="281">
        <v>42731</v>
      </c>
      <c r="F372" s="281">
        <v>43100</v>
      </c>
      <c r="G372" s="149">
        <v>1.3</v>
      </c>
      <c r="H372" s="149">
        <v>128</v>
      </c>
      <c r="I372" s="149">
        <v>406</v>
      </c>
      <c r="J372" s="149">
        <v>614</v>
      </c>
      <c r="K372" s="149" t="s">
        <v>926</v>
      </c>
      <c r="L372" s="149"/>
      <c r="M372" s="149"/>
    </row>
    <row r="373" spans="1:13" hidden="1">
      <c r="A373" s="149" t="s">
        <v>113</v>
      </c>
      <c r="B373" s="149" t="s">
        <v>128</v>
      </c>
      <c r="C373" s="149" t="s">
        <v>168</v>
      </c>
      <c r="D373" s="149">
        <v>514154</v>
      </c>
      <c r="E373" s="281">
        <v>42731</v>
      </c>
      <c r="F373" s="281">
        <v>43100</v>
      </c>
      <c r="G373" s="149">
        <v>1</v>
      </c>
      <c r="H373" s="149"/>
      <c r="I373" s="149">
        <v>65</v>
      </c>
      <c r="J373" s="149">
        <v>78</v>
      </c>
      <c r="K373" s="149" t="s">
        <v>906</v>
      </c>
      <c r="L373" s="149"/>
      <c r="M373" s="149"/>
    </row>
    <row r="374" spans="1:13" hidden="1">
      <c r="A374" s="149" t="s">
        <v>113</v>
      </c>
      <c r="B374" s="149" t="s">
        <v>128</v>
      </c>
      <c r="C374" s="149" t="s">
        <v>193</v>
      </c>
      <c r="D374" s="149">
        <v>514154</v>
      </c>
      <c r="E374" s="281">
        <v>42731</v>
      </c>
      <c r="F374" s="281">
        <v>43100</v>
      </c>
      <c r="G374" s="149">
        <v>1.7</v>
      </c>
      <c r="H374" s="149">
        <v>100</v>
      </c>
      <c r="I374" s="149">
        <v>336</v>
      </c>
      <c r="J374" s="149">
        <v>502</v>
      </c>
      <c r="K374" s="149" t="s">
        <v>936</v>
      </c>
      <c r="L374" s="149"/>
      <c r="M374" s="149"/>
    </row>
    <row r="375" spans="1:13" hidden="1">
      <c r="A375" s="149" t="s">
        <v>113</v>
      </c>
      <c r="B375" s="149" t="s">
        <v>128</v>
      </c>
      <c r="C375" s="149" t="s">
        <v>201</v>
      </c>
      <c r="D375" s="149">
        <v>514154</v>
      </c>
      <c r="E375" s="281">
        <v>42731</v>
      </c>
      <c r="F375" s="281">
        <v>43100</v>
      </c>
      <c r="G375" s="149">
        <v>0.7</v>
      </c>
      <c r="H375" s="149">
        <v>45</v>
      </c>
      <c r="I375" s="149">
        <v>96</v>
      </c>
      <c r="J375" s="149">
        <v>164</v>
      </c>
      <c r="K375" s="149" t="s">
        <v>946</v>
      </c>
      <c r="L375" s="149"/>
      <c r="M375" s="149"/>
    </row>
    <row r="376" spans="1:13" hidden="1">
      <c r="A376" s="149" t="s">
        <v>113</v>
      </c>
      <c r="B376" s="149" t="s">
        <v>128</v>
      </c>
      <c r="C376" s="149" t="s">
        <v>133</v>
      </c>
      <c r="D376" s="149">
        <v>514154</v>
      </c>
      <c r="E376" s="281">
        <v>42731</v>
      </c>
      <c r="F376" s="281">
        <v>43100</v>
      </c>
      <c r="G376" s="149">
        <v>0.4</v>
      </c>
      <c r="H376" s="149">
        <v>33</v>
      </c>
      <c r="I376" s="149">
        <v>69</v>
      </c>
      <c r="J376" s="149">
        <v>118</v>
      </c>
      <c r="K376" s="149" t="s">
        <v>874</v>
      </c>
      <c r="L376" s="149"/>
      <c r="M376" s="149"/>
    </row>
    <row r="377" spans="1:13" hidden="1">
      <c r="A377" s="149" t="s">
        <v>111</v>
      </c>
      <c r="B377" s="149" t="s">
        <v>128</v>
      </c>
      <c r="C377" s="149" t="s">
        <v>302</v>
      </c>
      <c r="D377" s="149">
        <v>514155</v>
      </c>
      <c r="E377" s="281">
        <v>42731</v>
      </c>
      <c r="F377" s="281">
        <v>43100</v>
      </c>
      <c r="G377" s="149">
        <v>1.7</v>
      </c>
      <c r="H377" s="149">
        <v>135</v>
      </c>
      <c r="I377" s="149">
        <v>658</v>
      </c>
      <c r="J377" s="149">
        <v>912</v>
      </c>
      <c r="K377" s="149" t="s">
        <v>1031</v>
      </c>
      <c r="L377" s="149"/>
      <c r="M377" s="149"/>
    </row>
    <row r="378" spans="1:13" hidden="1">
      <c r="A378" s="149" t="s">
        <v>111</v>
      </c>
      <c r="B378" s="149" t="s">
        <v>128</v>
      </c>
      <c r="C378" s="149" t="s">
        <v>270</v>
      </c>
      <c r="D378" s="149">
        <v>514155</v>
      </c>
      <c r="E378" s="281">
        <v>42731</v>
      </c>
      <c r="F378" s="281">
        <v>43100</v>
      </c>
      <c r="G378" s="149">
        <v>1</v>
      </c>
      <c r="H378" s="149">
        <v>7</v>
      </c>
      <c r="I378" s="149">
        <v>233</v>
      </c>
      <c r="J378" s="149">
        <v>284</v>
      </c>
      <c r="K378" s="149" t="s">
        <v>1007</v>
      </c>
      <c r="L378" s="149"/>
      <c r="M378" s="149"/>
    </row>
    <row r="379" spans="1:13" hidden="1">
      <c r="A379" s="149" t="s">
        <v>111</v>
      </c>
      <c r="B379" s="149" t="s">
        <v>128</v>
      </c>
      <c r="C379" s="149" t="s">
        <v>303</v>
      </c>
      <c r="D379" s="149">
        <v>514155</v>
      </c>
      <c r="E379" s="281">
        <v>42731</v>
      </c>
      <c r="F379" s="281">
        <v>43100</v>
      </c>
      <c r="G379" s="149">
        <v>2.1</v>
      </c>
      <c r="H379" s="149">
        <v>190</v>
      </c>
      <c r="I379" s="149">
        <v>653</v>
      </c>
      <c r="J379" s="149">
        <v>982</v>
      </c>
      <c r="K379" s="149" t="s">
        <v>1033</v>
      </c>
      <c r="L379" s="149"/>
      <c r="M379" s="149"/>
    </row>
    <row r="380" spans="1:13" hidden="1">
      <c r="A380" s="149" t="s">
        <v>111</v>
      </c>
      <c r="B380" s="149" t="s">
        <v>128</v>
      </c>
      <c r="C380" s="149" t="s">
        <v>307</v>
      </c>
      <c r="D380" s="149">
        <v>514155</v>
      </c>
      <c r="E380" s="281">
        <v>42731</v>
      </c>
      <c r="F380" s="281">
        <v>43100</v>
      </c>
      <c r="G380" s="149">
        <v>2.2000000000000002</v>
      </c>
      <c r="H380" s="149">
        <v>302</v>
      </c>
      <c r="I380" s="149">
        <v>510</v>
      </c>
      <c r="J380" s="149">
        <v>942</v>
      </c>
      <c r="K380" s="149" t="s">
        <v>1039</v>
      </c>
      <c r="L380" s="149"/>
      <c r="M380" s="149"/>
    </row>
    <row r="381" spans="1:13" hidden="1">
      <c r="A381" s="149" t="s">
        <v>111</v>
      </c>
      <c r="B381" s="149" t="s">
        <v>128</v>
      </c>
      <c r="C381" s="149" t="s">
        <v>306</v>
      </c>
      <c r="D381" s="149">
        <v>514155</v>
      </c>
      <c r="E381" s="281">
        <v>42731</v>
      </c>
      <c r="F381" s="281">
        <v>43100</v>
      </c>
      <c r="G381" s="149">
        <v>2.2999999999999998</v>
      </c>
      <c r="H381" s="149">
        <v>242</v>
      </c>
      <c r="I381" s="149">
        <v>575</v>
      </c>
      <c r="J381" s="149">
        <v>942</v>
      </c>
      <c r="K381" s="149" t="s">
        <v>1037</v>
      </c>
      <c r="L381" s="149"/>
      <c r="M381" s="149"/>
    </row>
    <row r="382" spans="1:13" hidden="1">
      <c r="A382" s="149" t="s">
        <v>111</v>
      </c>
      <c r="B382" s="149" t="s">
        <v>128</v>
      </c>
      <c r="C382" s="149" t="s">
        <v>267</v>
      </c>
      <c r="D382" s="149">
        <v>514155</v>
      </c>
      <c r="E382" s="281">
        <v>42731</v>
      </c>
      <c r="F382" s="281">
        <v>43100</v>
      </c>
      <c r="G382" s="149">
        <v>1.2</v>
      </c>
      <c r="H382" s="149">
        <v>24</v>
      </c>
      <c r="I382" s="149">
        <v>240</v>
      </c>
      <c r="J382" s="149">
        <v>306</v>
      </c>
      <c r="K382" s="149" t="s">
        <v>1005</v>
      </c>
      <c r="L382" s="149"/>
      <c r="M382" s="149"/>
    </row>
    <row r="383" spans="1:13" hidden="1">
      <c r="A383" s="149" t="s">
        <v>111</v>
      </c>
      <c r="B383" s="149" t="s">
        <v>128</v>
      </c>
      <c r="C383" s="149" t="s">
        <v>305</v>
      </c>
      <c r="D383" s="149">
        <v>514155</v>
      </c>
      <c r="E383" s="281">
        <v>42731</v>
      </c>
      <c r="F383" s="281">
        <v>43100</v>
      </c>
      <c r="G383" s="149">
        <v>2.2999999999999998</v>
      </c>
      <c r="H383" s="149">
        <v>143</v>
      </c>
      <c r="I383" s="149">
        <v>623</v>
      </c>
      <c r="J383" s="149">
        <v>891</v>
      </c>
      <c r="K383" s="149" t="s">
        <v>1035</v>
      </c>
      <c r="L383" s="149"/>
      <c r="M383" s="149"/>
    </row>
    <row r="384" spans="1:13" hidden="1">
      <c r="A384" s="149" t="s">
        <v>111</v>
      </c>
      <c r="B384" s="149" t="s">
        <v>128</v>
      </c>
      <c r="C384" s="149" t="s">
        <v>274</v>
      </c>
      <c r="D384" s="149">
        <v>514155</v>
      </c>
      <c r="E384" s="281">
        <v>42731</v>
      </c>
      <c r="F384" s="281">
        <v>43100</v>
      </c>
      <c r="G384" s="149">
        <v>2.4</v>
      </c>
      <c r="H384" s="149">
        <v>208</v>
      </c>
      <c r="I384" s="149">
        <v>348</v>
      </c>
      <c r="J384" s="149">
        <v>636</v>
      </c>
      <c r="K384" s="149" t="s">
        <v>1011</v>
      </c>
      <c r="L384" s="149"/>
      <c r="M384" s="149"/>
    </row>
    <row r="385" spans="1:13" hidden="1">
      <c r="A385" s="149" t="s">
        <v>115</v>
      </c>
      <c r="B385" s="149" t="s">
        <v>128</v>
      </c>
      <c r="C385" s="149" t="s">
        <v>792</v>
      </c>
      <c r="D385" s="149">
        <v>514156</v>
      </c>
      <c r="E385" s="281">
        <v>42731</v>
      </c>
      <c r="F385" s="281">
        <v>43100</v>
      </c>
      <c r="G385" s="149">
        <v>1.1000000000000001</v>
      </c>
      <c r="H385" s="149">
        <v>73</v>
      </c>
      <c r="I385" s="149">
        <v>262</v>
      </c>
      <c r="J385" s="149">
        <v>383</v>
      </c>
      <c r="K385" s="149" t="s">
        <v>1599</v>
      </c>
      <c r="L385" s="149"/>
      <c r="M385" s="149"/>
    </row>
    <row r="386" spans="1:13" hidden="1">
      <c r="A386" s="149" t="s">
        <v>115</v>
      </c>
      <c r="B386" s="149" t="s">
        <v>128</v>
      </c>
      <c r="C386" s="149" t="s">
        <v>843</v>
      </c>
      <c r="D386" s="149">
        <v>514156</v>
      </c>
      <c r="E386" s="281">
        <v>42731</v>
      </c>
      <c r="F386" s="281">
        <v>43100</v>
      </c>
      <c r="G386" s="149">
        <v>0.8</v>
      </c>
      <c r="H386" s="149">
        <v>100</v>
      </c>
      <c r="I386" s="149">
        <v>191</v>
      </c>
      <c r="J386" s="149">
        <v>335</v>
      </c>
      <c r="K386" s="149" t="s">
        <v>1679</v>
      </c>
      <c r="L386" s="149"/>
      <c r="M386" s="149"/>
    </row>
    <row r="387" spans="1:13" hidden="1">
      <c r="A387" s="149" t="s">
        <v>115</v>
      </c>
      <c r="B387" s="149" t="s">
        <v>128</v>
      </c>
      <c r="C387" s="149" t="s">
        <v>753</v>
      </c>
      <c r="D387" s="149">
        <v>514156</v>
      </c>
      <c r="E387" s="281">
        <v>42731</v>
      </c>
      <c r="F387" s="281">
        <v>43100</v>
      </c>
      <c r="G387" s="149">
        <v>0.7</v>
      </c>
      <c r="H387" s="149">
        <v>130</v>
      </c>
      <c r="I387" s="149">
        <v>139</v>
      </c>
      <c r="J387" s="149">
        <v>312</v>
      </c>
      <c r="K387" s="149" t="s">
        <v>1547</v>
      </c>
      <c r="L387" s="149"/>
      <c r="M387" s="149"/>
    </row>
    <row r="388" spans="1:13" hidden="1">
      <c r="A388" s="149" t="s">
        <v>115</v>
      </c>
      <c r="B388" s="149" t="s">
        <v>128</v>
      </c>
      <c r="C388" s="149" t="s">
        <v>812</v>
      </c>
      <c r="D388" s="149">
        <v>514156</v>
      </c>
      <c r="E388" s="281">
        <v>42731</v>
      </c>
      <c r="F388" s="281">
        <v>43100</v>
      </c>
      <c r="G388" s="149">
        <v>2.5</v>
      </c>
      <c r="H388" s="149">
        <v>284</v>
      </c>
      <c r="I388" s="149">
        <v>476</v>
      </c>
      <c r="J388" s="149">
        <v>884</v>
      </c>
      <c r="K388" s="149" t="s">
        <v>1629</v>
      </c>
      <c r="L388" s="149"/>
      <c r="M388" s="149"/>
    </row>
    <row r="389" spans="1:13" hidden="1">
      <c r="A389" s="149" t="s">
        <v>115</v>
      </c>
      <c r="B389" s="149" t="s">
        <v>128</v>
      </c>
      <c r="C389" s="149" t="s">
        <v>815</v>
      </c>
      <c r="D389" s="149">
        <v>514156</v>
      </c>
      <c r="E389" s="281">
        <v>42731</v>
      </c>
      <c r="F389" s="281">
        <v>43100</v>
      </c>
      <c r="G389" s="149">
        <v>2</v>
      </c>
      <c r="H389" s="149">
        <v>214</v>
      </c>
      <c r="I389" s="149">
        <v>287</v>
      </c>
      <c r="J389" s="149">
        <v>583</v>
      </c>
      <c r="K389" s="149" t="s">
        <v>1635</v>
      </c>
      <c r="L389" s="149"/>
      <c r="M389" s="149"/>
    </row>
    <row r="390" spans="1:13" hidden="1">
      <c r="A390" s="149" t="s">
        <v>115</v>
      </c>
      <c r="B390" s="149" t="s">
        <v>128</v>
      </c>
      <c r="C390" s="149" t="s">
        <v>816</v>
      </c>
      <c r="D390" s="149">
        <v>514156</v>
      </c>
      <c r="E390" s="281">
        <v>42731</v>
      </c>
      <c r="F390" s="281">
        <v>43100</v>
      </c>
      <c r="G390" s="149">
        <v>1.7</v>
      </c>
      <c r="H390" s="149">
        <v>263</v>
      </c>
      <c r="I390" s="149">
        <v>307</v>
      </c>
      <c r="J390" s="149">
        <v>655</v>
      </c>
      <c r="K390" s="149" t="s">
        <v>1637</v>
      </c>
      <c r="L390" s="149"/>
      <c r="M390" s="149"/>
    </row>
    <row r="391" spans="1:13" hidden="1">
      <c r="A391" s="149" t="s">
        <v>115</v>
      </c>
      <c r="B391" s="149" t="s">
        <v>128</v>
      </c>
      <c r="C391" s="149" t="s">
        <v>738</v>
      </c>
      <c r="D391" s="149">
        <v>514156</v>
      </c>
      <c r="E391" s="281">
        <v>42731</v>
      </c>
      <c r="F391" s="281">
        <v>43100</v>
      </c>
      <c r="G391" s="149">
        <v>4.0999999999999996</v>
      </c>
      <c r="H391" s="149">
        <v>356</v>
      </c>
      <c r="I391" s="149">
        <v>1036</v>
      </c>
      <c r="J391" s="149">
        <v>1608</v>
      </c>
      <c r="K391" s="149" t="s">
        <v>1537</v>
      </c>
      <c r="L391" s="149"/>
      <c r="M391" s="149"/>
    </row>
    <row r="392" spans="1:13" hidden="1">
      <c r="A392" s="149" t="s">
        <v>115</v>
      </c>
      <c r="B392" s="149" t="s">
        <v>128</v>
      </c>
      <c r="C392" s="149" t="s">
        <v>808</v>
      </c>
      <c r="D392" s="149">
        <v>514156</v>
      </c>
      <c r="E392" s="281">
        <v>42731</v>
      </c>
      <c r="F392" s="281">
        <v>43100</v>
      </c>
      <c r="G392" s="149">
        <v>3</v>
      </c>
      <c r="H392" s="149">
        <v>472</v>
      </c>
      <c r="I392" s="149">
        <v>533</v>
      </c>
      <c r="J392" s="149">
        <v>1161</v>
      </c>
      <c r="K392" s="149" t="s">
        <v>1623</v>
      </c>
      <c r="L392" s="149"/>
      <c r="M392" s="149"/>
    </row>
    <row r="393" spans="1:13" hidden="1">
      <c r="A393" s="149" t="s">
        <v>115</v>
      </c>
      <c r="B393" s="149" t="s">
        <v>128</v>
      </c>
      <c r="C393" s="149" t="s">
        <v>861</v>
      </c>
      <c r="D393" s="149">
        <v>514156</v>
      </c>
      <c r="E393" s="281">
        <v>42731</v>
      </c>
      <c r="F393" s="281">
        <v>43100</v>
      </c>
      <c r="G393" s="149">
        <v>3.8</v>
      </c>
      <c r="H393" s="149">
        <v>516</v>
      </c>
      <c r="I393" s="149">
        <v>545</v>
      </c>
      <c r="J393" s="149">
        <v>1226</v>
      </c>
      <c r="K393" s="149" t="s">
        <v>1721</v>
      </c>
      <c r="L393" s="149"/>
      <c r="M393" s="149"/>
    </row>
    <row r="394" spans="1:13" hidden="1">
      <c r="A394" s="149" t="s">
        <v>115</v>
      </c>
      <c r="B394" s="149" t="s">
        <v>128</v>
      </c>
      <c r="C394" s="149" t="s">
        <v>520</v>
      </c>
      <c r="D394" s="149">
        <v>514156</v>
      </c>
      <c r="E394" s="281">
        <v>42731</v>
      </c>
      <c r="F394" s="281">
        <v>43100</v>
      </c>
      <c r="G394" s="149">
        <v>2.9</v>
      </c>
      <c r="H394" s="149">
        <v>264</v>
      </c>
      <c r="I394" s="149">
        <v>630</v>
      </c>
      <c r="J394" s="149">
        <v>1042</v>
      </c>
      <c r="K394" s="149" t="s">
        <v>1675</v>
      </c>
      <c r="L394" s="149"/>
      <c r="M394" s="149"/>
    </row>
    <row r="395" spans="1:13" hidden="1">
      <c r="A395" s="149" t="s">
        <v>115</v>
      </c>
      <c r="B395" s="149" t="s">
        <v>128</v>
      </c>
      <c r="C395" s="149" t="s">
        <v>601</v>
      </c>
      <c r="D395" s="149">
        <v>514156</v>
      </c>
      <c r="E395" s="281">
        <v>42731</v>
      </c>
      <c r="F395" s="281">
        <v>43100</v>
      </c>
      <c r="G395" s="149">
        <v>2.7</v>
      </c>
      <c r="H395" s="149">
        <v>370</v>
      </c>
      <c r="I395" s="149">
        <v>352</v>
      </c>
      <c r="J395" s="149">
        <v>842</v>
      </c>
      <c r="K395" s="149" t="s">
        <v>1567</v>
      </c>
      <c r="L395" s="149"/>
      <c r="M395" s="149"/>
    </row>
    <row r="396" spans="1:13" hidden="1">
      <c r="A396" s="149" t="s">
        <v>115</v>
      </c>
      <c r="B396" s="149" t="s">
        <v>128</v>
      </c>
      <c r="C396" s="149" t="s">
        <v>758</v>
      </c>
      <c r="D396" s="149">
        <v>514156</v>
      </c>
      <c r="E396" s="281">
        <v>42731</v>
      </c>
      <c r="F396" s="281">
        <v>43100</v>
      </c>
      <c r="G396" s="149">
        <v>2.5</v>
      </c>
      <c r="H396" s="149">
        <v>386</v>
      </c>
      <c r="I396" s="149">
        <v>702</v>
      </c>
      <c r="J396" s="149">
        <v>1252</v>
      </c>
      <c r="K396" s="149" t="s">
        <v>1553</v>
      </c>
      <c r="L396" s="149"/>
      <c r="M396" s="149"/>
    </row>
    <row r="397" spans="1:13" hidden="1">
      <c r="A397" s="149" t="s">
        <v>115</v>
      </c>
      <c r="B397" s="149" t="s">
        <v>128</v>
      </c>
      <c r="C397" s="149" t="s">
        <v>836</v>
      </c>
      <c r="D397" s="149">
        <v>514156</v>
      </c>
      <c r="E397" s="281">
        <v>42731</v>
      </c>
      <c r="F397" s="281">
        <v>43100</v>
      </c>
      <c r="G397" s="149">
        <v>2.8</v>
      </c>
      <c r="H397" s="149">
        <v>295</v>
      </c>
      <c r="I397" s="149">
        <v>444</v>
      </c>
      <c r="J397" s="149">
        <v>857</v>
      </c>
      <c r="K397" s="149" t="s">
        <v>1667</v>
      </c>
      <c r="L397" s="149"/>
      <c r="M397" s="149"/>
    </row>
    <row r="398" spans="1:13" hidden="1">
      <c r="A398" s="149" t="s">
        <v>114</v>
      </c>
      <c r="B398" s="149" t="s">
        <v>134</v>
      </c>
      <c r="C398" s="149" t="s">
        <v>546</v>
      </c>
      <c r="D398" s="149">
        <v>514157</v>
      </c>
      <c r="E398" s="281">
        <v>42751</v>
      </c>
      <c r="F398" s="281">
        <v>43100</v>
      </c>
      <c r="G398" s="149">
        <v>4.3</v>
      </c>
      <c r="H398" s="149"/>
      <c r="I398" s="149"/>
      <c r="J398" s="149">
        <v>35</v>
      </c>
      <c r="K398" s="149" t="s">
        <v>1302</v>
      </c>
      <c r="L398" s="149"/>
      <c r="M398" s="149"/>
    </row>
    <row r="399" spans="1:13" hidden="1">
      <c r="A399" s="149" t="s">
        <v>114</v>
      </c>
      <c r="B399" s="149" t="s">
        <v>134</v>
      </c>
      <c r="C399" s="149" t="s">
        <v>549</v>
      </c>
      <c r="D399" s="149">
        <v>514157</v>
      </c>
      <c r="E399" s="281">
        <v>42751</v>
      </c>
      <c r="F399" s="281">
        <v>43100</v>
      </c>
      <c r="G399" s="149">
        <v>0.5</v>
      </c>
      <c r="H399" s="149"/>
      <c r="I399" s="149"/>
      <c r="J399" s="149">
        <v>11</v>
      </c>
      <c r="K399" s="149" t="s">
        <v>2044</v>
      </c>
      <c r="L399" s="149"/>
      <c r="M399" s="149"/>
    </row>
    <row r="400" spans="1:13" hidden="1">
      <c r="A400" s="149" t="s">
        <v>114</v>
      </c>
      <c r="B400" s="149" t="s">
        <v>134</v>
      </c>
      <c r="C400" s="149" t="s">
        <v>351</v>
      </c>
      <c r="D400" s="149">
        <v>514157</v>
      </c>
      <c r="E400" s="281">
        <v>42751</v>
      </c>
      <c r="F400" s="281">
        <v>43100</v>
      </c>
      <c r="G400" s="149">
        <v>1</v>
      </c>
      <c r="H400" s="149"/>
      <c r="I400" s="149"/>
      <c r="J400" s="149">
        <v>15</v>
      </c>
      <c r="K400" s="149" t="s">
        <v>2046</v>
      </c>
      <c r="L400" s="149"/>
      <c r="M400" s="149"/>
    </row>
    <row r="401" spans="1:13" hidden="1">
      <c r="A401" s="149" t="s">
        <v>114</v>
      </c>
      <c r="B401" s="149" t="s">
        <v>134</v>
      </c>
      <c r="C401" s="149" t="s">
        <v>545</v>
      </c>
      <c r="D401" s="149">
        <v>514157</v>
      </c>
      <c r="E401" s="281">
        <v>42751</v>
      </c>
      <c r="F401" s="281">
        <v>43100</v>
      </c>
      <c r="G401" s="149">
        <v>3.7</v>
      </c>
      <c r="H401" s="149"/>
      <c r="I401" s="149"/>
      <c r="J401" s="149">
        <v>48</v>
      </c>
      <c r="K401" s="149" t="s">
        <v>1300</v>
      </c>
      <c r="L401" s="149"/>
      <c r="M401" s="149"/>
    </row>
    <row r="402" spans="1:13" hidden="1">
      <c r="A402" s="149" t="s">
        <v>114</v>
      </c>
      <c r="B402" s="149" t="s">
        <v>134</v>
      </c>
      <c r="C402" s="149" t="s">
        <v>520</v>
      </c>
      <c r="D402" s="149">
        <v>514157</v>
      </c>
      <c r="E402" s="281">
        <v>42751</v>
      </c>
      <c r="F402" s="281">
        <v>43100</v>
      </c>
      <c r="G402" s="149">
        <v>4</v>
      </c>
      <c r="H402" s="149"/>
      <c r="I402" s="149"/>
      <c r="J402" s="149">
        <v>40</v>
      </c>
      <c r="K402" s="149" t="s">
        <v>2047</v>
      </c>
      <c r="L402" s="149"/>
      <c r="M402" s="149"/>
    </row>
    <row r="403" spans="1:13" hidden="1">
      <c r="A403" s="149" t="s">
        <v>114</v>
      </c>
      <c r="B403" s="149" t="s">
        <v>134</v>
      </c>
      <c r="C403" s="149" t="s">
        <v>456</v>
      </c>
      <c r="D403" s="149">
        <v>514157</v>
      </c>
      <c r="E403" s="281">
        <v>42751</v>
      </c>
      <c r="F403" s="281">
        <v>43100</v>
      </c>
      <c r="G403" s="149">
        <v>1.1000000000000001</v>
      </c>
      <c r="H403" s="149"/>
      <c r="I403" s="149">
        <v>4</v>
      </c>
      <c r="J403" s="149">
        <v>20</v>
      </c>
      <c r="K403" s="149" t="s">
        <v>1191</v>
      </c>
      <c r="L403" s="149"/>
      <c r="M403" s="149"/>
    </row>
    <row r="404" spans="1:13" hidden="1">
      <c r="A404" s="149" t="s">
        <v>114</v>
      </c>
      <c r="B404" s="149" t="s">
        <v>134</v>
      </c>
      <c r="C404" s="149" t="s">
        <v>462</v>
      </c>
      <c r="D404" s="149">
        <v>514157</v>
      </c>
      <c r="E404" s="281">
        <v>42751</v>
      </c>
      <c r="F404" s="281">
        <v>43100</v>
      </c>
      <c r="G404" s="149">
        <v>3.6</v>
      </c>
      <c r="H404" s="149"/>
      <c r="I404" s="149">
        <v>19</v>
      </c>
      <c r="J404" s="149">
        <v>43</v>
      </c>
      <c r="K404" s="149" t="s">
        <v>1199</v>
      </c>
      <c r="L404" s="149"/>
      <c r="M404" s="149"/>
    </row>
    <row r="405" spans="1:13" hidden="1">
      <c r="A405" s="149" t="s">
        <v>114</v>
      </c>
      <c r="B405" s="149" t="s">
        <v>134</v>
      </c>
      <c r="C405" s="149" t="s">
        <v>550</v>
      </c>
      <c r="D405" s="149">
        <v>514157</v>
      </c>
      <c r="E405" s="281">
        <v>42751</v>
      </c>
      <c r="F405" s="281">
        <v>43100</v>
      </c>
      <c r="G405" s="149">
        <v>1.6</v>
      </c>
      <c r="H405" s="149"/>
      <c r="I405" s="149"/>
      <c r="J405" s="149">
        <v>12</v>
      </c>
      <c r="K405" s="149" t="s">
        <v>2045</v>
      </c>
      <c r="L405" s="149"/>
      <c r="M405" s="149"/>
    </row>
    <row r="406" spans="1:13" hidden="1">
      <c r="A406" s="149" t="s">
        <v>114</v>
      </c>
      <c r="B406" s="149" t="s">
        <v>134</v>
      </c>
      <c r="C406" s="149" t="s">
        <v>540</v>
      </c>
      <c r="D406" s="149">
        <v>514157</v>
      </c>
      <c r="E406" s="281">
        <v>42751</v>
      </c>
      <c r="F406" s="281">
        <v>43100</v>
      </c>
      <c r="G406" s="149">
        <v>2.6</v>
      </c>
      <c r="H406" s="149"/>
      <c r="I406" s="149"/>
      <c r="J406" s="149">
        <v>44</v>
      </c>
      <c r="K406" s="149" t="s">
        <v>1292</v>
      </c>
      <c r="L406" s="149"/>
      <c r="M406" s="149"/>
    </row>
    <row r="407" spans="1:13" hidden="1">
      <c r="A407" s="149" t="s">
        <v>114</v>
      </c>
      <c r="B407" s="149" t="s">
        <v>140</v>
      </c>
      <c r="C407" s="149" t="s">
        <v>554</v>
      </c>
      <c r="D407" s="149">
        <v>514159</v>
      </c>
      <c r="E407" s="281">
        <v>42739</v>
      </c>
      <c r="F407" s="281">
        <v>43100</v>
      </c>
      <c r="G407" s="149">
        <v>3</v>
      </c>
      <c r="H407" s="149"/>
      <c r="I407" s="149">
        <v>41</v>
      </c>
      <c r="J407" s="149">
        <v>45</v>
      </c>
      <c r="K407" s="149" t="s">
        <v>1310</v>
      </c>
      <c r="L407" s="149"/>
      <c r="M407" s="149"/>
    </row>
    <row r="408" spans="1:13" hidden="1">
      <c r="A408" s="149" t="s">
        <v>114</v>
      </c>
      <c r="B408" s="149" t="s">
        <v>140</v>
      </c>
      <c r="C408" s="149" t="s">
        <v>542</v>
      </c>
      <c r="D408" s="149">
        <v>514159</v>
      </c>
      <c r="E408" s="281">
        <v>42739</v>
      </c>
      <c r="F408" s="281">
        <v>43100</v>
      </c>
      <c r="G408" s="149">
        <v>6.1</v>
      </c>
      <c r="H408" s="149">
        <v>27</v>
      </c>
      <c r="I408" s="149">
        <v>78</v>
      </c>
      <c r="J408" s="149">
        <v>121</v>
      </c>
      <c r="K408" s="149" t="s">
        <v>1294</v>
      </c>
      <c r="L408" s="149"/>
      <c r="M408" s="149"/>
    </row>
    <row r="409" spans="1:13" hidden="1">
      <c r="A409" s="149" t="s">
        <v>114</v>
      </c>
      <c r="B409" s="149" t="s">
        <v>140</v>
      </c>
      <c r="C409" s="149" t="s">
        <v>417</v>
      </c>
      <c r="D409" s="149">
        <v>514159</v>
      </c>
      <c r="E409" s="281">
        <v>42739</v>
      </c>
      <c r="F409" s="281">
        <v>43100</v>
      </c>
      <c r="G409" s="149">
        <v>11.7</v>
      </c>
      <c r="H409" s="149">
        <v>10</v>
      </c>
      <c r="I409" s="149">
        <v>133</v>
      </c>
      <c r="J409" s="149">
        <v>165</v>
      </c>
      <c r="K409" s="149" t="s">
        <v>1290</v>
      </c>
      <c r="L409" s="149"/>
      <c r="M409" s="149"/>
    </row>
    <row r="410" spans="1:13" hidden="1">
      <c r="A410" s="149" t="s">
        <v>114</v>
      </c>
      <c r="B410" s="149" t="s">
        <v>124</v>
      </c>
      <c r="C410" s="149" t="s">
        <v>553</v>
      </c>
      <c r="D410" s="149">
        <v>514160</v>
      </c>
      <c r="E410" s="281">
        <v>42739</v>
      </c>
      <c r="F410" s="281">
        <v>43100</v>
      </c>
      <c r="G410" s="149">
        <v>2.4</v>
      </c>
      <c r="H410" s="149"/>
      <c r="I410" s="149">
        <v>25</v>
      </c>
      <c r="J410" s="149">
        <v>28</v>
      </c>
      <c r="K410" s="149" t="s">
        <v>1308</v>
      </c>
      <c r="L410" s="149"/>
      <c r="M410" s="149"/>
    </row>
    <row r="411" spans="1:13" hidden="1">
      <c r="A411" s="149" t="s">
        <v>114</v>
      </c>
      <c r="B411" s="149" t="s">
        <v>124</v>
      </c>
      <c r="C411" s="149" t="s">
        <v>524</v>
      </c>
      <c r="D411" s="149">
        <v>514160</v>
      </c>
      <c r="E411" s="281">
        <v>42739</v>
      </c>
      <c r="F411" s="281">
        <v>43100</v>
      </c>
      <c r="G411" s="149">
        <v>6</v>
      </c>
      <c r="H411" s="149"/>
      <c r="I411" s="149">
        <v>25</v>
      </c>
      <c r="J411" s="149">
        <v>28</v>
      </c>
      <c r="K411" s="149" t="s">
        <v>1274</v>
      </c>
      <c r="L411" s="149"/>
      <c r="M411" s="149"/>
    </row>
    <row r="412" spans="1:13" hidden="1">
      <c r="A412" s="149" t="s">
        <v>114</v>
      </c>
      <c r="B412" s="149" t="s">
        <v>124</v>
      </c>
      <c r="C412" s="149" t="s">
        <v>499</v>
      </c>
      <c r="D412" s="149">
        <v>514160</v>
      </c>
      <c r="E412" s="281">
        <v>42739</v>
      </c>
      <c r="F412" s="281">
        <v>43100</v>
      </c>
      <c r="G412" s="149">
        <v>4.5</v>
      </c>
      <c r="H412" s="149"/>
      <c r="I412" s="149">
        <v>49</v>
      </c>
      <c r="J412" s="149">
        <v>57</v>
      </c>
      <c r="K412" s="149" t="s">
        <v>1249</v>
      </c>
      <c r="L412" s="149"/>
      <c r="M412" s="149"/>
    </row>
    <row r="413" spans="1:13" hidden="1">
      <c r="A413" s="149" t="s">
        <v>114</v>
      </c>
      <c r="B413" s="149" t="s">
        <v>124</v>
      </c>
      <c r="C413" s="149" t="s">
        <v>457</v>
      </c>
      <c r="D413" s="149">
        <v>514160</v>
      </c>
      <c r="E413" s="281">
        <v>42739</v>
      </c>
      <c r="F413" s="281">
        <v>43100</v>
      </c>
      <c r="G413" s="149">
        <v>5.5</v>
      </c>
      <c r="H413" s="149"/>
      <c r="I413" s="149">
        <v>45</v>
      </c>
      <c r="J413" s="149">
        <v>52</v>
      </c>
      <c r="K413" s="149" t="s">
        <v>1193</v>
      </c>
      <c r="L413" s="149"/>
      <c r="M413" s="149"/>
    </row>
    <row r="414" spans="1:13" hidden="1">
      <c r="A414" s="149" t="s">
        <v>112</v>
      </c>
      <c r="B414" s="149" t="s">
        <v>134</v>
      </c>
      <c r="C414" s="149" t="s">
        <v>354</v>
      </c>
      <c r="D414" s="149">
        <v>514161</v>
      </c>
      <c r="E414" s="281">
        <v>42739</v>
      </c>
      <c r="F414" s="281">
        <v>43100</v>
      </c>
      <c r="G414" s="149">
        <v>0.9</v>
      </c>
      <c r="H414" s="149"/>
      <c r="I414" s="149"/>
      <c r="J414" s="149">
        <v>26</v>
      </c>
      <c r="K414" s="149" t="s">
        <v>2054</v>
      </c>
      <c r="L414" s="149"/>
      <c r="M414" s="149"/>
    </row>
    <row r="415" spans="1:13" hidden="1">
      <c r="A415" s="149" t="s">
        <v>112</v>
      </c>
      <c r="B415" s="149" t="s">
        <v>134</v>
      </c>
      <c r="C415" s="149" t="s">
        <v>365</v>
      </c>
      <c r="D415" s="149">
        <v>514161</v>
      </c>
      <c r="E415" s="281">
        <v>42739</v>
      </c>
      <c r="F415" s="281">
        <v>43100</v>
      </c>
      <c r="G415" s="149">
        <v>3.5</v>
      </c>
      <c r="H415" s="149"/>
      <c r="I415" s="149"/>
      <c r="J415" s="149">
        <v>139</v>
      </c>
      <c r="K415" s="149" t="s">
        <v>2052</v>
      </c>
      <c r="L415" s="149"/>
      <c r="M415" s="149"/>
    </row>
    <row r="416" spans="1:13" hidden="1">
      <c r="A416" s="149" t="s">
        <v>112</v>
      </c>
      <c r="B416" s="149" t="s">
        <v>134</v>
      </c>
      <c r="C416" s="149" t="s">
        <v>367</v>
      </c>
      <c r="D416" s="149">
        <v>514161</v>
      </c>
      <c r="E416" s="281">
        <v>42739</v>
      </c>
      <c r="F416" s="281">
        <v>43100</v>
      </c>
      <c r="G416" s="149">
        <v>0.2</v>
      </c>
      <c r="H416" s="149"/>
      <c r="I416" s="149"/>
      <c r="J416" s="149">
        <v>1</v>
      </c>
      <c r="K416" s="149" t="s">
        <v>2049</v>
      </c>
      <c r="L416" s="149"/>
      <c r="M416" s="149"/>
    </row>
    <row r="417" spans="1:13" hidden="1">
      <c r="A417" s="149" t="s">
        <v>112</v>
      </c>
      <c r="B417" s="149" t="s">
        <v>134</v>
      </c>
      <c r="C417" s="149" t="s">
        <v>366</v>
      </c>
      <c r="D417" s="149">
        <v>514161</v>
      </c>
      <c r="E417" s="281">
        <v>42739</v>
      </c>
      <c r="F417" s="281">
        <v>43100</v>
      </c>
      <c r="G417" s="149">
        <v>0.4</v>
      </c>
      <c r="H417" s="149"/>
      <c r="I417" s="149"/>
      <c r="J417" s="149">
        <v>15</v>
      </c>
      <c r="K417" s="149" t="s">
        <v>2051</v>
      </c>
      <c r="L417" s="149"/>
      <c r="M417" s="149"/>
    </row>
    <row r="418" spans="1:13" hidden="1">
      <c r="A418" s="149" t="s">
        <v>112</v>
      </c>
      <c r="B418" s="149" t="s">
        <v>134</v>
      </c>
      <c r="C418" s="149" t="s">
        <v>368</v>
      </c>
      <c r="D418" s="149">
        <v>514161</v>
      </c>
      <c r="E418" s="281">
        <v>42739</v>
      </c>
      <c r="F418" s="281">
        <v>43100</v>
      </c>
      <c r="G418" s="149">
        <v>3</v>
      </c>
      <c r="H418" s="149"/>
      <c r="I418" s="149"/>
      <c r="J418" s="149">
        <v>126</v>
      </c>
      <c r="K418" s="149" t="s">
        <v>2048</v>
      </c>
      <c r="L418" s="149"/>
      <c r="M418" s="149"/>
    </row>
    <row r="419" spans="1:13" hidden="1">
      <c r="A419" s="149" t="s">
        <v>112</v>
      </c>
      <c r="B419" s="149" t="s">
        <v>134</v>
      </c>
      <c r="C419" s="149" t="s">
        <v>411</v>
      </c>
      <c r="D419" s="149">
        <v>514161</v>
      </c>
      <c r="E419" s="281">
        <v>42739</v>
      </c>
      <c r="F419" s="281">
        <v>43100</v>
      </c>
      <c r="G419" s="149">
        <v>2.6</v>
      </c>
      <c r="H419" s="149"/>
      <c r="I419" s="149"/>
      <c r="J419" s="149">
        <v>110</v>
      </c>
      <c r="K419" s="149" t="s">
        <v>2053</v>
      </c>
      <c r="L419" s="149"/>
      <c r="M419" s="149"/>
    </row>
    <row r="420" spans="1:13" hidden="1">
      <c r="A420" s="149" t="s">
        <v>112</v>
      </c>
      <c r="B420" s="149" t="s">
        <v>134</v>
      </c>
      <c r="C420" s="149" t="s">
        <v>413</v>
      </c>
      <c r="D420" s="149">
        <v>514161</v>
      </c>
      <c r="E420" s="281">
        <v>42739</v>
      </c>
      <c r="F420" s="281">
        <v>43100</v>
      </c>
      <c r="G420" s="149">
        <v>5.3</v>
      </c>
      <c r="H420" s="149"/>
      <c r="I420" s="149"/>
      <c r="J420" s="149">
        <v>178</v>
      </c>
      <c r="K420" s="149" t="s">
        <v>2050</v>
      </c>
      <c r="L420" s="149"/>
      <c r="M420" s="149"/>
    </row>
    <row r="421" spans="1:13" hidden="1">
      <c r="A421" s="149" t="s">
        <v>112</v>
      </c>
      <c r="B421" s="149" t="s">
        <v>124</v>
      </c>
      <c r="C421" s="149" t="s">
        <v>352</v>
      </c>
      <c r="D421" s="149">
        <v>514162</v>
      </c>
      <c r="E421" s="281">
        <v>42739</v>
      </c>
      <c r="F421" s="281">
        <v>43100</v>
      </c>
      <c r="G421" s="149">
        <v>5.4</v>
      </c>
      <c r="H421" s="149"/>
      <c r="I421" s="149">
        <v>23</v>
      </c>
      <c r="J421" s="149">
        <v>183</v>
      </c>
      <c r="K421" s="149" t="s">
        <v>1081</v>
      </c>
      <c r="L421" s="149"/>
      <c r="M421" s="149"/>
    </row>
    <row r="422" spans="1:13" hidden="1">
      <c r="A422" s="149" t="s">
        <v>112</v>
      </c>
      <c r="B422" s="149" t="s">
        <v>124</v>
      </c>
      <c r="C422" s="149" t="s">
        <v>373</v>
      </c>
      <c r="D422" s="149">
        <v>514162</v>
      </c>
      <c r="E422" s="281">
        <v>42739</v>
      </c>
      <c r="F422" s="281">
        <v>43100</v>
      </c>
      <c r="G422" s="149">
        <v>0.3</v>
      </c>
      <c r="H422" s="149"/>
      <c r="I422" s="149">
        <v>5</v>
      </c>
      <c r="J422" s="149">
        <v>25</v>
      </c>
      <c r="K422" s="149" t="s">
        <v>1101</v>
      </c>
      <c r="L422" s="149"/>
      <c r="M422" s="149"/>
    </row>
    <row r="423" spans="1:13" hidden="1">
      <c r="A423" s="149" t="s">
        <v>112</v>
      </c>
      <c r="B423" s="149" t="s">
        <v>124</v>
      </c>
      <c r="C423" s="149" t="s">
        <v>372</v>
      </c>
      <c r="D423" s="149">
        <v>514162</v>
      </c>
      <c r="E423" s="281">
        <v>42739</v>
      </c>
      <c r="F423" s="281">
        <v>43100</v>
      </c>
      <c r="G423" s="149">
        <v>0.3</v>
      </c>
      <c r="H423" s="149"/>
      <c r="I423" s="149">
        <v>4</v>
      </c>
      <c r="J423" s="149">
        <v>23</v>
      </c>
      <c r="K423" s="149" t="s">
        <v>1099</v>
      </c>
      <c r="L423" s="149"/>
      <c r="M423" s="149"/>
    </row>
    <row r="424" spans="1:13" hidden="1">
      <c r="A424" s="149" t="s">
        <v>112</v>
      </c>
      <c r="B424" s="149" t="s">
        <v>140</v>
      </c>
      <c r="C424" s="149" t="s">
        <v>429</v>
      </c>
      <c r="D424" s="149">
        <v>514163</v>
      </c>
      <c r="E424" s="281">
        <v>42739</v>
      </c>
      <c r="F424" s="281">
        <v>43100</v>
      </c>
      <c r="G424" s="149">
        <v>4</v>
      </c>
      <c r="H424" s="149"/>
      <c r="I424" s="149">
        <v>68</v>
      </c>
      <c r="J424" s="149">
        <v>78</v>
      </c>
      <c r="K424" s="149" t="s">
        <v>1167</v>
      </c>
      <c r="L424" s="149"/>
      <c r="M424" s="149"/>
    </row>
    <row r="425" spans="1:13" hidden="1">
      <c r="A425" s="149" t="s">
        <v>112</v>
      </c>
      <c r="B425" s="149" t="s">
        <v>140</v>
      </c>
      <c r="C425" s="149" t="s">
        <v>398</v>
      </c>
      <c r="D425" s="149">
        <v>514163</v>
      </c>
      <c r="E425" s="281">
        <v>42739</v>
      </c>
      <c r="F425" s="281">
        <v>43100</v>
      </c>
      <c r="G425" s="149">
        <v>5</v>
      </c>
      <c r="H425" s="149">
        <v>23</v>
      </c>
      <c r="I425" s="149">
        <v>118</v>
      </c>
      <c r="J425" s="149">
        <v>163</v>
      </c>
      <c r="K425" s="149" t="s">
        <v>1131</v>
      </c>
      <c r="L425" s="149"/>
      <c r="M425" s="149"/>
    </row>
    <row r="426" spans="1:13" hidden="1">
      <c r="A426" s="149" t="s">
        <v>116</v>
      </c>
      <c r="B426" s="149" t="s">
        <v>134</v>
      </c>
      <c r="C426" s="149" t="s">
        <v>630</v>
      </c>
      <c r="D426" s="149">
        <v>514164</v>
      </c>
      <c r="E426" s="281">
        <v>42739</v>
      </c>
      <c r="F426" s="281">
        <v>43100</v>
      </c>
      <c r="G426" s="149">
        <v>2.1</v>
      </c>
      <c r="H426" s="149"/>
      <c r="I426" s="149"/>
      <c r="J426" s="149">
        <v>20</v>
      </c>
      <c r="K426" s="149" t="s">
        <v>2055</v>
      </c>
      <c r="L426" s="149"/>
      <c r="M426" s="149"/>
    </row>
    <row r="427" spans="1:13" hidden="1">
      <c r="A427" s="149" t="s">
        <v>116</v>
      </c>
      <c r="B427" s="149" t="s">
        <v>134</v>
      </c>
      <c r="C427" s="149" t="s">
        <v>253</v>
      </c>
      <c r="D427" s="149">
        <v>514164</v>
      </c>
      <c r="E427" s="281">
        <v>42739</v>
      </c>
      <c r="F427" s="281">
        <v>43100</v>
      </c>
      <c r="G427" s="149">
        <v>5</v>
      </c>
      <c r="H427" s="149"/>
      <c r="I427" s="149"/>
      <c r="J427" s="149">
        <v>67</v>
      </c>
      <c r="K427" s="149" t="s">
        <v>1526</v>
      </c>
      <c r="L427" s="149"/>
      <c r="M427" s="149"/>
    </row>
    <row r="428" spans="1:13" hidden="1">
      <c r="A428" s="149" t="s">
        <v>116</v>
      </c>
      <c r="B428" s="149" t="s">
        <v>134</v>
      </c>
      <c r="C428" s="149" t="s">
        <v>631</v>
      </c>
      <c r="D428" s="149">
        <v>514164</v>
      </c>
      <c r="E428" s="281">
        <v>42739</v>
      </c>
      <c r="F428" s="281">
        <v>43100</v>
      </c>
      <c r="G428" s="149">
        <v>1.5</v>
      </c>
      <c r="H428" s="149"/>
      <c r="I428" s="149"/>
      <c r="J428" s="149">
        <v>9</v>
      </c>
      <c r="K428" s="149" t="s">
        <v>2057</v>
      </c>
      <c r="L428" s="149"/>
      <c r="M428" s="149"/>
    </row>
    <row r="429" spans="1:13" hidden="1">
      <c r="A429" s="149" t="s">
        <v>116</v>
      </c>
      <c r="B429" s="149" t="s">
        <v>134</v>
      </c>
      <c r="C429" s="149" t="s">
        <v>651</v>
      </c>
      <c r="D429" s="149">
        <v>514164</v>
      </c>
      <c r="E429" s="281">
        <v>42739</v>
      </c>
      <c r="F429" s="281">
        <v>43100</v>
      </c>
      <c r="G429" s="149">
        <v>1.5</v>
      </c>
      <c r="H429" s="149"/>
      <c r="I429" s="149"/>
      <c r="J429" s="149">
        <v>12</v>
      </c>
      <c r="K429" s="149" t="s">
        <v>2060</v>
      </c>
      <c r="L429" s="149"/>
      <c r="M429" s="149"/>
    </row>
    <row r="430" spans="1:13" hidden="1">
      <c r="A430" s="149" t="s">
        <v>116</v>
      </c>
      <c r="B430" s="149" t="s">
        <v>134</v>
      </c>
      <c r="C430" s="149" t="s">
        <v>653</v>
      </c>
      <c r="D430" s="149">
        <v>514164</v>
      </c>
      <c r="E430" s="281">
        <v>42739</v>
      </c>
      <c r="F430" s="281">
        <v>43100</v>
      </c>
      <c r="G430" s="149">
        <v>1.2</v>
      </c>
      <c r="H430" s="149"/>
      <c r="I430" s="149"/>
      <c r="J430" s="149">
        <v>8</v>
      </c>
      <c r="K430" s="149" t="s">
        <v>2061</v>
      </c>
      <c r="L430" s="149"/>
      <c r="M430" s="149"/>
    </row>
    <row r="431" spans="1:13" hidden="1">
      <c r="A431" s="149" t="s">
        <v>116</v>
      </c>
      <c r="B431" s="149" t="s">
        <v>134</v>
      </c>
      <c r="C431" s="149" t="s">
        <v>663</v>
      </c>
      <c r="D431" s="149">
        <v>514164</v>
      </c>
      <c r="E431" s="281">
        <v>42739</v>
      </c>
      <c r="F431" s="281">
        <v>43100</v>
      </c>
      <c r="G431" s="149">
        <v>0.4</v>
      </c>
      <c r="H431" s="149"/>
      <c r="I431" s="149"/>
      <c r="J431" s="149">
        <v>4</v>
      </c>
      <c r="K431" s="149" t="s">
        <v>2062</v>
      </c>
      <c r="L431" s="149"/>
      <c r="M431" s="149"/>
    </row>
    <row r="432" spans="1:13" hidden="1">
      <c r="A432" s="149" t="s">
        <v>116</v>
      </c>
      <c r="B432" s="149" t="s">
        <v>134</v>
      </c>
      <c r="C432" s="149" t="s">
        <v>649</v>
      </c>
      <c r="D432" s="149">
        <v>514164</v>
      </c>
      <c r="E432" s="281">
        <v>42739</v>
      </c>
      <c r="F432" s="281">
        <v>43100</v>
      </c>
      <c r="G432" s="149">
        <v>3.7</v>
      </c>
      <c r="H432" s="149"/>
      <c r="I432" s="149"/>
      <c r="J432" s="149">
        <v>55</v>
      </c>
      <c r="K432" s="149" t="s">
        <v>2059</v>
      </c>
      <c r="L432" s="149"/>
      <c r="M432" s="149"/>
    </row>
    <row r="433" spans="1:13" hidden="1">
      <c r="A433" s="149" t="s">
        <v>116</v>
      </c>
      <c r="B433" s="149" t="s">
        <v>134</v>
      </c>
      <c r="C433" s="149" t="s">
        <v>647</v>
      </c>
      <c r="D433" s="149">
        <v>514164</v>
      </c>
      <c r="E433" s="281">
        <v>42739</v>
      </c>
      <c r="F433" s="281">
        <v>43100</v>
      </c>
      <c r="G433" s="149">
        <v>1.2</v>
      </c>
      <c r="H433" s="149"/>
      <c r="I433" s="149"/>
      <c r="J433" s="149">
        <v>15</v>
      </c>
      <c r="K433" s="149" t="s">
        <v>2056</v>
      </c>
      <c r="L433" s="149"/>
      <c r="M433" s="149"/>
    </row>
    <row r="434" spans="1:13" hidden="1">
      <c r="A434" s="149" t="s">
        <v>116</v>
      </c>
      <c r="B434" s="149" t="s">
        <v>134</v>
      </c>
      <c r="C434" s="149" t="s">
        <v>648</v>
      </c>
      <c r="D434" s="149">
        <v>514164</v>
      </c>
      <c r="E434" s="281">
        <v>42739</v>
      </c>
      <c r="F434" s="281">
        <v>43100</v>
      </c>
      <c r="G434" s="149">
        <v>0.6</v>
      </c>
      <c r="H434" s="149"/>
      <c r="I434" s="149"/>
      <c r="J434" s="149">
        <v>8</v>
      </c>
      <c r="K434" s="149" t="s">
        <v>2058</v>
      </c>
      <c r="L434" s="149"/>
      <c r="M434" s="149"/>
    </row>
    <row r="435" spans="1:13" hidden="1">
      <c r="A435" s="149" t="s">
        <v>116</v>
      </c>
      <c r="B435" s="149" t="s">
        <v>124</v>
      </c>
      <c r="C435" s="149" t="s">
        <v>557</v>
      </c>
      <c r="D435" s="149">
        <v>514165</v>
      </c>
      <c r="E435" s="281">
        <v>42739</v>
      </c>
      <c r="F435" s="281">
        <v>43100</v>
      </c>
      <c r="G435" s="149">
        <v>1.3</v>
      </c>
      <c r="H435" s="149"/>
      <c r="I435" s="149">
        <v>4</v>
      </c>
      <c r="J435" s="149">
        <v>5</v>
      </c>
      <c r="K435" s="149" t="s">
        <v>1316</v>
      </c>
      <c r="L435" s="149"/>
      <c r="M435" s="149"/>
    </row>
    <row r="436" spans="1:13" hidden="1">
      <c r="A436" s="149" t="s">
        <v>116</v>
      </c>
      <c r="B436" s="149" t="s">
        <v>124</v>
      </c>
      <c r="C436" s="149" t="s">
        <v>556</v>
      </c>
      <c r="D436" s="149">
        <v>514165</v>
      </c>
      <c r="E436" s="281">
        <v>42739</v>
      </c>
      <c r="F436" s="281">
        <v>43100</v>
      </c>
      <c r="G436" s="149">
        <v>2.1</v>
      </c>
      <c r="H436" s="149"/>
      <c r="I436" s="149">
        <v>14</v>
      </c>
      <c r="J436" s="149">
        <v>16</v>
      </c>
      <c r="K436" s="149" t="s">
        <v>1314</v>
      </c>
      <c r="L436" s="149"/>
      <c r="M436" s="149"/>
    </row>
    <row r="437" spans="1:13" hidden="1">
      <c r="A437" s="149" t="s">
        <v>116</v>
      </c>
      <c r="B437" s="149" t="s">
        <v>124</v>
      </c>
      <c r="C437" s="149" t="s">
        <v>564</v>
      </c>
      <c r="D437" s="149">
        <v>514165</v>
      </c>
      <c r="E437" s="281">
        <v>42739</v>
      </c>
      <c r="F437" s="281">
        <v>43100</v>
      </c>
      <c r="G437" s="149">
        <v>1.7</v>
      </c>
      <c r="H437" s="149">
        <v>3</v>
      </c>
      <c r="I437" s="149">
        <v>48</v>
      </c>
      <c r="J437" s="149">
        <v>59</v>
      </c>
      <c r="K437" s="149" t="s">
        <v>1326</v>
      </c>
      <c r="L437" s="149"/>
      <c r="M437" s="149"/>
    </row>
    <row r="438" spans="1:13" hidden="1">
      <c r="A438" s="149" t="s">
        <v>116</v>
      </c>
      <c r="B438" s="149" t="s">
        <v>124</v>
      </c>
      <c r="C438" s="149" t="s">
        <v>601</v>
      </c>
      <c r="D438" s="149">
        <v>514165</v>
      </c>
      <c r="E438" s="281">
        <v>42739</v>
      </c>
      <c r="F438" s="281">
        <v>43100</v>
      </c>
      <c r="G438" s="149">
        <v>6.2</v>
      </c>
      <c r="H438" s="149"/>
      <c r="I438" s="149">
        <v>74</v>
      </c>
      <c r="J438" s="149">
        <v>87</v>
      </c>
      <c r="K438" s="149" t="s">
        <v>1372</v>
      </c>
      <c r="L438" s="149"/>
      <c r="M438" s="149"/>
    </row>
    <row r="439" spans="1:13" hidden="1">
      <c r="A439" s="149" t="s">
        <v>116</v>
      </c>
      <c r="B439" s="149" t="s">
        <v>124</v>
      </c>
      <c r="C439" s="149" t="s">
        <v>667</v>
      </c>
      <c r="D439" s="149">
        <v>514165</v>
      </c>
      <c r="E439" s="281">
        <v>42739</v>
      </c>
      <c r="F439" s="281">
        <v>43100</v>
      </c>
      <c r="G439" s="149">
        <v>1.2</v>
      </c>
      <c r="H439" s="149"/>
      <c r="I439" s="149">
        <v>15</v>
      </c>
      <c r="J439" s="149">
        <v>18</v>
      </c>
      <c r="K439" s="149" t="s">
        <v>1444</v>
      </c>
      <c r="L439" s="149"/>
      <c r="M439" s="149"/>
    </row>
    <row r="440" spans="1:13" hidden="1">
      <c r="A440" s="149" t="s">
        <v>116</v>
      </c>
      <c r="B440" s="149" t="s">
        <v>124</v>
      </c>
      <c r="C440" s="149" t="s">
        <v>603</v>
      </c>
      <c r="D440" s="149">
        <v>514165</v>
      </c>
      <c r="E440" s="281">
        <v>42739</v>
      </c>
      <c r="F440" s="281">
        <v>43100</v>
      </c>
      <c r="G440" s="149">
        <v>4.4000000000000004</v>
      </c>
      <c r="H440" s="149">
        <v>1</v>
      </c>
      <c r="I440" s="149">
        <v>101</v>
      </c>
      <c r="J440" s="149">
        <v>187</v>
      </c>
      <c r="K440" s="149" t="s">
        <v>1374</v>
      </c>
      <c r="L440" s="149"/>
      <c r="M440" s="149"/>
    </row>
    <row r="441" spans="1:13" hidden="1">
      <c r="A441" s="149" t="s">
        <v>116</v>
      </c>
      <c r="B441" s="149" t="s">
        <v>124</v>
      </c>
      <c r="C441" s="149" t="s">
        <v>586</v>
      </c>
      <c r="D441" s="149">
        <v>514165</v>
      </c>
      <c r="E441" s="281">
        <v>42739</v>
      </c>
      <c r="F441" s="281">
        <v>43100</v>
      </c>
      <c r="G441" s="149">
        <v>1.5</v>
      </c>
      <c r="H441" s="149"/>
      <c r="I441" s="149">
        <v>3</v>
      </c>
      <c r="J441" s="149">
        <v>4</v>
      </c>
      <c r="K441" s="149" t="s">
        <v>1354</v>
      </c>
      <c r="L441" s="149"/>
      <c r="M441" s="149"/>
    </row>
    <row r="442" spans="1:13" hidden="1">
      <c r="A442" s="149" t="s">
        <v>116</v>
      </c>
      <c r="B442" s="149" t="s">
        <v>124</v>
      </c>
      <c r="C442" s="149" t="s">
        <v>413</v>
      </c>
      <c r="D442" s="149">
        <v>514165</v>
      </c>
      <c r="E442" s="281">
        <v>42739</v>
      </c>
      <c r="F442" s="281">
        <v>43100</v>
      </c>
      <c r="G442" s="149">
        <v>0.7</v>
      </c>
      <c r="H442" s="149"/>
      <c r="I442" s="149">
        <v>10</v>
      </c>
      <c r="J442" s="149">
        <v>12</v>
      </c>
      <c r="K442" s="149" t="s">
        <v>1480</v>
      </c>
      <c r="L442" s="149"/>
      <c r="M442" s="149"/>
    </row>
    <row r="443" spans="1:13" hidden="1">
      <c r="A443" s="149" t="s">
        <v>116</v>
      </c>
      <c r="B443" s="149" t="s">
        <v>124</v>
      </c>
      <c r="C443" s="149" t="s">
        <v>500</v>
      </c>
      <c r="D443" s="149">
        <v>514165</v>
      </c>
      <c r="E443" s="281">
        <v>42739</v>
      </c>
      <c r="F443" s="281">
        <v>43100</v>
      </c>
      <c r="G443" s="149">
        <v>0.7</v>
      </c>
      <c r="H443" s="149">
        <v>2</v>
      </c>
      <c r="I443" s="149">
        <v>14</v>
      </c>
      <c r="J443" s="149">
        <v>20</v>
      </c>
      <c r="K443" s="149" t="s">
        <v>1448</v>
      </c>
      <c r="L443" s="149"/>
      <c r="M443" s="149"/>
    </row>
    <row r="444" spans="1:13" hidden="1">
      <c r="A444" s="149" t="s">
        <v>116</v>
      </c>
      <c r="B444" s="149" t="s">
        <v>140</v>
      </c>
      <c r="C444" s="149" t="s">
        <v>618</v>
      </c>
      <c r="D444" s="149">
        <v>514166</v>
      </c>
      <c r="E444" s="281">
        <v>42739</v>
      </c>
      <c r="F444" s="281">
        <v>43100</v>
      </c>
      <c r="G444" s="149">
        <v>4.2</v>
      </c>
      <c r="H444" s="149"/>
      <c r="I444" s="149"/>
      <c r="J444" s="149">
        <v>67</v>
      </c>
      <c r="K444" s="149" t="s">
        <v>1386</v>
      </c>
      <c r="L444" s="149"/>
      <c r="M444" s="149"/>
    </row>
    <row r="445" spans="1:13" hidden="1">
      <c r="A445" s="149" t="s">
        <v>116</v>
      </c>
      <c r="B445" s="149" t="s">
        <v>140</v>
      </c>
      <c r="C445" s="149" t="s">
        <v>561</v>
      </c>
      <c r="D445" s="149">
        <v>514166</v>
      </c>
      <c r="E445" s="281">
        <v>42739</v>
      </c>
      <c r="F445" s="281">
        <v>43100</v>
      </c>
      <c r="G445" s="149">
        <v>2.1</v>
      </c>
      <c r="H445" s="149">
        <v>9</v>
      </c>
      <c r="I445" s="149">
        <v>67</v>
      </c>
      <c r="J445" s="149">
        <v>88</v>
      </c>
      <c r="K445" s="149" t="s">
        <v>1322</v>
      </c>
      <c r="L445" s="149"/>
      <c r="M445" s="149"/>
    </row>
    <row r="446" spans="1:13" hidden="1">
      <c r="A446" s="149" t="s">
        <v>116</v>
      </c>
      <c r="B446" s="149" t="s">
        <v>140</v>
      </c>
      <c r="C446" s="149" t="s">
        <v>349</v>
      </c>
      <c r="D446" s="149">
        <v>514166</v>
      </c>
      <c r="E446" s="281">
        <v>42739</v>
      </c>
      <c r="F446" s="281">
        <v>43100</v>
      </c>
      <c r="G446" s="149">
        <v>1.7</v>
      </c>
      <c r="H446" s="149"/>
      <c r="I446" s="149">
        <v>9</v>
      </c>
      <c r="J446" s="149">
        <v>11</v>
      </c>
      <c r="K446" s="149" t="s">
        <v>1416</v>
      </c>
      <c r="L446" s="149"/>
      <c r="M446" s="149"/>
    </row>
    <row r="447" spans="1:13" hidden="1">
      <c r="A447" s="149" t="s">
        <v>116</v>
      </c>
      <c r="B447" s="149" t="s">
        <v>140</v>
      </c>
      <c r="C447" s="149" t="s">
        <v>656</v>
      </c>
      <c r="D447" s="149">
        <v>514166</v>
      </c>
      <c r="E447" s="281">
        <v>42739</v>
      </c>
      <c r="F447" s="281">
        <v>43100</v>
      </c>
      <c r="G447" s="149">
        <v>4</v>
      </c>
      <c r="H447" s="149">
        <v>3</v>
      </c>
      <c r="I447" s="149">
        <v>37</v>
      </c>
      <c r="J447" s="149">
        <v>47</v>
      </c>
      <c r="K447" s="149" t="s">
        <v>1432</v>
      </c>
      <c r="L447" s="149"/>
      <c r="M447" s="149"/>
    </row>
    <row r="448" spans="1:13" hidden="1">
      <c r="A448" s="149" t="s">
        <v>116</v>
      </c>
      <c r="B448" s="149" t="s">
        <v>140</v>
      </c>
      <c r="C448" s="149" t="s">
        <v>660</v>
      </c>
      <c r="D448" s="149">
        <v>514166</v>
      </c>
      <c r="E448" s="281">
        <v>42739</v>
      </c>
      <c r="F448" s="281">
        <v>43100</v>
      </c>
      <c r="G448" s="149">
        <v>5.6</v>
      </c>
      <c r="H448" s="149">
        <v>4</v>
      </c>
      <c r="I448" s="149">
        <v>110</v>
      </c>
      <c r="J448" s="149">
        <v>133</v>
      </c>
      <c r="K448" s="149" t="s">
        <v>1434</v>
      </c>
      <c r="L448" s="149"/>
      <c r="M448" s="149"/>
    </row>
    <row r="449" spans="1:13" hidden="1">
      <c r="A449" s="149" t="s">
        <v>116</v>
      </c>
      <c r="B449" s="149" t="s">
        <v>140</v>
      </c>
      <c r="C449" s="149" t="s">
        <v>668</v>
      </c>
      <c r="D449" s="149">
        <v>514166</v>
      </c>
      <c r="E449" s="281">
        <v>42739</v>
      </c>
      <c r="F449" s="281">
        <v>43100</v>
      </c>
      <c r="G449" s="149">
        <v>5.6</v>
      </c>
      <c r="H449" s="149">
        <v>114</v>
      </c>
      <c r="I449" s="149">
        <v>250</v>
      </c>
      <c r="J449" s="149">
        <v>423</v>
      </c>
      <c r="K449" s="149" t="s">
        <v>1446</v>
      </c>
      <c r="L449" s="149"/>
      <c r="M449" s="149"/>
    </row>
    <row r="450" spans="1:13" hidden="1">
      <c r="A450" s="149" t="s">
        <v>111</v>
      </c>
      <c r="B450" s="149" t="s">
        <v>134</v>
      </c>
      <c r="C450" s="149" t="s">
        <v>295</v>
      </c>
      <c r="D450" s="149">
        <v>514167</v>
      </c>
      <c r="E450" s="281">
        <v>42739</v>
      </c>
      <c r="F450" s="281">
        <v>43100</v>
      </c>
      <c r="G450" s="149">
        <v>2.9</v>
      </c>
      <c r="H450" s="149"/>
      <c r="I450" s="149"/>
      <c r="J450" s="149">
        <v>32</v>
      </c>
      <c r="K450" s="149" t="s">
        <v>2068</v>
      </c>
      <c r="L450" s="149"/>
      <c r="M450" s="149"/>
    </row>
    <row r="451" spans="1:13" hidden="1">
      <c r="A451" s="149" t="s">
        <v>111</v>
      </c>
      <c r="B451" s="149" t="s">
        <v>134</v>
      </c>
      <c r="C451" s="149" t="s">
        <v>291</v>
      </c>
      <c r="D451" s="149">
        <v>514167</v>
      </c>
      <c r="E451" s="281">
        <v>42739</v>
      </c>
      <c r="F451" s="281">
        <v>43100</v>
      </c>
      <c r="G451" s="149">
        <v>4.0999999999999996</v>
      </c>
      <c r="H451" s="149"/>
      <c r="I451" s="149"/>
      <c r="J451" s="149">
        <v>66</v>
      </c>
      <c r="K451" s="149" t="s">
        <v>2067</v>
      </c>
      <c r="L451" s="149"/>
      <c r="M451" s="149"/>
    </row>
    <row r="452" spans="1:13" hidden="1">
      <c r="A452" s="149" t="s">
        <v>111</v>
      </c>
      <c r="B452" s="149" t="s">
        <v>134</v>
      </c>
      <c r="C452" s="149" t="s">
        <v>310</v>
      </c>
      <c r="D452" s="149">
        <v>514167</v>
      </c>
      <c r="E452" s="281">
        <v>42739</v>
      </c>
      <c r="F452" s="281">
        <v>43100</v>
      </c>
      <c r="G452" s="149">
        <v>1</v>
      </c>
      <c r="H452" s="149"/>
      <c r="I452" s="149"/>
      <c r="J452" s="149">
        <v>5</v>
      </c>
      <c r="K452" s="149" t="s">
        <v>2069</v>
      </c>
      <c r="L452" s="149"/>
      <c r="M452" s="149"/>
    </row>
    <row r="453" spans="1:13" hidden="1">
      <c r="A453" s="149" t="s">
        <v>111</v>
      </c>
      <c r="B453" s="149" t="s">
        <v>134</v>
      </c>
      <c r="C453" s="149" t="s">
        <v>300</v>
      </c>
      <c r="D453" s="149">
        <v>514167</v>
      </c>
      <c r="E453" s="281">
        <v>42739</v>
      </c>
      <c r="F453" s="281">
        <v>43100</v>
      </c>
      <c r="G453" s="149">
        <v>3.8</v>
      </c>
      <c r="H453" s="149"/>
      <c r="I453" s="149"/>
      <c r="J453" s="149">
        <v>66</v>
      </c>
      <c r="K453" s="149" t="s">
        <v>2066</v>
      </c>
      <c r="L453" s="149"/>
      <c r="M453" s="149"/>
    </row>
    <row r="454" spans="1:13" hidden="1">
      <c r="A454" s="149" t="s">
        <v>111</v>
      </c>
      <c r="B454" s="149" t="s">
        <v>134</v>
      </c>
      <c r="C454" s="149" t="s">
        <v>296</v>
      </c>
      <c r="D454" s="149">
        <v>514167</v>
      </c>
      <c r="E454" s="281">
        <v>42739</v>
      </c>
      <c r="F454" s="281">
        <v>43100</v>
      </c>
      <c r="G454" s="149">
        <v>3</v>
      </c>
      <c r="H454" s="149"/>
      <c r="I454" s="149"/>
      <c r="J454" s="149">
        <v>46</v>
      </c>
      <c r="K454" s="149" t="s">
        <v>2065</v>
      </c>
      <c r="L454" s="149"/>
      <c r="M454" s="149"/>
    </row>
    <row r="455" spans="1:13" hidden="1">
      <c r="A455" s="149" t="s">
        <v>111</v>
      </c>
      <c r="B455" s="149" t="s">
        <v>134</v>
      </c>
      <c r="C455" s="149" t="s">
        <v>301</v>
      </c>
      <c r="D455" s="149">
        <v>514167</v>
      </c>
      <c r="E455" s="281">
        <v>42739</v>
      </c>
      <c r="F455" s="281">
        <v>43100</v>
      </c>
      <c r="G455" s="149">
        <v>2.8</v>
      </c>
      <c r="H455" s="149"/>
      <c r="I455" s="149"/>
      <c r="J455" s="149">
        <v>54</v>
      </c>
      <c r="K455" s="149" t="s">
        <v>2063</v>
      </c>
      <c r="L455" s="149"/>
      <c r="M455" s="149"/>
    </row>
    <row r="456" spans="1:13" hidden="1">
      <c r="A456" s="149" t="s">
        <v>111</v>
      </c>
      <c r="B456" s="149" t="s">
        <v>134</v>
      </c>
      <c r="C456" s="149" t="s">
        <v>277</v>
      </c>
      <c r="D456" s="149">
        <v>514167</v>
      </c>
      <c r="E456" s="281">
        <v>42739</v>
      </c>
      <c r="F456" s="281">
        <v>43100</v>
      </c>
      <c r="G456" s="149">
        <v>3</v>
      </c>
      <c r="H456" s="149"/>
      <c r="I456" s="149"/>
      <c r="J456" s="149">
        <v>53</v>
      </c>
      <c r="K456" s="149" t="s">
        <v>2064</v>
      </c>
      <c r="L456" s="149"/>
      <c r="M456" s="149"/>
    </row>
    <row r="457" spans="1:13" hidden="1">
      <c r="A457" s="149" t="s">
        <v>111</v>
      </c>
      <c r="B457" s="149" t="s">
        <v>124</v>
      </c>
      <c r="C457" s="149" t="s">
        <v>312</v>
      </c>
      <c r="D457" s="149">
        <v>514168</v>
      </c>
      <c r="E457" s="281">
        <v>42739</v>
      </c>
      <c r="F457" s="281">
        <v>43100</v>
      </c>
      <c r="G457" s="149">
        <v>6.4</v>
      </c>
      <c r="H457" s="149">
        <v>1</v>
      </c>
      <c r="I457" s="149">
        <v>254</v>
      </c>
      <c r="J457" s="149">
        <v>304</v>
      </c>
      <c r="K457" s="149" t="s">
        <v>1041</v>
      </c>
      <c r="L457" s="149"/>
      <c r="M457" s="149"/>
    </row>
    <row r="458" spans="1:13" hidden="1">
      <c r="A458" s="149" t="s">
        <v>111</v>
      </c>
      <c r="B458" s="149" t="s">
        <v>124</v>
      </c>
      <c r="C458" s="149" t="s">
        <v>290</v>
      </c>
      <c r="D458" s="149">
        <v>514168</v>
      </c>
      <c r="E458" s="281">
        <v>42739</v>
      </c>
      <c r="F458" s="281">
        <v>43100</v>
      </c>
      <c r="G458" s="149">
        <v>2</v>
      </c>
      <c r="H458" s="149"/>
      <c r="I458" s="149">
        <v>50</v>
      </c>
      <c r="J458" s="149">
        <v>57</v>
      </c>
      <c r="K458" s="149" t="s">
        <v>1027</v>
      </c>
      <c r="L458" s="149"/>
      <c r="M458" s="149"/>
    </row>
    <row r="459" spans="1:13" hidden="1">
      <c r="A459" s="149" t="s">
        <v>111</v>
      </c>
      <c r="B459" s="149" t="s">
        <v>140</v>
      </c>
      <c r="C459" s="149" t="s">
        <v>261</v>
      </c>
      <c r="D459" s="149">
        <v>514169</v>
      </c>
      <c r="E459" s="281">
        <v>42739</v>
      </c>
      <c r="F459" s="281">
        <v>43100</v>
      </c>
      <c r="G459" s="149">
        <v>13.8</v>
      </c>
      <c r="H459" s="149">
        <v>17</v>
      </c>
      <c r="I459" s="149">
        <v>971</v>
      </c>
      <c r="J459" s="149">
        <v>1151</v>
      </c>
      <c r="K459" s="149" t="s">
        <v>999</v>
      </c>
      <c r="L459" s="149"/>
      <c r="M459" s="149"/>
    </row>
    <row r="460" spans="1:13" hidden="1">
      <c r="A460" s="149" t="s">
        <v>115</v>
      </c>
      <c r="B460" s="149" t="s">
        <v>134</v>
      </c>
      <c r="C460" s="149" t="s">
        <v>837</v>
      </c>
      <c r="D460" s="149">
        <v>514170</v>
      </c>
      <c r="E460" s="281">
        <v>42739</v>
      </c>
      <c r="F460" s="281">
        <v>43100</v>
      </c>
      <c r="G460" s="149">
        <v>2.4</v>
      </c>
      <c r="H460" s="149"/>
      <c r="I460" s="149">
        <v>12</v>
      </c>
      <c r="J460" s="149">
        <v>34</v>
      </c>
      <c r="K460" s="149" t="s">
        <v>1669</v>
      </c>
      <c r="L460" s="149"/>
      <c r="M460" s="149"/>
    </row>
    <row r="461" spans="1:13" hidden="1">
      <c r="A461" s="149" t="s">
        <v>115</v>
      </c>
      <c r="B461" s="149" t="s">
        <v>134</v>
      </c>
      <c r="C461" s="149" t="s">
        <v>774</v>
      </c>
      <c r="D461" s="149">
        <v>514170</v>
      </c>
      <c r="E461" s="281">
        <v>42739</v>
      </c>
      <c r="F461" s="281">
        <v>43100</v>
      </c>
      <c r="G461" s="149">
        <v>4.7</v>
      </c>
      <c r="H461" s="149"/>
      <c r="I461" s="149"/>
      <c r="J461" s="149">
        <v>171</v>
      </c>
      <c r="K461" s="149" t="s">
        <v>2072</v>
      </c>
      <c r="L461" s="149"/>
      <c r="M461" s="149"/>
    </row>
    <row r="462" spans="1:13" hidden="1">
      <c r="A462" s="149" t="s">
        <v>115</v>
      </c>
      <c r="B462" s="149" t="s">
        <v>134</v>
      </c>
      <c r="C462" s="149" t="s">
        <v>842</v>
      </c>
      <c r="D462" s="149">
        <v>514170</v>
      </c>
      <c r="E462" s="281">
        <v>42739</v>
      </c>
      <c r="F462" s="281">
        <v>43100</v>
      </c>
      <c r="G462" s="149">
        <v>5.0999999999999996</v>
      </c>
      <c r="H462" s="149"/>
      <c r="I462" s="149"/>
      <c r="J462" s="149">
        <v>135</v>
      </c>
      <c r="K462" s="149" t="s">
        <v>2074</v>
      </c>
      <c r="L462" s="149"/>
      <c r="M462" s="149"/>
    </row>
    <row r="463" spans="1:13" hidden="1">
      <c r="A463" s="149" t="s">
        <v>115</v>
      </c>
      <c r="B463" s="149" t="s">
        <v>134</v>
      </c>
      <c r="C463" s="149" t="s">
        <v>756</v>
      </c>
      <c r="D463" s="149">
        <v>514170</v>
      </c>
      <c r="E463" s="281">
        <v>42739</v>
      </c>
      <c r="F463" s="281">
        <v>43100</v>
      </c>
      <c r="G463" s="149">
        <v>3.6</v>
      </c>
      <c r="H463" s="149"/>
      <c r="I463" s="149"/>
      <c r="J463" s="149">
        <v>64</v>
      </c>
      <c r="K463" s="149" t="s">
        <v>2073</v>
      </c>
      <c r="L463" s="149"/>
      <c r="M463" s="149"/>
    </row>
    <row r="464" spans="1:13" hidden="1">
      <c r="A464" s="149" t="s">
        <v>115</v>
      </c>
      <c r="B464" s="149" t="s">
        <v>134</v>
      </c>
      <c r="C464" s="149" t="s">
        <v>740</v>
      </c>
      <c r="D464" s="149">
        <v>514170</v>
      </c>
      <c r="E464" s="281">
        <v>42739</v>
      </c>
      <c r="F464" s="281">
        <v>43100</v>
      </c>
      <c r="G464" s="149">
        <v>4</v>
      </c>
      <c r="H464" s="149"/>
      <c r="I464" s="149"/>
      <c r="J464" s="149">
        <v>86</v>
      </c>
      <c r="K464" s="149" t="s">
        <v>2071</v>
      </c>
      <c r="L464" s="149"/>
      <c r="M464" s="149"/>
    </row>
    <row r="465" spans="1:13" hidden="1">
      <c r="A465" s="149" t="s">
        <v>115</v>
      </c>
      <c r="B465" s="149" t="s">
        <v>134</v>
      </c>
      <c r="C465" s="149" t="s">
        <v>834</v>
      </c>
      <c r="D465" s="149">
        <v>514170</v>
      </c>
      <c r="E465" s="281">
        <v>42739</v>
      </c>
      <c r="F465" s="281">
        <v>43100</v>
      </c>
      <c r="G465" s="149">
        <v>5.9</v>
      </c>
      <c r="H465" s="149"/>
      <c r="I465" s="149"/>
      <c r="J465" s="149">
        <v>100</v>
      </c>
      <c r="K465" s="149" t="s">
        <v>2075</v>
      </c>
      <c r="L465" s="149"/>
      <c r="M465" s="149"/>
    </row>
    <row r="466" spans="1:13" hidden="1">
      <c r="A466" s="149" t="s">
        <v>115</v>
      </c>
      <c r="B466" s="149" t="s">
        <v>134</v>
      </c>
      <c r="C466" s="149" t="s">
        <v>835</v>
      </c>
      <c r="D466" s="149">
        <v>514170</v>
      </c>
      <c r="E466" s="281">
        <v>42739</v>
      </c>
      <c r="F466" s="281">
        <v>43100</v>
      </c>
      <c r="G466" s="149">
        <v>1.5</v>
      </c>
      <c r="H466" s="149"/>
      <c r="I466" s="149"/>
      <c r="J466" s="149">
        <v>27</v>
      </c>
      <c r="K466" s="149" t="s">
        <v>2076</v>
      </c>
      <c r="L466" s="149"/>
      <c r="M466" s="149"/>
    </row>
    <row r="467" spans="1:13" hidden="1">
      <c r="A467" s="149" t="s">
        <v>115</v>
      </c>
      <c r="B467" s="149" t="s">
        <v>134</v>
      </c>
      <c r="C467" s="149" t="s">
        <v>737</v>
      </c>
      <c r="D467" s="149">
        <v>514170</v>
      </c>
      <c r="E467" s="281">
        <v>42739</v>
      </c>
      <c r="F467" s="281">
        <v>43100</v>
      </c>
      <c r="G467" s="149">
        <v>5.9</v>
      </c>
      <c r="H467" s="149"/>
      <c r="I467" s="149"/>
      <c r="J467" s="149">
        <v>104</v>
      </c>
      <c r="K467" s="149" t="s">
        <v>2070</v>
      </c>
      <c r="L467" s="149"/>
      <c r="M467" s="149"/>
    </row>
    <row r="468" spans="1:13" hidden="1">
      <c r="A468" s="149" t="s">
        <v>115</v>
      </c>
      <c r="B468" s="149" t="s">
        <v>124</v>
      </c>
      <c r="C468" s="149" t="s">
        <v>817</v>
      </c>
      <c r="D468" s="149">
        <v>514171</v>
      </c>
      <c r="E468" s="281">
        <v>42739</v>
      </c>
      <c r="F468" s="281">
        <v>43100</v>
      </c>
      <c r="G468" s="149">
        <v>1.3</v>
      </c>
      <c r="H468" s="149"/>
      <c r="I468" s="149">
        <v>22</v>
      </c>
      <c r="J468" s="149">
        <v>24</v>
      </c>
      <c r="K468" s="149" t="s">
        <v>1642</v>
      </c>
      <c r="L468" s="149"/>
      <c r="M468" s="149"/>
    </row>
    <row r="469" spans="1:13" hidden="1">
      <c r="A469" s="149" t="s">
        <v>115</v>
      </c>
      <c r="B469" s="149" t="s">
        <v>124</v>
      </c>
      <c r="C469" s="149" t="s">
        <v>233</v>
      </c>
      <c r="D469" s="149">
        <v>514171</v>
      </c>
      <c r="E469" s="281">
        <v>42739</v>
      </c>
      <c r="F469" s="281">
        <v>43100</v>
      </c>
      <c r="G469" s="149">
        <v>9.4</v>
      </c>
      <c r="H469" s="149">
        <v>3</v>
      </c>
      <c r="I469" s="149">
        <v>132</v>
      </c>
      <c r="J469" s="149">
        <v>160</v>
      </c>
      <c r="K469" s="149" t="s">
        <v>1699</v>
      </c>
      <c r="L469" s="149"/>
      <c r="M469" s="149"/>
    </row>
    <row r="470" spans="1:13" hidden="1">
      <c r="A470" s="149" t="s">
        <v>115</v>
      </c>
      <c r="B470" s="149" t="s">
        <v>124</v>
      </c>
      <c r="C470" s="149" t="s">
        <v>854</v>
      </c>
      <c r="D470" s="149">
        <v>514171</v>
      </c>
      <c r="E470" s="281">
        <v>42739</v>
      </c>
      <c r="F470" s="281">
        <v>43100</v>
      </c>
      <c r="G470" s="149">
        <v>3.4</v>
      </c>
      <c r="H470" s="149"/>
      <c r="I470" s="149">
        <v>57</v>
      </c>
      <c r="J470" s="149">
        <v>66</v>
      </c>
      <c r="K470" s="149" t="s">
        <v>1707</v>
      </c>
      <c r="L470" s="149"/>
      <c r="M470" s="149"/>
    </row>
    <row r="471" spans="1:13" hidden="1">
      <c r="A471" s="149" t="s">
        <v>115</v>
      </c>
      <c r="B471" s="149" t="s">
        <v>124</v>
      </c>
      <c r="C471" s="149" t="s">
        <v>749</v>
      </c>
      <c r="D471" s="149">
        <v>514171</v>
      </c>
      <c r="E471" s="281">
        <v>42739</v>
      </c>
      <c r="F471" s="281">
        <v>43100</v>
      </c>
      <c r="G471" s="149">
        <v>3.1</v>
      </c>
      <c r="H471" s="149">
        <v>4</v>
      </c>
      <c r="I471" s="149">
        <v>101</v>
      </c>
      <c r="J471" s="149">
        <v>123</v>
      </c>
      <c r="K471" s="149" t="s">
        <v>1541</v>
      </c>
      <c r="L471" s="149"/>
      <c r="M471" s="149"/>
    </row>
    <row r="472" spans="1:13" hidden="1">
      <c r="A472" s="149" t="s">
        <v>115</v>
      </c>
      <c r="B472" s="149" t="s">
        <v>140</v>
      </c>
      <c r="C472" s="149" t="s">
        <v>841</v>
      </c>
      <c r="D472" s="149">
        <v>514172</v>
      </c>
      <c r="E472" s="281">
        <v>42739</v>
      </c>
      <c r="F472" s="281">
        <v>43100</v>
      </c>
      <c r="G472" s="149">
        <v>5.2</v>
      </c>
      <c r="H472" s="149">
        <v>55</v>
      </c>
      <c r="I472" s="149">
        <v>199</v>
      </c>
      <c r="J472" s="149">
        <v>293</v>
      </c>
      <c r="K472" s="149" t="s">
        <v>1677</v>
      </c>
      <c r="L472" s="149"/>
      <c r="M472" s="149"/>
    </row>
    <row r="473" spans="1:13" hidden="1">
      <c r="A473" s="149" t="s">
        <v>115</v>
      </c>
      <c r="B473" s="149" t="s">
        <v>140</v>
      </c>
      <c r="C473" s="149" t="s">
        <v>528</v>
      </c>
      <c r="D473" s="149">
        <v>514172</v>
      </c>
      <c r="E473" s="281">
        <v>42739</v>
      </c>
      <c r="F473" s="281">
        <v>43100</v>
      </c>
      <c r="G473" s="149">
        <v>8.4</v>
      </c>
      <c r="H473" s="149">
        <v>81</v>
      </c>
      <c r="I473" s="149">
        <v>104</v>
      </c>
      <c r="J473" s="149">
        <v>214</v>
      </c>
      <c r="K473" s="149" t="s">
        <v>1681</v>
      </c>
      <c r="L473" s="149"/>
      <c r="M473" s="149"/>
    </row>
    <row r="474" spans="1:13" hidden="1">
      <c r="A474" s="149" t="s">
        <v>115</v>
      </c>
      <c r="B474" s="149" t="s">
        <v>140</v>
      </c>
      <c r="C474" s="149" t="s">
        <v>839</v>
      </c>
      <c r="D474" s="149">
        <v>514172</v>
      </c>
      <c r="E474" s="281">
        <v>42739</v>
      </c>
      <c r="F474" s="281">
        <v>43100</v>
      </c>
      <c r="G474" s="149">
        <v>0.8</v>
      </c>
      <c r="H474" s="149">
        <v>9</v>
      </c>
      <c r="I474" s="149">
        <v>33</v>
      </c>
      <c r="J474" s="149">
        <v>49</v>
      </c>
      <c r="K474" s="149" t="s">
        <v>1673</v>
      </c>
      <c r="L474" s="149"/>
      <c r="M474" s="149"/>
    </row>
    <row r="475" spans="1:13" hidden="1">
      <c r="A475" s="149" t="s">
        <v>115</v>
      </c>
      <c r="B475" s="149" t="s">
        <v>140</v>
      </c>
      <c r="C475" s="149" t="s">
        <v>763</v>
      </c>
      <c r="D475" s="149">
        <v>514172</v>
      </c>
      <c r="E475" s="281">
        <v>42739</v>
      </c>
      <c r="F475" s="281">
        <v>43100</v>
      </c>
      <c r="G475" s="149">
        <v>5.6</v>
      </c>
      <c r="H475" s="149">
        <v>28</v>
      </c>
      <c r="I475" s="149">
        <v>218</v>
      </c>
      <c r="J475" s="149">
        <v>284</v>
      </c>
      <c r="K475" s="149" t="s">
        <v>1559</v>
      </c>
      <c r="L475" s="149"/>
      <c r="M475" s="149"/>
    </row>
    <row r="476" spans="1:13" hidden="1">
      <c r="A476" s="149" t="s">
        <v>115</v>
      </c>
      <c r="B476" s="149" t="s">
        <v>140</v>
      </c>
      <c r="C476" s="149" t="s">
        <v>754</v>
      </c>
      <c r="D476" s="149">
        <v>514172</v>
      </c>
      <c r="E476" s="281">
        <v>42739</v>
      </c>
      <c r="F476" s="281">
        <v>43100</v>
      </c>
      <c r="G476" s="149">
        <v>7.4</v>
      </c>
      <c r="H476" s="149">
        <v>46</v>
      </c>
      <c r="I476" s="149">
        <v>268</v>
      </c>
      <c r="J476" s="149">
        <v>361</v>
      </c>
      <c r="K476" s="149" t="s">
        <v>1549</v>
      </c>
      <c r="L476" s="149"/>
      <c r="M476" s="149"/>
    </row>
    <row r="477" spans="1:13" hidden="1">
      <c r="A477" s="149" t="s">
        <v>115</v>
      </c>
      <c r="B477" s="149" t="s">
        <v>140</v>
      </c>
      <c r="C477" s="149" t="s">
        <v>306</v>
      </c>
      <c r="D477" s="149">
        <v>514172</v>
      </c>
      <c r="E477" s="281">
        <v>42739</v>
      </c>
      <c r="F477" s="281">
        <v>43100</v>
      </c>
      <c r="G477" s="149">
        <v>2.5</v>
      </c>
      <c r="H477" s="149">
        <v>20</v>
      </c>
      <c r="I477" s="149">
        <v>90</v>
      </c>
      <c r="J477" s="149">
        <v>128</v>
      </c>
      <c r="K477" s="149" t="s">
        <v>1703</v>
      </c>
      <c r="L477" s="149"/>
      <c r="M477" s="149"/>
    </row>
    <row r="478" spans="1:13" hidden="1">
      <c r="A478" s="149" t="s">
        <v>113</v>
      </c>
      <c r="B478" s="149" t="s">
        <v>134</v>
      </c>
      <c r="C478" s="149" t="s">
        <v>207</v>
      </c>
      <c r="D478" s="149">
        <v>514173</v>
      </c>
      <c r="E478" s="281">
        <v>42739</v>
      </c>
      <c r="F478" s="281">
        <v>43100</v>
      </c>
      <c r="G478" s="149">
        <v>2.1</v>
      </c>
      <c r="H478" s="149"/>
      <c r="I478" s="149"/>
      <c r="J478" s="149">
        <v>21</v>
      </c>
      <c r="K478" s="149" t="s">
        <v>2078</v>
      </c>
      <c r="L478" s="149"/>
      <c r="M478" s="149"/>
    </row>
    <row r="479" spans="1:13" hidden="1">
      <c r="A479" s="149" t="s">
        <v>113</v>
      </c>
      <c r="B479" s="149" t="s">
        <v>134</v>
      </c>
      <c r="C479" s="149" t="s">
        <v>189</v>
      </c>
      <c r="D479" s="149">
        <v>514173</v>
      </c>
      <c r="E479" s="281">
        <v>42739</v>
      </c>
      <c r="F479" s="281">
        <v>43100</v>
      </c>
      <c r="G479" s="149">
        <v>1.2</v>
      </c>
      <c r="H479" s="149"/>
      <c r="I479" s="149"/>
      <c r="J479" s="149">
        <v>23</v>
      </c>
      <c r="K479" s="149" t="s">
        <v>2084</v>
      </c>
      <c r="L479" s="149"/>
      <c r="M479" s="149"/>
    </row>
    <row r="480" spans="1:13" hidden="1">
      <c r="A480" s="149" t="s">
        <v>113</v>
      </c>
      <c r="B480" s="149" t="s">
        <v>134</v>
      </c>
      <c r="C480" s="149" t="s">
        <v>205</v>
      </c>
      <c r="D480" s="149">
        <v>514173</v>
      </c>
      <c r="E480" s="281">
        <v>42739</v>
      </c>
      <c r="F480" s="281">
        <v>43100</v>
      </c>
      <c r="G480" s="149">
        <v>4.5999999999999996</v>
      </c>
      <c r="H480" s="149"/>
      <c r="I480" s="149"/>
      <c r="J480" s="149">
        <v>35</v>
      </c>
      <c r="K480" s="149" t="s">
        <v>2081</v>
      </c>
      <c r="L480" s="149"/>
      <c r="M480" s="149"/>
    </row>
    <row r="481" spans="1:13" hidden="1">
      <c r="A481" s="149" t="s">
        <v>113</v>
      </c>
      <c r="B481" s="149" t="s">
        <v>134</v>
      </c>
      <c r="C481" s="149" t="s">
        <v>204</v>
      </c>
      <c r="D481" s="149">
        <v>514173</v>
      </c>
      <c r="E481" s="281">
        <v>42739</v>
      </c>
      <c r="F481" s="281">
        <v>43100</v>
      </c>
      <c r="G481" s="149">
        <v>4.9000000000000004</v>
      </c>
      <c r="H481" s="149"/>
      <c r="I481" s="149"/>
      <c r="J481" s="149">
        <v>42</v>
      </c>
      <c r="K481" s="149" t="s">
        <v>2085</v>
      </c>
      <c r="L481" s="149"/>
      <c r="M481" s="149"/>
    </row>
    <row r="482" spans="1:13" hidden="1">
      <c r="A482" s="149" t="s">
        <v>113</v>
      </c>
      <c r="B482" s="149" t="s">
        <v>134</v>
      </c>
      <c r="C482" s="149" t="s">
        <v>186</v>
      </c>
      <c r="D482" s="149">
        <v>514173</v>
      </c>
      <c r="E482" s="281">
        <v>42739</v>
      </c>
      <c r="F482" s="281">
        <v>43100</v>
      </c>
      <c r="G482" s="149">
        <v>0.5</v>
      </c>
      <c r="H482" s="149"/>
      <c r="I482" s="149"/>
      <c r="J482" s="149">
        <v>4</v>
      </c>
      <c r="K482" s="149" t="s">
        <v>2079</v>
      </c>
      <c r="L482" s="149"/>
      <c r="M482" s="149"/>
    </row>
    <row r="483" spans="1:13" hidden="1">
      <c r="A483" s="149" t="s">
        <v>113</v>
      </c>
      <c r="B483" s="149" t="s">
        <v>134</v>
      </c>
      <c r="C483" s="149" t="s">
        <v>135</v>
      </c>
      <c r="D483" s="149">
        <v>514173</v>
      </c>
      <c r="E483" s="281">
        <v>42739</v>
      </c>
      <c r="F483" s="281">
        <v>43100</v>
      </c>
      <c r="G483" s="149">
        <v>1.7</v>
      </c>
      <c r="H483" s="149"/>
      <c r="I483" s="149"/>
      <c r="J483" s="149">
        <v>18</v>
      </c>
      <c r="K483" s="149" t="s">
        <v>2080</v>
      </c>
      <c r="L483" s="149"/>
      <c r="M483" s="149"/>
    </row>
    <row r="484" spans="1:13" hidden="1">
      <c r="A484" s="149" t="s">
        <v>113</v>
      </c>
      <c r="B484" s="149" t="s">
        <v>134</v>
      </c>
      <c r="C484" s="149" t="s">
        <v>242</v>
      </c>
      <c r="D484" s="149">
        <v>514173</v>
      </c>
      <c r="E484" s="281">
        <v>42739</v>
      </c>
      <c r="F484" s="281">
        <v>43100</v>
      </c>
      <c r="G484" s="149">
        <v>0.2</v>
      </c>
      <c r="H484" s="149"/>
      <c r="I484" s="149"/>
      <c r="J484" s="149">
        <v>2</v>
      </c>
      <c r="K484" s="149" t="s">
        <v>2077</v>
      </c>
      <c r="L484" s="149"/>
      <c r="M484" s="149"/>
    </row>
    <row r="485" spans="1:13" hidden="1">
      <c r="A485" s="149" t="s">
        <v>113</v>
      </c>
      <c r="B485" s="149" t="s">
        <v>134</v>
      </c>
      <c r="C485" s="149" t="s">
        <v>244</v>
      </c>
      <c r="D485" s="149">
        <v>514173</v>
      </c>
      <c r="E485" s="281">
        <v>42739</v>
      </c>
      <c r="F485" s="281">
        <v>43100</v>
      </c>
      <c r="G485" s="149">
        <v>0.4</v>
      </c>
      <c r="H485" s="149"/>
      <c r="I485" s="149"/>
      <c r="J485" s="149">
        <v>4</v>
      </c>
      <c r="K485" s="149" t="s">
        <v>2083</v>
      </c>
      <c r="L485" s="149"/>
      <c r="M485" s="149"/>
    </row>
    <row r="486" spans="1:13" hidden="1">
      <c r="A486" s="149" t="s">
        <v>113</v>
      </c>
      <c r="B486" s="149" t="s">
        <v>134</v>
      </c>
      <c r="C486" s="149" t="s">
        <v>215</v>
      </c>
      <c r="D486" s="149">
        <v>514173</v>
      </c>
      <c r="E486" s="281">
        <v>42739</v>
      </c>
      <c r="F486" s="281">
        <v>43100</v>
      </c>
      <c r="G486" s="149">
        <v>1.7</v>
      </c>
      <c r="H486" s="149"/>
      <c r="I486" s="149"/>
      <c r="J486" s="149">
        <v>22</v>
      </c>
      <c r="K486" s="149" t="s">
        <v>2082</v>
      </c>
      <c r="L486" s="149"/>
      <c r="M486" s="149"/>
    </row>
    <row r="487" spans="1:13" hidden="1">
      <c r="A487" s="149" t="s">
        <v>113</v>
      </c>
      <c r="B487" s="149" t="s">
        <v>124</v>
      </c>
      <c r="C487" s="149" t="s">
        <v>151</v>
      </c>
      <c r="D487" s="149">
        <v>514174</v>
      </c>
      <c r="E487" s="281">
        <v>42739</v>
      </c>
      <c r="F487" s="281">
        <v>43100</v>
      </c>
      <c r="G487" s="149">
        <v>6.7</v>
      </c>
      <c r="H487" s="149"/>
      <c r="I487" s="149">
        <v>91</v>
      </c>
      <c r="J487" s="149">
        <v>107</v>
      </c>
      <c r="K487" s="149" t="s">
        <v>886</v>
      </c>
      <c r="L487" s="149"/>
      <c r="M487" s="149"/>
    </row>
    <row r="488" spans="1:13" hidden="1">
      <c r="A488" s="149" t="s">
        <v>113</v>
      </c>
      <c r="B488" s="149" t="s">
        <v>124</v>
      </c>
      <c r="C488" s="149" t="s">
        <v>257</v>
      </c>
      <c r="D488" s="149">
        <v>514174</v>
      </c>
      <c r="E488" s="281">
        <v>42739</v>
      </c>
      <c r="F488" s="281">
        <v>43100</v>
      </c>
      <c r="G488" s="149">
        <v>12.3</v>
      </c>
      <c r="H488" s="149"/>
      <c r="I488" s="149"/>
      <c r="J488" s="149">
        <v>162</v>
      </c>
      <c r="K488" s="149" t="s">
        <v>2086</v>
      </c>
      <c r="L488" s="149"/>
      <c r="M488" s="149"/>
    </row>
    <row r="489" spans="1:13" hidden="1">
      <c r="A489" s="149" t="s">
        <v>113</v>
      </c>
      <c r="B489" s="149" t="s">
        <v>124</v>
      </c>
      <c r="C489" s="149" t="s">
        <v>183</v>
      </c>
      <c r="D489" s="149">
        <v>514174</v>
      </c>
      <c r="E489" s="281">
        <v>42739</v>
      </c>
      <c r="F489" s="281">
        <v>43100</v>
      </c>
      <c r="G489" s="149">
        <v>8.6999999999999993</v>
      </c>
      <c r="H489" s="149"/>
      <c r="I489" s="149">
        <v>124</v>
      </c>
      <c r="J489" s="149">
        <v>146</v>
      </c>
      <c r="K489" s="149" t="s">
        <v>930</v>
      </c>
      <c r="L489" s="149"/>
      <c r="M489" s="149"/>
    </row>
    <row r="490" spans="1:13" hidden="1">
      <c r="A490" s="149" t="s">
        <v>113</v>
      </c>
      <c r="B490" s="149" t="s">
        <v>140</v>
      </c>
      <c r="C490" s="149" t="s">
        <v>198</v>
      </c>
      <c r="D490" s="149">
        <v>514175</v>
      </c>
      <c r="E490" s="281">
        <v>42739</v>
      </c>
      <c r="F490" s="281">
        <v>43100</v>
      </c>
      <c r="G490" s="149">
        <v>3.8</v>
      </c>
      <c r="H490" s="149">
        <v>15</v>
      </c>
      <c r="I490" s="149">
        <v>142</v>
      </c>
      <c r="J490" s="149">
        <v>182</v>
      </c>
      <c r="K490" s="149" t="s">
        <v>942</v>
      </c>
      <c r="L490" s="149"/>
      <c r="M490" s="149"/>
    </row>
    <row r="491" spans="1:13" hidden="1">
      <c r="A491" s="149" t="s">
        <v>113</v>
      </c>
      <c r="B491" s="149" t="s">
        <v>140</v>
      </c>
      <c r="C491" s="149" t="s">
        <v>141</v>
      </c>
      <c r="D491" s="149">
        <v>514175</v>
      </c>
      <c r="E491" s="281">
        <v>42739</v>
      </c>
      <c r="F491" s="281">
        <v>43100</v>
      </c>
      <c r="G491" s="149">
        <v>0.8</v>
      </c>
      <c r="H491" s="149">
        <v>5</v>
      </c>
      <c r="I491" s="149">
        <v>25</v>
      </c>
      <c r="J491" s="149">
        <v>35</v>
      </c>
      <c r="K491" s="149" t="s">
        <v>878</v>
      </c>
      <c r="L491" s="149"/>
      <c r="M491" s="149"/>
    </row>
    <row r="492" spans="1:13" hidden="1">
      <c r="A492" s="149" t="s">
        <v>113</v>
      </c>
      <c r="B492" s="149" t="s">
        <v>140</v>
      </c>
      <c r="C492" s="149" t="s">
        <v>224</v>
      </c>
      <c r="D492" s="149">
        <v>514175</v>
      </c>
      <c r="E492" s="281">
        <v>42739</v>
      </c>
      <c r="F492" s="281">
        <v>43100</v>
      </c>
      <c r="G492" s="149">
        <v>7.5</v>
      </c>
      <c r="H492" s="149">
        <v>11</v>
      </c>
      <c r="I492" s="149">
        <v>241</v>
      </c>
      <c r="J492" s="149">
        <v>292</v>
      </c>
      <c r="K492" s="149" t="s">
        <v>964</v>
      </c>
      <c r="L492" s="149"/>
      <c r="M492" s="149"/>
    </row>
    <row r="493" spans="1:13" hidden="1">
      <c r="A493" s="149" t="s">
        <v>113</v>
      </c>
      <c r="B493" s="149" t="s">
        <v>140</v>
      </c>
      <c r="C493" s="149" t="s">
        <v>208</v>
      </c>
      <c r="D493" s="149">
        <v>514175</v>
      </c>
      <c r="E493" s="281">
        <v>42739</v>
      </c>
      <c r="F493" s="281">
        <v>43100</v>
      </c>
      <c r="G493" s="149">
        <v>3.5</v>
      </c>
      <c r="H493" s="149">
        <v>23</v>
      </c>
      <c r="I493" s="149">
        <v>101</v>
      </c>
      <c r="J493" s="149">
        <v>144</v>
      </c>
      <c r="K493" s="149" t="s">
        <v>952</v>
      </c>
      <c r="L493" s="149"/>
      <c r="M493" s="149"/>
    </row>
    <row r="494" spans="1:13" hidden="1">
      <c r="A494" s="149" t="s">
        <v>113</v>
      </c>
      <c r="B494" s="149" t="s">
        <v>140</v>
      </c>
      <c r="C494" s="149" t="s">
        <v>243</v>
      </c>
      <c r="D494" s="149">
        <v>514175</v>
      </c>
      <c r="E494" s="281">
        <v>42739</v>
      </c>
      <c r="F494" s="281">
        <v>43100</v>
      </c>
      <c r="G494" s="149">
        <v>5.0999999999999996</v>
      </c>
      <c r="H494" s="149">
        <v>8</v>
      </c>
      <c r="I494" s="149">
        <v>70</v>
      </c>
      <c r="J494" s="149">
        <v>91</v>
      </c>
      <c r="K494" s="149" t="s">
        <v>976</v>
      </c>
      <c r="L494" s="149"/>
      <c r="M494" s="149"/>
    </row>
    <row r="495" spans="1:13" hidden="1">
      <c r="A495" s="149" t="s">
        <v>113</v>
      </c>
      <c r="B495" s="149" t="s">
        <v>126</v>
      </c>
      <c r="C495" s="149" t="s">
        <v>167</v>
      </c>
      <c r="D495" s="149">
        <v>514176</v>
      </c>
      <c r="E495" s="281">
        <v>42751</v>
      </c>
      <c r="F495" s="281">
        <v>43100</v>
      </c>
      <c r="G495" s="149">
        <v>3.8</v>
      </c>
      <c r="H495" s="149"/>
      <c r="I495" s="149">
        <v>71</v>
      </c>
      <c r="J495" s="149">
        <v>76</v>
      </c>
      <c r="K495" s="149" t="s">
        <v>904</v>
      </c>
      <c r="L495" s="149"/>
      <c r="M495" s="149"/>
    </row>
    <row r="496" spans="1:13" hidden="1">
      <c r="A496" s="149" t="s">
        <v>113</v>
      </c>
      <c r="B496" s="149" t="s">
        <v>126</v>
      </c>
      <c r="C496" s="149" t="s">
        <v>238</v>
      </c>
      <c r="D496" s="149">
        <v>514176</v>
      </c>
      <c r="E496" s="281">
        <v>42751</v>
      </c>
      <c r="F496" s="281">
        <v>43100</v>
      </c>
      <c r="G496" s="149">
        <v>6.8</v>
      </c>
      <c r="H496" s="149">
        <v>1</v>
      </c>
      <c r="I496" s="149">
        <v>35</v>
      </c>
      <c r="J496" s="149">
        <v>42</v>
      </c>
      <c r="K496" s="149" t="s">
        <v>974</v>
      </c>
      <c r="L496" s="149"/>
      <c r="M496" s="149"/>
    </row>
    <row r="497" spans="1:13" hidden="1">
      <c r="A497" s="149" t="s">
        <v>113</v>
      </c>
      <c r="B497" s="149" t="s">
        <v>126</v>
      </c>
      <c r="C497" s="149" t="s">
        <v>231</v>
      </c>
      <c r="D497" s="149">
        <v>514176</v>
      </c>
      <c r="E497" s="281">
        <v>42751</v>
      </c>
      <c r="F497" s="281">
        <v>43100</v>
      </c>
      <c r="G497" s="149">
        <v>18.399999999999999</v>
      </c>
      <c r="H497" s="149">
        <v>45</v>
      </c>
      <c r="I497" s="149">
        <v>217</v>
      </c>
      <c r="J497" s="149">
        <v>305</v>
      </c>
      <c r="K497" s="149" t="s">
        <v>968</v>
      </c>
      <c r="L497" s="149"/>
      <c r="M497" s="149"/>
    </row>
    <row r="498" spans="1:13" hidden="1">
      <c r="A498" s="149" t="s">
        <v>116</v>
      </c>
      <c r="B498" s="149" t="s">
        <v>126</v>
      </c>
      <c r="C498" s="149" t="s">
        <v>611</v>
      </c>
      <c r="D498" s="149">
        <v>514177</v>
      </c>
      <c r="E498" s="281">
        <v>42753</v>
      </c>
      <c r="F498" s="281">
        <v>42947</v>
      </c>
      <c r="G498" s="149">
        <v>0.9</v>
      </c>
      <c r="H498" s="149">
        <v>4</v>
      </c>
      <c r="I498" s="149">
        <v>18</v>
      </c>
      <c r="J498" s="149">
        <v>25</v>
      </c>
      <c r="K498" s="149" t="s">
        <v>1378</v>
      </c>
      <c r="L498" s="149"/>
      <c r="M498" s="149"/>
    </row>
    <row r="499" spans="1:13" hidden="1">
      <c r="A499" s="149" t="s">
        <v>116</v>
      </c>
      <c r="B499" s="149" t="s">
        <v>126</v>
      </c>
      <c r="C499" s="149" t="s">
        <v>621</v>
      </c>
      <c r="D499" s="149">
        <v>514177</v>
      </c>
      <c r="E499" s="281">
        <v>42753</v>
      </c>
      <c r="F499" s="281">
        <v>42947</v>
      </c>
      <c r="G499" s="149">
        <v>4.9000000000000004</v>
      </c>
      <c r="H499" s="149">
        <v>5</v>
      </c>
      <c r="I499" s="149">
        <v>80</v>
      </c>
      <c r="J499" s="149">
        <v>99</v>
      </c>
      <c r="K499" s="149" t="s">
        <v>1390</v>
      </c>
      <c r="L499" s="149"/>
      <c r="M499" s="149"/>
    </row>
    <row r="500" spans="1:13" hidden="1">
      <c r="A500" s="149" t="s">
        <v>116</v>
      </c>
      <c r="B500" s="149" t="s">
        <v>126</v>
      </c>
      <c r="C500" s="149" t="s">
        <v>179</v>
      </c>
      <c r="D500" s="149">
        <v>514177</v>
      </c>
      <c r="E500" s="281">
        <v>42753</v>
      </c>
      <c r="F500" s="281">
        <v>42947</v>
      </c>
      <c r="G500" s="149">
        <v>6.1</v>
      </c>
      <c r="H500" s="149">
        <v>8</v>
      </c>
      <c r="I500" s="149">
        <v>67</v>
      </c>
      <c r="J500" s="149">
        <v>89</v>
      </c>
      <c r="K500" s="149" t="s">
        <v>1404</v>
      </c>
      <c r="L500" s="149"/>
      <c r="M500" s="149"/>
    </row>
    <row r="501" spans="1:13" hidden="1">
      <c r="A501" s="149" t="s">
        <v>116</v>
      </c>
      <c r="B501" s="149" t="s">
        <v>126</v>
      </c>
      <c r="C501" s="149" t="s">
        <v>280</v>
      </c>
      <c r="D501" s="149">
        <v>514177</v>
      </c>
      <c r="E501" s="281">
        <v>42753</v>
      </c>
      <c r="F501" s="281">
        <v>42947</v>
      </c>
      <c r="G501" s="149">
        <v>1.2</v>
      </c>
      <c r="H501" s="149">
        <v>2</v>
      </c>
      <c r="I501" s="149">
        <v>32</v>
      </c>
      <c r="J501" s="149">
        <v>40</v>
      </c>
      <c r="K501" s="149" t="s">
        <v>1418</v>
      </c>
      <c r="L501" s="149"/>
      <c r="M501" s="149"/>
    </row>
    <row r="502" spans="1:13" hidden="1">
      <c r="A502" s="149" t="s">
        <v>116</v>
      </c>
      <c r="B502" s="149" t="s">
        <v>126</v>
      </c>
      <c r="C502" s="149" t="s">
        <v>571</v>
      </c>
      <c r="D502" s="149">
        <v>514177</v>
      </c>
      <c r="E502" s="281">
        <v>42753</v>
      </c>
      <c r="F502" s="281">
        <v>42947</v>
      </c>
      <c r="G502" s="149">
        <v>2.2000000000000002</v>
      </c>
      <c r="H502" s="149">
        <v>3</v>
      </c>
      <c r="I502" s="149">
        <v>37</v>
      </c>
      <c r="J502" s="149">
        <v>47</v>
      </c>
      <c r="K502" s="149" t="s">
        <v>1340</v>
      </c>
      <c r="L502" s="149"/>
      <c r="M502" s="149"/>
    </row>
    <row r="503" spans="1:13" hidden="1">
      <c r="A503" s="149" t="s">
        <v>116</v>
      </c>
      <c r="B503" s="149" t="s">
        <v>126</v>
      </c>
      <c r="C503" s="149" t="s">
        <v>575</v>
      </c>
      <c r="D503" s="149">
        <v>514177</v>
      </c>
      <c r="E503" s="281">
        <v>42753</v>
      </c>
      <c r="F503" s="281">
        <v>42947</v>
      </c>
      <c r="G503" s="149">
        <v>9</v>
      </c>
      <c r="H503" s="149">
        <v>14</v>
      </c>
      <c r="I503" s="149">
        <v>105</v>
      </c>
      <c r="J503" s="149">
        <v>138</v>
      </c>
      <c r="K503" s="149" t="s">
        <v>1342</v>
      </c>
      <c r="L503" s="149"/>
      <c r="M503" s="149"/>
    </row>
    <row r="504" spans="1:13" hidden="1">
      <c r="A504" s="149" t="s">
        <v>116</v>
      </c>
      <c r="B504" s="149" t="s">
        <v>126</v>
      </c>
      <c r="C504" s="149" t="s">
        <v>526</v>
      </c>
      <c r="D504" s="149">
        <v>514177</v>
      </c>
      <c r="E504" s="281">
        <v>42753</v>
      </c>
      <c r="F504" s="281">
        <v>42947</v>
      </c>
      <c r="G504" s="149">
        <v>2.1</v>
      </c>
      <c r="H504" s="149">
        <v>5</v>
      </c>
      <c r="I504" s="149">
        <v>16</v>
      </c>
      <c r="J504" s="149">
        <v>25</v>
      </c>
      <c r="K504" s="149" t="s">
        <v>1476</v>
      </c>
      <c r="L504" s="149"/>
      <c r="M504" s="149"/>
    </row>
    <row r="505" spans="1:13" hidden="1">
      <c r="A505" s="149" t="s">
        <v>116</v>
      </c>
      <c r="B505" s="149" t="s">
        <v>126</v>
      </c>
      <c r="C505" s="149" t="s">
        <v>570</v>
      </c>
      <c r="D505" s="149">
        <v>514177</v>
      </c>
      <c r="E505" s="281">
        <v>42753</v>
      </c>
      <c r="F505" s="281">
        <v>42947</v>
      </c>
      <c r="G505" s="149">
        <v>1.1000000000000001</v>
      </c>
      <c r="H505" s="149">
        <v>1</v>
      </c>
      <c r="I505" s="149">
        <v>8</v>
      </c>
      <c r="J505" s="149">
        <v>11</v>
      </c>
      <c r="K505" s="149" t="s">
        <v>1338</v>
      </c>
      <c r="L505" s="149"/>
      <c r="M505" s="149"/>
    </row>
    <row r="506" spans="1:13" hidden="1">
      <c r="A506" s="149" t="s">
        <v>116</v>
      </c>
      <c r="B506" s="149" t="s">
        <v>126</v>
      </c>
      <c r="C506" s="149" t="s">
        <v>736</v>
      </c>
      <c r="D506" s="149">
        <v>514177</v>
      </c>
      <c r="E506" s="281">
        <v>42753</v>
      </c>
      <c r="F506" s="281">
        <v>42947</v>
      </c>
      <c r="G506" s="149">
        <v>0.7</v>
      </c>
      <c r="H506" s="149">
        <v>4</v>
      </c>
      <c r="I506" s="149">
        <v>26</v>
      </c>
      <c r="J506" s="149">
        <v>34</v>
      </c>
      <c r="K506" s="149" t="s">
        <v>1534</v>
      </c>
      <c r="L506" s="149"/>
      <c r="M506" s="149"/>
    </row>
    <row r="507" spans="1:13" hidden="1">
      <c r="A507" s="149" t="s">
        <v>116</v>
      </c>
      <c r="B507" s="149" t="s">
        <v>126</v>
      </c>
      <c r="C507" s="149" t="s">
        <v>725</v>
      </c>
      <c r="D507" s="149">
        <v>514177</v>
      </c>
      <c r="E507" s="281">
        <v>42753</v>
      </c>
      <c r="F507" s="281">
        <v>42947</v>
      </c>
      <c r="G507" s="149">
        <v>1.9</v>
      </c>
      <c r="H507" s="149">
        <v>9</v>
      </c>
      <c r="I507" s="149">
        <v>35</v>
      </c>
      <c r="J507" s="149">
        <v>51</v>
      </c>
      <c r="K507" s="149" t="s">
        <v>1524</v>
      </c>
      <c r="L507" s="149"/>
      <c r="M507" s="149"/>
    </row>
    <row r="508" spans="1:13" hidden="1">
      <c r="A508" s="149" t="s">
        <v>116</v>
      </c>
      <c r="B508" s="149" t="s">
        <v>126</v>
      </c>
      <c r="C508" s="149" t="s">
        <v>724</v>
      </c>
      <c r="D508" s="149">
        <v>514177</v>
      </c>
      <c r="E508" s="281">
        <v>42753</v>
      </c>
      <c r="F508" s="281">
        <v>42947</v>
      </c>
      <c r="G508" s="149">
        <v>7.4</v>
      </c>
      <c r="H508" s="149">
        <v>17</v>
      </c>
      <c r="I508" s="149">
        <v>100</v>
      </c>
      <c r="J508" s="149">
        <v>135</v>
      </c>
      <c r="K508" s="149" t="s">
        <v>1522</v>
      </c>
      <c r="L508" s="149"/>
      <c r="M508" s="149"/>
    </row>
    <row r="509" spans="1:13" hidden="1">
      <c r="A509" s="149" t="s">
        <v>116</v>
      </c>
      <c r="B509" s="149" t="s">
        <v>126</v>
      </c>
      <c r="C509" s="149" t="s">
        <v>194</v>
      </c>
      <c r="D509" s="149">
        <v>514177</v>
      </c>
      <c r="E509" s="281">
        <v>42753</v>
      </c>
      <c r="F509" s="281">
        <v>42947</v>
      </c>
      <c r="G509" s="149">
        <v>0.9</v>
      </c>
      <c r="H509" s="149">
        <v>1</v>
      </c>
      <c r="I509" s="149">
        <v>50</v>
      </c>
      <c r="J509" s="149">
        <v>59</v>
      </c>
      <c r="K509" s="149" t="s">
        <v>1436</v>
      </c>
      <c r="L509" s="149"/>
      <c r="M509" s="149"/>
    </row>
    <row r="510" spans="1:13" hidden="1">
      <c r="A510" s="149" t="s">
        <v>116</v>
      </c>
      <c r="B510" s="149" t="s">
        <v>126</v>
      </c>
      <c r="C510" s="149" t="s">
        <v>733</v>
      </c>
      <c r="D510" s="149">
        <v>514177</v>
      </c>
      <c r="E510" s="281">
        <v>42753</v>
      </c>
      <c r="F510" s="281">
        <v>42947</v>
      </c>
      <c r="G510" s="149">
        <v>7.3</v>
      </c>
      <c r="H510" s="149">
        <v>14</v>
      </c>
      <c r="I510" s="149">
        <v>83</v>
      </c>
      <c r="J510" s="149">
        <v>112</v>
      </c>
      <c r="K510" s="149" t="s">
        <v>1530</v>
      </c>
      <c r="L510" s="149"/>
      <c r="M510" s="149"/>
    </row>
    <row r="511" spans="1:13" hidden="1">
      <c r="A511" s="149" t="s">
        <v>116</v>
      </c>
      <c r="B511" s="149" t="s">
        <v>126</v>
      </c>
      <c r="C511" s="149" t="s">
        <v>650</v>
      </c>
      <c r="D511" s="149">
        <v>514177</v>
      </c>
      <c r="E511" s="281">
        <v>42753</v>
      </c>
      <c r="F511" s="281">
        <v>42947</v>
      </c>
      <c r="G511" s="149">
        <v>1.6</v>
      </c>
      <c r="H511" s="149"/>
      <c r="I511" s="149">
        <v>8</v>
      </c>
      <c r="J511" s="149">
        <v>9</v>
      </c>
      <c r="K511" s="149" t="s">
        <v>1422</v>
      </c>
      <c r="L511" s="149"/>
      <c r="M511" s="149"/>
    </row>
    <row r="512" spans="1:13" hidden="1">
      <c r="A512" s="149" t="s">
        <v>116</v>
      </c>
      <c r="B512" s="149" t="s">
        <v>126</v>
      </c>
      <c r="C512" s="149" t="s">
        <v>596</v>
      </c>
      <c r="D512" s="149">
        <v>514177</v>
      </c>
      <c r="E512" s="281">
        <v>42753</v>
      </c>
      <c r="F512" s="281">
        <v>42947</v>
      </c>
      <c r="G512" s="149">
        <v>7</v>
      </c>
      <c r="H512" s="149"/>
      <c r="I512" s="149">
        <v>130</v>
      </c>
      <c r="J512" s="149">
        <v>157</v>
      </c>
      <c r="K512" s="149" t="s">
        <v>1364</v>
      </c>
      <c r="L512" s="149"/>
      <c r="M512" s="149"/>
    </row>
    <row r="513" spans="1:13" hidden="1">
      <c r="A513" s="149" t="s">
        <v>116</v>
      </c>
      <c r="B513" s="149" t="s">
        <v>126</v>
      </c>
      <c r="C513" s="149" t="s">
        <v>580</v>
      </c>
      <c r="D513" s="149">
        <v>514177</v>
      </c>
      <c r="E513" s="281">
        <v>42753</v>
      </c>
      <c r="F513" s="281">
        <v>42947</v>
      </c>
      <c r="G513" s="149">
        <v>3</v>
      </c>
      <c r="H513" s="149">
        <v>2</v>
      </c>
      <c r="I513" s="149">
        <v>39</v>
      </c>
      <c r="J513" s="149">
        <v>48</v>
      </c>
      <c r="K513" s="149" t="s">
        <v>1348</v>
      </c>
      <c r="L513" s="149"/>
      <c r="M513" s="149"/>
    </row>
    <row r="514" spans="1:13" hidden="1">
      <c r="A514" s="149" t="s">
        <v>116</v>
      </c>
      <c r="B514" s="149" t="s">
        <v>126</v>
      </c>
      <c r="C514" s="149" t="s">
        <v>686</v>
      </c>
      <c r="D514" s="149">
        <v>514177</v>
      </c>
      <c r="E514" s="281">
        <v>42753</v>
      </c>
      <c r="F514" s="281">
        <v>42947</v>
      </c>
      <c r="G514" s="149">
        <v>7.7</v>
      </c>
      <c r="H514" s="149">
        <v>14</v>
      </c>
      <c r="I514" s="149">
        <v>92</v>
      </c>
      <c r="J514" s="149">
        <v>124</v>
      </c>
      <c r="K514" s="149" t="s">
        <v>1474</v>
      </c>
      <c r="L514" s="149"/>
      <c r="M514" s="149"/>
    </row>
    <row r="515" spans="1:13" hidden="1">
      <c r="A515" s="149" t="s">
        <v>116</v>
      </c>
      <c r="B515" s="149" t="s">
        <v>126</v>
      </c>
      <c r="C515" s="149" t="s">
        <v>201</v>
      </c>
      <c r="D515" s="149">
        <v>514177</v>
      </c>
      <c r="E515" s="281">
        <v>42753</v>
      </c>
      <c r="F515" s="281">
        <v>42947</v>
      </c>
      <c r="G515" s="149">
        <v>2.5</v>
      </c>
      <c r="H515" s="149">
        <v>13</v>
      </c>
      <c r="I515" s="149">
        <v>61</v>
      </c>
      <c r="J515" s="149">
        <v>87</v>
      </c>
      <c r="K515" s="149" t="s">
        <v>1456</v>
      </c>
      <c r="L515" s="149"/>
      <c r="M515" s="149"/>
    </row>
    <row r="516" spans="1:13" hidden="1">
      <c r="A516" s="149" t="s">
        <v>114</v>
      </c>
      <c r="B516" s="149" t="s">
        <v>126</v>
      </c>
      <c r="C516" s="149" t="s">
        <v>527</v>
      </c>
      <c r="D516" s="149">
        <v>514178</v>
      </c>
      <c r="E516" s="281">
        <v>42751</v>
      </c>
      <c r="F516" s="281">
        <v>43100</v>
      </c>
      <c r="G516" s="149">
        <v>14.7</v>
      </c>
      <c r="H516" s="149">
        <v>19</v>
      </c>
      <c r="I516" s="149">
        <v>167</v>
      </c>
      <c r="J516" s="149">
        <v>216</v>
      </c>
      <c r="K516" s="149" t="s">
        <v>1276</v>
      </c>
      <c r="L516" s="149"/>
      <c r="M516" s="149"/>
    </row>
    <row r="517" spans="1:13" hidden="1">
      <c r="A517" s="149" t="s">
        <v>114</v>
      </c>
      <c r="B517" s="149" t="s">
        <v>126</v>
      </c>
      <c r="C517" s="149" t="s">
        <v>497</v>
      </c>
      <c r="D517" s="149">
        <v>514178</v>
      </c>
      <c r="E517" s="281">
        <v>42751</v>
      </c>
      <c r="F517" s="281">
        <v>43100</v>
      </c>
      <c r="G517" s="149">
        <v>4.9000000000000004</v>
      </c>
      <c r="H517" s="149">
        <v>9</v>
      </c>
      <c r="I517" s="149">
        <v>42</v>
      </c>
      <c r="J517" s="149">
        <v>59</v>
      </c>
      <c r="K517" s="149" t="s">
        <v>1247</v>
      </c>
      <c r="L517" s="149"/>
      <c r="M517" s="149"/>
    </row>
    <row r="518" spans="1:13" hidden="1">
      <c r="A518" s="149" t="s">
        <v>114</v>
      </c>
      <c r="B518" s="149" t="s">
        <v>126</v>
      </c>
      <c r="C518" s="149" t="s">
        <v>482</v>
      </c>
      <c r="D518" s="149">
        <v>514178</v>
      </c>
      <c r="E518" s="281">
        <v>42751</v>
      </c>
      <c r="F518" s="281">
        <v>43100</v>
      </c>
      <c r="G518" s="149">
        <v>4.5999999999999996</v>
      </c>
      <c r="H518" s="149">
        <v>2</v>
      </c>
      <c r="I518" s="149">
        <v>41</v>
      </c>
      <c r="J518" s="149">
        <v>50</v>
      </c>
      <c r="K518" s="149" t="s">
        <v>1224</v>
      </c>
      <c r="L518" s="149"/>
      <c r="M518" s="149"/>
    </row>
    <row r="519" spans="1:13" hidden="1">
      <c r="A519" s="149" t="s">
        <v>114</v>
      </c>
      <c r="B519" s="149" t="s">
        <v>126</v>
      </c>
      <c r="C519" s="149" t="s">
        <v>188</v>
      </c>
      <c r="D519" s="149">
        <v>514178</v>
      </c>
      <c r="E519" s="281">
        <v>42751</v>
      </c>
      <c r="F519" s="281">
        <v>43100</v>
      </c>
      <c r="G519" s="149">
        <v>15.9</v>
      </c>
      <c r="H519" s="149">
        <v>20</v>
      </c>
      <c r="I519" s="149">
        <v>122</v>
      </c>
      <c r="J519" s="149">
        <v>164</v>
      </c>
      <c r="K519" s="149" t="s">
        <v>1226</v>
      </c>
      <c r="L519" s="149"/>
      <c r="M519" s="149"/>
    </row>
    <row r="520" spans="1:13" hidden="1">
      <c r="A520" s="149" t="s">
        <v>115</v>
      </c>
      <c r="B520" s="149" t="s">
        <v>126</v>
      </c>
      <c r="C520" s="149" t="s">
        <v>772</v>
      </c>
      <c r="D520" s="149">
        <v>514179</v>
      </c>
      <c r="E520" s="281">
        <v>42754</v>
      </c>
      <c r="F520" s="281">
        <v>43100</v>
      </c>
      <c r="G520" s="149">
        <v>11.7</v>
      </c>
      <c r="H520" s="149">
        <v>2</v>
      </c>
      <c r="I520" s="149">
        <v>124</v>
      </c>
      <c r="J520" s="149">
        <v>145</v>
      </c>
      <c r="K520" s="149" t="s">
        <v>1571</v>
      </c>
      <c r="L520" s="149"/>
      <c r="M520" s="149"/>
    </row>
    <row r="521" spans="1:13" hidden="1">
      <c r="A521" s="149" t="s">
        <v>115</v>
      </c>
      <c r="B521" s="149" t="s">
        <v>126</v>
      </c>
      <c r="C521" s="149" t="s">
        <v>846</v>
      </c>
      <c r="D521" s="149">
        <v>514179</v>
      </c>
      <c r="E521" s="281">
        <v>42754</v>
      </c>
      <c r="F521" s="281">
        <v>43100</v>
      </c>
      <c r="G521" s="149">
        <v>5.5</v>
      </c>
      <c r="H521" s="149">
        <v>2</v>
      </c>
      <c r="I521" s="149">
        <v>73</v>
      </c>
      <c r="J521" s="149">
        <v>86</v>
      </c>
      <c r="K521" s="149" t="s">
        <v>1683</v>
      </c>
      <c r="L521" s="149"/>
      <c r="M521" s="149"/>
    </row>
    <row r="522" spans="1:13" hidden="1">
      <c r="A522" s="149" t="s">
        <v>115</v>
      </c>
      <c r="B522" s="149" t="s">
        <v>126</v>
      </c>
      <c r="C522" s="149" t="s">
        <v>796</v>
      </c>
      <c r="D522" s="149">
        <v>514179</v>
      </c>
      <c r="E522" s="281">
        <v>42754</v>
      </c>
      <c r="F522" s="281">
        <v>43100</v>
      </c>
      <c r="G522" s="149">
        <v>3.7</v>
      </c>
      <c r="H522" s="149">
        <v>1</v>
      </c>
      <c r="I522" s="149">
        <v>38</v>
      </c>
      <c r="J522" s="149">
        <v>45</v>
      </c>
      <c r="K522" s="149" t="s">
        <v>1607</v>
      </c>
      <c r="L522" s="149"/>
      <c r="M522" s="149"/>
    </row>
    <row r="523" spans="1:13" hidden="1">
      <c r="A523" s="149" t="s">
        <v>115</v>
      </c>
      <c r="B523" s="149" t="s">
        <v>126</v>
      </c>
      <c r="C523" s="149" t="s">
        <v>859</v>
      </c>
      <c r="D523" s="149">
        <v>514179</v>
      </c>
      <c r="E523" s="281">
        <v>42754</v>
      </c>
      <c r="F523" s="281">
        <v>43100</v>
      </c>
      <c r="G523" s="149">
        <v>6.6</v>
      </c>
      <c r="H523" s="149">
        <v>14</v>
      </c>
      <c r="I523" s="149">
        <v>75</v>
      </c>
      <c r="J523" s="149">
        <v>103</v>
      </c>
      <c r="K523" s="149" t="s">
        <v>1717</v>
      </c>
      <c r="L523" s="149"/>
      <c r="M523" s="149"/>
    </row>
    <row r="524" spans="1:13" hidden="1">
      <c r="A524" s="149" t="s">
        <v>115</v>
      </c>
      <c r="B524" s="149" t="s">
        <v>126</v>
      </c>
      <c r="C524" s="149" t="s">
        <v>809</v>
      </c>
      <c r="D524" s="149">
        <v>514179</v>
      </c>
      <c r="E524" s="281">
        <v>42754</v>
      </c>
      <c r="F524" s="281">
        <v>43100</v>
      </c>
      <c r="G524" s="149">
        <v>5.4</v>
      </c>
      <c r="H524" s="149">
        <v>4</v>
      </c>
      <c r="I524" s="149">
        <v>49</v>
      </c>
      <c r="J524" s="149">
        <v>62</v>
      </c>
      <c r="K524" s="149" t="s">
        <v>1625</v>
      </c>
      <c r="L524" s="149"/>
      <c r="M524" s="149"/>
    </row>
    <row r="525" spans="1:13" hidden="1">
      <c r="A525" s="149" t="s">
        <v>115</v>
      </c>
      <c r="B525" s="149" t="s">
        <v>126</v>
      </c>
      <c r="C525" s="149" t="s">
        <v>750</v>
      </c>
      <c r="D525" s="149">
        <v>514179</v>
      </c>
      <c r="E525" s="281">
        <v>42754</v>
      </c>
      <c r="F525" s="281">
        <v>43100</v>
      </c>
      <c r="G525" s="149">
        <v>10</v>
      </c>
      <c r="H525" s="149">
        <v>8</v>
      </c>
      <c r="I525" s="149">
        <v>194</v>
      </c>
      <c r="J525" s="149">
        <v>234</v>
      </c>
      <c r="K525" s="149" t="s">
        <v>1543</v>
      </c>
      <c r="L525" s="149"/>
      <c r="M525" s="149"/>
    </row>
    <row r="526" spans="1:13" hidden="1">
      <c r="A526" s="149" t="s">
        <v>115</v>
      </c>
      <c r="B526" s="149" t="s">
        <v>126</v>
      </c>
      <c r="C526" s="149" t="s">
        <v>858</v>
      </c>
      <c r="D526" s="149">
        <v>514179</v>
      </c>
      <c r="E526" s="281">
        <v>42754</v>
      </c>
      <c r="F526" s="281">
        <v>43100</v>
      </c>
      <c r="G526" s="149">
        <v>0.1</v>
      </c>
      <c r="H526" s="149">
        <v>1</v>
      </c>
      <c r="I526" s="149">
        <v>20</v>
      </c>
      <c r="J526" s="149">
        <v>25</v>
      </c>
      <c r="K526" s="149" t="s">
        <v>1715</v>
      </c>
      <c r="L526" s="149"/>
      <c r="M526" s="149"/>
    </row>
    <row r="527" spans="1:13" hidden="1">
      <c r="A527" s="149" t="s">
        <v>115</v>
      </c>
      <c r="B527" s="149" t="s">
        <v>126</v>
      </c>
      <c r="C527" s="149" t="s">
        <v>256</v>
      </c>
      <c r="D527" s="149">
        <v>514179</v>
      </c>
      <c r="E527" s="281">
        <v>42754</v>
      </c>
      <c r="F527" s="281">
        <v>43100</v>
      </c>
      <c r="G527" s="149">
        <v>2.2000000000000002</v>
      </c>
      <c r="H527" s="149">
        <v>5</v>
      </c>
      <c r="I527" s="149">
        <v>84</v>
      </c>
      <c r="J527" s="149">
        <v>104</v>
      </c>
      <c r="K527" s="149" t="s">
        <v>1719</v>
      </c>
      <c r="L527" s="149"/>
      <c r="M527" s="149"/>
    </row>
    <row r="528" spans="1:13" hidden="1">
      <c r="A528" s="149" t="s">
        <v>112</v>
      </c>
      <c r="B528" s="149" t="s">
        <v>126</v>
      </c>
      <c r="C528" s="149" t="s">
        <v>329</v>
      </c>
      <c r="D528" s="149">
        <v>514180</v>
      </c>
      <c r="E528" s="281">
        <v>42759</v>
      </c>
      <c r="F528" s="281">
        <v>43100</v>
      </c>
      <c r="G528" s="149">
        <v>6</v>
      </c>
      <c r="H528" s="149"/>
      <c r="I528" s="149">
        <v>72</v>
      </c>
      <c r="J528" s="149">
        <v>85</v>
      </c>
      <c r="K528" s="149" t="s">
        <v>1059</v>
      </c>
      <c r="L528" s="149"/>
      <c r="M528" s="149"/>
    </row>
    <row r="529" spans="1:13" hidden="1">
      <c r="A529" s="149" t="s">
        <v>112</v>
      </c>
      <c r="B529" s="149" t="s">
        <v>126</v>
      </c>
      <c r="C529" s="149" t="s">
        <v>418</v>
      </c>
      <c r="D529" s="149">
        <v>514180</v>
      </c>
      <c r="E529" s="281">
        <v>42759</v>
      </c>
      <c r="F529" s="281">
        <v>43100</v>
      </c>
      <c r="G529" s="149">
        <v>8</v>
      </c>
      <c r="H529" s="149">
        <v>8</v>
      </c>
      <c r="I529" s="149">
        <v>120</v>
      </c>
      <c r="J529" s="149">
        <v>147</v>
      </c>
      <c r="K529" s="149" t="s">
        <v>1152</v>
      </c>
      <c r="L529" s="149"/>
      <c r="M529" s="149"/>
    </row>
    <row r="530" spans="1:13" hidden="1">
      <c r="A530" s="149" t="s">
        <v>112</v>
      </c>
      <c r="B530" s="149" t="s">
        <v>126</v>
      </c>
      <c r="C530" s="149" t="s">
        <v>346</v>
      </c>
      <c r="D530" s="149">
        <v>514180</v>
      </c>
      <c r="E530" s="281">
        <v>42759</v>
      </c>
      <c r="F530" s="281">
        <v>43100</v>
      </c>
      <c r="G530" s="149">
        <v>7</v>
      </c>
      <c r="H530" s="149">
        <v>11</v>
      </c>
      <c r="I530" s="149">
        <v>101</v>
      </c>
      <c r="J530" s="149">
        <v>128</v>
      </c>
      <c r="K530" s="149" t="s">
        <v>1075</v>
      </c>
      <c r="L530" s="149"/>
      <c r="M530" s="149"/>
    </row>
    <row r="531" spans="1:13" hidden="1">
      <c r="A531" s="149" t="s">
        <v>112</v>
      </c>
      <c r="B531" s="149" t="s">
        <v>126</v>
      </c>
      <c r="C531" s="149" t="s">
        <v>356</v>
      </c>
      <c r="D531" s="149">
        <v>514180</v>
      </c>
      <c r="E531" s="281">
        <v>42759</v>
      </c>
      <c r="F531" s="281">
        <v>43100</v>
      </c>
      <c r="G531" s="149">
        <v>5</v>
      </c>
      <c r="H531" s="149">
        <v>3</v>
      </c>
      <c r="I531" s="149">
        <v>110</v>
      </c>
      <c r="J531" s="149">
        <v>133</v>
      </c>
      <c r="K531" s="149" t="s">
        <v>1083</v>
      </c>
      <c r="L531" s="149"/>
      <c r="M531" s="149"/>
    </row>
    <row r="532" spans="1:13" hidden="1">
      <c r="A532" s="149" t="s">
        <v>113</v>
      </c>
      <c r="B532" s="149" t="s">
        <v>126</v>
      </c>
      <c r="C532" s="149" t="s">
        <v>164</v>
      </c>
      <c r="D532" s="149">
        <v>514181</v>
      </c>
      <c r="E532" s="281">
        <v>42761</v>
      </c>
      <c r="F532" s="281">
        <v>43100</v>
      </c>
      <c r="G532" s="149">
        <v>2.6</v>
      </c>
      <c r="H532" s="149"/>
      <c r="I532" s="149">
        <v>59</v>
      </c>
      <c r="J532" s="149">
        <v>71</v>
      </c>
      <c r="K532" s="149" t="s">
        <v>900</v>
      </c>
      <c r="L532" s="149"/>
      <c r="M532" s="149"/>
    </row>
    <row r="533" spans="1:13" hidden="1">
      <c r="A533" s="149" t="s">
        <v>113</v>
      </c>
      <c r="B533" s="149" t="s">
        <v>126</v>
      </c>
      <c r="C533" s="149" t="s">
        <v>237</v>
      </c>
      <c r="D533" s="149">
        <v>514181</v>
      </c>
      <c r="E533" s="281">
        <v>42761</v>
      </c>
      <c r="F533" s="281">
        <v>43100</v>
      </c>
      <c r="G533" s="149">
        <v>12.4</v>
      </c>
      <c r="H533" s="149">
        <v>1</v>
      </c>
      <c r="I533" s="149">
        <v>45</v>
      </c>
      <c r="J533" s="149">
        <v>54</v>
      </c>
      <c r="K533" s="149" t="s">
        <v>972</v>
      </c>
      <c r="L533" s="149"/>
      <c r="M533" s="149"/>
    </row>
    <row r="534" spans="1:13" hidden="1">
      <c r="A534" s="149" t="s">
        <v>113</v>
      </c>
      <c r="B534" s="149" t="s">
        <v>126</v>
      </c>
      <c r="C534" s="149" t="s">
        <v>166</v>
      </c>
      <c r="D534" s="149">
        <v>514181</v>
      </c>
      <c r="E534" s="281">
        <v>42761</v>
      </c>
      <c r="F534" s="281">
        <v>43100</v>
      </c>
      <c r="G534" s="149">
        <v>3.5</v>
      </c>
      <c r="H534" s="149"/>
      <c r="I534" s="149">
        <v>65</v>
      </c>
      <c r="J534" s="149">
        <v>79</v>
      </c>
      <c r="K534" s="149" t="s">
        <v>902</v>
      </c>
      <c r="L534" s="149"/>
      <c r="M534" s="149"/>
    </row>
    <row r="535" spans="1:13" hidden="1">
      <c r="A535" s="149" t="s">
        <v>112</v>
      </c>
      <c r="B535" s="149" t="s">
        <v>126</v>
      </c>
      <c r="C535" s="149" t="s">
        <v>438</v>
      </c>
      <c r="D535" s="149">
        <v>514182</v>
      </c>
      <c r="E535" s="281">
        <v>42766</v>
      </c>
      <c r="F535" s="281">
        <v>43100</v>
      </c>
      <c r="G535" s="149">
        <v>6.5</v>
      </c>
      <c r="H535" s="149"/>
      <c r="I535" s="149">
        <v>0.8</v>
      </c>
      <c r="J535" s="149">
        <v>108.8</v>
      </c>
      <c r="K535" s="149" t="s">
        <v>1175</v>
      </c>
      <c r="L535" s="149"/>
      <c r="M535" s="149"/>
    </row>
    <row r="536" spans="1:13" hidden="1">
      <c r="A536" s="149" t="s">
        <v>114</v>
      </c>
      <c r="B536" s="149" t="s">
        <v>325</v>
      </c>
      <c r="C536" s="149" t="s">
        <v>287</v>
      </c>
      <c r="D536" s="149">
        <v>514183</v>
      </c>
      <c r="E536" s="281">
        <v>42768</v>
      </c>
      <c r="F536" s="281">
        <v>43100</v>
      </c>
      <c r="G536" s="149">
        <v>0.15</v>
      </c>
      <c r="H536" s="149"/>
      <c r="I536" s="149"/>
      <c r="J536" s="149">
        <v>4</v>
      </c>
      <c r="K536" s="149" t="s">
        <v>2094</v>
      </c>
      <c r="L536" s="149"/>
      <c r="M536" s="149"/>
    </row>
    <row r="537" spans="1:13" hidden="1">
      <c r="A537" s="149" t="s">
        <v>114</v>
      </c>
      <c r="B537" s="149" t="s">
        <v>325</v>
      </c>
      <c r="C537" s="149" t="s">
        <v>507</v>
      </c>
      <c r="D537" s="149">
        <v>514183</v>
      </c>
      <c r="E537" s="281">
        <v>42768</v>
      </c>
      <c r="F537" s="281">
        <v>43100</v>
      </c>
      <c r="G537" s="149">
        <v>0.1</v>
      </c>
      <c r="H537" s="149"/>
      <c r="I537" s="149"/>
      <c r="J537" s="149">
        <v>3</v>
      </c>
      <c r="K537" s="149" t="s">
        <v>2093</v>
      </c>
      <c r="L537" s="149"/>
      <c r="M537" s="149"/>
    </row>
    <row r="538" spans="1:13" hidden="1">
      <c r="A538" s="149" t="s">
        <v>114</v>
      </c>
      <c r="B538" s="149" t="s">
        <v>325</v>
      </c>
      <c r="C538" s="149" t="s">
        <v>502</v>
      </c>
      <c r="D538" s="149">
        <v>514183</v>
      </c>
      <c r="E538" s="281">
        <v>42768</v>
      </c>
      <c r="F538" s="281">
        <v>43100</v>
      </c>
      <c r="G538" s="149">
        <v>0.1</v>
      </c>
      <c r="H538" s="149"/>
      <c r="I538" s="149"/>
      <c r="J538" s="149">
        <v>3</v>
      </c>
      <c r="K538" s="149" t="s">
        <v>2090</v>
      </c>
      <c r="L538" s="149"/>
      <c r="M538" s="149"/>
    </row>
    <row r="539" spans="1:13" hidden="1">
      <c r="A539" s="149" t="s">
        <v>114</v>
      </c>
      <c r="B539" s="149" t="s">
        <v>325</v>
      </c>
      <c r="C539" s="149" t="s">
        <v>498</v>
      </c>
      <c r="D539" s="149">
        <v>514183</v>
      </c>
      <c r="E539" s="281">
        <v>42768</v>
      </c>
      <c r="F539" s="281">
        <v>43100</v>
      </c>
      <c r="G539" s="149">
        <v>0.1</v>
      </c>
      <c r="H539" s="149"/>
      <c r="I539" s="149"/>
      <c r="J539" s="149">
        <v>3</v>
      </c>
      <c r="K539" s="149" t="s">
        <v>2091</v>
      </c>
      <c r="L539" s="149"/>
      <c r="M539" s="149"/>
    </row>
    <row r="540" spans="1:13" hidden="1">
      <c r="A540" s="149" t="s">
        <v>114</v>
      </c>
      <c r="B540" s="149" t="s">
        <v>325</v>
      </c>
      <c r="C540" s="149" t="s">
        <v>525</v>
      </c>
      <c r="D540" s="149">
        <v>514183</v>
      </c>
      <c r="E540" s="281">
        <v>42768</v>
      </c>
      <c r="F540" s="281">
        <v>43100</v>
      </c>
      <c r="G540" s="149">
        <v>0.2</v>
      </c>
      <c r="H540" s="149"/>
      <c r="I540" s="149"/>
      <c r="J540" s="149">
        <v>6</v>
      </c>
      <c r="K540" s="149" t="s">
        <v>2088</v>
      </c>
      <c r="L540" s="149"/>
      <c r="M540" s="149"/>
    </row>
    <row r="541" spans="1:13" hidden="1">
      <c r="A541" s="149" t="s">
        <v>114</v>
      </c>
      <c r="B541" s="149" t="s">
        <v>325</v>
      </c>
      <c r="C541" s="149" t="s">
        <v>474</v>
      </c>
      <c r="D541" s="149">
        <v>514183</v>
      </c>
      <c r="E541" s="281">
        <v>42768</v>
      </c>
      <c r="F541" s="281">
        <v>43100</v>
      </c>
      <c r="G541" s="149">
        <v>0.1</v>
      </c>
      <c r="H541" s="149"/>
      <c r="I541" s="149"/>
      <c r="J541" s="149">
        <v>3</v>
      </c>
      <c r="K541" s="149" t="s">
        <v>2092</v>
      </c>
      <c r="L541" s="149"/>
      <c r="M541" s="149"/>
    </row>
    <row r="542" spans="1:13" hidden="1">
      <c r="A542" s="149" t="s">
        <v>114</v>
      </c>
      <c r="B542" s="149" t="s">
        <v>325</v>
      </c>
      <c r="C542" s="149" t="s">
        <v>198</v>
      </c>
      <c r="D542" s="149">
        <v>514183</v>
      </c>
      <c r="E542" s="281">
        <v>42768</v>
      </c>
      <c r="F542" s="281">
        <v>43100</v>
      </c>
      <c r="G542" s="149">
        <v>0.1</v>
      </c>
      <c r="H542" s="149"/>
      <c r="I542" s="149"/>
      <c r="J542" s="149">
        <v>3</v>
      </c>
      <c r="K542" s="149" t="s">
        <v>2087</v>
      </c>
      <c r="L542" s="149"/>
      <c r="M542" s="149"/>
    </row>
    <row r="543" spans="1:13" hidden="1">
      <c r="A543" s="149" t="s">
        <v>114</v>
      </c>
      <c r="B543" s="149" t="s">
        <v>325</v>
      </c>
      <c r="C543" s="149" t="s">
        <v>473</v>
      </c>
      <c r="D543" s="149">
        <v>514183</v>
      </c>
      <c r="E543" s="281">
        <v>42768</v>
      </c>
      <c r="F543" s="281">
        <v>43100</v>
      </c>
      <c r="G543" s="149">
        <v>0.1</v>
      </c>
      <c r="H543" s="149"/>
      <c r="I543" s="149"/>
      <c r="J543" s="149">
        <v>3</v>
      </c>
      <c r="K543" s="149" t="s">
        <v>2089</v>
      </c>
      <c r="L543" s="149"/>
      <c r="M543" s="149"/>
    </row>
    <row r="544" spans="1:13" hidden="1">
      <c r="A544" s="149" t="s">
        <v>114</v>
      </c>
      <c r="B544" s="149" t="s">
        <v>325</v>
      </c>
      <c r="C544" s="149" t="s">
        <v>185</v>
      </c>
      <c r="D544" s="149">
        <v>514183</v>
      </c>
      <c r="E544" s="281">
        <v>42768</v>
      </c>
      <c r="F544" s="281">
        <v>43100</v>
      </c>
      <c r="G544" s="149">
        <v>0.12</v>
      </c>
      <c r="H544" s="149"/>
      <c r="I544" s="149"/>
      <c r="J544" s="149">
        <v>4</v>
      </c>
      <c r="K544" s="149" t="s">
        <v>2095</v>
      </c>
      <c r="L544" s="149"/>
      <c r="M544" s="149"/>
    </row>
    <row r="545" spans="1:13" hidden="1">
      <c r="A545" s="149" t="s">
        <v>114</v>
      </c>
      <c r="B545" s="149" t="s">
        <v>190</v>
      </c>
      <c r="C545" s="149" t="s">
        <v>472</v>
      </c>
      <c r="D545" s="149">
        <v>514184</v>
      </c>
      <c r="E545" s="281">
        <v>42768</v>
      </c>
      <c r="F545" s="281">
        <v>43100</v>
      </c>
      <c r="G545" s="149">
        <v>0.1</v>
      </c>
      <c r="H545" s="149"/>
      <c r="I545" s="149"/>
      <c r="J545" s="149">
        <v>4</v>
      </c>
      <c r="K545" s="149" t="s">
        <v>1214</v>
      </c>
      <c r="L545" s="149"/>
      <c r="M545" s="149"/>
    </row>
    <row r="546" spans="1:13" hidden="1">
      <c r="A546" s="149" t="s">
        <v>114</v>
      </c>
      <c r="B546" s="149" t="s">
        <v>190</v>
      </c>
      <c r="C546" s="149" t="s">
        <v>485</v>
      </c>
      <c r="D546" s="149">
        <v>514184</v>
      </c>
      <c r="E546" s="281">
        <v>42768</v>
      </c>
      <c r="F546" s="281">
        <v>43100</v>
      </c>
      <c r="G546" s="149">
        <v>0.2</v>
      </c>
      <c r="H546" s="149"/>
      <c r="I546" s="149"/>
      <c r="J546" s="149">
        <v>6</v>
      </c>
      <c r="K546" s="149" t="s">
        <v>1232</v>
      </c>
      <c r="L546" s="149"/>
      <c r="M546" s="149"/>
    </row>
    <row r="547" spans="1:13" hidden="1">
      <c r="A547" s="149" t="s">
        <v>114</v>
      </c>
      <c r="B547" s="149" t="s">
        <v>190</v>
      </c>
      <c r="C547" s="149" t="s">
        <v>491</v>
      </c>
      <c r="D547" s="149">
        <v>514184</v>
      </c>
      <c r="E547" s="281">
        <v>42768</v>
      </c>
      <c r="F547" s="281">
        <v>43100</v>
      </c>
      <c r="G547" s="149">
        <v>0.2</v>
      </c>
      <c r="H547" s="149"/>
      <c r="I547" s="149"/>
      <c r="J547" s="149">
        <v>6</v>
      </c>
      <c r="K547" s="149" t="s">
        <v>1241</v>
      </c>
      <c r="L547" s="149"/>
      <c r="M547" s="149"/>
    </row>
    <row r="548" spans="1:13" hidden="1">
      <c r="A548" s="149" t="s">
        <v>114</v>
      </c>
      <c r="B548" s="149" t="s">
        <v>190</v>
      </c>
      <c r="C548" s="149" t="s">
        <v>470</v>
      </c>
      <c r="D548" s="149">
        <v>514184</v>
      </c>
      <c r="E548" s="281">
        <v>42768</v>
      </c>
      <c r="F548" s="281">
        <v>43100</v>
      </c>
      <c r="G548" s="149">
        <v>0.2</v>
      </c>
      <c r="H548" s="149"/>
      <c r="I548" s="149"/>
      <c r="J548" s="149">
        <v>6</v>
      </c>
      <c r="K548" s="149" t="s">
        <v>1209</v>
      </c>
      <c r="L548" s="149"/>
      <c r="M548" s="149"/>
    </row>
    <row r="549" spans="1:13" hidden="1">
      <c r="A549" s="149" t="s">
        <v>114</v>
      </c>
      <c r="B549" s="149" t="s">
        <v>190</v>
      </c>
      <c r="C549" s="149" t="s">
        <v>183</v>
      </c>
      <c r="D549" s="149">
        <v>514184</v>
      </c>
      <c r="E549" s="281">
        <v>42768</v>
      </c>
      <c r="F549" s="281">
        <v>43100</v>
      </c>
      <c r="G549" s="149">
        <v>0.1</v>
      </c>
      <c r="H549" s="149"/>
      <c r="I549" s="149"/>
      <c r="J549" s="149">
        <v>4</v>
      </c>
      <c r="K549" s="149" t="s">
        <v>1216</v>
      </c>
      <c r="L549" s="149"/>
      <c r="M549" s="149"/>
    </row>
    <row r="550" spans="1:13" hidden="1">
      <c r="A550" s="149" t="s">
        <v>114</v>
      </c>
      <c r="B550" s="149" t="s">
        <v>190</v>
      </c>
      <c r="C550" s="149" t="s">
        <v>487</v>
      </c>
      <c r="D550" s="149">
        <v>514184</v>
      </c>
      <c r="E550" s="281">
        <v>42768</v>
      </c>
      <c r="F550" s="281">
        <v>43100</v>
      </c>
      <c r="G550" s="149">
        <v>0.2</v>
      </c>
      <c r="H550" s="149"/>
      <c r="I550" s="149"/>
      <c r="J550" s="149">
        <v>6</v>
      </c>
      <c r="K550" s="149" t="s">
        <v>1234</v>
      </c>
      <c r="L550" s="149"/>
      <c r="M550" s="149"/>
    </row>
    <row r="551" spans="1:13" hidden="1">
      <c r="A551" s="149" t="s">
        <v>114</v>
      </c>
      <c r="B551" s="149" t="s">
        <v>190</v>
      </c>
      <c r="C551" s="149" t="s">
        <v>290</v>
      </c>
      <c r="D551" s="149">
        <v>514184</v>
      </c>
      <c r="E551" s="281">
        <v>42768</v>
      </c>
      <c r="F551" s="281">
        <v>43100</v>
      </c>
      <c r="G551" s="149">
        <v>0.1</v>
      </c>
      <c r="H551" s="149"/>
      <c r="I551" s="149">
        <v>2</v>
      </c>
      <c r="J551" s="149">
        <v>5</v>
      </c>
      <c r="K551" s="149" t="s">
        <v>1236</v>
      </c>
      <c r="L551" s="149"/>
      <c r="M551" s="149"/>
    </row>
    <row r="552" spans="1:13" hidden="1">
      <c r="A552" s="149" t="s">
        <v>116</v>
      </c>
      <c r="B552" s="149" t="s">
        <v>126</v>
      </c>
      <c r="C552" s="149" t="s">
        <v>599</v>
      </c>
      <c r="D552" s="149">
        <v>514185</v>
      </c>
      <c r="E552" s="281">
        <v>42774</v>
      </c>
      <c r="F552" s="281">
        <v>43100</v>
      </c>
      <c r="G552" s="149">
        <v>10.8</v>
      </c>
      <c r="H552" s="149"/>
      <c r="I552" s="149">
        <v>189</v>
      </c>
      <c r="J552" s="149">
        <v>228</v>
      </c>
      <c r="K552" s="149" t="s">
        <v>1368</v>
      </c>
      <c r="L552" s="149"/>
      <c r="M552" s="149"/>
    </row>
    <row r="553" spans="1:13" hidden="1">
      <c r="A553" s="149" t="s">
        <v>116</v>
      </c>
      <c r="B553" s="149" t="s">
        <v>126</v>
      </c>
      <c r="C553" s="149" t="s">
        <v>569</v>
      </c>
      <c r="D553" s="149">
        <v>514185</v>
      </c>
      <c r="E553" s="281">
        <v>42774</v>
      </c>
      <c r="F553" s="281">
        <v>43100</v>
      </c>
      <c r="G553" s="149">
        <v>2.2000000000000002</v>
      </c>
      <c r="H553" s="149">
        <v>4</v>
      </c>
      <c r="I553" s="149">
        <v>49</v>
      </c>
      <c r="J553" s="149">
        <v>61</v>
      </c>
      <c r="K553" s="149" t="s">
        <v>1336</v>
      </c>
      <c r="L553" s="149"/>
      <c r="M553" s="149"/>
    </row>
    <row r="554" spans="1:13" hidden="1">
      <c r="A554" s="149" t="s">
        <v>116</v>
      </c>
      <c r="B554" s="149" t="s">
        <v>126</v>
      </c>
      <c r="C554" s="149" t="s">
        <v>595</v>
      </c>
      <c r="D554" s="149">
        <v>514185</v>
      </c>
      <c r="E554" s="281">
        <v>42774</v>
      </c>
      <c r="F554" s="281">
        <v>43100</v>
      </c>
      <c r="G554" s="149">
        <v>4.7</v>
      </c>
      <c r="H554" s="149">
        <v>5</v>
      </c>
      <c r="I554" s="149">
        <v>121</v>
      </c>
      <c r="J554" s="149">
        <v>148</v>
      </c>
      <c r="K554" s="149" t="s">
        <v>1362</v>
      </c>
      <c r="L554" s="149"/>
      <c r="M554" s="149"/>
    </row>
    <row r="555" spans="1:13" hidden="1">
      <c r="A555" s="149" t="s">
        <v>112</v>
      </c>
      <c r="B555" s="149" t="s">
        <v>126</v>
      </c>
      <c r="C555" s="149" t="s">
        <v>433</v>
      </c>
      <c r="D555" s="149">
        <v>514186</v>
      </c>
      <c r="E555" s="281">
        <v>42775</v>
      </c>
      <c r="F555" s="281">
        <v>43100</v>
      </c>
      <c r="G555" s="149">
        <v>1.6</v>
      </c>
      <c r="H555" s="149"/>
      <c r="I555" s="149">
        <v>39</v>
      </c>
      <c r="J555" s="149">
        <v>48</v>
      </c>
      <c r="K555" s="149" t="s">
        <v>1169</v>
      </c>
      <c r="L555" s="149"/>
      <c r="M555" s="149"/>
    </row>
    <row r="556" spans="1:13" hidden="1">
      <c r="A556" s="149" t="s">
        <v>115</v>
      </c>
      <c r="B556" s="149" t="s">
        <v>126</v>
      </c>
      <c r="C556" s="149" t="s">
        <v>770</v>
      </c>
      <c r="D556" s="149">
        <v>514187</v>
      </c>
      <c r="E556" s="281">
        <v>42779</v>
      </c>
      <c r="F556" s="281">
        <v>43100</v>
      </c>
      <c r="G556" s="149">
        <v>9.1</v>
      </c>
      <c r="H556" s="149">
        <v>4</v>
      </c>
      <c r="I556" s="149">
        <v>76</v>
      </c>
      <c r="J556" s="149">
        <v>93</v>
      </c>
      <c r="K556" s="149" t="s">
        <v>1565</v>
      </c>
      <c r="L556" s="149"/>
      <c r="M556" s="149"/>
    </row>
    <row r="557" spans="1:13" hidden="1">
      <c r="A557" s="149" t="s">
        <v>115</v>
      </c>
      <c r="B557" s="149" t="s">
        <v>126</v>
      </c>
      <c r="C557" s="149" t="s">
        <v>819</v>
      </c>
      <c r="D557" s="149">
        <v>514187</v>
      </c>
      <c r="E557" s="281">
        <v>42779</v>
      </c>
      <c r="F557" s="281">
        <v>43100</v>
      </c>
      <c r="G557" s="149">
        <v>8</v>
      </c>
      <c r="H557" s="149">
        <v>8</v>
      </c>
      <c r="I557" s="149">
        <v>120</v>
      </c>
      <c r="J557" s="149">
        <v>148</v>
      </c>
      <c r="K557" s="149" t="s">
        <v>1645</v>
      </c>
      <c r="L557" s="149"/>
      <c r="M557" s="149"/>
    </row>
    <row r="558" spans="1:13" hidden="1">
      <c r="A558" s="149" t="s">
        <v>115</v>
      </c>
      <c r="B558" s="149" t="s">
        <v>126</v>
      </c>
      <c r="C558" s="149" t="s">
        <v>850</v>
      </c>
      <c r="D558" s="149">
        <v>514187</v>
      </c>
      <c r="E558" s="281">
        <v>42779</v>
      </c>
      <c r="F558" s="281">
        <v>43100</v>
      </c>
      <c r="G558" s="149">
        <v>7.5</v>
      </c>
      <c r="H558" s="149">
        <v>13</v>
      </c>
      <c r="I558" s="149">
        <v>217</v>
      </c>
      <c r="J558" s="149">
        <v>267</v>
      </c>
      <c r="K558" s="149" t="s">
        <v>1697</v>
      </c>
      <c r="L558" s="149"/>
      <c r="M558" s="149"/>
    </row>
    <row r="559" spans="1:13" hidden="1">
      <c r="A559" s="149" t="s">
        <v>115</v>
      </c>
      <c r="B559" s="149" t="s">
        <v>126</v>
      </c>
      <c r="C559" s="149" t="s">
        <v>733</v>
      </c>
      <c r="D559" s="149">
        <v>514187</v>
      </c>
      <c r="E559" s="281">
        <v>42779</v>
      </c>
      <c r="F559" s="281">
        <v>43100</v>
      </c>
      <c r="G559" s="149">
        <v>1.1000000000000001</v>
      </c>
      <c r="H559" s="149">
        <v>4</v>
      </c>
      <c r="I559" s="149">
        <v>30</v>
      </c>
      <c r="J559" s="149">
        <v>39</v>
      </c>
      <c r="K559" s="149" t="s">
        <v>1713</v>
      </c>
      <c r="L559" s="149"/>
      <c r="M559" s="149"/>
    </row>
    <row r="560" spans="1:13" hidden="1">
      <c r="A560" s="149" t="s">
        <v>115</v>
      </c>
      <c r="B560" s="149" t="s">
        <v>126</v>
      </c>
      <c r="C560" s="149" t="s">
        <v>473</v>
      </c>
      <c r="D560" s="149">
        <v>514187</v>
      </c>
      <c r="E560" s="281">
        <v>42779</v>
      </c>
      <c r="F560" s="281">
        <v>43100</v>
      </c>
      <c r="G560" s="149">
        <v>5</v>
      </c>
      <c r="H560" s="149">
        <v>1</v>
      </c>
      <c r="I560" s="149">
        <v>65</v>
      </c>
      <c r="J560" s="149">
        <v>77</v>
      </c>
      <c r="K560" s="149" t="s">
        <v>1649</v>
      </c>
      <c r="L560" s="149"/>
      <c r="M560" s="149"/>
    </row>
    <row r="561" spans="1:13" hidden="1">
      <c r="A561" s="149" t="s">
        <v>113</v>
      </c>
      <c r="B561" s="149" t="s">
        <v>126</v>
      </c>
      <c r="C561" s="149" t="s">
        <v>247</v>
      </c>
      <c r="D561" s="149">
        <v>514188</v>
      </c>
      <c r="E561" s="281">
        <v>42781</v>
      </c>
      <c r="F561" s="281">
        <v>43100</v>
      </c>
      <c r="G561" s="149">
        <v>10.1</v>
      </c>
      <c r="H561" s="149">
        <v>2</v>
      </c>
      <c r="I561" s="149">
        <v>91</v>
      </c>
      <c r="J561" s="149">
        <v>116</v>
      </c>
      <c r="K561" s="149" t="s">
        <v>978</v>
      </c>
      <c r="L561" s="149"/>
      <c r="M561" s="149"/>
    </row>
    <row r="562" spans="1:13" hidden="1">
      <c r="A562" s="149" t="s">
        <v>113</v>
      </c>
      <c r="B562" s="149" t="s">
        <v>126</v>
      </c>
      <c r="C562" s="149" t="s">
        <v>256</v>
      </c>
      <c r="D562" s="149">
        <v>514188</v>
      </c>
      <c r="E562" s="281">
        <v>42781</v>
      </c>
      <c r="F562" s="281">
        <v>43100</v>
      </c>
      <c r="G562" s="149">
        <v>1.7</v>
      </c>
      <c r="H562" s="149"/>
      <c r="I562" s="149">
        <v>21</v>
      </c>
      <c r="J562" s="149">
        <v>26</v>
      </c>
      <c r="K562" s="149" t="s">
        <v>990</v>
      </c>
      <c r="L562" s="149"/>
      <c r="M562" s="149"/>
    </row>
    <row r="563" spans="1:13" hidden="1">
      <c r="A563" s="149" t="s">
        <v>113</v>
      </c>
      <c r="B563" s="149" t="s">
        <v>126</v>
      </c>
      <c r="C563" s="149" t="s">
        <v>146</v>
      </c>
      <c r="D563" s="149">
        <v>514188</v>
      </c>
      <c r="E563" s="281">
        <v>42781</v>
      </c>
      <c r="F563" s="281">
        <v>43100</v>
      </c>
      <c r="G563" s="149">
        <v>1.3</v>
      </c>
      <c r="H563" s="149">
        <v>4</v>
      </c>
      <c r="I563" s="149">
        <v>32</v>
      </c>
      <c r="J563" s="149">
        <v>42</v>
      </c>
      <c r="K563" s="149" t="s">
        <v>884</v>
      </c>
      <c r="L563" s="149"/>
      <c r="M563" s="149"/>
    </row>
    <row r="564" spans="1:13" hidden="1">
      <c r="A564" s="149" t="s">
        <v>112</v>
      </c>
      <c r="B564" s="149" t="s">
        <v>190</v>
      </c>
      <c r="C564" s="149" t="s">
        <v>289</v>
      </c>
      <c r="D564" s="149">
        <v>514189</v>
      </c>
      <c r="E564" s="281">
        <v>42783</v>
      </c>
      <c r="F564" s="281">
        <v>43100</v>
      </c>
      <c r="G564" s="149">
        <v>0.5</v>
      </c>
      <c r="H564" s="149"/>
      <c r="I564" s="149">
        <v>13</v>
      </c>
      <c r="J564" s="149">
        <v>16</v>
      </c>
      <c r="K564" s="149" t="s">
        <v>1111</v>
      </c>
      <c r="L564" s="149"/>
      <c r="M564" s="149"/>
    </row>
    <row r="565" spans="1:13" hidden="1">
      <c r="A565" s="149" t="s">
        <v>112</v>
      </c>
      <c r="B565" s="149" t="s">
        <v>190</v>
      </c>
      <c r="C565" s="149" t="s">
        <v>386</v>
      </c>
      <c r="D565" s="149">
        <v>514189</v>
      </c>
      <c r="E565" s="281">
        <v>42783</v>
      </c>
      <c r="F565" s="281">
        <v>43100</v>
      </c>
      <c r="G565" s="149">
        <v>0.5</v>
      </c>
      <c r="H565" s="149">
        <v>5</v>
      </c>
      <c r="I565" s="149">
        <v>12</v>
      </c>
      <c r="J565" s="149">
        <v>20</v>
      </c>
      <c r="K565" s="149" t="s">
        <v>1109</v>
      </c>
      <c r="L565" s="149"/>
      <c r="M565" s="149"/>
    </row>
    <row r="566" spans="1:13" hidden="1">
      <c r="A566" s="149" t="s">
        <v>112</v>
      </c>
      <c r="B566" s="149" t="s">
        <v>190</v>
      </c>
      <c r="C566" s="149" t="s">
        <v>395</v>
      </c>
      <c r="D566" s="149">
        <v>514189</v>
      </c>
      <c r="E566" s="281">
        <v>42783</v>
      </c>
      <c r="F566" s="281">
        <v>43100</v>
      </c>
      <c r="G566" s="149">
        <v>0.4</v>
      </c>
      <c r="H566" s="149">
        <v>13</v>
      </c>
      <c r="I566" s="149">
        <v>34</v>
      </c>
      <c r="J566" s="149">
        <v>54</v>
      </c>
      <c r="K566" s="149" t="s">
        <v>1127</v>
      </c>
      <c r="L566" s="149"/>
      <c r="M566" s="149"/>
    </row>
    <row r="567" spans="1:13" hidden="1">
      <c r="A567" s="149" t="s">
        <v>112</v>
      </c>
      <c r="B567" s="149" t="s">
        <v>190</v>
      </c>
      <c r="C567" s="149" t="s">
        <v>390</v>
      </c>
      <c r="D567" s="149">
        <v>514189</v>
      </c>
      <c r="E567" s="281">
        <v>42783</v>
      </c>
      <c r="F567" s="281">
        <v>43100</v>
      </c>
      <c r="G567" s="149">
        <v>0.3</v>
      </c>
      <c r="H567" s="149">
        <v>4</v>
      </c>
      <c r="I567" s="149">
        <v>10</v>
      </c>
      <c r="J567" s="149">
        <v>16</v>
      </c>
      <c r="K567" s="149" t="s">
        <v>1119</v>
      </c>
      <c r="L567" s="149"/>
      <c r="M567" s="149"/>
    </row>
    <row r="568" spans="1:13" hidden="1">
      <c r="A568" s="149" t="s">
        <v>112</v>
      </c>
      <c r="B568" s="149" t="s">
        <v>190</v>
      </c>
      <c r="C568" s="149" t="s">
        <v>391</v>
      </c>
      <c r="D568" s="149">
        <v>514189</v>
      </c>
      <c r="E568" s="281">
        <v>42783</v>
      </c>
      <c r="F568" s="281">
        <v>43100</v>
      </c>
      <c r="G568" s="149">
        <v>0.1</v>
      </c>
      <c r="H568" s="149"/>
      <c r="I568" s="149">
        <v>4</v>
      </c>
      <c r="J568" s="149">
        <v>4</v>
      </c>
      <c r="K568" s="149" t="s">
        <v>1121</v>
      </c>
      <c r="L568" s="149"/>
      <c r="M568" s="149"/>
    </row>
    <row r="569" spans="1:13" hidden="1">
      <c r="A569" s="149" t="s">
        <v>112</v>
      </c>
      <c r="B569" s="149" t="s">
        <v>190</v>
      </c>
      <c r="C569" s="149" t="s">
        <v>389</v>
      </c>
      <c r="D569" s="149">
        <v>514189</v>
      </c>
      <c r="E569" s="281">
        <v>42783</v>
      </c>
      <c r="F569" s="281">
        <v>43100</v>
      </c>
      <c r="G569" s="149">
        <v>0.1</v>
      </c>
      <c r="H569" s="149"/>
      <c r="I569" s="149">
        <v>21</v>
      </c>
      <c r="J569" s="149">
        <v>24</v>
      </c>
      <c r="K569" s="149" t="s">
        <v>1117</v>
      </c>
      <c r="L569" s="149"/>
      <c r="M569" s="149"/>
    </row>
    <row r="570" spans="1:13" hidden="1">
      <c r="A570" s="149" t="s">
        <v>112</v>
      </c>
      <c r="B570" s="149" t="s">
        <v>190</v>
      </c>
      <c r="C570" s="149" t="s">
        <v>387</v>
      </c>
      <c r="D570" s="149">
        <v>514189</v>
      </c>
      <c r="E570" s="281">
        <v>42783</v>
      </c>
      <c r="F570" s="281">
        <v>43100</v>
      </c>
      <c r="G570" s="149">
        <v>0.7</v>
      </c>
      <c r="H570" s="149">
        <v>11</v>
      </c>
      <c r="I570" s="149">
        <v>39</v>
      </c>
      <c r="J570" s="149">
        <v>59</v>
      </c>
      <c r="K570" s="149" t="s">
        <v>1113</v>
      </c>
      <c r="L570" s="149"/>
      <c r="M570" s="149"/>
    </row>
    <row r="571" spans="1:13" hidden="1">
      <c r="A571" s="149" t="s">
        <v>112</v>
      </c>
      <c r="B571" s="149" t="s">
        <v>190</v>
      </c>
      <c r="C571" s="149" t="s">
        <v>388</v>
      </c>
      <c r="D571" s="149">
        <v>514189</v>
      </c>
      <c r="E571" s="281">
        <v>42783</v>
      </c>
      <c r="F571" s="281">
        <v>43100</v>
      </c>
      <c r="G571" s="149">
        <v>0.2</v>
      </c>
      <c r="H571" s="149">
        <v>1</v>
      </c>
      <c r="I571" s="149">
        <v>9</v>
      </c>
      <c r="J571" s="149">
        <v>11</v>
      </c>
      <c r="K571" s="149" t="s">
        <v>1115</v>
      </c>
      <c r="L571" s="149"/>
      <c r="M571" s="149"/>
    </row>
    <row r="572" spans="1:13" hidden="1">
      <c r="A572" s="149" t="s">
        <v>112</v>
      </c>
      <c r="B572" s="149" t="s">
        <v>190</v>
      </c>
      <c r="C572" s="149" t="s">
        <v>381</v>
      </c>
      <c r="D572" s="149">
        <v>514189</v>
      </c>
      <c r="E572" s="281">
        <v>42783</v>
      </c>
      <c r="F572" s="281">
        <v>43100</v>
      </c>
      <c r="G572" s="149">
        <v>0.1</v>
      </c>
      <c r="H572" s="149">
        <v>1</v>
      </c>
      <c r="I572" s="149">
        <v>6</v>
      </c>
      <c r="J572" s="149">
        <v>8</v>
      </c>
      <c r="K572" s="149" t="s">
        <v>1105</v>
      </c>
      <c r="L572" s="149"/>
      <c r="M572" s="149"/>
    </row>
    <row r="573" spans="1:13" hidden="1">
      <c r="A573" s="149" t="s">
        <v>112</v>
      </c>
      <c r="B573" s="149" t="s">
        <v>190</v>
      </c>
      <c r="C573" s="149" t="s">
        <v>397</v>
      </c>
      <c r="D573" s="149">
        <v>514189</v>
      </c>
      <c r="E573" s="281">
        <v>42783</v>
      </c>
      <c r="F573" s="281">
        <v>43100</v>
      </c>
      <c r="G573" s="149">
        <v>0.5</v>
      </c>
      <c r="H573" s="149">
        <v>10</v>
      </c>
      <c r="I573" s="149">
        <v>29</v>
      </c>
      <c r="J573" s="149">
        <v>45</v>
      </c>
      <c r="K573" s="149" t="s">
        <v>1129</v>
      </c>
      <c r="L573" s="149"/>
      <c r="M573" s="149"/>
    </row>
    <row r="574" spans="1:13" hidden="1">
      <c r="A574" s="149" t="s">
        <v>112</v>
      </c>
      <c r="B574" s="149" t="s">
        <v>190</v>
      </c>
      <c r="C574" s="149" t="s">
        <v>384</v>
      </c>
      <c r="D574" s="149">
        <v>514189</v>
      </c>
      <c r="E574" s="281">
        <v>42783</v>
      </c>
      <c r="F574" s="281">
        <v>43100</v>
      </c>
      <c r="G574" s="149">
        <v>0.1</v>
      </c>
      <c r="H574" s="149"/>
      <c r="I574" s="149">
        <v>1</v>
      </c>
      <c r="J574" s="149">
        <v>1</v>
      </c>
      <c r="K574" s="149" t="s">
        <v>1107</v>
      </c>
      <c r="L574" s="149"/>
      <c r="M574" s="149"/>
    </row>
    <row r="575" spans="1:13" hidden="1">
      <c r="A575" s="149" t="s">
        <v>112</v>
      </c>
      <c r="B575" s="149" t="s">
        <v>190</v>
      </c>
      <c r="C575" s="149" t="s">
        <v>380</v>
      </c>
      <c r="D575" s="149">
        <v>514189</v>
      </c>
      <c r="E575" s="281">
        <v>42783</v>
      </c>
      <c r="F575" s="281">
        <v>43100</v>
      </c>
      <c r="G575" s="149">
        <v>7.0000000000000007E-2</v>
      </c>
      <c r="H575" s="149">
        <v>1</v>
      </c>
      <c r="I575" s="149">
        <v>6</v>
      </c>
      <c r="J575" s="149">
        <v>9</v>
      </c>
      <c r="K575" s="149" t="s">
        <v>1103</v>
      </c>
      <c r="L575" s="149"/>
      <c r="M575" s="149"/>
    </row>
    <row r="576" spans="1:13" hidden="1">
      <c r="A576" s="149" t="s">
        <v>112</v>
      </c>
      <c r="B576" s="149" t="s">
        <v>190</v>
      </c>
      <c r="C576" s="149" t="s">
        <v>350</v>
      </c>
      <c r="D576" s="149">
        <v>514189</v>
      </c>
      <c r="E576" s="281">
        <v>42783</v>
      </c>
      <c r="F576" s="281">
        <v>43100</v>
      </c>
      <c r="G576" s="149">
        <v>0.2</v>
      </c>
      <c r="H576" s="149"/>
      <c r="I576" s="149">
        <v>11</v>
      </c>
      <c r="J576" s="149">
        <v>13</v>
      </c>
      <c r="K576" s="149" t="s">
        <v>1079</v>
      </c>
      <c r="L576" s="149"/>
      <c r="M576" s="149"/>
    </row>
    <row r="577" spans="1:13" hidden="1">
      <c r="A577" s="149" t="s">
        <v>112</v>
      </c>
      <c r="B577" s="149" t="s">
        <v>190</v>
      </c>
      <c r="C577" s="149" t="s">
        <v>348</v>
      </c>
      <c r="D577" s="149">
        <v>514189</v>
      </c>
      <c r="E577" s="281">
        <v>42783</v>
      </c>
      <c r="F577" s="281">
        <v>43100</v>
      </c>
      <c r="G577" s="149">
        <v>0.7</v>
      </c>
      <c r="H577" s="149">
        <v>13</v>
      </c>
      <c r="I577" s="149">
        <v>36</v>
      </c>
      <c r="J577" s="149">
        <v>58</v>
      </c>
      <c r="K577" s="149" t="s">
        <v>1077</v>
      </c>
      <c r="L577" s="149"/>
      <c r="M577" s="149"/>
    </row>
    <row r="578" spans="1:13" hidden="1">
      <c r="A578" s="149" t="s">
        <v>116</v>
      </c>
      <c r="B578" s="149" t="s">
        <v>126</v>
      </c>
      <c r="C578" s="149" t="s">
        <v>588</v>
      </c>
      <c r="D578" s="149">
        <v>514190</v>
      </c>
      <c r="E578" s="281">
        <v>42803</v>
      </c>
      <c r="F578" s="281">
        <v>43100</v>
      </c>
      <c r="G578" s="149">
        <v>3.3</v>
      </c>
      <c r="H578" s="149">
        <v>1</v>
      </c>
      <c r="I578" s="149">
        <v>48</v>
      </c>
      <c r="J578" s="149">
        <v>56</v>
      </c>
      <c r="K578" s="149" t="s">
        <v>1356</v>
      </c>
      <c r="L578" s="149"/>
      <c r="M578" s="149"/>
    </row>
    <row r="579" spans="1:13" hidden="1">
      <c r="A579" s="149" t="s">
        <v>116</v>
      </c>
      <c r="B579" s="149" t="s">
        <v>126</v>
      </c>
      <c r="C579" s="149" t="s">
        <v>652</v>
      </c>
      <c r="D579" s="149">
        <v>514190</v>
      </c>
      <c r="E579" s="281">
        <v>42803</v>
      </c>
      <c r="F579" s="281">
        <v>43100</v>
      </c>
      <c r="G579" s="149">
        <v>2.1</v>
      </c>
      <c r="H579" s="149">
        <v>1</v>
      </c>
      <c r="I579" s="149">
        <v>54</v>
      </c>
      <c r="J579" s="149">
        <v>65</v>
      </c>
      <c r="K579" s="149" t="s">
        <v>1424</v>
      </c>
      <c r="L579" s="149"/>
      <c r="M579" s="149"/>
    </row>
    <row r="580" spans="1:13" hidden="1">
      <c r="A580" s="149" t="s">
        <v>116</v>
      </c>
      <c r="B580" s="149" t="s">
        <v>126</v>
      </c>
      <c r="C580" s="149" t="s">
        <v>634</v>
      </c>
      <c r="D580" s="149">
        <v>514190</v>
      </c>
      <c r="E580" s="281">
        <v>42803</v>
      </c>
      <c r="F580" s="281">
        <v>43100</v>
      </c>
      <c r="G580" s="149">
        <v>6.3</v>
      </c>
      <c r="H580" s="149">
        <v>7</v>
      </c>
      <c r="I580" s="149">
        <v>69</v>
      </c>
      <c r="J580" s="149">
        <v>88</v>
      </c>
      <c r="K580" s="149" t="s">
        <v>1406</v>
      </c>
      <c r="L580" s="149"/>
      <c r="M580" s="149"/>
    </row>
    <row r="581" spans="1:13" hidden="1">
      <c r="A581" s="149" t="s">
        <v>116</v>
      </c>
      <c r="B581" s="149" t="s">
        <v>126</v>
      </c>
      <c r="C581" s="149" t="s">
        <v>579</v>
      </c>
      <c r="D581" s="149">
        <v>514190</v>
      </c>
      <c r="E581" s="281">
        <v>42803</v>
      </c>
      <c r="F581" s="281">
        <v>43100</v>
      </c>
      <c r="G581" s="149">
        <v>6</v>
      </c>
      <c r="H581" s="149">
        <v>9</v>
      </c>
      <c r="I581" s="149">
        <v>99</v>
      </c>
      <c r="J581" s="149">
        <v>125</v>
      </c>
      <c r="K581" s="149" t="s">
        <v>1346</v>
      </c>
      <c r="L581" s="149"/>
      <c r="M581" s="149"/>
    </row>
    <row r="582" spans="1:13" hidden="1">
      <c r="A582" s="149" t="s">
        <v>114</v>
      </c>
      <c r="B582" s="149" t="s">
        <v>126</v>
      </c>
      <c r="C582" s="149" t="s">
        <v>458</v>
      </c>
      <c r="D582" s="149">
        <v>514191</v>
      </c>
      <c r="E582" s="281">
        <v>42803</v>
      </c>
      <c r="F582" s="281">
        <v>43100</v>
      </c>
      <c r="G582" s="149">
        <v>2.6</v>
      </c>
      <c r="H582" s="149">
        <v>6</v>
      </c>
      <c r="I582" s="149">
        <v>32</v>
      </c>
      <c r="J582" s="149">
        <v>44</v>
      </c>
      <c r="K582" s="149" t="s">
        <v>1195</v>
      </c>
      <c r="L582" s="149"/>
      <c r="M582" s="149"/>
    </row>
    <row r="583" spans="1:13" hidden="1">
      <c r="A583" s="149" t="s">
        <v>114</v>
      </c>
      <c r="B583" s="149" t="s">
        <v>126</v>
      </c>
      <c r="C583" s="149" t="s">
        <v>464</v>
      </c>
      <c r="D583" s="149">
        <v>514191</v>
      </c>
      <c r="E583" s="281">
        <v>42803</v>
      </c>
      <c r="F583" s="281">
        <v>43100</v>
      </c>
      <c r="G583" s="149">
        <v>3.9</v>
      </c>
      <c r="H583" s="149">
        <v>6</v>
      </c>
      <c r="I583" s="149">
        <v>57</v>
      </c>
      <c r="J583" s="149">
        <v>73</v>
      </c>
      <c r="K583" s="149" t="s">
        <v>1201</v>
      </c>
      <c r="L583" s="149"/>
      <c r="M583" s="149"/>
    </row>
    <row r="584" spans="1:13" hidden="1">
      <c r="A584" s="149" t="s">
        <v>114</v>
      </c>
      <c r="B584" s="149" t="s">
        <v>126</v>
      </c>
      <c r="C584" s="149" t="s">
        <v>490</v>
      </c>
      <c r="D584" s="149">
        <v>514191</v>
      </c>
      <c r="E584" s="281">
        <v>42803</v>
      </c>
      <c r="F584" s="281">
        <v>43100</v>
      </c>
      <c r="G584" s="149">
        <v>1.2</v>
      </c>
      <c r="H584" s="149">
        <v>5</v>
      </c>
      <c r="I584" s="149">
        <v>27</v>
      </c>
      <c r="J584" s="149">
        <v>37</v>
      </c>
      <c r="K584" s="149" t="s">
        <v>1239</v>
      </c>
      <c r="L584" s="149"/>
      <c r="M584" s="149"/>
    </row>
    <row r="585" spans="1:13" hidden="1">
      <c r="A585" s="149" t="s">
        <v>114</v>
      </c>
      <c r="B585" s="149" t="s">
        <v>126</v>
      </c>
      <c r="C585" s="149" t="s">
        <v>492</v>
      </c>
      <c r="D585" s="149">
        <v>514191</v>
      </c>
      <c r="E585" s="281">
        <v>42803</v>
      </c>
      <c r="F585" s="281">
        <v>43100</v>
      </c>
      <c r="G585" s="149">
        <v>1.9</v>
      </c>
      <c r="H585" s="149">
        <v>8</v>
      </c>
      <c r="I585" s="149">
        <v>32</v>
      </c>
      <c r="J585" s="149">
        <v>46</v>
      </c>
      <c r="K585" s="149" t="s">
        <v>1243</v>
      </c>
      <c r="L585" s="149"/>
      <c r="M585" s="149"/>
    </row>
    <row r="586" spans="1:13" hidden="1">
      <c r="A586" s="149" t="s">
        <v>114</v>
      </c>
      <c r="B586" s="149" t="s">
        <v>126</v>
      </c>
      <c r="C586" s="149" t="s">
        <v>494</v>
      </c>
      <c r="D586" s="149">
        <v>514191</v>
      </c>
      <c r="E586" s="281">
        <v>42803</v>
      </c>
      <c r="F586" s="281">
        <v>43100</v>
      </c>
      <c r="G586" s="149">
        <v>2.5</v>
      </c>
      <c r="H586" s="149">
        <v>9</v>
      </c>
      <c r="I586" s="149">
        <v>45</v>
      </c>
      <c r="J586" s="149">
        <v>63</v>
      </c>
      <c r="K586" s="149" t="s">
        <v>1245</v>
      </c>
      <c r="L586" s="149"/>
      <c r="M586" s="149"/>
    </row>
    <row r="587" spans="1:13" hidden="1">
      <c r="A587" s="149" t="s">
        <v>113</v>
      </c>
      <c r="B587" s="149" t="s">
        <v>126</v>
      </c>
      <c r="C587" s="149" t="s">
        <v>194</v>
      </c>
      <c r="D587" s="149">
        <v>514192</v>
      </c>
      <c r="E587" s="281">
        <v>42814</v>
      </c>
      <c r="F587" s="281">
        <v>43100</v>
      </c>
      <c r="G587" s="149">
        <v>3.1</v>
      </c>
      <c r="H587" s="149">
        <v>13</v>
      </c>
      <c r="I587" s="149">
        <v>85</v>
      </c>
      <c r="J587" s="149">
        <v>114</v>
      </c>
      <c r="K587" s="149" t="s">
        <v>938</v>
      </c>
      <c r="L587" s="149"/>
      <c r="M587" s="149"/>
    </row>
    <row r="588" spans="1:13" hidden="1">
      <c r="A588" s="149" t="s">
        <v>113</v>
      </c>
      <c r="B588" s="149" t="s">
        <v>126</v>
      </c>
      <c r="C588" s="149" t="s">
        <v>200</v>
      </c>
      <c r="D588" s="149">
        <v>514192</v>
      </c>
      <c r="E588" s="281">
        <v>42814</v>
      </c>
      <c r="F588" s="281">
        <v>43100</v>
      </c>
      <c r="G588" s="149">
        <v>2.4</v>
      </c>
      <c r="H588" s="149">
        <v>4</v>
      </c>
      <c r="I588" s="149">
        <v>46</v>
      </c>
      <c r="J588" s="149">
        <v>60</v>
      </c>
      <c r="K588" s="149" t="s">
        <v>944</v>
      </c>
      <c r="L588" s="149"/>
      <c r="M588" s="149"/>
    </row>
    <row r="589" spans="1:13">
      <c r="A589" s="149" t="s">
        <v>112</v>
      </c>
      <c r="B589" s="149" t="s">
        <v>126</v>
      </c>
      <c r="C589" s="149" t="s">
        <v>439</v>
      </c>
      <c r="D589" s="149">
        <v>514193</v>
      </c>
      <c r="E589" s="281">
        <v>42821</v>
      </c>
      <c r="F589" s="281">
        <v>43100</v>
      </c>
      <c r="G589" s="149">
        <v>7.5</v>
      </c>
      <c r="H589" s="149"/>
      <c r="I589" s="149">
        <v>113</v>
      </c>
      <c r="J589" s="149">
        <v>132</v>
      </c>
      <c r="K589" s="149" t="s">
        <v>1177</v>
      </c>
      <c r="L589" s="149"/>
      <c r="M589" s="149"/>
    </row>
    <row r="590" spans="1:13">
      <c r="A590" s="149" t="s">
        <v>112</v>
      </c>
      <c r="B590" s="149" t="s">
        <v>126</v>
      </c>
      <c r="C590" s="149" t="s">
        <v>392</v>
      </c>
      <c r="D590" s="149">
        <v>514193</v>
      </c>
      <c r="E590" s="281">
        <v>42821</v>
      </c>
      <c r="F590" s="281">
        <v>43100</v>
      </c>
      <c r="G590" s="149">
        <v>1.7</v>
      </c>
      <c r="H590" s="149"/>
      <c r="I590" s="149">
        <v>44</v>
      </c>
      <c r="J590" s="149">
        <v>51</v>
      </c>
      <c r="K590" s="149" t="s">
        <v>1123</v>
      </c>
      <c r="L590" s="149"/>
      <c r="M590" s="149"/>
    </row>
    <row r="591" spans="1:13">
      <c r="A591" s="149" t="s">
        <v>112</v>
      </c>
      <c r="B591" s="149" t="s">
        <v>126</v>
      </c>
      <c r="C591" s="149" t="s">
        <v>437</v>
      </c>
      <c r="D591" s="149">
        <v>514193</v>
      </c>
      <c r="E591" s="281">
        <v>42821</v>
      </c>
      <c r="F591" s="281">
        <v>43100</v>
      </c>
      <c r="G591" s="149">
        <v>7</v>
      </c>
      <c r="H591" s="149"/>
      <c r="I591" s="149">
        <v>63</v>
      </c>
      <c r="J591" s="149">
        <v>74</v>
      </c>
      <c r="K591" s="149" t="s">
        <v>1173</v>
      </c>
      <c r="L591" s="149"/>
      <c r="M591" s="149"/>
    </row>
    <row r="592" spans="1:13">
      <c r="A592" s="149" t="s">
        <v>112</v>
      </c>
      <c r="B592" s="149" t="s">
        <v>126</v>
      </c>
      <c r="C592" s="149" t="s">
        <v>394</v>
      </c>
      <c r="D592" s="149">
        <v>514193</v>
      </c>
      <c r="E592" s="281">
        <v>42821</v>
      </c>
      <c r="F592" s="281">
        <v>43100</v>
      </c>
      <c r="G592" s="149">
        <v>0.5</v>
      </c>
      <c r="H592" s="149"/>
      <c r="I592" s="149">
        <v>20</v>
      </c>
      <c r="J592" s="149">
        <v>23</v>
      </c>
      <c r="K592" s="149" t="s">
        <v>1125</v>
      </c>
      <c r="L592" s="149"/>
      <c r="M592" s="149"/>
    </row>
    <row r="593" spans="1:13">
      <c r="A593" s="149" t="s">
        <v>112</v>
      </c>
      <c r="B593" s="149" t="s">
        <v>126</v>
      </c>
      <c r="C593" s="149" t="s">
        <v>324</v>
      </c>
      <c r="D593" s="149">
        <v>514193</v>
      </c>
      <c r="E593" s="281">
        <v>42821</v>
      </c>
      <c r="F593" s="281">
        <v>43100</v>
      </c>
      <c r="G593" s="149">
        <v>5</v>
      </c>
      <c r="H593" s="149">
        <v>7</v>
      </c>
      <c r="I593" s="149">
        <v>74</v>
      </c>
      <c r="J593" s="149">
        <v>94</v>
      </c>
      <c r="K593" s="149" t="s">
        <v>1047</v>
      </c>
      <c r="L593" s="149"/>
      <c r="M593" s="149"/>
    </row>
    <row r="594" spans="1:13">
      <c r="A594" s="149" t="s">
        <v>112</v>
      </c>
      <c r="B594" s="149" t="s">
        <v>126</v>
      </c>
      <c r="C594" s="149" t="s">
        <v>407</v>
      </c>
      <c r="D594" s="149">
        <v>514193</v>
      </c>
      <c r="E594" s="281">
        <v>42821</v>
      </c>
      <c r="F594" s="281">
        <v>43100</v>
      </c>
      <c r="G594" s="149">
        <v>1</v>
      </c>
      <c r="H594" s="149"/>
      <c r="I594" s="149">
        <v>19</v>
      </c>
      <c r="J594" s="149">
        <v>22</v>
      </c>
      <c r="K594" s="149" t="s">
        <v>1144</v>
      </c>
      <c r="L594" s="149"/>
      <c r="M594" s="149"/>
    </row>
    <row r="595" spans="1:13">
      <c r="A595" s="149" t="s">
        <v>112</v>
      </c>
      <c r="B595" s="149" t="s">
        <v>126</v>
      </c>
      <c r="C595" s="149" t="s">
        <v>327</v>
      </c>
      <c r="D595" s="149">
        <v>514193</v>
      </c>
      <c r="E595" s="281">
        <v>42821</v>
      </c>
      <c r="F595" s="281">
        <v>43100</v>
      </c>
      <c r="G595" s="149">
        <v>0.9</v>
      </c>
      <c r="H595" s="149">
        <v>1</v>
      </c>
      <c r="I595" s="149">
        <v>14</v>
      </c>
      <c r="J595" s="149">
        <v>17</v>
      </c>
      <c r="K595" s="149" t="s">
        <v>1053</v>
      </c>
      <c r="L595" s="149"/>
      <c r="M595" s="149"/>
    </row>
    <row r="596" spans="1:13" hidden="1">
      <c r="A596" s="149" t="s">
        <v>115</v>
      </c>
      <c r="B596" s="149" t="s">
        <v>126</v>
      </c>
      <c r="C596" s="149" t="s">
        <v>811</v>
      </c>
      <c r="D596" s="149">
        <v>514194</v>
      </c>
      <c r="E596" s="281">
        <v>42821</v>
      </c>
      <c r="F596" s="281">
        <v>43100</v>
      </c>
      <c r="G596" s="149"/>
      <c r="H596" s="149"/>
      <c r="I596" s="149">
        <v>1</v>
      </c>
      <c r="J596" s="149">
        <v>1</v>
      </c>
      <c r="K596" s="149" t="s">
        <v>1627</v>
      </c>
      <c r="L596" s="149"/>
      <c r="M596" s="149"/>
    </row>
    <row r="597" spans="1:13" hidden="1">
      <c r="A597" s="149" t="s">
        <v>115</v>
      </c>
      <c r="B597" s="149" t="s">
        <v>126</v>
      </c>
      <c r="C597" s="149" t="s">
        <v>741</v>
      </c>
      <c r="D597" s="149">
        <v>514194</v>
      </c>
      <c r="E597" s="281">
        <v>42821</v>
      </c>
      <c r="F597" s="281">
        <v>43100</v>
      </c>
      <c r="G597" s="149">
        <v>12.2</v>
      </c>
      <c r="H597" s="149">
        <v>9</v>
      </c>
      <c r="I597" s="149">
        <v>161</v>
      </c>
      <c r="J597" s="149">
        <v>199</v>
      </c>
      <c r="K597" s="149" t="s">
        <v>1539</v>
      </c>
      <c r="L597" s="149"/>
      <c r="M597" s="149"/>
    </row>
    <row r="598" spans="1:13" hidden="1">
      <c r="A598" s="149" t="s">
        <v>115</v>
      </c>
      <c r="B598" s="149" t="s">
        <v>126</v>
      </c>
      <c r="C598" s="149" t="s">
        <v>773</v>
      </c>
      <c r="D598" s="149">
        <v>514194</v>
      </c>
      <c r="E598" s="281">
        <v>42821</v>
      </c>
      <c r="F598" s="281">
        <v>43100</v>
      </c>
      <c r="G598" s="149"/>
      <c r="H598" s="149"/>
      <c r="I598" s="149">
        <v>3</v>
      </c>
      <c r="J598" s="149">
        <v>3</v>
      </c>
      <c r="K598" s="149" t="s">
        <v>1573</v>
      </c>
      <c r="L598" s="149"/>
      <c r="M598" s="149"/>
    </row>
    <row r="599" spans="1:13" hidden="1">
      <c r="A599" s="149" t="s">
        <v>115</v>
      </c>
      <c r="B599" s="149" t="s">
        <v>126</v>
      </c>
      <c r="C599" s="149" t="s">
        <v>776</v>
      </c>
      <c r="D599" s="149">
        <v>514194</v>
      </c>
      <c r="E599" s="281">
        <v>42821</v>
      </c>
      <c r="F599" s="281">
        <v>43100</v>
      </c>
      <c r="G599" s="149">
        <v>5.6</v>
      </c>
      <c r="H599" s="149"/>
      <c r="I599" s="149">
        <v>56</v>
      </c>
      <c r="J599" s="149">
        <v>64</v>
      </c>
      <c r="K599" s="149" t="s">
        <v>1577</v>
      </c>
      <c r="L599" s="149"/>
      <c r="M599" s="149"/>
    </row>
    <row r="600" spans="1:13" hidden="1">
      <c r="A600" s="149" t="s">
        <v>115</v>
      </c>
      <c r="B600" s="149" t="s">
        <v>126</v>
      </c>
      <c r="C600" s="149" t="s">
        <v>813</v>
      </c>
      <c r="D600" s="149">
        <v>514194</v>
      </c>
      <c r="E600" s="281">
        <v>42821</v>
      </c>
      <c r="F600" s="281">
        <v>43100</v>
      </c>
      <c r="G600" s="149">
        <v>5.5</v>
      </c>
      <c r="H600" s="149">
        <v>1</v>
      </c>
      <c r="I600" s="149">
        <v>53</v>
      </c>
      <c r="J600" s="149">
        <v>63</v>
      </c>
      <c r="K600" s="149" t="s">
        <v>1631</v>
      </c>
      <c r="L600" s="149"/>
      <c r="M600" s="149"/>
    </row>
    <row r="601" spans="1:13" hidden="1">
      <c r="A601" s="149" t="s">
        <v>115</v>
      </c>
      <c r="B601" s="149" t="s">
        <v>126</v>
      </c>
      <c r="C601" s="149" t="s">
        <v>825</v>
      </c>
      <c r="D601" s="149">
        <v>514194</v>
      </c>
      <c r="E601" s="281">
        <v>42821</v>
      </c>
      <c r="F601" s="281">
        <v>43100</v>
      </c>
      <c r="G601" s="149">
        <v>3.3</v>
      </c>
      <c r="H601" s="149">
        <v>1</v>
      </c>
      <c r="I601" s="149">
        <v>16</v>
      </c>
      <c r="J601" s="149">
        <v>20</v>
      </c>
      <c r="K601" s="149" t="s">
        <v>1655</v>
      </c>
      <c r="L601" s="149"/>
      <c r="M601" s="149"/>
    </row>
    <row r="602" spans="1:13" hidden="1">
      <c r="A602" s="149" t="s">
        <v>115</v>
      </c>
      <c r="B602" s="149" t="s">
        <v>126</v>
      </c>
      <c r="C602" s="149" t="s">
        <v>838</v>
      </c>
      <c r="D602" s="149">
        <v>514194</v>
      </c>
      <c r="E602" s="281">
        <v>42821</v>
      </c>
      <c r="F602" s="281">
        <v>43100</v>
      </c>
      <c r="G602" s="149">
        <v>2.2000000000000002</v>
      </c>
      <c r="H602" s="149">
        <v>3</v>
      </c>
      <c r="I602" s="149">
        <v>29</v>
      </c>
      <c r="J602" s="149">
        <v>38</v>
      </c>
      <c r="K602" s="149" t="s">
        <v>1671</v>
      </c>
      <c r="L602" s="149"/>
      <c r="M602" s="149"/>
    </row>
    <row r="603" spans="1:13" hidden="1">
      <c r="A603" s="149" t="s">
        <v>115</v>
      </c>
      <c r="B603" s="149" t="s">
        <v>126</v>
      </c>
      <c r="C603" s="149" t="s">
        <v>771</v>
      </c>
      <c r="D603" s="149">
        <v>514194</v>
      </c>
      <c r="E603" s="281">
        <v>42821</v>
      </c>
      <c r="F603" s="281">
        <v>43100</v>
      </c>
      <c r="G603" s="149">
        <v>11</v>
      </c>
      <c r="H603" s="149">
        <v>5</v>
      </c>
      <c r="I603" s="149">
        <v>138</v>
      </c>
      <c r="J603" s="149">
        <v>166</v>
      </c>
      <c r="K603" s="149" t="s">
        <v>1569</v>
      </c>
      <c r="L603" s="149"/>
      <c r="M603" s="149"/>
    </row>
    <row r="604" spans="1:13" hidden="1">
      <c r="A604" s="149" t="s">
        <v>115</v>
      </c>
      <c r="B604" s="149" t="s">
        <v>126</v>
      </c>
      <c r="C604" s="149" t="s">
        <v>797</v>
      </c>
      <c r="D604" s="149">
        <v>514194</v>
      </c>
      <c r="E604" s="281">
        <v>42821</v>
      </c>
      <c r="F604" s="281">
        <v>43100</v>
      </c>
      <c r="G604" s="149"/>
      <c r="H604" s="149"/>
      <c r="I604" s="149">
        <v>5</v>
      </c>
      <c r="J604" s="149">
        <v>5</v>
      </c>
      <c r="K604" s="149" t="s">
        <v>1609</v>
      </c>
      <c r="L604" s="149"/>
      <c r="M604" s="149"/>
    </row>
    <row r="605" spans="1:13" hidden="1">
      <c r="A605" s="149" t="s">
        <v>115</v>
      </c>
      <c r="B605" s="149" t="s">
        <v>126</v>
      </c>
      <c r="C605" s="149" t="s">
        <v>752</v>
      </c>
      <c r="D605" s="149">
        <v>514200</v>
      </c>
      <c r="E605" s="281">
        <v>42521</v>
      </c>
      <c r="F605" s="281">
        <v>42735</v>
      </c>
      <c r="G605" s="149">
        <v>18.8</v>
      </c>
      <c r="H605" s="149">
        <v>38</v>
      </c>
      <c r="I605" s="149">
        <v>210</v>
      </c>
      <c r="J605" s="149">
        <v>248</v>
      </c>
      <c r="K605" s="149" t="s">
        <v>2098</v>
      </c>
      <c r="L605" s="149"/>
      <c r="M605" s="149"/>
    </row>
    <row r="606" spans="1:13" hidden="1">
      <c r="A606" s="149" t="s">
        <v>115</v>
      </c>
      <c r="B606" s="149" t="s">
        <v>126</v>
      </c>
      <c r="C606" s="149" t="s">
        <v>273</v>
      </c>
      <c r="D606" s="149">
        <v>514200</v>
      </c>
      <c r="E606" s="281">
        <v>42521</v>
      </c>
      <c r="F606" s="281">
        <v>42735</v>
      </c>
      <c r="G606" s="149">
        <v>25.5</v>
      </c>
      <c r="H606" s="149">
        <v>12</v>
      </c>
      <c r="I606" s="149">
        <v>241</v>
      </c>
      <c r="J606" s="149">
        <v>253</v>
      </c>
      <c r="K606" s="149" t="s">
        <v>2096</v>
      </c>
      <c r="L606" s="149"/>
      <c r="M606" s="149"/>
    </row>
    <row r="607" spans="1:13" hidden="1">
      <c r="A607" s="149" t="s">
        <v>115</v>
      </c>
      <c r="B607" s="149" t="s">
        <v>126</v>
      </c>
      <c r="C607" s="149" t="s">
        <v>492</v>
      </c>
      <c r="D607" s="149">
        <v>514200</v>
      </c>
      <c r="E607" s="281">
        <v>42521</v>
      </c>
      <c r="F607" s="281">
        <v>42735</v>
      </c>
      <c r="G607" s="149">
        <v>9.1999999999999993</v>
      </c>
      <c r="H607" s="149"/>
      <c r="I607" s="149">
        <v>226</v>
      </c>
      <c r="J607" s="149">
        <v>226</v>
      </c>
      <c r="K607" s="149" t="s">
        <v>2100</v>
      </c>
      <c r="L607" s="149"/>
      <c r="M607" s="149"/>
    </row>
    <row r="608" spans="1:13" hidden="1">
      <c r="A608" s="149" t="s">
        <v>115</v>
      </c>
      <c r="B608" s="149" t="s">
        <v>126</v>
      </c>
      <c r="C608" s="149" t="s">
        <v>182</v>
      </c>
      <c r="D608" s="149">
        <v>514200</v>
      </c>
      <c r="E608" s="281">
        <v>42521</v>
      </c>
      <c r="F608" s="281">
        <v>42735</v>
      </c>
      <c r="G608" s="149">
        <v>12</v>
      </c>
      <c r="H608" s="149">
        <v>7</v>
      </c>
      <c r="I608" s="149">
        <v>127</v>
      </c>
      <c r="J608" s="149">
        <v>134</v>
      </c>
      <c r="K608" s="149" t="s">
        <v>2101</v>
      </c>
      <c r="L608" s="149"/>
      <c r="M608" s="149"/>
    </row>
    <row r="609" spans="1:13" hidden="1">
      <c r="A609" s="149" t="s">
        <v>115</v>
      </c>
      <c r="B609" s="149" t="s">
        <v>126</v>
      </c>
      <c r="C609" s="149" t="s">
        <v>744</v>
      </c>
      <c r="D609" s="149">
        <v>514200</v>
      </c>
      <c r="E609" s="281">
        <v>42521</v>
      </c>
      <c r="F609" s="281">
        <v>42735</v>
      </c>
      <c r="G609" s="149">
        <v>19.8</v>
      </c>
      <c r="H609" s="149">
        <v>22</v>
      </c>
      <c r="I609" s="149">
        <v>231</v>
      </c>
      <c r="J609" s="149">
        <v>253</v>
      </c>
      <c r="K609" s="149" t="s">
        <v>2099</v>
      </c>
      <c r="L609" s="149"/>
      <c r="M609" s="149"/>
    </row>
    <row r="610" spans="1:13" hidden="1">
      <c r="A610" s="149" t="s">
        <v>115</v>
      </c>
      <c r="B610" s="149" t="s">
        <v>126</v>
      </c>
      <c r="C610" s="149" t="s">
        <v>823</v>
      </c>
      <c r="D610" s="149">
        <v>514200</v>
      </c>
      <c r="E610" s="281">
        <v>42521</v>
      </c>
      <c r="F610" s="281">
        <v>42735</v>
      </c>
      <c r="G610" s="149">
        <v>3.4</v>
      </c>
      <c r="H610" s="149">
        <v>6</v>
      </c>
      <c r="I610" s="149">
        <v>125</v>
      </c>
      <c r="J610" s="149">
        <v>131</v>
      </c>
      <c r="K610" s="149" t="s">
        <v>2097</v>
      </c>
      <c r="L610" s="149"/>
      <c r="M610" s="149"/>
    </row>
    <row r="611" spans="1:13" hidden="1">
      <c r="A611" s="149" t="s">
        <v>112</v>
      </c>
      <c r="B611" s="149" t="s">
        <v>190</v>
      </c>
      <c r="C611" s="149" t="s">
        <v>342</v>
      </c>
      <c r="D611" s="149">
        <v>514201</v>
      </c>
      <c r="E611" s="281">
        <v>42528</v>
      </c>
      <c r="F611" s="281">
        <v>42735</v>
      </c>
      <c r="G611" s="149">
        <v>0.3</v>
      </c>
      <c r="H611" s="149"/>
      <c r="I611" s="149">
        <v>8</v>
      </c>
      <c r="J611" s="149">
        <v>8</v>
      </c>
      <c r="K611" s="149" t="s">
        <v>2112</v>
      </c>
      <c r="L611" s="149"/>
      <c r="M611" s="149"/>
    </row>
    <row r="612" spans="1:13" hidden="1">
      <c r="A612" s="149" t="s">
        <v>112</v>
      </c>
      <c r="B612" s="149" t="s">
        <v>190</v>
      </c>
      <c r="C612" s="149" t="s">
        <v>182</v>
      </c>
      <c r="D612" s="149">
        <v>514201</v>
      </c>
      <c r="E612" s="281">
        <v>42528</v>
      </c>
      <c r="F612" s="281">
        <v>42735</v>
      </c>
      <c r="G612" s="149"/>
      <c r="H612" s="149">
        <v>2</v>
      </c>
      <c r="I612" s="149">
        <v>13</v>
      </c>
      <c r="J612" s="149">
        <v>15</v>
      </c>
      <c r="K612" s="149" t="s">
        <v>2117</v>
      </c>
      <c r="L612" s="149"/>
      <c r="M612" s="149"/>
    </row>
    <row r="613" spans="1:13" hidden="1">
      <c r="A613" s="149" t="s">
        <v>112</v>
      </c>
      <c r="B613" s="149" t="s">
        <v>190</v>
      </c>
      <c r="C613" s="149" t="s">
        <v>275</v>
      </c>
      <c r="D613" s="149">
        <v>514201</v>
      </c>
      <c r="E613" s="281">
        <v>42528</v>
      </c>
      <c r="F613" s="281">
        <v>42735</v>
      </c>
      <c r="G613" s="149">
        <v>0.6</v>
      </c>
      <c r="H613" s="149">
        <v>2</v>
      </c>
      <c r="I613" s="149">
        <v>14</v>
      </c>
      <c r="J613" s="149">
        <v>16</v>
      </c>
      <c r="K613" s="149" t="s">
        <v>2107</v>
      </c>
      <c r="L613" s="149"/>
      <c r="M613" s="149"/>
    </row>
    <row r="614" spans="1:13" hidden="1">
      <c r="A614" s="149" t="s">
        <v>112</v>
      </c>
      <c r="B614" s="149" t="s">
        <v>190</v>
      </c>
      <c r="C614" s="149" t="s">
        <v>341</v>
      </c>
      <c r="D614" s="149">
        <v>514201</v>
      </c>
      <c r="E614" s="281">
        <v>42528</v>
      </c>
      <c r="F614" s="281">
        <v>42735</v>
      </c>
      <c r="G614" s="149">
        <v>0.9</v>
      </c>
      <c r="H614" s="149">
        <v>5</v>
      </c>
      <c r="I614" s="149">
        <v>67</v>
      </c>
      <c r="J614" s="149">
        <v>72</v>
      </c>
      <c r="K614" s="149" t="s">
        <v>2105</v>
      </c>
      <c r="L614" s="149"/>
      <c r="M614" s="149"/>
    </row>
    <row r="615" spans="1:13" hidden="1">
      <c r="A615" s="149" t="s">
        <v>112</v>
      </c>
      <c r="B615" s="149" t="s">
        <v>190</v>
      </c>
      <c r="C615" s="149" t="s">
        <v>331</v>
      </c>
      <c r="D615" s="149">
        <v>514201</v>
      </c>
      <c r="E615" s="281">
        <v>42528</v>
      </c>
      <c r="F615" s="281">
        <v>42735</v>
      </c>
      <c r="G615" s="149">
        <v>0.1</v>
      </c>
      <c r="H615" s="149"/>
      <c r="I615" s="149">
        <v>7</v>
      </c>
      <c r="J615" s="149">
        <v>7</v>
      </c>
      <c r="K615" s="149" t="s">
        <v>2122</v>
      </c>
      <c r="L615" s="149"/>
      <c r="M615" s="149"/>
    </row>
    <row r="616" spans="1:13" hidden="1">
      <c r="A616" s="149" t="s">
        <v>112</v>
      </c>
      <c r="B616" s="149" t="s">
        <v>190</v>
      </c>
      <c r="C616" s="149" t="s">
        <v>338</v>
      </c>
      <c r="D616" s="149">
        <v>514201</v>
      </c>
      <c r="E616" s="281">
        <v>42528</v>
      </c>
      <c r="F616" s="281">
        <v>42735</v>
      </c>
      <c r="G616" s="149">
        <v>0.8</v>
      </c>
      <c r="H616" s="149">
        <v>7</v>
      </c>
      <c r="I616" s="149">
        <v>33</v>
      </c>
      <c r="J616" s="149">
        <v>40</v>
      </c>
      <c r="K616" s="149" t="s">
        <v>2120</v>
      </c>
      <c r="L616" s="149"/>
      <c r="M616" s="149"/>
    </row>
    <row r="617" spans="1:13" hidden="1">
      <c r="A617" s="149" t="s">
        <v>112</v>
      </c>
      <c r="B617" s="149" t="s">
        <v>190</v>
      </c>
      <c r="C617" s="149" t="s">
        <v>339</v>
      </c>
      <c r="D617" s="149">
        <v>514201</v>
      </c>
      <c r="E617" s="281">
        <v>42528</v>
      </c>
      <c r="F617" s="281">
        <v>42735</v>
      </c>
      <c r="G617" s="149">
        <v>0.5</v>
      </c>
      <c r="H617" s="149">
        <v>2</v>
      </c>
      <c r="I617" s="149">
        <v>12</v>
      </c>
      <c r="J617" s="149">
        <v>14</v>
      </c>
      <c r="K617" s="149" t="s">
        <v>2119</v>
      </c>
      <c r="L617" s="149"/>
      <c r="M617" s="149"/>
    </row>
    <row r="618" spans="1:13" hidden="1">
      <c r="A618" s="149" t="s">
        <v>112</v>
      </c>
      <c r="B618" s="149" t="s">
        <v>190</v>
      </c>
      <c r="C618" s="149" t="s">
        <v>332</v>
      </c>
      <c r="D618" s="149">
        <v>514201</v>
      </c>
      <c r="E618" s="281">
        <v>42528</v>
      </c>
      <c r="F618" s="281">
        <v>42735</v>
      </c>
      <c r="G618" s="149"/>
      <c r="H618" s="149"/>
      <c r="I618" s="149">
        <v>15</v>
      </c>
      <c r="J618" s="149">
        <v>15</v>
      </c>
      <c r="K618" s="149" t="s">
        <v>2116</v>
      </c>
      <c r="L618" s="149"/>
      <c r="M618" s="149"/>
    </row>
    <row r="619" spans="1:13" hidden="1">
      <c r="A619" s="149" t="s">
        <v>112</v>
      </c>
      <c r="B619" s="149" t="s">
        <v>190</v>
      </c>
      <c r="C619" s="149" t="s">
        <v>345</v>
      </c>
      <c r="D619" s="149">
        <v>514201</v>
      </c>
      <c r="E619" s="281">
        <v>42528</v>
      </c>
      <c r="F619" s="281">
        <v>42735</v>
      </c>
      <c r="G619" s="149">
        <v>0.3</v>
      </c>
      <c r="H619" s="149">
        <v>4</v>
      </c>
      <c r="I619" s="149">
        <v>17</v>
      </c>
      <c r="J619" s="149">
        <v>21</v>
      </c>
      <c r="K619" s="149" t="s">
        <v>2114</v>
      </c>
      <c r="L619" s="149"/>
      <c r="M619" s="149"/>
    </row>
    <row r="620" spans="1:13" hidden="1">
      <c r="A620" s="149" t="s">
        <v>112</v>
      </c>
      <c r="B620" s="149" t="s">
        <v>190</v>
      </c>
      <c r="C620" s="149" t="s">
        <v>379</v>
      </c>
      <c r="D620" s="149">
        <v>514201</v>
      </c>
      <c r="E620" s="281">
        <v>42528</v>
      </c>
      <c r="F620" s="281">
        <v>42735</v>
      </c>
      <c r="G620" s="149">
        <v>0.3</v>
      </c>
      <c r="H620" s="149">
        <v>7</v>
      </c>
      <c r="I620" s="149">
        <v>15</v>
      </c>
      <c r="J620" s="149">
        <v>22</v>
      </c>
      <c r="K620" s="149" t="s">
        <v>2103</v>
      </c>
      <c r="L620" s="149"/>
      <c r="M620" s="149"/>
    </row>
    <row r="621" spans="1:13" hidden="1">
      <c r="A621" s="149" t="s">
        <v>112</v>
      </c>
      <c r="B621" s="149" t="s">
        <v>190</v>
      </c>
      <c r="C621" s="149" t="s">
        <v>378</v>
      </c>
      <c r="D621" s="149">
        <v>514201</v>
      </c>
      <c r="E621" s="281">
        <v>42528</v>
      </c>
      <c r="F621" s="281">
        <v>42735</v>
      </c>
      <c r="G621" s="149">
        <v>0.3</v>
      </c>
      <c r="H621" s="149">
        <v>8</v>
      </c>
      <c r="I621" s="149">
        <v>16</v>
      </c>
      <c r="J621" s="149">
        <v>24</v>
      </c>
      <c r="K621" s="149" t="s">
        <v>2104</v>
      </c>
      <c r="L621" s="149"/>
      <c r="M621" s="149"/>
    </row>
    <row r="622" spans="1:13" hidden="1">
      <c r="A622" s="149" t="s">
        <v>112</v>
      </c>
      <c r="B622" s="149" t="s">
        <v>190</v>
      </c>
      <c r="C622" s="149" t="s">
        <v>382</v>
      </c>
      <c r="D622" s="149">
        <v>514201</v>
      </c>
      <c r="E622" s="281">
        <v>42528</v>
      </c>
      <c r="F622" s="281">
        <v>42735</v>
      </c>
      <c r="G622" s="149">
        <v>0.6</v>
      </c>
      <c r="H622" s="149">
        <v>9</v>
      </c>
      <c r="I622" s="149">
        <v>46</v>
      </c>
      <c r="J622" s="149">
        <v>55</v>
      </c>
      <c r="K622" s="149" t="s">
        <v>2124</v>
      </c>
      <c r="L622" s="149"/>
      <c r="M622" s="149"/>
    </row>
    <row r="623" spans="1:13" hidden="1">
      <c r="A623" s="149" t="s">
        <v>112</v>
      </c>
      <c r="B623" s="149" t="s">
        <v>190</v>
      </c>
      <c r="C623" s="149" t="s">
        <v>351</v>
      </c>
      <c r="D623" s="149">
        <v>514201</v>
      </c>
      <c r="E623" s="281">
        <v>42528</v>
      </c>
      <c r="F623" s="281">
        <v>42735</v>
      </c>
      <c r="G623" s="149">
        <v>0.2</v>
      </c>
      <c r="H623" s="149">
        <v>2</v>
      </c>
      <c r="I623" s="149">
        <v>8</v>
      </c>
      <c r="J623" s="149">
        <v>10</v>
      </c>
      <c r="K623" s="149" t="s">
        <v>2118</v>
      </c>
      <c r="L623" s="149"/>
      <c r="M623" s="149"/>
    </row>
    <row r="624" spans="1:13" hidden="1">
      <c r="A624" s="149" t="s">
        <v>112</v>
      </c>
      <c r="B624" s="149" t="s">
        <v>190</v>
      </c>
      <c r="C624" s="149" t="s">
        <v>376</v>
      </c>
      <c r="D624" s="149">
        <v>514201</v>
      </c>
      <c r="E624" s="281">
        <v>42528</v>
      </c>
      <c r="F624" s="281">
        <v>42735</v>
      </c>
      <c r="G624" s="149">
        <v>0.6</v>
      </c>
      <c r="H624" s="149">
        <v>12</v>
      </c>
      <c r="I624" s="149">
        <v>35</v>
      </c>
      <c r="J624" s="149">
        <v>47</v>
      </c>
      <c r="K624" s="149" t="s">
        <v>2115</v>
      </c>
      <c r="L624" s="149"/>
      <c r="M624" s="149"/>
    </row>
    <row r="625" spans="1:13" hidden="1">
      <c r="A625" s="149" t="s">
        <v>112</v>
      </c>
      <c r="B625" s="149" t="s">
        <v>190</v>
      </c>
      <c r="C625" s="149" t="s">
        <v>371</v>
      </c>
      <c r="D625" s="149">
        <v>514201</v>
      </c>
      <c r="E625" s="281">
        <v>42528</v>
      </c>
      <c r="F625" s="281">
        <v>42735</v>
      </c>
      <c r="G625" s="149">
        <v>0.3</v>
      </c>
      <c r="H625" s="149">
        <v>6</v>
      </c>
      <c r="I625" s="149">
        <v>18</v>
      </c>
      <c r="J625" s="149">
        <v>24</v>
      </c>
      <c r="K625" s="149" t="s">
        <v>2113</v>
      </c>
      <c r="L625" s="149"/>
      <c r="M625" s="149"/>
    </row>
    <row r="626" spans="1:13" hidden="1">
      <c r="A626" s="149" t="s">
        <v>112</v>
      </c>
      <c r="B626" s="149" t="s">
        <v>190</v>
      </c>
      <c r="C626" s="149" t="s">
        <v>370</v>
      </c>
      <c r="D626" s="149">
        <v>514201</v>
      </c>
      <c r="E626" s="281">
        <v>42528</v>
      </c>
      <c r="F626" s="281">
        <v>42735</v>
      </c>
      <c r="G626" s="149">
        <v>0.5</v>
      </c>
      <c r="H626" s="149">
        <v>9</v>
      </c>
      <c r="I626" s="149">
        <v>30</v>
      </c>
      <c r="J626" s="149">
        <v>39</v>
      </c>
      <c r="K626" s="149" t="s">
        <v>2108</v>
      </c>
      <c r="L626" s="149"/>
      <c r="M626" s="149"/>
    </row>
    <row r="627" spans="1:13" hidden="1">
      <c r="A627" s="149" t="s">
        <v>112</v>
      </c>
      <c r="B627" s="149" t="s">
        <v>190</v>
      </c>
      <c r="C627" s="149" t="s">
        <v>375</v>
      </c>
      <c r="D627" s="149">
        <v>514201</v>
      </c>
      <c r="E627" s="281">
        <v>42528</v>
      </c>
      <c r="F627" s="281">
        <v>42735</v>
      </c>
      <c r="G627" s="149">
        <v>0.4</v>
      </c>
      <c r="H627" s="149">
        <v>10</v>
      </c>
      <c r="I627" s="149">
        <v>21</v>
      </c>
      <c r="J627" s="149">
        <v>31</v>
      </c>
      <c r="K627" s="149" t="s">
        <v>2111</v>
      </c>
      <c r="L627" s="149"/>
      <c r="M627" s="149"/>
    </row>
    <row r="628" spans="1:13" hidden="1">
      <c r="A628" s="149" t="s">
        <v>112</v>
      </c>
      <c r="B628" s="149" t="s">
        <v>190</v>
      </c>
      <c r="C628" s="149" t="s">
        <v>374</v>
      </c>
      <c r="D628" s="149">
        <v>514201</v>
      </c>
      <c r="E628" s="281">
        <v>42528</v>
      </c>
      <c r="F628" s="281">
        <v>42735</v>
      </c>
      <c r="G628" s="149">
        <v>0.3</v>
      </c>
      <c r="H628" s="149">
        <v>9</v>
      </c>
      <c r="I628" s="149">
        <v>10</v>
      </c>
      <c r="J628" s="149">
        <v>19</v>
      </c>
      <c r="K628" s="149" t="s">
        <v>2110</v>
      </c>
      <c r="L628" s="149"/>
      <c r="M628" s="149"/>
    </row>
    <row r="629" spans="1:13" hidden="1">
      <c r="A629" s="149" t="s">
        <v>112</v>
      </c>
      <c r="B629" s="149" t="s">
        <v>190</v>
      </c>
      <c r="C629" s="149" t="s">
        <v>349</v>
      </c>
      <c r="D629" s="149">
        <v>514201</v>
      </c>
      <c r="E629" s="281">
        <v>42528</v>
      </c>
      <c r="F629" s="281">
        <v>42735</v>
      </c>
      <c r="G629" s="149">
        <v>0.2</v>
      </c>
      <c r="H629" s="149"/>
      <c r="I629" s="149">
        <v>10</v>
      </c>
      <c r="J629" s="149">
        <v>10</v>
      </c>
      <c r="K629" s="149" t="s">
        <v>2123</v>
      </c>
      <c r="L629" s="149"/>
      <c r="M629" s="149"/>
    </row>
    <row r="630" spans="1:13" hidden="1">
      <c r="A630" s="149" t="s">
        <v>112</v>
      </c>
      <c r="B630" s="149" t="s">
        <v>190</v>
      </c>
      <c r="C630" s="149" t="s">
        <v>347</v>
      </c>
      <c r="D630" s="149">
        <v>514201</v>
      </c>
      <c r="E630" s="281">
        <v>42528</v>
      </c>
      <c r="F630" s="281">
        <v>42735</v>
      </c>
      <c r="G630" s="149">
        <v>0.2</v>
      </c>
      <c r="H630" s="149">
        <v>2</v>
      </c>
      <c r="I630" s="149">
        <v>10</v>
      </c>
      <c r="J630" s="149">
        <v>12</v>
      </c>
      <c r="K630" s="149" t="s">
        <v>2121</v>
      </c>
      <c r="L630" s="149"/>
      <c r="M630" s="149"/>
    </row>
    <row r="631" spans="1:13" hidden="1">
      <c r="A631" s="149" t="s">
        <v>112</v>
      </c>
      <c r="B631" s="149" t="s">
        <v>190</v>
      </c>
      <c r="C631" s="149" t="s">
        <v>193</v>
      </c>
      <c r="D631" s="149">
        <v>514201</v>
      </c>
      <c r="E631" s="281">
        <v>42528</v>
      </c>
      <c r="F631" s="281">
        <v>42735</v>
      </c>
      <c r="G631" s="149">
        <v>0.3</v>
      </c>
      <c r="H631" s="149"/>
      <c r="I631" s="149">
        <v>18</v>
      </c>
      <c r="J631" s="149">
        <v>18</v>
      </c>
      <c r="K631" s="149" t="s">
        <v>2106</v>
      </c>
      <c r="L631" s="149"/>
      <c r="M631" s="149"/>
    </row>
    <row r="632" spans="1:13" hidden="1">
      <c r="A632" s="149" t="s">
        <v>112</v>
      </c>
      <c r="B632" s="149" t="s">
        <v>190</v>
      </c>
      <c r="C632" s="149" t="s">
        <v>383</v>
      </c>
      <c r="D632" s="149">
        <v>514201</v>
      </c>
      <c r="E632" s="281">
        <v>42528</v>
      </c>
      <c r="F632" s="281">
        <v>42735</v>
      </c>
      <c r="G632" s="149">
        <v>0.1</v>
      </c>
      <c r="H632" s="149"/>
      <c r="I632" s="149">
        <v>3</v>
      </c>
      <c r="J632" s="149">
        <v>3</v>
      </c>
      <c r="K632" s="149" t="s">
        <v>2109</v>
      </c>
      <c r="L632" s="149"/>
      <c r="M632" s="149"/>
    </row>
    <row r="633" spans="1:13" hidden="1">
      <c r="A633" s="149" t="s">
        <v>112</v>
      </c>
      <c r="B633" s="149" t="s">
        <v>190</v>
      </c>
      <c r="C633" s="149" t="s">
        <v>346</v>
      </c>
      <c r="D633" s="149">
        <v>514201</v>
      </c>
      <c r="E633" s="281">
        <v>42528</v>
      </c>
      <c r="F633" s="281">
        <v>42735</v>
      </c>
      <c r="G633" s="149">
        <v>0.4</v>
      </c>
      <c r="H633" s="149">
        <v>4</v>
      </c>
      <c r="I633" s="149">
        <v>21</v>
      </c>
      <c r="J633" s="149">
        <v>25</v>
      </c>
      <c r="K633" s="149" t="s">
        <v>2102</v>
      </c>
      <c r="L633" s="149"/>
      <c r="M633" s="149"/>
    </row>
    <row r="634" spans="1:13" hidden="1">
      <c r="A634" s="149" t="s">
        <v>112</v>
      </c>
      <c r="B634" s="149" t="s">
        <v>325</v>
      </c>
      <c r="C634" s="149" t="s">
        <v>385</v>
      </c>
      <c r="D634" s="149">
        <v>514202</v>
      </c>
      <c r="E634" s="281">
        <v>42558</v>
      </c>
      <c r="F634" s="281">
        <v>42735</v>
      </c>
      <c r="G634" s="149">
        <v>2.8</v>
      </c>
      <c r="H634" s="149"/>
      <c r="I634" s="149"/>
      <c r="J634" s="149"/>
      <c r="K634" s="149" t="s">
        <v>2125</v>
      </c>
      <c r="L634" s="149"/>
      <c r="M634" s="149"/>
    </row>
    <row r="635" spans="1:13" hidden="1">
      <c r="A635" s="149" t="s">
        <v>116</v>
      </c>
      <c r="B635" s="149" t="s">
        <v>126</v>
      </c>
      <c r="C635" s="149" t="s">
        <v>722</v>
      </c>
      <c r="D635" s="149">
        <v>514203</v>
      </c>
      <c r="E635" s="281">
        <v>42550</v>
      </c>
      <c r="F635" s="281">
        <v>42734</v>
      </c>
      <c r="G635" s="149"/>
      <c r="H635" s="149"/>
      <c r="I635" s="149">
        <v>28</v>
      </c>
      <c r="J635" s="149">
        <v>28</v>
      </c>
      <c r="K635" s="149" t="s">
        <v>2126</v>
      </c>
      <c r="L635" s="149"/>
      <c r="M635" s="149"/>
    </row>
    <row r="636" spans="1:13" hidden="1">
      <c r="A636" s="149" t="s">
        <v>116</v>
      </c>
      <c r="B636" s="149" t="s">
        <v>126</v>
      </c>
      <c r="C636" s="149" t="s">
        <v>208</v>
      </c>
      <c r="D636" s="149">
        <v>514203</v>
      </c>
      <c r="E636" s="281">
        <v>42550</v>
      </c>
      <c r="F636" s="281">
        <v>42734</v>
      </c>
      <c r="G636" s="149">
        <v>13.5</v>
      </c>
      <c r="H636" s="149">
        <v>17</v>
      </c>
      <c r="I636" s="149">
        <v>171</v>
      </c>
      <c r="J636" s="149">
        <v>188</v>
      </c>
      <c r="K636" s="149" t="s">
        <v>2127</v>
      </c>
      <c r="L636" s="149"/>
      <c r="M636" s="149"/>
    </row>
    <row r="637" spans="1:13" hidden="1">
      <c r="A637" s="149" t="s">
        <v>113</v>
      </c>
      <c r="B637" s="149" t="s">
        <v>152</v>
      </c>
      <c r="C637" s="149" t="s">
        <v>170</v>
      </c>
      <c r="D637" s="149">
        <v>514204</v>
      </c>
      <c r="E637" s="281">
        <v>42558</v>
      </c>
      <c r="F637" s="281">
        <v>42735</v>
      </c>
      <c r="G637" s="149">
        <v>2.2000000000000002</v>
      </c>
      <c r="H637" s="149"/>
      <c r="I637" s="149">
        <v>165</v>
      </c>
      <c r="J637" s="149">
        <v>165</v>
      </c>
      <c r="K637" s="149" t="s">
        <v>2129</v>
      </c>
      <c r="L637" s="149"/>
      <c r="M637" s="149"/>
    </row>
    <row r="638" spans="1:13" hidden="1">
      <c r="A638" s="149" t="s">
        <v>113</v>
      </c>
      <c r="B638" s="149" t="s">
        <v>152</v>
      </c>
      <c r="C638" s="149" t="s">
        <v>175</v>
      </c>
      <c r="D638" s="149">
        <v>514204</v>
      </c>
      <c r="E638" s="281">
        <v>42558</v>
      </c>
      <c r="F638" s="281">
        <v>42735</v>
      </c>
      <c r="G638" s="149">
        <v>1.6</v>
      </c>
      <c r="H638" s="149"/>
      <c r="I638" s="149">
        <v>84</v>
      </c>
      <c r="J638" s="149">
        <v>84</v>
      </c>
      <c r="K638" s="149" t="s">
        <v>2128</v>
      </c>
      <c r="L638" s="149"/>
      <c r="M638" s="149"/>
    </row>
    <row r="639" spans="1:13" hidden="1">
      <c r="A639" s="149" t="s">
        <v>113</v>
      </c>
      <c r="B639" s="149" t="s">
        <v>152</v>
      </c>
      <c r="C639" s="149" t="s">
        <v>153</v>
      </c>
      <c r="D639" s="149">
        <v>514204</v>
      </c>
      <c r="E639" s="281">
        <v>42558</v>
      </c>
      <c r="F639" s="281">
        <v>42735</v>
      </c>
      <c r="G639" s="149">
        <v>2.2999999999999998</v>
      </c>
      <c r="H639" s="149"/>
      <c r="I639" s="149">
        <v>324</v>
      </c>
      <c r="J639" s="149">
        <v>324</v>
      </c>
      <c r="K639" s="149" t="s">
        <v>2130</v>
      </c>
      <c r="L639" s="149"/>
      <c r="M639" s="149"/>
    </row>
    <row r="640" spans="1:13" hidden="1">
      <c r="A640" s="149" t="s">
        <v>115</v>
      </c>
      <c r="B640" s="149" t="s">
        <v>325</v>
      </c>
      <c r="C640" s="149" t="s">
        <v>777</v>
      </c>
      <c r="D640" s="149">
        <v>556572</v>
      </c>
      <c r="E640" s="281">
        <v>42849</v>
      </c>
      <c r="F640" s="281">
        <v>43100</v>
      </c>
      <c r="G640" s="149">
        <v>6.8</v>
      </c>
      <c r="H640" s="149">
        <v>40</v>
      </c>
      <c r="I640" s="149">
        <v>303</v>
      </c>
      <c r="J640" s="149">
        <v>395</v>
      </c>
      <c r="K640" s="149" t="s">
        <v>1579</v>
      </c>
      <c r="L640" s="149"/>
      <c r="M640" s="149"/>
    </row>
    <row r="641" spans="1:13" hidden="1">
      <c r="A641" s="149" t="s">
        <v>114</v>
      </c>
      <c r="B641" s="149" t="s">
        <v>325</v>
      </c>
      <c r="C641" s="149" t="s">
        <v>471</v>
      </c>
      <c r="D641" s="149">
        <v>556573</v>
      </c>
      <c r="E641" s="281">
        <v>42858</v>
      </c>
      <c r="F641" s="281">
        <v>43100</v>
      </c>
      <c r="G641" s="149">
        <v>5</v>
      </c>
      <c r="H641" s="149"/>
      <c r="I641" s="149"/>
      <c r="J641" s="149"/>
      <c r="K641" s="149" t="s">
        <v>1212</v>
      </c>
      <c r="L641" s="149"/>
      <c r="M641" s="149"/>
    </row>
    <row r="642" spans="1:13" hidden="1">
      <c r="A642" s="149" t="s">
        <v>115</v>
      </c>
      <c r="B642" s="149" t="s">
        <v>325</v>
      </c>
      <c r="C642" s="149" t="s">
        <v>814</v>
      </c>
      <c r="D642" s="149">
        <v>556575</v>
      </c>
      <c r="E642" s="281">
        <v>42884</v>
      </c>
      <c r="F642" s="281">
        <v>43100</v>
      </c>
      <c r="G642" s="149">
        <v>0.1</v>
      </c>
      <c r="H642" s="149"/>
      <c r="I642" s="149">
        <v>3</v>
      </c>
      <c r="J642" s="149">
        <v>4</v>
      </c>
      <c r="K642" s="149" t="s">
        <v>1633</v>
      </c>
      <c r="L642" s="149"/>
      <c r="M642" s="149"/>
    </row>
    <row r="643" spans="1:13" hidden="1">
      <c r="A643" s="149" t="s">
        <v>115</v>
      </c>
      <c r="B643" s="149" t="s">
        <v>325</v>
      </c>
      <c r="C643" s="149" t="s">
        <v>465</v>
      </c>
      <c r="D643" s="149">
        <v>556575</v>
      </c>
      <c r="E643" s="281">
        <v>42884</v>
      </c>
      <c r="F643" s="281">
        <v>43100</v>
      </c>
      <c r="G643" s="149">
        <v>0.1</v>
      </c>
      <c r="H643" s="149"/>
      <c r="I643" s="149">
        <v>7</v>
      </c>
      <c r="J643" s="149">
        <v>8</v>
      </c>
      <c r="K643" s="149" t="s">
        <v>1640</v>
      </c>
      <c r="L643" s="149"/>
      <c r="M643" s="149"/>
    </row>
    <row r="644" spans="1:13" hidden="1">
      <c r="A644" s="149" t="s">
        <v>111</v>
      </c>
      <c r="B644" s="149" t="s">
        <v>126</v>
      </c>
      <c r="C644" s="149" t="s">
        <v>279</v>
      </c>
      <c r="D644" s="149">
        <v>556576</v>
      </c>
      <c r="E644" s="281">
        <v>42900</v>
      </c>
      <c r="F644" s="281">
        <v>43100</v>
      </c>
      <c r="G644" s="149">
        <v>2.2000000000000002</v>
      </c>
      <c r="H644" s="149">
        <v>99</v>
      </c>
      <c r="I644" s="149">
        <v>218</v>
      </c>
      <c r="J644" s="149">
        <v>361</v>
      </c>
      <c r="K644" s="149" t="s">
        <v>1017</v>
      </c>
      <c r="L644" s="149"/>
      <c r="M644" s="149"/>
    </row>
    <row r="645" spans="1:13" hidden="1">
      <c r="A645" s="149" t="s">
        <v>111</v>
      </c>
      <c r="B645" s="149" t="s">
        <v>126</v>
      </c>
      <c r="C645" s="149" t="s">
        <v>275</v>
      </c>
      <c r="D645" s="149">
        <v>556576</v>
      </c>
      <c r="E645" s="281">
        <v>42900</v>
      </c>
      <c r="F645" s="281">
        <v>43100</v>
      </c>
      <c r="G645" s="149">
        <v>3.2</v>
      </c>
      <c r="H645" s="149">
        <v>31</v>
      </c>
      <c r="I645" s="149">
        <v>24</v>
      </c>
      <c r="J645" s="149">
        <v>61</v>
      </c>
      <c r="K645" s="149" t="s">
        <v>1013</v>
      </c>
      <c r="L645" s="149"/>
      <c r="M645" s="149"/>
    </row>
    <row r="646" spans="1:13" hidden="1">
      <c r="A646" s="149" t="s">
        <v>111</v>
      </c>
      <c r="B646" s="149" t="s">
        <v>126</v>
      </c>
      <c r="C646" s="149" t="s">
        <v>272</v>
      </c>
      <c r="D646" s="149">
        <v>556576</v>
      </c>
      <c r="E646" s="281">
        <v>42900</v>
      </c>
      <c r="F646" s="281">
        <v>43100</v>
      </c>
      <c r="G646" s="149">
        <v>1.1000000000000001</v>
      </c>
      <c r="H646" s="149">
        <v>2</v>
      </c>
      <c r="I646" s="149">
        <v>53</v>
      </c>
      <c r="J646" s="149">
        <v>63</v>
      </c>
      <c r="K646" s="149" t="s">
        <v>1009</v>
      </c>
      <c r="L646" s="149"/>
      <c r="M646" s="149"/>
    </row>
    <row r="647" spans="1:13" hidden="1">
      <c r="A647" s="149" t="s">
        <v>111</v>
      </c>
      <c r="B647" s="149" t="s">
        <v>126</v>
      </c>
      <c r="C647" s="149" t="s">
        <v>282</v>
      </c>
      <c r="D647" s="149">
        <v>556576</v>
      </c>
      <c r="E647" s="281">
        <v>42900</v>
      </c>
      <c r="F647" s="281">
        <v>43100</v>
      </c>
      <c r="G647" s="149">
        <v>2.9</v>
      </c>
      <c r="H647" s="149">
        <v>52</v>
      </c>
      <c r="I647" s="149">
        <v>340</v>
      </c>
      <c r="J647" s="149">
        <v>445</v>
      </c>
      <c r="K647" s="149" t="s">
        <v>1023</v>
      </c>
      <c r="L647" s="149"/>
      <c r="M647" s="149"/>
    </row>
    <row r="648" spans="1:13" hidden="1">
      <c r="A648" s="149" t="s">
        <v>111</v>
      </c>
      <c r="B648" s="149" t="s">
        <v>126</v>
      </c>
      <c r="C648" s="149" t="s">
        <v>278</v>
      </c>
      <c r="D648" s="149">
        <v>556576</v>
      </c>
      <c r="E648" s="281">
        <v>42900</v>
      </c>
      <c r="F648" s="281">
        <v>43100</v>
      </c>
      <c r="G648" s="149">
        <v>11</v>
      </c>
      <c r="H648" s="149">
        <v>27</v>
      </c>
      <c r="I648" s="149">
        <v>492</v>
      </c>
      <c r="J648" s="149">
        <v>589</v>
      </c>
      <c r="K648" s="149" t="s">
        <v>1015</v>
      </c>
      <c r="L648" s="149"/>
      <c r="M648" s="149"/>
    </row>
    <row r="649" spans="1:13" hidden="1">
      <c r="A649" s="149" t="s">
        <v>116</v>
      </c>
      <c r="B649" s="149" t="s">
        <v>126</v>
      </c>
      <c r="C649" s="149" t="s">
        <v>721</v>
      </c>
      <c r="D649" s="149">
        <v>556577</v>
      </c>
      <c r="E649" s="281">
        <v>42908</v>
      </c>
      <c r="F649" s="281">
        <v>43100</v>
      </c>
      <c r="G649" s="149">
        <v>3.1</v>
      </c>
      <c r="H649" s="149">
        <v>7</v>
      </c>
      <c r="I649" s="149">
        <v>64</v>
      </c>
      <c r="J649" s="149">
        <v>82</v>
      </c>
      <c r="K649" s="149" t="s">
        <v>1518</v>
      </c>
      <c r="L649" s="149"/>
      <c r="M649" s="149"/>
    </row>
    <row r="650" spans="1:13" hidden="1">
      <c r="A650" s="149" t="s">
        <v>114</v>
      </c>
      <c r="B650" s="149" t="s">
        <v>126</v>
      </c>
      <c r="C650" s="149" t="s">
        <v>414</v>
      </c>
      <c r="D650" s="149">
        <v>556578</v>
      </c>
      <c r="E650" s="281">
        <v>42909</v>
      </c>
      <c r="F650" s="281">
        <v>43100</v>
      </c>
      <c r="G650" s="149">
        <v>0.5</v>
      </c>
      <c r="H650" s="149">
        <v>4</v>
      </c>
      <c r="I650" s="149">
        <v>20</v>
      </c>
      <c r="J650" s="149">
        <v>28</v>
      </c>
      <c r="K650" s="149" t="s">
        <v>1286</v>
      </c>
      <c r="L650" s="149"/>
      <c r="M650" s="149"/>
    </row>
    <row r="651" spans="1:13" hidden="1">
      <c r="A651" s="149" t="s">
        <v>114</v>
      </c>
      <c r="B651" s="149" t="s">
        <v>126</v>
      </c>
      <c r="C651" s="149" t="s">
        <v>548</v>
      </c>
      <c r="D651" s="149">
        <v>556578</v>
      </c>
      <c r="E651" s="281">
        <v>42909</v>
      </c>
      <c r="F651" s="281">
        <v>43100</v>
      </c>
      <c r="G651" s="149">
        <v>7.5</v>
      </c>
      <c r="H651" s="149">
        <v>7</v>
      </c>
      <c r="I651" s="149">
        <v>45</v>
      </c>
      <c r="J651" s="149">
        <v>60</v>
      </c>
      <c r="K651" s="149" t="s">
        <v>1306</v>
      </c>
      <c r="L651" s="149"/>
      <c r="M651" s="149"/>
    </row>
    <row r="652" spans="1:13" hidden="1">
      <c r="A652" s="149" t="s">
        <v>114</v>
      </c>
      <c r="B652" s="149" t="s">
        <v>126</v>
      </c>
      <c r="C652" s="149" t="s">
        <v>530</v>
      </c>
      <c r="D652" s="149">
        <v>556578</v>
      </c>
      <c r="E652" s="281">
        <v>42909</v>
      </c>
      <c r="F652" s="281">
        <v>43100</v>
      </c>
      <c r="G652" s="149">
        <v>33</v>
      </c>
      <c r="H652" s="149">
        <v>24</v>
      </c>
      <c r="I652" s="149">
        <v>12</v>
      </c>
      <c r="J652" s="149">
        <v>71</v>
      </c>
      <c r="K652" s="149" t="s">
        <v>1278</v>
      </c>
      <c r="L652" s="149"/>
      <c r="M652" s="149"/>
    </row>
    <row r="653" spans="1:13" hidden="1">
      <c r="A653" s="149" t="s">
        <v>114</v>
      </c>
      <c r="B653" s="149" t="s">
        <v>126</v>
      </c>
      <c r="C653" s="149" t="s">
        <v>522</v>
      </c>
      <c r="D653" s="149">
        <v>556578</v>
      </c>
      <c r="E653" s="281">
        <v>42909</v>
      </c>
      <c r="F653" s="281">
        <v>43100</v>
      </c>
      <c r="G653" s="149">
        <v>0.5</v>
      </c>
      <c r="H653" s="149">
        <v>8</v>
      </c>
      <c r="I653" s="149">
        <v>40</v>
      </c>
      <c r="J653" s="149">
        <v>55</v>
      </c>
      <c r="K653" s="149" t="s">
        <v>1272</v>
      </c>
      <c r="L653" s="149"/>
      <c r="M653" s="149"/>
    </row>
    <row r="654" spans="1:13" hidden="1">
      <c r="A654" s="149" t="s">
        <v>114</v>
      </c>
      <c r="B654" s="149" t="s">
        <v>126</v>
      </c>
      <c r="C654" s="149" t="s">
        <v>555</v>
      </c>
      <c r="D654" s="149">
        <v>556578</v>
      </c>
      <c r="E654" s="281">
        <v>42909</v>
      </c>
      <c r="F654" s="281">
        <v>43100</v>
      </c>
      <c r="G654" s="149">
        <v>0.6</v>
      </c>
      <c r="H654" s="149">
        <v>5</v>
      </c>
      <c r="I654" s="149">
        <v>27</v>
      </c>
      <c r="J654" s="149">
        <v>38</v>
      </c>
      <c r="K654" s="149" t="s">
        <v>1312</v>
      </c>
      <c r="L654" s="149"/>
      <c r="M654" s="149"/>
    </row>
    <row r="655" spans="1:13" hidden="1">
      <c r="A655" s="149" t="s">
        <v>114</v>
      </c>
      <c r="B655" s="149" t="s">
        <v>126</v>
      </c>
      <c r="C655" s="149" t="s">
        <v>534</v>
      </c>
      <c r="D655" s="149">
        <v>556578</v>
      </c>
      <c r="E655" s="281">
        <v>42909</v>
      </c>
      <c r="F655" s="281">
        <v>43100</v>
      </c>
      <c r="G655" s="149">
        <v>0.8</v>
      </c>
      <c r="H655" s="149">
        <v>5</v>
      </c>
      <c r="I655" s="149">
        <v>34</v>
      </c>
      <c r="J655" s="149">
        <v>45</v>
      </c>
      <c r="K655" s="149" t="s">
        <v>1284</v>
      </c>
      <c r="L655" s="149"/>
      <c r="M655" s="149"/>
    </row>
    <row r="656" spans="1:13" hidden="1">
      <c r="A656" s="149" t="s">
        <v>114</v>
      </c>
      <c r="B656" s="149" t="s">
        <v>126</v>
      </c>
      <c r="C656" s="149" t="s">
        <v>517</v>
      </c>
      <c r="D656" s="149">
        <v>556578</v>
      </c>
      <c r="E656" s="281">
        <v>42909</v>
      </c>
      <c r="F656" s="281">
        <v>43100</v>
      </c>
      <c r="G656" s="149">
        <v>3.8</v>
      </c>
      <c r="H656" s="149">
        <v>11</v>
      </c>
      <c r="I656" s="149">
        <v>50</v>
      </c>
      <c r="J656" s="149">
        <v>71</v>
      </c>
      <c r="K656" s="149" t="s">
        <v>1264</v>
      </c>
      <c r="L656" s="149"/>
      <c r="M656" s="149"/>
    </row>
    <row r="657" spans="1:13" hidden="1">
      <c r="A657" s="149" t="s">
        <v>114</v>
      </c>
      <c r="B657" s="149" t="s">
        <v>126</v>
      </c>
      <c r="C657" s="149" t="s">
        <v>518</v>
      </c>
      <c r="D657" s="149">
        <v>556578</v>
      </c>
      <c r="E657" s="281">
        <v>42909</v>
      </c>
      <c r="F657" s="281">
        <v>43100</v>
      </c>
      <c r="G657" s="149">
        <v>1.3</v>
      </c>
      <c r="H657" s="149">
        <v>8</v>
      </c>
      <c r="I657" s="149">
        <v>28</v>
      </c>
      <c r="J657" s="149">
        <v>42</v>
      </c>
      <c r="K657" s="149" t="s">
        <v>1266</v>
      </c>
      <c r="L657" s="149"/>
      <c r="M657" s="149"/>
    </row>
    <row r="658" spans="1:13" hidden="1">
      <c r="A658" s="149" t="s">
        <v>114</v>
      </c>
      <c r="B658" s="149" t="s">
        <v>126</v>
      </c>
      <c r="C658" s="149" t="s">
        <v>443</v>
      </c>
      <c r="D658" s="149">
        <v>556578</v>
      </c>
      <c r="E658" s="281">
        <v>42909</v>
      </c>
      <c r="F658" s="281">
        <v>43100</v>
      </c>
      <c r="G658" s="149">
        <v>1.1000000000000001</v>
      </c>
      <c r="H658" s="149"/>
      <c r="I658" s="149">
        <v>48</v>
      </c>
      <c r="J658" s="149">
        <v>50</v>
      </c>
      <c r="K658" s="149" t="s">
        <v>1183</v>
      </c>
      <c r="L658" s="149"/>
      <c r="M658" s="149"/>
    </row>
    <row r="659" spans="1:13" hidden="1">
      <c r="A659" s="149" t="s">
        <v>114</v>
      </c>
      <c r="B659" s="149" t="s">
        <v>126</v>
      </c>
      <c r="C659" s="149" t="s">
        <v>467</v>
      </c>
      <c r="D659" s="149">
        <v>556578</v>
      </c>
      <c r="E659" s="281">
        <v>42909</v>
      </c>
      <c r="F659" s="281">
        <v>43100</v>
      </c>
      <c r="G659" s="149">
        <v>2</v>
      </c>
      <c r="H659" s="149">
        <v>3</v>
      </c>
      <c r="I659" s="149">
        <v>27</v>
      </c>
      <c r="J659" s="149">
        <v>35</v>
      </c>
      <c r="K659" s="149" t="s">
        <v>1207</v>
      </c>
      <c r="L659" s="149"/>
      <c r="M659" s="149"/>
    </row>
    <row r="660" spans="1:13" hidden="1">
      <c r="A660" s="149" t="s">
        <v>113</v>
      </c>
      <c r="B660" s="149" t="s">
        <v>126</v>
      </c>
      <c r="C660" s="149" t="s">
        <v>139</v>
      </c>
      <c r="D660" s="149">
        <v>556579</v>
      </c>
      <c r="E660" s="281">
        <v>42927</v>
      </c>
      <c r="F660" s="281">
        <v>43100</v>
      </c>
      <c r="G660" s="149">
        <v>25.5</v>
      </c>
      <c r="H660" s="149">
        <v>12</v>
      </c>
      <c r="I660" s="149">
        <v>260</v>
      </c>
      <c r="J660" s="149">
        <v>332</v>
      </c>
      <c r="K660" s="149" t="s">
        <v>876</v>
      </c>
      <c r="L660" s="149"/>
      <c r="M660" s="149"/>
    </row>
    <row r="661" spans="1:13" hidden="1">
      <c r="A661" s="149" t="s">
        <v>113</v>
      </c>
      <c r="B661" s="149" t="s">
        <v>126</v>
      </c>
      <c r="C661" s="149" t="s">
        <v>172</v>
      </c>
      <c r="D661" s="149">
        <v>556579</v>
      </c>
      <c r="E661" s="281">
        <v>42927</v>
      </c>
      <c r="F661" s="281">
        <v>43100</v>
      </c>
      <c r="G661" s="149">
        <v>1.8</v>
      </c>
      <c r="H661" s="149">
        <v>5</v>
      </c>
      <c r="I661" s="149">
        <v>44</v>
      </c>
      <c r="J661" s="149">
        <v>57</v>
      </c>
      <c r="K661" s="149" t="s">
        <v>912</v>
      </c>
      <c r="L661" s="149"/>
      <c r="M661" s="149"/>
    </row>
    <row r="662" spans="1:13" hidden="1">
      <c r="A662" s="149" t="s">
        <v>113</v>
      </c>
      <c r="B662" s="149" t="s">
        <v>126</v>
      </c>
      <c r="C662" s="149" t="s">
        <v>248</v>
      </c>
      <c r="D662" s="149">
        <v>556579</v>
      </c>
      <c r="E662" s="281">
        <v>42927</v>
      </c>
      <c r="F662" s="281">
        <v>43100</v>
      </c>
      <c r="G662" s="149">
        <v>8.5</v>
      </c>
      <c r="H662" s="149">
        <v>4</v>
      </c>
      <c r="I662" s="149">
        <v>54</v>
      </c>
      <c r="J662" s="149">
        <v>70</v>
      </c>
      <c r="K662" s="149" t="s">
        <v>980</v>
      </c>
      <c r="L662" s="149"/>
      <c r="M662" s="149"/>
    </row>
    <row r="663" spans="1:13" hidden="1">
      <c r="A663" s="149" t="s">
        <v>113</v>
      </c>
      <c r="B663" s="149" t="s">
        <v>126</v>
      </c>
      <c r="C663" s="149" t="s">
        <v>154</v>
      </c>
      <c r="D663" s="149">
        <v>556579</v>
      </c>
      <c r="E663" s="281">
        <v>42927</v>
      </c>
      <c r="F663" s="281">
        <v>43100</v>
      </c>
      <c r="G663" s="149">
        <v>4.7</v>
      </c>
      <c r="H663" s="149">
        <v>6</v>
      </c>
      <c r="I663" s="149">
        <v>112</v>
      </c>
      <c r="J663" s="149">
        <v>143</v>
      </c>
      <c r="K663" s="149" t="s">
        <v>888</v>
      </c>
      <c r="L663" s="149"/>
      <c r="M663" s="149"/>
    </row>
    <row r="664" spans="1:13" hidden="1">
      <c r="A664" s="149" t="s">
        <v>116</v>
      </c>
      <c r="B664" s="149" t="s">
        <v>126</v>
      </c>
      <c r="C664" s="149" t="s">
        <v>509</v>
      </c>
      <c r="D664" s="149">
        <v>556580</v>
      </c>
      <c r="E664" s="281">
        <v>42927</v>
      </c>
      <c r="F664" s="281">
        <v>43100</v>
      </c>
      <c r="G664" s="149">
        <v>0.6</v>
      </c>
      <c r="H664" s="149">
        <v>3</v>
      </c>
      <c r="I664" s="149">
        <v>15</v>
      </c>
      <c r="J664" s="149">
        <v>19</v>
      </c>
      <c r="K664" s="149" t="s">
        <v>1462</v>
      </c>
      <c r="L664" s="149"/>
      <c r="M664" s="149"/>
    </row>
    <row r="665" spans="1:13" hidden="1">
      <c r="A665" s="149" t="s">
        <v>116</v>
      </c>
      <c r="B665" s="149" t="s">
        <v>126</v>
      </c>
      <c r="C665" s="149" t="s">
        <v>275</v>
      </c>
      <c r="D665" s="149">
        <v>556580</v>
      </c>
      <c r="E665" s="281">
        <v>42927</v>
      </c>
      <c r="F665" s="281">
        <v>43100</v>
      </c>
      <c r="G665" s="149">
        <v>4.2</v>
      </c>
      <c r="H665" s="149">
        <v>2</v>
      </c>
      <c r="I665" s="149">
        <v>46</v>
      </c>
      <c r="J665" s="149">
        <v>54</v>
      </c>
      <c r="K665" s="149" t="s">
        <v>1402</v>
      </c>
      <c r="L665" s="149"/>
      <c r="M665" s="149"/>
    </row>
    <row r="666" spans="1:13" hidden="1">
      <c r="A666" s="149" t="s">
        <v>116</v>
      </c>
      <c r="B666" s="149" t="s">
        <v>126</v>
      </c>
      <c r="C666" s="149" t="s">
        <v>711</v>
      </c>
      <c r="D666" s="149">
        <v>556580</v>
      </c>
      <c r="E666" s="281">
        <v>42927</v>
      </c>
      <c r="F666" s="281">
        <v>43100</v>
      </c>
      <c r="G666" s="149">
        <v>0.8</v>
      </c>
      <c r="H666" s="149">
        <v>4</v>
      </c>
      <c r="I666" s="149">
        <v>34</v>
      </c>
      <c r="J666" s="149">
        <v>41</v>
      </c>
      <c r="K666" s="149" t="s">
        <v>1504</v>
      </c>
      <c r="L666" s="149"/>
      <c r="M666" s="149"/>
    </row>
    <row r="667" spans="1:13" hidden="1">
      <c r="A667" s="149" t="s">
        <v>116</v>
      </c>
      <c r="B667" s="149" t="s">
        <v>126</v>
      </c>
      <c r="C667" s="149" t="s">
        <v>519</v>
      </c>
      <c r="D667" s="149">
        <v>556580</v>
      </c>
      <c r="E667" s="281">
        <v>42927</v>
      </c>
      <c r="F667" s="281">
        <v>43100</v>
      </c>
      <c r="G667" s="149">
        <v>1.1000000000000001</v>
      </c>
      <c r="H667" s="149">
        <v>4</v>
      </c>
      <c r="I667" s="149">
        <v>39</v>
      </c>
      <c r="J667" s="149">
        <v>51</v>
      </c>
      <c r="K667" s="149" t="s">
        <v>1472</v>
      </c>
      <c r="L667" s="149"/>
      <c r="M667" s="149"/>
    </row>
    <row r="668" spans="1:13" hidden="1">
      <c r="A668" s="149" t="s">
        <v>116</v>
      </c>
      <c r="B668" s="149" t="s">
        <v>126</v>
      </c>
      <c r="C668" s="149" t="s">
        <v>654</v>
      </c>
      <c r="D668" s="149">
        <v>556580</v>
      </c>
      <c r="E668" s="281">
        <v>42927</v>
      </c>
      <c r="F668" s="281">
        <v>43100</v>
      </c>
      <c r="G668" s="149">
        <v>5.2</v>
      </c>
      <c r="H668" s="149">
        <v>6</v>
      </c>
      <c r="I668" s="149">
        <v>109</v>
      </c>
      <c r="J668" s="149">
        <v>123</v>
      </c>
      <c r="K668" s="149" t="s">
        <v>1428</v>
      </c>
      <c r="L668" s="149"/>
      <c r="M668" s="149"/>
    </row>
    <row r="669" spans="1:13" hidden="1">
      <c r="A669" s="149" t="s">
        <v>116</v>
      </c>
      <c r="B669" s="149" t="s">
        <v>126</v>
      </c>
      <c r="C669" s="149" t="s">
        <v>532</v>
      </c>
      <c r="D669" s="149">
        <v>556580</v>
      </c>
      <c r="E669" s="281">
        <v>42927</v>
      </c>
      <c r="F669" s="281">
        <v>43100</v>
      </c>
      <c r="G669" s="149">
        <v>13.5</v>
      </c>
      <c r="H669" s="149">
        <v>13</v>
      </c>
      <c r="I669" s="149">
        <v>65</v>
      </c>
      <c r="J669" s="149">
        <v>89</v>
      </c>
      <c r="K669" s="149" t="s">
        <v>1484</v>
      </c>
      <c r="L669" s="149"/>
      <c r="M669" s="149"/>
    </row>
    <row r="670" spans="1:13" hidden="1">
      <c r="A670" s="149" t="s">
        <v>116</v>
      </c>
      <c r="B670" s="149" t="s">
        <v>126</v>
      </c>
      <c r="C670" s="149" t="s">
        <v>600</v>
      </c>
      <c r="D670" s="149">
        <v>556580</v>
      </c>
      <c r="E670" s="281">
        <v>42927</v>
      </c>
      <c r="F670" s="281">
        <v>43100</v>
      </c>
      <c r="G670" s="149">
        <v>7</v>
      </c>
      <c r="H670" s="149"/>
      <c r="I670" s="149">
        <v>140</v>
      </c>
      <c r="J670" s="149">
        <v>147</v>
      </c>
      <c r="K670" s="149" t="s">
        <v>1370</v>
      </c>
      <c r="L670" s="149"/>
      <c r="M670" s="149"/>
    </row>
    <row r="671" spans="1:13" hidden="1">
      <c r="A671" s="149" t="s">
        <v>116</v>
      </c>
      <c r="B671" s="149" t="s">
        <v>126</v>
      </c>
      <c r="C671" s="149" t="s">
        <v>697</v>
      </c>
      <c r="D671" s="149">
        <v>556580</v>
      </c>
      <c r="E671" s="281">
        <v>42927</v>
      </c>
      <c r="F671" s="281">
        <v>43100</v>
      </c>
      <c r="G671" s="149">
        <v>2.8</v>
      </c>
      <c r="H671" s="149">
        <v>5</v>
      </c>
      <c r="I671" s="149">
        <v>34</v>
      </c>
      <c r="J671" s="149">
        <v>46</v>
      </c>
      <c r="K671" s="149" t="s">
        <v>1486</v>
      </c>
      <c r="L671" s="149"/>
      <c r="M671" s="149"/>
    </row>
    <row r="672" spans="1:13" hidden="1">
      <c r="A672" s="149" t="s">
        <v>116</v>
      </c>
      <c r="B672" s="149" t="s">
        <v>126</v>
      </c>
      <c r="C672" s="149" t="s">
        <v>593</v>
      </c>
      <c r="D672" s="149">
        <v>556580</v>
      </c>
      <c r="E672" s="281">
        <v>42927</v>
      </c>
      <c r="F672" s="281">
        <v>43100</v>
      </c>
      <c r="G672" s="149">
        <v>6.1</v>
      </c>
      <c r="H672" s="149"/>
      <c r="I672" s="149">
        <v>73</v>
      </c>
      <c r="J672" s="149">
        <v>73</v>
      </c>
      <c r="K672" s="149" t="s">
        <v>1358</v>
      </c>
      <c r="L672" s="149"/>
      <c r="M672" s="149"/>
    </row>
    <row r="673" spans="1:13" hidden="1">
      <c r="A673" s="149" t="s">
        <v>116</v>
      </c>
      <c r="B673" s="149" t="s">
        <v>126</v>
      </c>
      <c r="C673" s="149" t="s">
        <v>735</v>
      </c>
      <c r="D673" s="149">
        <v>556580</v>
      </c>
      <c r="E673" s="281">
        <v>42927</v>
      </c>
      <c r="F673" s="281">
        <v>43100</v>
      </c>
      <c r="G673" s="149">
        <v>1.5</v>
      </c>
      <c r="H673" s="149">
        <v>6</v>
      </c>
      <c r="I673" s="149">
        <v>56</v>
      </c>
      <c r="J673" s="149">
        <v>72</v>
      </c>
      <c r="K673" s="149" t="s">
        <v>1532</v>
      </c>
      <c r="L673" s="149"/>
      <c r="M673" s="149"/>
    </row>
    <row r="674" spans="1:13" hidden="1">
      <c r="A674" s="149" t="s">
        <v>116</v>
      </c>
      <c r="B674" s="149" t="s">
        <v>126</v>
      </c>
      <c r="C674" s="149" t="s">
        <v>626</v>
      </c>
      <c r="D674" s="149">
        <v>556580</v>
      </c>
      <c r="E674" s="281">
        <v>42927</v>
      </c>
      <c r="F674" s="281">
        <v>43100</v>
      </c>
      <c r="G674" s="149">
        <v>1.1000000000000001</v>
      </c>
      <c r="H674" s="149"/>
      <c r="I674" s="149">
        <v>93</v>
      </c>
      <c r="J674" s="149">
        <v>112</v>
      </c>
      <c r="K674" s="149" t="s">
        <v>1396</v>
      </c>
      <c r="L674" s="149"/>
      <c r="M674" s="149"/>
    </row>
    <row r="675" spans="1:13" hidden="1">
      <c r="A675" s="149" t="s">
        <v>116</v>
      </c>
      <c r="B675" s="149" t="s">
        <v>126</v>
      </c>
      <c r="C675" s="149" t="s">
        <v>716</v>
      </c>
      <c r="D675" s="149">
        <v>556580</v>
      </c>
      <c r="E675" s="281">
        <v>42927</v>
      </c>
      <c r="F675" s="281">
        <v>43100</v>
      </c>
      <c r="G675" s="149">
        <v>15.6</v>
      </c>
      <c r="H675" s="149">
        <v>26</v>
      </c>
      <c r="I675" s="149">
        <v>225</v>
      </c>
      <c r="J675" s="149">
        <v>289</v>
      </c>
      <c r="K675" s="149" t="s">
        <v>1510</v>
      </c>
      <c r="L675" s="149"/>
      <c r="M675" s="149"/>
    </row>
    <row r="676" spans="1:13" hidden="1">
      <c r="A676" s="149" t="s">
        <v>116</v>
      </c>
      <c r="B676" s="149" t="s">
        <v>126</v>
      </c>
      <c r="C676" s="149" t="s">
        <v>565</v>
      </c>
      <c r="D676" s="149">
        <v>556580</v>
      </c>
      <c r="E676" s="281">
        <v>42927</v>
      </c>
      <c r="F676" s="281">
        <v>43100</v>
      </c>
      <c r="G676" s="149">
        <v>9.6999999999999993</v>
      </c>
      <c r="H676" s="149">
        <v>9</v>
      </c>
      <c r="I676" s="149">
        <v>111</v>
      </c>
      <c r="J676" s="149">
        <v>139</v>
      </c>
      <c r="K676" s="149" t="s">
        <v>1328</v>
      </c>
      <c r="L676" s="149"/>
      <c r="M676" s="149"/>
    </row>
    <row r="677" spans="1:13" hidden="1">
      <c r="A677" s="149" t="s">
        <v>116</v>
      </c>
      <c r="B677" s="149" t="s">
        <v>126</v>
      </c>
      <c r="C677" s="149" t="s">
        <v>625</v>
      </c>
      <c r="D677" s="149">
        <v>556580</v>
      </c>
      <c r="E677" s="281">
        <v>42927</v>
      </c>
      <c r="F677" s="281">
        <v>43100</v>
      </c>
      <c r="G677" s="149">
        <v>1.6</v>
      </c>
      <c r="H677" s="149"/>
      <c r="I677" s="149">
        <v>63</v>
      </c>
      <c r="J677" s="149">
        <v>75</v>
      </c>
      <c r="K677" s="149" t="s">
        <v>1394</v>
      </c>
      <c r="L677" s="149"/>
      <c r="M677" s="149"/>
    </row>
    <row r="678" spans="1:13" hidden="1">
      <c r="A678" s="149" t="s">
        <v>115</v>
      </c>
      <c r="B678" s="149" t="s">
        <v>126</v>
      </c>
      <c r="C678" s="149" t="s">
        <v>801</v>
      </c>
      <c r="D678" s="149">
        <v>556581</v>
      </c>
      <c r="E678" s="281">
        <v>42927</v>
      </c>
      <c r="F678" s="281">
        <v>43100</v>
      </c>
      <c r="G678" s="149">
        <v>2.5</v>
      </c>
      <c r="H678" s="149"/>
      <c r="I678" s="149">
        <v>93</v>
      </c>
      <c r="J678" s="149">
        <v>113</v>
      </c>
      <c r="K678" s="149" t="s">
        <v>1615</v>
      </c>
      <c r="L678" s="149"/>
      <c r="M678" s="149"/>
    </row>
    <row r="679" spans="1:13" hidden="1">
      <c r="A679" s="149" t="s">
        <v>115</v>
      </c>
      <c r="B679" s="149" t="s">
        <v>126</v>
      </c>
      <c r="C679" s="149" t="s">
        <v>693</v>
      </c>
      <c r="D679" s="149">
        <v>556581</v>
      </c>
      <c r="E679" s="281">
        <v>42927</v>
      </c>
      <c r="F679" s="281">
        <v>43100</v>
      </c>
      <c r="G679" s="149">
        <v>2.5</v>
      </c>
      <c r="H679" s="149">
        <v>5</v>
      </c>
      <c r="I679" s="149">
        <v>54</v>
      </c>
      <c r="J679" s="149">
        <v>68</v>
      </c>
      <c r="K679" s="149" t="s">
        <v>1689</v>
      </c>
      <c r="L679" s="149"/>
      <c r="M679" s="149"/>
    </row>
    <row r="680" spans="1:13" hidden="1">
      <c r="A680" s="149" t="s">
        <v>115</v>
      </c>
      <c r="B680" s="149" t="s">
        <v>126</v>
      </c>
      <c r="C680" s="149" t="s">
        <v>751</v>
      </c>
      <c r="D680" s="149">
        <v>556581</v>
      </c>
      <c r="E680" s="281">
        <v>42927</v>
      </c>
      <c r="F680" s="281">
        <v>43100</v>
      </c>
      <c r="G680" s="149">
        <v>14</v>
      </c>
      <c r="H680" s="149">
        <v>16</v>
      </c>
      <c r="I680" s="149">
        <v>268</v>
      </c>
      <c r="J680" s="149">
        <v>328</v>
      </c>
      <c r="K680" s="149" t="s">
        <v>1545</v>
      </c>
      <c r="L680" s="149"/>
      <c r="M680" s="149"/>
    </row>
    <row r="681" spans="1:13" hidden="1">
      <c r="A681" s="149" t="s">
        <v>115</v>
      </c>
      <c r="B681" s="149" t="s">
        <v>126</v>
      </c>
      <c r="C681" s="149" t="s">
        <v>799</v>
      </c>
      <c r="D681" s="149">
        <v>556581</v>
      </c>
      <c r="E681" s="281">
        <v>42927</v>
      </c>
      <c r="F681" s="281">
        <v>43100</v>
      </c>
      <c r="G681" s="149">
        <v>1.8</v>
      </c>
      <c r="H681" s="149"/>
      <c r="I681" s="149">
        <v>31</v>
      </c>
      <c r="J681" s="149">
        <v>38</v>
      </c>
      <c r="K681" s="149" t="s">
        <v>1611</v>
      </c>
      <c r="L681" s="149"/>
      <c r="M681" s="149"/>
    </row>
    <row r="682" spans="1:13" hidden="1">
      <c r="A682" s="149" t="s">
        <v>115</v>
      </c>
      <c r="B682" s="149" t="s">
        <v>126</v>
      </c>
      <c r="C682" s="149" t="s">
        <v>793</v>
      </c>
      <c r="D682" s="149">
        <v>556581</v>
      </c>
      <c r="E682" s="281">
        <v>42927</v>
      </c>
      <c r="F682" s="281">
        <v>43100</v>
      </c>
      <c r="G682" s="149">
        <v>1.3</v>
      </c>
      <c r="H682" s="149"/>
      <c r="I682" s="149">
        <v>20</v>
      </c>
      <c r="J682" s="149">
        <v>24</v>
      </c>
      <c r="K682" s="149" t="s">
        <v>1601</v>
      </c>
      <c r="L682" s="149"/>
      <c r="M682" s="149"/>
    </row>
    <row r="683" spans="1:13" hidden="1">
      <c r="A683" s="149" t="s">
        <v>115</v>
      </c>
      <c r="B683" s="149" t="s">
        <v>126</v>
      </c>
      <c r="C683" s="149" t="s">
        <v>783</v>
      </c>
      <c r="D683" s="149">
        <v>556581</v>
      </c>
      <c r="E683" s="281">
        <v>42927</v>
      </c>
      <c r="F683" s="281">
        <v>43100</v>
      </c>
      <c r="G683" s="149">
        <v>10.199999999999999</v>
      </c>
      <c r="H683" s="149">
        <v>2</v>
      </c>
      <c r="I683" s="149">
        <v>122</v>
      </c>
      <c r="J683" s="149">
        <v>145</v>
      </c>
      <c r="K683" s="149" t="s">
        <v>1589</v>
      </c>
      <c r="L683" s="149"/>
      <c r="M683" s="149"/>
    </row>
    <row r="684" spans="1:13" hidden="1">
      <c r="A684" s="149" t="s">
        <v>115</v>
      </c>
      <c r="B684" s="149" t="s">
        <v>126</v>
      </c>
      <c r="C684" s="149" t="s">
        <v>477</v>
      </c>
      <c r="D684" s="149">
        <v>556581</v>
      </c>
      <c r="E684" s="281">
        <v>42927</v>
      </c>
      <c r="F684" s="281">
        <v>43100</v>
      </c>
      <c r="G684" s="149">
        <v>7.1</v>
      </c>
      <c r="H684" s="149">
        <v>6</v>
      </c>
      <c r="I684" s="149">
        <v>114</v>
      </c>
      <c r="J684" s="149">
        <v>139</v>
      </c>
      <c r="K684" s="149" t="s">
        <v>1657</v>
      </c>
      <c r="L684" s="149"/>
      <c r="M684" s="149"/>
    </row>
    <row r="685" spans="1:13" hidden="1">
      <c r="A685" s="149" t="s">
        <v>115</v>
      </c>
      <c r="B685" s="149" t="s">
        <v>126</v>
      </c>
      <c r="C685" s="149" t="s">
        <v>820</v>
      </c>
      <c r="D685" s="149">
        <v>556581</v>
      </c>
      <c r="E685" s="281">
        <v>42927</v>
      </c>
      <c r="F685" s="281">
        <v>43100</v>
      </c>
      <c r="G685" s="149"/>
      <c r="H685" s="149"/>
      <c r="I685" s="149">
        <v>8</v>
      </c>
      <c r="J685" s="149">
        <v>10</v>
      </c>
      <c r="K685" s="149" t="s">
        <v>1647</v>
      </c>
      <c r="L685" s="149"/>
      <c r="M685" s="149"/>
    </row>
    <row r="686" spans="1:13" hidden="1">
      <c r="A686" s="149" t="s">
        <v>115</v>
      </c>
      <c r="B686" s="149" t="s">
        <v>126</v>
      </c>
      <c r="C686" s="149" t="s">
        <v>775</v>
      </c>
      <c r="D686" s="149">
        <v>556581</v>
      </c>
      <c r="E686" s="281">
        <v>42927</v>
      </c>
      <c r="F686" s="281">
        <v>43100</v>
      </c>
      <c r="G686" s="149">
        <v>4.7</v>
      </c>
      <c r="H686" s="149"/>
      <c r="I686" s="149">
        <v>242</v>
      </c>
      <c r="J686" s="149">
        <v>289</v>
      </c>
      <c r="K686" s="149" t="s">
        <v>1575</v>
      </c>
      <c r="L686" s="149"/>
      <c r="M686" s="149"/>
    </row>
    <row r="687" spans="1:13" hidden="1">
      <c r="A687" s="149" t="s">
        <v>115</v>
      </c>
      <c r="B687" s="149" t="s">
        <v>126</v>
      </c>
      <c r="C687" s="149" t="s">
        <v>768</v>
      </c>
      <c r="D687" s="149">
        <v>556581</v>
      </c>
      <c r="E687" s="281">
        <v>42927</v>
      </c>
      <c r="F687" s="281">
        <v>43100</v>
      </c>
      <c r="G687" s="149">
        <v>12.8</v>
      </c>
      <c r="H687" s="149">
        <v>35</v>
      </c>
      <c r="I687" s="149">
        <v>323</v>
      </c>
      <c r="J687" s="149">
        <v>412</v>
      </c>
      <c r="K687" s="149" t="s">
        <v>1561</v>
      </c>
      <c r="L687" s="149"/>
      <c r="M687" s="149"/>
    </row>
    <row r="688" spans="1:13" hidden="1">
      <c r="A688" s="149" t="s">
        <v>115</v>
      </c>
      <c r="B688" s="149" t="s">
        <v>126</v>
      </c>
      <c r="C688" s="149" t="s">
        <v>795</v>
      </c>
      <c r="D688" s="149">
        <v>556581</v>
      </c>
      <c r="E688" s="281">
        <v>42927</v>
      </c>
      <c r="F688" s="281">
        <v>43100</v>
      </c>
      <c r="G688" s="149">
        <v>5.5</v>
      </c>
      <c r="H688" s="149">
        <v>4</v>
      </c>
      <c r="I688" s="149">
        <v>170</v>
      </c>
      <c r="J688" s="149">
        <v>210</v>
      </c>
      <c r="K688" s="149" t="s">
        <v>1605</v>
      </c>
      <c r="L688" s="149"/>
      <c r="M688" s="149"/>
    </row>
    <row r="689" spans="1:13" hidden="1">
      <c r="A689" s="149" t="s">
        <v>115</v>
      </c>
      <c r="B689" s="149" t="s">
        <v>126</v>
      </c>
      <c r="C689" s="149" t="s">
        <v>794</v>
      </c>
      <c r="D689" s="149">
        <v>556581</v>
      </c>
      <c r="E689" s="281">
        <v>42927</v>
      </c>
      <c r="F689" s="281">
        <v>43100</v>
      </c>
      <c r="G689" s="149">
        <v>1.8</v>
      </c>
      <c r="H689" s="149">
        <v>1</v>
      </c>
      <c r="I689" s="149">
        <v>51</v>
      </c>
      <c r="J689" s="149">
        <v>63</v>
      </c>
      <c r="K689" s="149" t="s">
        <v>1603</v>
      </c>
      <c r="L689" s="149"/>
      <c r="M689" s="149"/>
    </row>
    <row r="690" spans="1:13" hidden="1">
      <c r="A690" s="149" t="s">
        <v>115</v>
      </c>
      <c r="B690" s="149" t="s">
        <v>126</v>
      </c>
      <c r="C690" s="149" t="s">
        <v>821</v>
      </c>
      <c r="D690" s="149">
        <v>556581</v>
      </c>
      <c r="E690" s="281">
        <v>42927</v>
      </c>
      <c r="F690" s="281">
        <v>43100</v>
      </c>
      <c r="G690" s="149"/>
      <c r="H690" s="149"/>
      <c r="I690" s="149">
        <v>3</v>
      </c>
      <c r="J690" s="149">
        <v>3</v>
      </c>
      <c r="K690" s="149" t="s">
        <v>1651</v>
      </c>
      <c r="L690" s="149"/>
      <c r="M690" s="149"/>
    </row>
    <row r="691" spans="1:13" hidden="1">
      <c r="A691" s="149" t="s">
        <v>115</v>
      </c>
      <c r="B691" s="149" t="s">
        <v>126</v>
      </c>
      <c r="C691" s="149" t="s">
        <v>215</v>
      </c>
      <c r="D691" s="149">
        <v>556581</v>
      </c>
      <c r="E691" s="281">
        <v>42927</v>
      </c>
      <c r="F691" s="281">
        <v>43100</v>
      </c>
      <c r="G691" s="149">
        <v>5</v>
      </c>
      <c r="H691" s="149">
        <v>1</v>
      </c>
      <c r="I691" s="149">
        <v>88</v>
      </c>
      <c r="J691" s="149">
        <v>105</v>
      </c>
      <c r="K691" s="149" t="s">
        <v>1687</v>
      </c>
      <c r="L691" s="149"/>
      <c r="M691" s="149"/>
    </row>
    <row r="692" spans="1:13" hidden="1">
      <c r="A692" s="149" t="s">
        <v>115</v>
      </c>
      <c r="B692" s="149" t="s">
        <v>126</v>
      </c>
      <c r="C692" s="149" t="s">
        <v>786</v>
      </c>
      <c r="D692" s="149">
        <v>556581</v>
      </c>
      <c r="E692" s="281">
        <v>42927</v>
      </c>
      <c r="F692" s="281">
        <v>43100</v>
      </c>
      <c r="G692" s="149">
        <v>3.7</v>
      </c>
      <c r="H692" s="149">
        <v>2</v>
      </c>
      <c r="I692" s="149">
        <v>50</v>
      </c>
      <c r="J692" s="149">
        <v>60</v>
      </c>
      <c r="K692" s="149" t="s">
        <v>1595</v>
      </c>
      <c r="L692" s="149"/>
      <c r="M692" s="149"/>
    </row>
    <row r="693" spans="1:13" hidden="1">
      <c r="A693" s="149" t="s">
        <v>115</v>
      </c>
      <c r="B693" s="149" t="s">
        <v>126</v>
      </c>
      <c r="C693" s="149" t="s">
        <v>787</v>
      </c>
      <c r="D693" s="149">
        <v>556581</v>
      </c>
      <c r="E693" s="281">
        <v>42927</v>
      </c>
      <c r="F693" s="281">
        <v>43100</v>
      </c>
      <c r="G693" s="149">
        <v>8</v>
      </c>
      <c r="H693" s="149">
        <v>2</v>
      </c>
      <c r="I693" s="149">
        <v>97</v>
      </c>
      <c r="J693" s="149">
        <v>115</v>
      </c>
      <c r="K693" s="149" t="s">
        <v>1597</v>
      </c>
      <c r="L693" s="149"/>
      <c r="M693" s="149"/>
    </row>
    <row r="694" spans="1:13" hidden="1">
      <c r="A694" s="149" t="s">
        <v>115</v>
      </c>
      <c r="B694" s="149" t="s">
        <v>126</v>
      </c>
      <c r="C694" s="149" t="s">
        <v>847</v>
      </c>
      <c r="D694" s="149">
        <v>556581</v>
      </c>
      <c r="E694" s="281">
        <v>42927</v>
      </c>
      <c r="F694" s="281">
        <v>43100</v>
      </c>
      <c r="G694" s="149">
        <v>5.2</v>
      </c>
      <c r="H694" s="149">
        <v>23</v>
      </c>
      <c r="I694" s="149">
        <v>124</v>
      </c>
      <c r="J694" s="149">
        <v>169</v>
      </c>
      <c r="K694" s="149" t="s">
        <v>1685</v>
      </c>
      <c r="L694" s="149"/>
      <c r="M694" s="149"/>
    </row>
    <row r="695" spans="1:13" hidden="1">
      <c r="A695" s="149" t="s">
        <v>115</v>
      </c>
      <c r="B695" s="149" t="s">
        <v>126</v>
      </c>
      <c r="C695" s="149" t="s">
        <v>784</v>
      </c>
      <c r="D695" s="149">
        <v>556581</v>
      </c>
      <c r="E695" s="281">
        <v>42927</v>
      </c>
      <c r="F695" s="281">
        <v>43100</v>
      </c>
      <c r="G695" s="149">
        <v>2.4</v>
      </c>
      <c r="H695" s="149"/>
      <c r="I695" s="149">
        <v>27</v>
      </c>
      <c r="J695" s="149">
        <v>32</v>
      </c>
      <c r="K695" s="149" t="s">
        <v>1591</v>
      </c>
      <c r="L695" s="149"/>
      <c r="M695" s="149"/>
    </row>
    <row r="696" spans="1:13" hidden="1">
      <c r="A696" s="149" t="s">
        <v>115</v>
      </c>
      <c r="B696" s="149" t="s">
        <v>126</v>
      </c>
      <c r="C696" s="149" t="s">
        <v>785</v>
      </c>
      <c r="D696" s="149">
        <v>556581</v>
      </c>
      <c r="E696" s="281">
        <v>42927</v>
      </c>
      <c r="F696" s="281">
        <v>43100</v>
      </c>
      <c r="G696" s="149">
        <v>1.3</v>
      </c>
      <c r="H696" s="149">
        <v>1</v>
      </c>
      <c r="I696" s="149">
        <v>22</v>
      </c>
      <c r="J696" s="149">
        <v>27</v>
      </c>
      <c r="K696" s="149" t="s">
        <v>1593</v>
      </c>
      <c r="L696" s="149"/>
      <c r="M696" s="149"/>
    </row>
    <row r="697" spans="1:13" hidden="1">
      <c r="A697" s="149" t="s">
        <v>112</v>
      </c>
      <c r="B697" s="149" t="s">
        <v>126</v>
      </c>
      <c r="C697" s="149" t="s">
        <v>403</v>
      </c>
      <c r="D697" s="149">
        <v>556582</v>
      </c>
      <c r="E697" s="281">
        <v>42926</v>
      </c>
      <c r="F697" s="281">
        <v>43100</v>
      </c>
      <c r="G697" s="149">
        <v>4.3</v>
      </c>
      <c r="H697" s="149">
        <v>3</v>
      </c>
      <c r="I697" s="149">
        <v>41</v>
      </c>
      <c r="J697" s="149">
        <v>51</v>
      </c>
      <c r="K697" s="149" t="s">
        <v>1138</v>
      </c>
      <c r="L697" s="149"/>
      <c r="M697" s="149"/>
    </row>
    <row r="698" spans="1:13" hidden="1">
      <c r="A698" s="149" t="s">
        <v>112</v>
      </c>
      <c r="B698" s="149" t="s">
        <v>126</v>
      </c>
      <c r="C698" s="149" t="s">
        <v>359</v>
      </c>
      <c r="D698" s="149">
        <v>556582</v>
      </c>
      <c r="E698" s="281">
        <v>42926</v>
      </c>
      <c r="F698" s="281">
        <v>43100</v>
      </c>
      <c r="G698" s="149">
        <v>2.5</v>
      </c>
      <c r="H698" s="149"/>
      <c r="I698" s="149">
        <v>85</v>
      </c>
      <c r="J698" s="149">
        <v>102</v>
      </c>
      <c r="K698" s="149" t="s">
        <v>1087</v>
      </c>
      <c r="L698" s="149"/>
      <c r="M698" s="149"/>
    </row>
    <row r="699" spans="1:13" hidden="1">
      <c r="A699" s="149" t="s">
        <v>112</v>
      </c>
      <c r="B699" s="149" t="s">
        <v>126</v>
      </c>
      <c r="C699" s="149" t="s">
        <v>334</v>
      </c>
      <c r="D699" s="149">
        <v>556582</v>
      </c>
      <c r="E699" s="281">
        <v>42926</v>
      </c>
      <c r="F699" s="281">
        <v>43100</v>
      </c>
      <c r="G699" s="149">
        <v>1.8</v>
      </c>
      <c r="H699" s="149">
        <v>2</v>
      </c>
      <c r="I699" s="149">
        <v>41</v>
      </c>
      <c r="J699" s="149">
        <v>50</v>
      </c>
      <c r="K699" s="149" t="s">
        <v>1065</v>
      </c>
      <c r="L699" s="149"/>
      <c r="M699" s="149"/>
    </row>
    <row r="700" spans="1:13" hidden="1">
      <c r="A700" s="149" t="s">
        <v>112</v>
      </c>
      <c r="B700" s="149" t="s">
        <v>126</v>
      </c>
      <c r="C700" s="149" t="s">
        <v>416</v>
      </c>
      <c r="D700" s="149">
        <v>556582</v>
      </c>
      <c r="E700" s="281">
        <v>42926</v>
      </c>
      <c r="F700" s="281">
        <v>43100</v>
      </c>
      <c r="G700" s="149">
        <v>5.5</v>
      </c>
      <c r="H700" s="149">
        <v>1</v>
      </c>
      <c r="I700" s="149">
        <v>63</v>
      </c>
      <c r="J700" s="149">
        <v>74</v>
      </c>
      <c r="K700" s="149" t="s">
        <v>1150</v>
      </c>
      <c r="L700" s="149"/>
      <c r="M700" s="149"/>
    </row>
    <row r="701" spans="1:13" hidden="1">
      <c r="A701" s="149" t="s">
        <v>112</v>
      </c>
      <c r="B701" s="149" t="s">
        <v>126</v>
      </c>
      <c r="C701" s="149" t="s">
        <v>344</v>
      </c>
      <c r="D701" s="149">
        <v>556582</v>
      </c>
      <c r="E701" s="281">
        <v>42926</v>
      </c>
      <c r="F701" s="281">
        <v>43100</v>
      </c>
      <c r="G701" s="149">
        <v>2.1</v>
      </c>
      <c r="H701" s="149">
        <v>3</v>
      </c>
      <c r="I701" s="149">
        <v>23</v>
      </c>
      <c r="J701" s="149">
        <v>30</v>
      </c>
      <c r="K701" s="149" t="s">
        <v>1073</v>
      </c>
      <c r="L701" s="149"/>
      <c r="M701" s="149"/>
    </row>
    <row r="702" spans="1:13" hidden="1">
      <c r="A702" s="149" t="s">
        <v>112</v>
      </c>
      <c r="B702" s="149" t="s">
        <v>126</v>
      </c>
      <c r="C702" s="149" t="s">
        <v>335</v>
      </c>
      <c r="D702" s="149">
        <v>556582</v>
      </c>
      <c r="E702" s="281">
        <v>42926</v>
      </c>
      <c r="F702" s="281">
        <v>43100</v>
      </c>
      <c r="G702" s="149">
        <v>0.5</v>
      </c>
      <c r="H702" s="149">
        <v>1</v>
      </c>
      <c r="I702" s="149">
        <v>12</v>
      </c>
      <c r="J702" s="149">
        <v>15</v>
      </c>
      <c r="K702" s="149" t="s">
        <v>1067</v>
      </c>
      <c r="L702" s="149"/>
      <c r="M702" s="149"/>
    </row>
    <row r="703" spans="1:13" hidden="1">
      <c r="A703" s="149" t="s">
        <v>112</v>
      </c>
      <c r="B703" s="149" t="s">
        <v>325</v>
      </c>
      <c r="C703" s="149" t="s">
        <v>327</v>
      </c>
      <c r="D703" s="149">
        <v>556583</v>
      </c>
      <c r="E703" s="281">
        <v>42927</v>
      </c>
      <c r="F703" s="281">
        <v>43100</v>
      </c>
      <c r="G703" s="149">
        <v>0.2</v>
      </c>
      <c r="H703" s="149">
        <v>1</v>
      </c>
      <c r="I703" s="149">
        <v>5</v>
      </c>
      <c r="J703" s="149">
        <v>7</v>
      </c>
      <c r="K703" s="149" t="s">
        <v>1055</v>
      </c>
      <c r="L703" s="149"/>
      <c r="M703" s="149"/>
    </row>
    <row r="704" spans="1:13" hidden="1">
      <c r="A704" s="149" t="s">
        <v>112</v>
      </c>
      <c r="B704" s="149" t="s">
        <v>325</v>
      </c>
      <c r="C704" s="149" t="s">
        <v>328</v>
      </c>
      <c r="D704" s="149">
        <v>556583</v>
      </c>
      <c r="E704" s="281">
        <v>42927</v>
      </c>
      <c r="F704" s="281">
        <v>43100</v>
      </c>
      <c r="G704" s="149">
        <v>0.4</v>
      </c>
      <c r="H704" s="149"/>
      <c r="I704" s="149">
        <v>10</v>
      </c>
      <c r="J704" s="149">
        <v>12</v>
      </c>
      <c r="K704" s="149" t="s">
        <v>1057</v>
      </c>
      <c r="L704" s="149"/>
      <c r="M704" s="149"/>
    </row>
    <row r="705" spans="1:13" hidden="1">
      <c r="A705" s="149" t="s">
        <v>112</v>
      </c>
      <c r="B705" s="149" t="s">
        <v>325</v>
      </c>
      <c r="C705" s="149" t="s">
        <v>324</v>
      </c>
      <c r="D705" s="149">
        <v>556583</v>
      </c>
      <c r="E705" s="281">
        <v>42927</v>
      </c>
      <c r="F705" s="281">
        <v>43100</v>
      </c>
      <c r="G705" s="149">
        <v>0.5</v>
      </c>
      <c r="H705" s="149">
        <v>8</v>
      </c>
      <c r="I705" s="149">
        <v>16</v>
      </c>
      <c r="J705" s="149">
        <v>28</v>
      </c>
      <c r="K705" s="149" t="s">
        <v>1049</v>
      </c>
      <c r="L705" s="149"/>
      <c r="M705" s="149"/>
    </row>
    <row r="706" spans="1:13" hidden="1">
      <c r="A706" s="149" t="s">
        <v>112</v>
      </c>
      <c r="B706" s="149" t="s">
        <v>325</v>
      </c>
      <c r="C706" s="149" t="s">
        <v>332</v>
      </c>
      <c r="D706" s="149">
        <v>556583</v>
      </c>
      <c r="E706" s="281">
        <v>42927</v>
      </c>
      <c r="F706" s="281">
        <v>43100</v>
      </c>
      <c r="G706" s="149">
        <v>0.3</v>
      </c>
      <c r="H706" s="149"/>
      <c r="I706" s="149">
        <v>22</v>
      </c>
      <c r="J706" s="149">
        <v>26</v>
      </c>
      <c r="K706" s="149" t="s">
        <v>1063</v>
      </c>
      <c r="L706" s="149"/>
      <c r="M706" s="149"/>
    </row>
    <row r="707" spans="1:13" hidden="1">
      <c r="A707" s="149" t="s">
        <v>112</v>
      </c>
      <c r="B707" s="149" t="s">
        <v>325</v>
      </c>
      <c r="C707" s="149" t="s">
        <v>275</v>
      </c>
      <c r="D707" s="149">
        <v>556583</v>
      </c>
      <c r="E707" s="281">
        <v>42927</v>
      </c>
      <c r="F707" s="281">
        <v>43100</v>
      </c>
      <c r="G707" s="149">
        <v>0.3</v>
      </c>
      <c r="H707" s="149">
        <v>3</v>
      </c>
      <c r="I707" s="149">
        <v>8</v>
      </c>
      <c r="J707" s="149">
        <v>13</v>
      </c>
      <c r="K707" s="149" t="s">
        <v>1061</v>
      </c>
      <c r="L707" s="149"/>
      <c r="M707" s="149"/>
    </row>
    <row r="708" spans="1:13" hidden="1">
      <c r="A708" s="149" t="s">
        <v>112</v>
      </c>
      <c r="B708" s="149" t="s">
        <v>126</v>
      </c>
      <c r="C708" s="149" t="s">
        <v>435</v>
      </c>
      <c r="D708" s="149">
        <v>556584</v>
      </c>
      <c r="E708" s="281">
        <v>42930</v>
      </c>
      <c r="F708" s="281">
        <v>43100</v>
      </c>
      <c r="G708" s="149">
        <v>4</v>
      </c>
      <c r="H708" s="149"/>
      <c r="I708" s="149">
        <v>76</v>
      </c>
      <c r="J708" s="149">
        <v>92</v>
      </c>
      <c r="K708" s="149" t="s">
        <v>1171</v>
      </c>
      <c r="L708" s="149"/>
      <c r="M708" s="149"/>
    </row>
    <row r="709" spans="1:13" hidden="1">
      <c r="A709" s="149" t="s">
        <v>111</v>
      </c>
      <c r="B709" s="149" t="s">
        <v>126</v>
      </c>
      <c r="C709" s="149" t="s">
        <v>281</v>
      </c>
      <c r="D709" s="149">
        <v>556585</v>
      </c>
      <c r="E709" s="281">
        <v>42961</v>
      </c>
      <c r="F709" s="281">
        <v>43100</v>
      </c>
      <c r="G709" s="149">
        <v>16.600000000000001</v>
      </c>
      <c r="H709" s="149">
        <v>16</v>
      </c>
      <c r="I709" s="149">
        <v>744</v>
      </c>
      <c r="J709" s="149">
        <v>867</v>
      </c>
      <c r="K709" s="149" t="s">
        <v>1021</v>
      </c>
      <c r="L709" s="149"/>
      <c r="M709" s="149"/>
    </row>
    <row r="710" spans="1:13" hidden="1">
      <c r="A710" s="149" t="s">
        <v>116</v>
      </c>
      <c r="B710" s="149" t="s">
        <v>126</v>
      </c>
      <c r="C710" s="149" t="s">
        <v>639</v>
      </c>
      <c r="D710" s="149">
        <v>556586</v>
      </c>
      <c r="E710" s="281">
        <v>42968</v>
      </c>
      <c r="F710" s="281">
        <v>43100</v>
      </c>
      <c r="G710" s="149">
        <v>0.5</v>
      </c>
      <c r="H710" s="149">
        <v>1</v>
      </c>
      <c r="I710" s="149">
        <v>23</v>
      </c>
      <c r="J710" s="149">
        <v>27</v>
      </c>
      <c r="K710" s="149" t="s">
        <v>1412</v>
      </c>
      <c r="L710" s="149"/>
      <c r="M710" s="149"/>
    </row>
    <row r="711" spans="1:13" hidden="1">
      <c r="A711" s="149" t="s">
        <v>116</v>
      </c>
      <c r="B711" s="149" t="s">
        <v>126</v>
      </c>
      <c r="C711" s="149" t="s">
        <v>723</v>
      </c>
      <c r="D711" s="149">
        <v>556586</v>
      </c>
      <c r="E711" s="281">
        <v>42968</v>
      </c>
      <c r="F711" s="281">
        <v>43100</v>
      </c>
      <c r="G711" s="149">
        <v>10.199999999999999</v>
      </c>
      <c r="H711" s="149">
        <v>25</v>
      </c>
      <c r="I711" s="149">
        <v>183</v>
      </c>
      <c r="J711" s="149">
        <v>241</v>
      </c>
      <c r="K711" s="149" t="s">
        <v>1520</v>
      </c>
      <c r="L711" s="149"/>
      <c r="M711" s="149"/>
    </row>
    <row r="712" spans="1:13" hidden="1">
      <c r="A712" s="149" t="s">
        <v>116</v>
      </c>
      <c r="B712" s="149" t="s">
        <v>126</v>
      </c>
      <c r="C712" s="149" t="s">
        <v>567</v>
      </c>
      <c r="D712" s="149">
        <v>556586</v>
      </c>
      <c r="E712" s="281">
        <v>42968</v>
      </c>
      <c r="F712" s="281">
        <v>43100</v>
      </c>
      <c r="G712" s="149">
        <v>2.8</v>
      </c>
      <c r="H712" s="149">
        <v>6</v>
      </c>
      <c r="I712" s="149">
        <v>59</v>
      </c>
      <c r="J712" s="149">
        <v>76</v>
      </c>
      <c r="K712" s="149" t="s">
        <v>1332</v>
      </c>
      <c r="L712" s="149"/>
      <c r="M712" s="149"/>
    </row>
    <row r="713" spans="1:13" hidden="1">
      <c r="A713" s="149" t="s">
        <v>116</v>
      </c>
      <c r="B713" s="149" t="s">
        <v>126</v>
      </c>
      <c r="C713" s="149" t="s">
        <v>698</v>
      </c>
      <c r="D713" s="149">
        <v>556586</v>
      </c>
      <c r="E713" s="281">
        <v>42968</v>
      </c>
      <c r="F713" s="281">
        <v>43100</v>
      </c>
      <c r="G713" s="149">
        <v>2</v>
      </c>
      <c r="H713" s="149">
        <v>7</v>
      </c>
      <c r="I713" s="149">
        <v>85</v>
      </c>
      <c r="J713" s="149">
        <v>109</v>
      </c>
      <c r="K713" s="149" t="s">
        <v>1488</v>
      </c>
      <c r="L713" s="149"/>
      <c r="M713" s="149"/>
    </row>
    <row r="714" spans="1:13" hidden="1">
      <c r="A714" s="149" t="s">
        <v>114</v>
      </c>
      <c r="B714" s="149" t="s">
        <v>126</v>
      </c>
      <c r="C714" s="149" t="s">
        <v>455</v>
      </c>
      <c r="D714" s="149">
        <v>556587</v>
      </c>
      <c r="E714" s="281">
        <v>42977</v>
      </c>
      <c r="F714" s="281">
        <v>43100</v>
      </c>
      <c r="G714" s="149">
        <v>2.1</v>
      </c>
      <c r="H714" s="149">
        <v>11</v>
      </c>
      <c r="I714" s="149">
        <v>26</v>
      </c>
      <c r="J714" s="149">
        <v>44</v>
      </c>
      <c r="K714" s="149" t="s">
        <v>1189</v>
      </c>
      <c r="L714" s="149"/>
      <c r="M714" s="149"/>
    </row>
    <row r="715" spans="1:13" hidden="1">
      <c r="A715" s="149" t="s">
        <v>114</v>
      </c>
      <c r="B715" s="149" t="s">
        <v>126</v>
      </c>
      <c r="C715" s="149" t="s">
        <v>460</v>
      </c>
      <c r="D715" s="149">
        <v>556587</v>
      </c>
      <c r="E715" s="281">
        <v>42977</v>
      </c>
      <c r="F715" s="281">
        <v>43100</v>
      </c>
      <c r="G715" s="149">
        <v>0.3</v>
      </c>
      <c r="H715" s="149">
        <v>2</v>
      </c>
      <c r="I715" s="149">
        <v>8</v>
      </c>
      <c r="J715" s="149">
        <v>11</v>
      </c>
      <c r="K715" s="149" t="s">
        <v>1197</v>
      </c>
      <c r="L715" s="149"/>
      <c r="M715" s="149"/>
    </row>
    <row r="716" spans="1:13" hidden="1">
      <c r="A716" s="149" t="s">
        <v>114</v>
      </c>
      <c r="B716" s="149" t="s">
        <v>126</v>
      </c>
      <c r="C716" s="149" t="s">
        <v>447</v>
      </c>
      <c r="D716" s="149">
        <v>556587</v>
      </c>
      <c r="E716" s="281">
        <v>42977</v>
      </c>
      <c r="F716" s="281">
        <v>43100</v>
      </c>
      <c r="G716" s="149">
        <v>6.1</v>
      </c>
      <c r="H716" s="149">
        <v>4</v>
      </c>
      <c r="I716" s="149">
        <v>93</v>
      </c>
      <c r="J716" s="149">
        <v>111</v>
      </c>
      <c r="K716" s="149" t="s">
        <v>1185</v>
      </c>
      <c r="L716" s="149"/>
      <c r="M716" s="149"/>
    </row>
    <row r="717" spans="1:13" hidden="1">
      <c r="A717" s="149" t="s">
        <v>114</v>
      </c>
      <c r="B717" s="149" t="s">
        <v>126</v>
      </c>
      <c r="C717" s="149" t="s">
        <v>519</v>
      </c>
      <c r="D717" s="149">
        <v>556587</v>
      </c>
      <c r="E717" s="281">
        <v>42977</v>
      </c>
      <c r="F717" s="281">
        <v>43100</v>
      </c>
      <c r="G717" s="149">
        <v>0.9</v>
      </c>
      <c r="H717" s="149"/>
      <c r="I717" s="149">
        <v>22</v>
      </c>
      <c r="J717" s="149">
        <v>25</v>
      </c>
      <c r="K717" s="149" t="s">
        <v>1268</v>
      </c>
      <c r="L717" s="149"/>
      <c r="M717" s="149"/>
    </row>
    <row r="718" spans="1:13" hidden="1">
      <c r="A718" s="149" t="s">
        <v>114</v>
      </c>
      <c r="B718" s="149" t="s">
        <v>126</v>
      </c>
      <c r="C718" s="149" t="s">
        <v>543</v>
      </c>
      <c r="D718" s="149">
        <v>556587</v>
      </c>
      <c r="E718" s="281">
        <v>42977</v>
      </c>
      <c r="F718" s="281">
        <v>43100</v>
      </c>
      <c r="G718" s="149">
        <v>6.5</v>
      </c>
      <c r="H718" s="149">
        <v>7</v>
      </c>
      <c r="I718" s="149">
        <v>42</v>
      </c>
      <c r="J718" s="149">
        <v>57</v>
      </c>
      <c r="K718" s="149" t="s">
        <v>1296</v>
      </c>
      <c r="L718" s="149"/>
      <c r="M718" s="149"/>
    </row>
    <row r="719" spans="1:13" hidden="1">
      <c r="A719" s="149" t="s">
        <v>114</v>
      </c>
      <c r="B719" s="149" t="s">
        <v>126</v>
      </c>
      <c r="C719" s="149" t="s">
        <v>208</v>
      </c>
      <c r="D719" s="149">
        <v>556587</v>
      </c>
      <c r="E719" s="281">
        <v>42977</v>
      </c>
      <c r="F719" s="281">
        <v>43100</v>
      </c>
      <c r="G719" s="149">
        <v>0.3</v>
      </c>
      <c r="H719" s="149"/>
      <c r="I719" s="149">
        <v>5</v>
      </c>
      <c r="J719" s="149">
        <v>6</v>
      </c>
      <c r="K719" s="149" t="s">
        <v>1270</v>
      </c>
      <c r="L719" s="149"/>
      <c r="M719" s="149"/>
    </row>
    <row r="720" spans="1:13" hidden="1">
      <c r="A720" s="149" t="s">
        <v>114</v>
      </c>
      <c r="B720" s="149" t="s">
        <v>126</v>
      </c>
      <c r="C720" s="149" t="s">
        <v>547</v>
      </c>
      <c r="D720" s="149">
        <v>556587</v>
      </c>
      <c r="E720" s="281">
        <v>42977</v>
      </c>
      <c r="F720" s="281">
        <v>43100</v>
      </c>
      <c r="G720" s="149">
        <v>0.8</v>
      </c>
      <c r="H720" s="149">
        <v>4</v>
      </c>
      <c r="I720" s="149">
        <v>29</v>
      </c>
      <c r="J720" s="149">
        <v>38</v>
      </c>
      <c r="K720" s="149" t="s">
        <v>1304</v>
      </c>
      <c r="L720" s="149"/>
      <c r="M720" s="149"/>
    </row>
    <row r="721" spans="1:13" hidden="1">
      <c r="A721" s="149" t="s">
        <v>114</v>
      </c>
      <c r="B721" s="149" t="s">
        <v>126</v>
      </c>
      <c r="C721" s="149" t="s">
        <v>476</v>
      </c>
      <c r="D721" s="149">
        <v>556587</v>
      </c>
      <c r="E721" s="281">
        <v>42977</v>
      </c>
      <c r="F721" s="281">
        <v>43100</v>
      </c>
      <c r="G721" s="149">
        <v>3.9</v>
      </c>
      <c r="H721" s="149">
        <v>15</v>
      </c>
      <c r="I721" s="149">
        <v>49</v>
      </c>
      <c r="J721" s="149">
        <v>74</v>
      </c>
      <c r="K721" s="149" t="s">
        <v>1220</v>
      </c>
      <c r="L721" s="149"/>
      <c r="M721" s="149"/>
    </row>
    <row r="722" spans="1:13" hidden="1">
      <c r="A722" s="149" t="s">
        <v>114</v>
      </c>
      <c r="B722" s="149" t="s">
        <v>126</v>
      </c>
      <c r="C722" s="149" t="s">
        <v>475</v>
      </c>
      <c r="D722" s="149">
        <v>556587</v>
      </c>
      <c r="E722" s="281">
        <v>42977</v>
      </c>
      <c r="F722" s="281">
        <v>43100</v>
      </c>
      <c r="G722" s="149">
        <v>0.5</v>
      </c>
      <c r="H722" s="149">
        <v>3</v>
      </c>
      <c r="I722" s="149">
        <v>13</v>
      </c>
      <c r="J722" s="149">
        <v>18</v>
      </c>
      <c r="K722" s="149" t="s">
        <v>1218</v>
      </c>
      <c r="L722" s="149"/>
      <c r="M722" s="149"/>
    </row>
    <row r="723" spans="1:13" hidden="1">
      <c r="A723" s="149" t="s">
        <v>114</v>
      </c>
      <c r="B723" s="149" t="s">
        <v>126</v>
      </c>
      <c r="C723" s="149" t="s">
        <v>466</v>
      </c>
      <c r="D723" s="149">
        <v>556587</v>
      </c>
      <c r="E723" s="281">
        <v>42977</v>
      </c>
      <c r="F723" s="281">
        <v>43100</v>
      </c>
      <c r="G723" s="149">
        <v>6.3</v>
      </c>
      <c r="H723" s="149">
        <v>5</v>
      </c>
      <c r="I723" s="149">
        <v>62</v>
      </c>
      <c r="J723" s="149">
        <v>77</v>
      </c>
      <c r="K723" s="149" t="s">
        <v>1205</v>
      </c>
      <c r="L723" s="149"/>
      <c r="M723" s="149"/>
    </row>
    <row r="724" spans="1:13" hidden="1">
      <c r="A724" s="149" t="s">
        <v>114</v>
      </c>
      <c r="B724" s="149" t="s">
        <v>126</v>
      </c>
      <c r="C724" s="149" t="s">
        <v>503</v>
      </c>
      <c r="D724" s="149">
        <v>556587</v>
      </c>
      <c r="E724" s="281">
        <v>42977</v>
      </c>
      <c r="F724" s="281">
        <v>43100</v>
      </c>
      <c r="G724" s="149">
        <v>2</v>
      </c>
      <c r="H724" s="149">
        <v>3</v>
      </c>
      <c r="I724" s="149">
        <v>37</v>
      </c>
      <c r="J724" s="149">
        <v>46</v>
      </c>
      <c r="K724" s="149" t="s">
        <v>1251</v>
      </c>
      <c r="L724" s="149"/>
      <c r="M724" s="149"/>
    </row>
    <row r="725" spans="1:13" hidden="1">
      <c r="A725" s="149" t="s">
        <v>112</v>
      </c>
      <c r="B725" s="149" t="s">
        <v>126</v>
      </c>
      <c r="C725" s="149" t="s">
        <v>360</v>
      </c>
      <c r="D725" s="149">
        <v>556588</v>
      </c>
      <c r="E725" s="281">
        <v>42977</v>
      </c>
      <c r="F725" s="281">
        <v>43100</v>
      </c>
      <c r="G725" s="149">
        <v>4.2</v>
      </c>
      <c r="H725" s="149">
        <v>4</v>
      </c>
      <c r="I725" s="149">
        <v>92</v>
      </c>
      <c r="J725" s="149">
        <v>111</v>
      </c>
      <c r="K725" s="149" t="s">
        <v>1089</v>
      </c>
      <c r="L725" s="149"/>
      <c r="M725" s="149"/>
    </row>
    <row r="726" spans="1:13" hidden="1">
      <c r="A726" s="149" t="s">
        <v>112</v>
      </c>
      <c r="B726" s="149" t="s">
        <v>126</v>
      </c>
      <c r="C726" s="149" t="s">
        <v>326</v>
      </c>
      <c r="D726" s="149">
        <v>556588</v>
      </c>
      <c r="E726" s="281">
        <v>42977</v>
      </c>
      <c r="F726" s="281">
        <v>43100</v>
      </c>
      <c r="G726" s="149">
        <v>5</v>
      </c>
      <c r="H726" s="149">
        <v>3</v>
      </c>
      <c r="I726" s="149">
        <v>35</v>
      </c>
      <c r="J726" s="149">
        <v>44</v>
      </c>
      <c r="K726" s="149" t="s">
        <v>1051</v>
      </c>
      <c r="L726" s="149"/>
      <c r="M726" s="149"/>
    </row>
    <row r="727" spans="1:13" hidden="1">
      <c r="A727" s="149" t="s">
        <v>112</v>
      </c>
      <c r="B727" s="149" t="s">
        <v>126</v>
      </c>
      <c r="C727" s="149" t="s">
        <v>424</v>
      </c>
      <c r="D727" s="149">
        <v>556588</v>
      </c>
      <c r="E727" s="281">
        <v>42977</v>
      </c>
      <c r="F727" s="281">
        <v>43100</v>
      </c>
      <c r="G727" s="149">
        <v>3.6</v>
      </c>
      <c r="H727" s="149">
        <v>3</v>
      </c>
      <c r="I727" s="149">
        <v>50</v>
      </c>
      <c r="J727" s="149">
        <v>61</v>
      </c>
      <c r="K727" s="149" t="s">
        <v>1160</v>
      </c>
      <c r="L727" s="149"/>
      <c r="M727" s="149"/>
    </row>
    <row r="728" spans="1:13" hidden="1">
      <c r="A728" s="149" t="s">
        <v>116</v>
      </c>
      <c r="B728" s="149" t="s">
        <v>126</v>
      </c>
      <c r="C728" s="149" t="s">
        <v>701</v>
      </c>
      <c r="D728" s="149">
        <v>556589</v>
      </c>
      <c r="E728" s="281">
        <v>42978</v>
      </c>
      <c r="F728" s="281">
        <v>43100</v>
      </c>
      <c r="G728" s="149">
        <v>0.7</v>
      </c>
      <c r="H728" s="149"/>
      <c r="I728" s="149">
        <v>27</v>
      </c>
      <c r="J728" s="149">
        <v>31</v>
      </c>
      <c r="K728" s="149" t="s">
        <v>1490</v>
      </c>
      <c r="L728" s="149"/>
      <c r="M728" s="149"/>
    </row>
    <row r="729" spans="1:13" hidden="1">
      <c r="A729" s="149" t="s">
        <v>116</v>
      </c>
      <c r="B729" s="149" t="s">
        <v>126</v>
      </c>
      <c r="C729" s="149" t="s">
        <v>493</v>
      </c>
      <c r="D729" s="149">
        <v>556589</v>
      </c>
      <c r="E729" s="281">
        <v>42978</v>
      </c>
      <c r="F729" s="281">
        <v>43100</v>
      </c>
      <c r="G729" s="149">
        <v>3.5</v>
      </c>
      <c r="H729" s="149">
        <v>14</v>
      </c>
      <c r="I729" s="149">
        <v>62</v>
      </c>
      <c r="J729" s="149">
        <v>88</v>
      </c>
      <c r="K729" s="149" t="s">
        <v>1440</v>
      </c>
      <c r="L729" s="149"/>
      <c r="M729" s="149"/>
    </row>
    <row r="730" spans="1:13" hidden="1">
      <c r="A730" s="149" t="s">
        <v>116</v>
      </c>
      <c r="B730" s="149" t="s">
        <v>126</v>
      </c>
      <c r="C730" s="149" t="s">
        <v>665</v>
      </c>
      <c r="D730" s="149">
        <v>556589</v>
      </c>
      <c r="E730" s="281">
        <v>42978</v>
      </c>
      <c r="F730" s="281">
        <v>43100</v>
      </c>
      <c r="G730" s="149">
        <v>1.5</v>
      </c>
      <c r="H730" s="149">
        <v>2</v>
      </c>
      <c r="I730" s="149">
        <v>18</v>
      </c>
      <c r="J730" s="149">
        <v>24</v>
      </c>
      <c r="K730" s="149" t="s">
        <v>1442</v>
      </c>
      <c r="L730" s="149"/>
      <c r="M730" s="149"/>
    </row>
    <row r="731" spans="1:13" hidden="1">
      <c r="A731" s="149" t="s">
        <v>115</v>
      </c>
      <c r="B731" s="149" t="s">
        <v>126</v>
      </c>
      <c r="C731" s="149" t="s">
        <v>417</v>
      </c>
      <c r="D731" s="149">
        <v>556590</v>
      </c>
      <c r="E731" s="281">
        <v>42978</v>
      </c>
      <c r="F731" s="281">
        <v>43100</v>
      </c>
      <c r="G731" s="149">
        <v>22.7</v>
      </c>
      <c r="H731" s="149">
        <v>33</v>
      </c>
      <c r="I731" s="149">
        <v>447</v>
      </c>
      <c r="J731" s="149">
        <v>556</v>
      </c>
      <c r="K731" s="149" t="s">
        <v>1691</v>
      </c>
      <c r="L731" s="149"/>
      <c r="M731" s="149"/>
    </row>
    <row r="732" spans="1:13" hidden="1">
      <c r="A732" s="149" t="s">
        <v>115</v>
      </c>
      <c r="B732" s="149" t="s">
        <v>126</v>
      </c>
      <c r="C732" s="149" t="s">
        <v>659</v>
      </c>
      <c r="D732" s="149">
        <v>556590</v>
      </c>
      <c r="E732" s="281">
        <v>42978</v>
      </c>
      <c r="F732" s="281">
        <v>43100</v>
      </c>
      <c r="G732" s="149">
        <v>0.4</v>
      </c>
      <c r="H732" s="149"/>
      <c r="I732" s="149">
        <v>15</v>
      </c>
      <c r="J732" s="149">
        <v>18</v>
      </c>
      <c r="K732" s="149" t="s">
        <v>1661</v>
      </c>
      <c r="L732" s="149"/>
      <c r="M732" s="149"/>
    </row>
    <row r="733" spans="1:13" hidden="1">
      <c r="A733" s="149" t="s">
        <v>115</v>
      </c>
      <c r="B733" s="149" t="s">
        <v>126</v>
      </c>
      <c r="C733" s="149" t="s">
        <v>828</v>
      </c>
      <c r="D733" s="149">
        <v>556590</v>
      </c>
      <c r="E733" s="281">
        <v>42978</v>
      </c>
      <c r="F733" s="281">
        <v>43100</v>
      </c>
      <c r="G733" s="149">
        <v>12.7</v>
      </c>
      <c r="H733" s="149">
        <v>5</v>
      </c>
      <c r="I733" s="149">
        <v>161</v>
      </c>
      <c r="J733" s="149">
        <v>192</v>
      </c>
      <c r="K733" s="149" t="s">
        <v>1659</v>
      </c>
      <c r="L733" s="149"/>
      <c r="M733" s="149"/>
    </row>
    <row r="734" spans="1:13" hidden="1">
      <c r="A734" s="149" t="s">
        <v>116</v>
      </c>
      <c r="B734" s="149" t="s">
        <v>126</v>
      </c>
      <c r="C734" s="149" t="s">
        <v>720</v>
      </c>
      <c r="D734" s="149">
        <v>556591</v>
      </c>
      <c r="E734" s="281">
        <v>42982</v>
      </c>
      <c r="F734" s="281">
        <v>43100</v>
      </c>
      <c r="G734" s="149">
        <v>5.2</v>
      </c>
      <c r="H734" s="149">
        <v>7</v>
      </c>
      <c r="I734" s="149">
        <v>61</v>
      </c>
      <c r="J734" s="149">
        <v>78</v>
      </c>
      <c r="K734" s="149" t="s">
        <v>1516</v>
      </c>
      <c r="L734" s="149"/>
      <c r="M734" s="149"/>
    </row>
    <row r="735" spans="1:13" hidden="1">
      <c r="A735" s="149" t="s">
        <v>116</v>
      </c>
      <c r="B735" s="149" t="s">
        <v>126</v>
      </c>
      <c r="C735" s="149" t="s">
        <v>598</v>
      </c>
      <c r="D735" s="149">
        <v>556591</v>
      </c>
      <c r="E735" s="281">
        <v>42982</v>
      </c>
      <c r="F735" s="281">
        <v>43100</v>
      </c>
      <c r="G735" s="149">
        <v>9</v>
      </c>
      <c r="H735" s="149"/>
      <c r="I735" s="149">
        <v>229</v>
      </c>
      <c r="J735" s="149">
        <v>277</v>
      </c>
      <c r="K735" s="149" t="s">
        <v>1366</v>
      </c>
      <c r="L735" s="149"/>
      <c r="M735" s="149"/>
    </row>
    <row r="736" spans="1:13" hidden="1">
      <c r="A736" s="149" t="s">
        <v>116</v>
      </c>
      <c r="B736" s="149" t="s">
        <v>126</v>
      </c>
      <c r="C736" s="149" t="s">
        <v>594</v>
      </c>
      <c r="D736" s="149">
        <v>556591</v>
      </c>
      <c r="E736" s="281">
        <v>42982</v>
      </c>
      <c r="F736" s="281">
        <v>43100</v>
      </c>
      <c r="G736" s="149">
        <v>7.6</v>
      </c>
      <c r="H736" s="149"/>
      <c r="I736" s="149">
        <v>82</v>
      </c>
      <c r="J736" s="149">
        <v>99</v>
      </c>
      <c r="K736" s="149" t="s">
        <v>1360</v>
      </c>
      <c r="L736" s="149"/>
      <c r="M736" s="149"/>
    </row>
    <row r="737" spans="1:13" hidden="1">
      <c r="A737" s="149" t="s">
        <v>116</v>
      </c>
      <c r="B737" s="149" t="s">
        <v>126</v>
      </c>
      <c r="C737" s="149" t="s">
        <v>637</v>
      </c>
      <c r="D737" s="149">
        <v>556591</v>
      </c>
      <c r="E737" s="281">
        <v>42982</v>
      </c>
      <c r="F737" s="281">
        <v>43100</v>
      </c>
      <c r="G737" s="149">
        <v>1.7</v>
      </c>
      <c r="H737" s="149">
        <v>3</v>
      </c>
      <c r="I737" s="149">
        <v>30</v>
      </c>
      <c r="J737" s="149">
        <v>38</v>
      </c>
      <c r="K737" s="149" t="s">
        <v>1408</v>
      </c>
      <c r="L737" s="149"/>
      <c r="M737" s="149"/>
    </row>
    <row r="738" spans="1:13" hidden="1">
      <c r="A738" s="149" t="s">
        <v>116</v>
      </c>
      <c r="B738" s="149" t="s">
        <v>126</v>
      </c>
      <c r="C738" s="149" t="s">
        <v>645</v>
      </c>
      <c r="D738" s="149">
        <v>556591</v>
      </c>
      <c r="E738" s="281">
        <v>42982</v>
      </c>
      <c r="F738" s="281">
        <v>43100</v>
      </c>
      <c r="G738" s="149">
        <v>1.4</v>
      </c>
      <c r="H738" s="149">
        <v>2</v>
      </c>
      <c r="I738" s="149">
        <v>52</v>
      </c>
      <c r="J738" s="149">
        <v>63</v>
      </c>
      <c r="K738" s="149" t="s">
        <v>1420</v>
      </c>
      <c r="L738" s="149"/>
      <c r="M738" s="149"/>
    </row>
    <row r="739" spans="1:13" hidden="1">
      <c r="A739" s="149" t="s">
        <v>116</v>
      </c>
      <c r="B739" s="149" t="s">
        <v>126</v>
      </c>
      <c r="C739" s="149" t="s">
        <v>584</v>
      </c>
      <c r="D739" s="149">
        <v>556591</v>
      </c>
      <c r="E739" s="281">
        <v>42982</v>
      </c>
      <c r="F739" s="281">
        <v>43100</v>
      </c>
      <c r="G739" s="149">
        <v>3.1</v>
      </c>
      <c r="H739" s="149">
        <v>1</v>
      </c>
      <c r="I739" s="149">
        <v>39</v>
      </c>
      <c r="J739" s="149">
        <v>46</v>
      </c>
      <c r="K739" s="149" t="s">
        <v>1352</v>
      </c>
      <c r="L739" s="149"/>
      <c r="M739" s="149"/>
    </row>
    <row r="740" spans="1:13" hidden="1">
      <c r="A740" s="149" t="s">
        <v>116</v>
      </c>
      <c r="B740" s="149" t="s">
        <v>126</v>
      </c>
      <c r="C740" s="149" t="s">
        <v>695</v>
      </c>
      <c r="D740" s="149">
        <v>556591</v>
      </c>
      <c r="E740" s="281">
        <v>42982</v>
      </c>
      <c r="F740" s="281">
        <v>43100</v>
      </c>
      <c r="G740" s="149">
        <v>12</v>
      </c>
      <c r="H740" s="149">
        <v>23</v>
      </c>
      <c r="I740" s="149">
        <v>220</v>
      </c>
      <c r="J740" s="149">
        <v>284</v>
      </c>
      <c r="K740" s="149" t="s">
        <v>1482</v>
      </c>
      <c r="L740" s="149"/>
      <c r="M740" s="149"/>
    </row>
    <row r="741" spans="1:13" hidden="1">
      <c r="A741" s="149" t="s">
        <v>116</v>
      </c>
      <c r="B741" s="149" t="s">
        <v>126</v>
      </c>
      <c r="C741" s="149" t="s">
        <v>127</v>
      </c>
      <c r="D741" s="149">
        <v>556591</v>
      </c>
      <c r="E741" s="281">
        <v>42982</v>
      </c>
      <c r="F741" s="281">
        <v>43100</v>
      </c>
      <c r="G741" s="149">
        <v>7.3</v>
      </c>
      <c r="H741" s="149">
        <v>26</v>
      </c>
      <c r="I741" s="149">
        <v>223</v>
      </c>
      <c r="J741" s="149">
        <v>288</v>
      </c>
      <c r="K741" s="149" t="s">
        <v>1330</v>
      </c>
      <c r="L741" s="149"/>
      <c r="M741" s="149"/>
    </row>
    <row r="742" spans="1:13" hidden="1">
      <c r="A742" s="149" t="s">
        <v>116</v>
      </c>
      <c r="B742" s="149" t="s">
        <v>126</v>
      </c>
      <c r="C742" s="149" t="s">
        <v>406</v>
      </c>
      <c r="D742" s="149">
        <v>556591</v>
      </c>
      <c r="E742" s="281">
        <v>42982</v>
      </c>
      <c r="F742" s="281">
        <v>43100</v>
      </c>
      <c r="G742" s="149">
        <v>4.4000000000000004</v>
      </c>
      <c r="H742" s="149">
        <v>5</v>
      </c>
      <c r="I742" s="149">
        <v>72</v>
      </c>
      <c r="J742" s="149">
        <v>90</v>
      </c>
      <c r="K742" s="149" t="s">
        <v>1470</v>
      </c>
      <c r="L742" s="149"/>
      <c r="M742" s="149"/>
    </row>
    <row r="743" spans="1:13" hidden="1">
      <c r="A743" s="149" t="s">
        <v>116</v>
      </c>
      <c r="B743" s="149" t="s">
        <v>126</v>
      </c>
      <c r="C743" s="149" t="s">
        <v>728</v>
      </c>
      <c r="D743" s="149">
        <v>556591</v>
      </c>
      <c r="E743" s="281">
        <v>42982</v>
      </c>
      <c r="F743" s="281">
        <v>43100</v>
      </c>
      <c r="G743" s="149">
        <v>10.6</v>
      </c>
      <c r="H743" s="149">
        <v>26</v>
      </c>
      <c r="I743" s="149">
        <v>227</v>
      </c>
      <c r="J743" s="149">
        <v>295</v>
      </c>
      <c r="K743" s="149" t="s">
        <v>1528</v>
      </c>
      <c r="L743" s="149"/>
      <c r="M743" s="149"/>
    </row>
    <row r="744" spans="1:13" hidden="1">
      <c r="A744" s="149" t="s">
        <v>113</v>
      </c>
      <c r="B744" s="149" t="s">
        <v>126</v>
      </c>
      <c r="C744" s="149" t="s">
        <v>176</v>
      </c>
      <c r="D744" s="149">
        <v>556592</v>
      </c>
      <c r="E744" s="281">
        <v>42983</v>
      </c>
      <c r="F744" s="281">
        <v>43100</v>
      </c>
      <c r="G744" s="149">
        <v>2</v>
      </c>
      <c r="H744" s="149">
        <v>1</v>
      </c>
      <c r="I744" s="149">
        <v>21</v>
      </c>
      <c r="J744" s="149">
        <v>26</v>
      </c>
      <c r="K744" s="149" t="s">
        <v>918</v>
      </c>
      <c r="L744" s="149"/>
      <c r="M744" s="149"/>
    </row>
    <row r="745" spans="1:13" hidden="1">
      <c r="A745" s="149" t="s">
        <v>113</v>
      </c>
      <c r="B745" s="149" t="s">
        <v>126</v>
      </c>
      <c r="C745" s="149" t="s">
        <v>177</v>
      </c>
      <c r="D745" s="149">
        <v>556592</v>
      </c>
      <c r="E745" s="281">
        <v>42983</v>
      </c>
      <c r="F745" s="281">
        <v>43100</v>
      </c>
      <c r="G745" s="149">
        <v>2.9</v>
      </c>
      <c r="H745" s="149">
        <v>5</v>
      </c>
      <c r="I745" s="149">
        <v>121</v>
      </c>
      <c r="J745" s="149">
        <v>147</v>
      </c>
      <c r="K745" s="149" t="s">
        <v>920</v>
      </c>
      <c r="L745" s="149"/>
      <c r="M745" s="149"/>
    </row>
    <row r="746" spans="1:13" hidden="1">
      <c r="A746" s="149" t="s">
        <v>113</v>
      </c>
      <c r="B746" s="149" t="s">
        <v>126</v>
      </c>
      <c r="C746" s="149" t="s">
        <v>184</v>
      </c>
      <c r="D746" s="149">
        <v>556592</v>
      </c>
      <c r="E746" s="281">
        <v>42983</v>
      </c>
      <c r="F746" s="281">
        <v>43100</v>
      </c>
      <c r="G746" s="149">
        <v>9.1999999999999993</v>
      </c>
      <c r="H746" s="149">
        <v>12</v>
      </c>
      <c r="I746" s="149">
        <v>135</v>
      </c>
      <c r="J746" s="149">
        <v>170</v>
      </c>
      <c r="K746" s="149" t="s">
        <v>932</v>
      </c>
      <c r="L746" s="149"/>
      <c r="M746" s="149"/>
    </row>
    <row r="747" spans="1:13" hidden="1">
      <c r="A747" s="149" t="s">
        <v>113</v>
      </c>
      <c r="B747" s="149" t="s">
        <v>126</v>
      </c>
      <c r="C747" s="149" t="s">
        <v>161</v>
      </c>
      <c r="D747" s="149">
        <v>556592</v>
      </c>
      <c r="E747" s="281">
        <v>42983</v>
      </c>
      <c r="F747" s="281">
        <v>43100</v>
      </c>
      <c r="G747" s="149">
        <v>3.1</v>
      </c>
      <c r="H747" s="149"/>
      <c r="I747" s="149">
        <v>76</v>
      </c>
      <c r="J747" s="149">
        <v>89</v>
      </c>
      <c r="K747" s="149" t="s">
        <v>896</v>
      </c>
      <c r="L747" s="149"/>
      <c r="M747" s="149"/>
    </row>
    <row r="748" spans="1:13" hidden="1">
      <c r="A748" s="149" t="s">
        <v>113</v>
      </c>
      <c r="B748" s="149" t="s">
        <v>126</v>
      </c>
      <c r="C748" s="149" t="s">
        <v>160</v>
      </c>
      <c r="D748" s="149">
        <v>556592</v>
      </c>
      <c r="E748" s="281">
        <v>42983</v>
      </c>
      <c r="F748" s="281">
        <v>43100</v>
      </c>
      <c r="G748" s="149">
        <v>0.6</v>
      </c>
      <c r="H748" s="149"/>
      <c r="I748" s="149">
        <v>44</v>
      </c>
      <c r="J748" s="149">
        <v>53</v>
      </c>
      <c r="K748" s="149" t="s">
        <v>894</v>
      </c>
      <c r="L748" s="149"/>
      <c r="M748" s="149"/>
    </row>
    <row r="749" spans="1:13" hidden="1">
      <c r="A749" s="149" t="s">
        <v>113</v>
      </c>
      <c r="B749" s="149" t="s">
        <v>126</v>
      </c>
      <c r="C749" s="149" t="s">
        <v>174</v>
      </c>
      <c r="D749" s="149">
        <v>556592</v>
      </c>
      <c r="E749" s="281">
        <v>42983</v>
      </c>
      <c r="F749" s="281">
        <v>43100</v>
      </c>
      <c r="G749" s="149">
        <v>33</v>
      </c>
      <c r="H749" s="149"/>
      <c r="I749" s="149">
        <v>71</v>
      </c>
      <c r="J749" s="149">
        <v>85</v>
      </c>
      <c r="K749" s="149" t="s">
        <v>916</v>
      </c>
      <c r="L749" s="149"/>
      <c r="M749" s="149"/>
    </row>
    <row r="750" spans="1:13" hidden="1">
      <c r="A750" s="149" t="s">
        <v>113</v>
      </c>
      <c r="B750" s="149" t="s">
        <v>126</v>
      </c>
      <c r="C750" s="149" t="s">
        <v>169</v>
      </c>
      <c r="D750" s="149">
        <v>556592</v>
      </c>
      <c r="E750" s="281">
        <v>42983</v>
      </c>
      <c r="F750" s="281">
        <v>43100</v>
      </c>
      <c r="G750" s="149">
        <v>8.5</v>
      </c>
      <c r="H750" s="149">
        <v>7</v>
      </c>
      <c r="I750" s="149">
        <v>90</v>
      </c>
      <c r="J750" s="149">
        <v>112</v>
      </c>
      <c r="K750" s="149" t="s">
        <v>908</v>
      </c>
      <c r="L750" s="149"/>
      <c r="M750" s="149"/>
    </row>
    <row r="751" spans="1:13" hidden="1">
      <c r="A751" s="149" t="s">
        <v>113</v>
      </c>
      <c r="B751" s="149" t="s">
        <v>126</v>
      </c>
      <c r="C751" s="149" t="s">
        <v>173</v>
      </c>
      <c r="D751" s="149">
        <v>556592</v>
      </c>
      <c r="E751" s="281">
        <v>42983</v>
      </c>
      <c r="F751" s="281">
        <v>43100</v>
      </c>
      <c r="G751" s="149">
        <v>10.5</v>
      </c>
      <c r="H751" s="149">
        <v>1</v>
      </c>
      <c r="I751" s="149">
        <v>88</v>
      </c>
      <c r="J751" s="149">
        <v>112</v>
      </c>
      <c r="K751" s="149" t="s">
        <v>914</v>
      </c>
      <c r="L751" s="149"/>
      <c r="M751" s="149"/>
    </row>
    <row r="752" spans="1:13" hidden="1">
      <c r="A752" s="149" t="s">
        <v>113</v>
      </c>
      <c r="B752" s="149" t="s">
        <v>126</v>
      </c>
      <c r="C752" s="149" t="s">
        <v>171</v>
      </c>
      <c r="D752" s="149">
        <v>556592</v>
      </c>
      <c r="E752" s="281">
        <v>42983</v>
      </c>
      <c r="F752" s="281">
        <v>43100</v>
      </c>
      <c r="G752" s="149">
        <v>0.9</v>
      </c>
      <c r="H752" s="149"/>
      <c r="I752" s="149">
        <v>61</v>
      </c>
      <c r="J752" s="149">
        <v>74</v>
      </c>
      <c r="K752" s="149" t="s">
        <v>910</v>
      </c>
      <c r="L752" s="149"/>
      <c r="M752" s="149"/>
    </row>
    <row r="753" spans="1:13" hidden="1">
      <c r="A753" s="149" t="s">
        <v>115</v>
      </c>
      <c r="B753" s="149" t="s">
        <v>126</v>
      </c>
      <c r="C753" s="149" t="s">
        <v>761</v>
      </c>
      <c r="D753" s="149">
        <v>556593</v>
      </c>
      <c r="E753" s="281">
        <v>42983</v>
      </c>
      <c r="F753" s="281">
        <v>43100</v>
      </c>
      <c r="G753" s="149">
        <v>15.3</v>
      </c>
      <c r="H753" s="149">
        <v>46</v>
      </c>
      <c r="I753" s="149">
        <v>357</v>
      </c>
      <c r="J753" s="149">
        <v>466</v>
      </c>
      <c r="K753" s="149" t="s">
        <v>1555</v>
      </c>
      <c r="L753" s="149"/>
      <c r="M753" s="149"/>
    </row>
    <row r="754" spans="1:13" hidden="1">
      <c r="A754" s="149" t="s">
        <v>115</v>
      </c>
      <c r="B754" s="149" t="s">
        <v>126</v>
      </c>
      <c r="C754" s="149" t="s">
        <v>769</v>
      </c>
      <c r="D754" s="149">
        <v>556593</v>
      </c>
      <c r="E754" s="281">
        <v>42983</v>
      </c>
      <c r="F754" s="281">
        <v>43100</v>
      </c>
      <c r="G754" s="149">
        <v>19.2</v>
      </c>
      <c r="H754" s="149">
        <v>18</v>
      </c>
      <c r="I754" s="149">
        <v>368</v>
      </c>
      <c r="J754" s="149">
        <v>445</v>
      </c>
      <c r="K754" s="149" t="s">
        <v>1563</v>
      </c>
      <c r="L754" s="149"/>
      <c r="M754" s="149"/>
    </row>
    <row r="755" spans="1:13" hidden="1">
      <c r="A755" s="149" t="s">
        <v>115</v>
      </c>
      <c r="B755" s="149" t="s">
        <v>126</v>
      </c>
      <c r="C755" s="149" t="s">
        <v>833</v>
      </c>
      <c r="D755" s="149">
        <v>556593</v>
      </c>
      <c r="E755" s="281">
        <v>42983</v>
      </c>
      <c r="F755" s="281">
        <v>43100</v>
      </c>
      <c r="G755" s="149">
        <v>3.3</v>
      </c>
      <c r="H755" s="149"/>
      <c r="I755" s="149">
        <v>271</v>
      </c>
      <c r="J755" s="149">
        <v>319</v>
      </c>
      <c r="K755" s="149" t="s">
        <v>1665</v>
      </c>
      <c r="L755" s="149"/>
      <c r="M755" s="149"/>
    </row>
    <row r="756" spans="1:13" hidden="1">
      <c r="A756" s="149" t="s">
        <v>115</v>
      </c>
      <c r="B756" s="149" t="s">
        <v>126</v>
      </c>
      <c r="C756" s="149" t="s">
        <v>800</v>
      </c>
      <c r="D756" s="149">
        <v>556593</v>
      </c>
      <c r="E756" s="281">
        <v>42983</v>
      </c>
      <c r="F756" s="281">
        <v>43100</v>
      </c>
      <c r="G756" s="149">
        <v>3.3</v>
      </c>
      <c r="H756" s="149"/>
      <c r="I756" s="149">
        <v>59</v>
      </c>
      <c r="J756" s="149">
        <v>72</v>
      </c>
      <c r="K756" s="149" t="s">
        <v>1613</v>
      </c>
      <c r="L756" s="149"/>
      <c r="M756" s="149"/>
    </row>
    <row r="757" spans="1:13" hidden="1">
      <c r="A757" s="149" t="s">
        <v>115</v>
      </c>
      <c r="B757" s="149" t="s">
        <v>126</v>
      </c>
      <c r="C757" s="149" t="s">
        <v>857</v>
      </c>
      <c r="D757" s="149">
        <v>556593</v>
      </c>
      <c r="E757" s="281">
        <v>42983</v>
      </c>
      <c r="F757" s="281">
        <v>43100</v>
      </c>
      <c r="G757" s="149">
        <v>29.2</v>
      </c>
      <c r="H757" s="149">
        <v>13</v>
      </c>
      <c r="I757" s="149">
        <v>236</v>
      </c>
      <c r="J757" s="149">
        <v>292</v>
      </c>
      <c r="K757" s="149" t="s">
        <v>1711</v>
      </c>
      <c r="L757" s="149"/>
      <c r="M757" s="149"/>
    </row>
    <row r="758" spans="1:13" hidden="1">
      <c r="A758" s="149" t="s">
        <v>116</v>
      </c>
      <c r="B758" s="149" t="s">
        <v>126</v>
      </c>
      <c r="C758" s="149" t="s">
        <v>681</v>
      </c>
      <c r="D758" s="149">
        <v>556594</v>
      </c>
      <c r="E758" s="281">
        <v>42984</v>
      </c>
      <c r="F758" s="281">
        <v>43100</v>
      </c>
      <c r="G758" s="149">
        <v>2.6</v>
      </c>
      <c r="H758" s="149">
        <v>7</v>
      </c>
      <c r="I758" s="149">
        <v>50</v>
      </c>
      <c r="J758" s="149">
        <v>66</v>
      </c>
      <c r="K758" s="149" t="s">
        <v>1464</v>
      </c>
      <c r="L758" s="149"/>
      <c r="M758" s="149"/>
    </row>
    <row r="759" spans="1:13" hidden="1">
      <c r="A759" s="149" t="s">
        <v>115</v>
      </c>
      <c r="B759" s="149" t="s">
        <v>321</v>
      </c>
      <c r="C759" s="149" t="s">
        <v>779</v>
      </c>
      <c r="D759" s="149">
        <v>556595</v>
      </c>
      <c r="E759" s="281">
        <v>42985</v>
      </c>
      <c r="F759" s="281">
        <v>43100</v>
      </c>
      <c r="G759" s="149">
        <v>0.1</v>
      </c>
      <c r="H759" s="149"/>
      <c r="I759" s="149">
        <v>3</v>
      </c>
      <c r="J759" s="149">
        <v>3</v>
      </c>
      <c r="K759" s="149" t="s">
        <v>1581</v>
      </c>
      <c r="L759" s="149"/>
      <c r="M759" s="149"/>
    </row>
    <row r="760" spans="1:13" hidden="1">
      <c r="A760" s="149" t="s">
        <v>111</v>
      </c>
      <c r="B760" s="149" t="s">
        <v>126</v>
      </c>
      <c r="C760" s="149" t="s">
        <v>263</v>
      </c>
      <c r="D760" s="149">
        <v>556596</v>
      </c>
      <c r="E760" s="281">
        <v>42986</v>
      </c>
      <c r="F760" s="281">
        <v>43100</v>
      </c>
      <c r="G760" s="149">
        <v>7.5</v>
      </c>
      <c r="H760" s="149">
        <v>7</v>
      </c>
      <c r="I760" s="149">
        <v>199</v>
      </c>
      <c r="J760" s="149">
        <v>237</v>
      </c>
      <c r="K760" s="149" t="s">
        <v>1003</v>
      </c>
      <c r="L760" s="149"/>
      <c r="M760" s="149"/>
    </row>
    <row r="761" spans="1:13" hidden="1">
      <c r="A761" s="149" t="s">
        <v>111</v>
      </c>
      <c r="B761" s="149" t="s">
        <v>126</v>
      </c>
      <c r="C761" s="149" t="s">
        <v>297</v>
      </c>
      <c r="D761" s="149">
        <v>556596</v>
      </c>
      <c r="E761" s="281">
        <v>42986</v>
      </c>
      <c r="F761" s="281">
        <v>43100</v>
      </c>
      <c r="G761" s="149">
        <v>0.6</v>
      </c>
      <c r="H761" s="149"/>
      <c r="I761" s="149">
        <v>36</v>
      </c>
      <c r="J761" s="149">
        <v>45</v>
      </c>
      <c r="K761" s="149" t="s">
        <v>1029</v>
      </c>
      <c r="L761" s="149"/>
      <c r="M761" s="149"/>
    </row>
    <row r="762" spans="1:13" hidden="1">
      <c r="A762" s="149" t="s">
        <v>112</v>
      </c>
      <c r="B762" s="149" t="s">
        <v>126</v>
      </c>
      <c r="C762" s="149" t="s">
        <v>404</v>
      </c>
      <c r="D762" s="149">
        <v>556597</v>
      </c>
      <c r="E762" s="281">
        <v>42997</v>
      </c>
      <c r="F762" s="281">
        <v>43100</v>
      </c>
      <c r="G762" s="149">
        <v>3.8</v>
      </c>
      <c r="H762" s="149">
        <v>9</v>
      </c>
      <c r="I762" s="149">
        <v>147</v>
      </c>
      <c r="J762" s="149">
        <v>182</v>
      </c>
      <c r="K762" s="149" t="s">
        <v>1140</v>
      </c>
      <c r="L762" s="149"/>
      <c r="M762" s="149"/>
    </row>
    <row r="763" spans="1:13" hidden="1">
      <c r="A763" s="149" t="s">
        <v>112</v>
      </c>
      <c r="B763" s="149" t="s">
        <v>126</v>
      </c>
      <c r="C763" s="149" t="s">
        <v>357</v>
      </c>
      <c r="D763" s="149">
        <v>556597</v>
      </c>
      <c r="E763" s="281">
        <v>42997</v>
      </c>
      <c r="F763" s="281">
        <v>43100</v>
      </c>
      <c r="G763" s="149">
        <v>6.6</v>
      </c>
      <c r="H763" s="149">
        <v>9</v>
      </c>
      <c r="I763" s="149">
        <v>143</v>
      </c>
      <c r="J763" s="149">
        <v>179</v>
      </c>
      <c r="K763" s="149" t="s">
        <v>1085</v>
      </c>
      <c r="L763" s="149"/>
      <c r="M763" s="149"/>
    </row>
    <row r="764" spans="1:13" hidden="1">
      <c r="A764" s="149" t="s">
        <v>112</v>
      </c>
      <c r="B764" s="149" t="s">
        <v>126</v>
      </c>
      <c r="C764" s="149" t="s">
        <v>440</v>
      </c>
      <c r="D764" s="149">
        <v>556597</v>
      </c>
      <c r="E764" s="281">
        <v>42997</v>
      </c>
      <c r="F764" s="281">
        <v>43100</v>
      </c>
      <c r="G764" s="149">
        <v>4</v>
      </c>
      <c r="H764" s="149"/>
      <c r="I764" s="149">
        <v>67</v>
      </c>
      <c r="J764" s="149">
        <v>81</v>
      </c>
      <c r="K764" s="149" t="s">
        <v>1181</v>
      </c>
      <c r="L764" s="149"/>
      <c r="M764" s="149"/>
    </row>
    <row r="765" spans="1:13" hidden="1">
      <c r="A765" s="149" t="s">
        <v>115</v>
      </c>
      <c r="B765" s="149" t="s">
        <v>126</v>
      </c>
      <c r="C765" s="149" t="s">
        <v>278</v>
      </c>
      <c r="D765" s="149">
        <v>556599</v>
      </c>
      <c r="E765" s="281">
        <v>42999</v>
      </c>
      <c r="F765" s="281">
        <v>43100</v>
      </c>
      <c r="G765" s="149">
        <v>25</v>
      </c>
      <c r="H765" s="149">
        <v>1</v>
      </c>
      <c r="I765" s="149">
        <v>252</v>
      </c>
      <c r="J765" s="149">
        <v>302</v>
      </c>
      <c r="K765" s="149" t="s">
        <v>1619</v>
      </c>
      <c r="L765" s="149"/>
      <c r="M765" s="149"/>
    </row>
    <row r="766" spans="1:13" hidden="1">
      <c r="A766" s="149" t="s">
        <v>114</v>
      </c>
      <c r="B766" s="149" t="s">
        <v>126</v>
      </c>
      <c r="C766" s="149" t="s">
        <v>544</v>
      </c>
      <c r="D766" s="149">
        <v>556600</v>
      </c>
      <c r="E766" s="281">
        <v>43003</v>
      </c>
      <c r="F766" s="281">
        <v>43100</v>
      </c>
      <c r="G766" s="149">
        <v>15</v>
      </c>
      <c r="H766" s="149">
        <v>13</v>
      </c>
      <c r="I766" s="149">
        <v>108</v>
      </c>
      <c r="J766" s="149">
        <v>141</v>
      </c>
      <c r="K766" s="149" t="s">
        <v>1298</v>
      </c>
      <c r="L766" s="149"/>
      <c r="M766" s="149"/>
    </row>
    <row r="767" spans="1:13" hidden="1">
      <c r="A767" s="149" t="s">
        <v>116</v>
      </c>
      <c r="B767" s="149" t="s">
        <v>126</v>
      </c>
      <c r="C767" s="149" t="s">
        <v>702</v>
      </c>
      <c r="D767" s="149">
        <v>556601</v>
      </c>
      <c r="E767" s="281">
        <v>43012</v>
      </c>
      <c r="F767" s="281">
        <v>43100</v>
      </c>
      <c r="G767" s="149">
        <v>2.1</v>
      </c>
      <c r="H767" s="149">
        <v>2</v>
      </c>
      <c r="I767" s="149">
        <v>28</v>
      </c>
      <c r="J767" s="149">
        <v>35</v>
      </c>
      <c r="K767" s="149" t="s">
        <v>1492</v>
      </c>
      <c r="L767" s="149"/>
      <c r="M767" s="149"/>
    </row>
    <row r="768" spans="1:13" hidden="1">
      <c r="A768" s="149" t="s">
        <v>116</v>
      </c>
      <c r="B768" s="149" t="s">
        <v>126</v>
      </c>
      <c r="C768" s="149" t="s">
        <v>682</v>
      </c>
      <c r="D768" s="149">
        <v>556601</v>
      </c>
      <c r="E768" s="281">
        <v>43012</v>
      </c>
      <c r="F768" s="281">
        <v>43100</v>
      </c>
      <c r="G768" s="149">
        <v>1.2</v>
      </c>
      <c r="H768" s="149">
        <v>2</v>
      </c>
      <c r="I768" s="149">
        <v>25</v>
      </c>
      <c r="J768" s="149">
        <v>31</v>
      </c>
      <c r="K768" s="149" t="s">
        <v>1466</v>
      </c>
      <c r="L768" s="149"/>
      <c r="M768" s="149"/>
    </row>
    <row r="769" spans="1:13" hidden="1">
      <c r="A769" s="149" t="s">
        <v>111</v>
      </c>
      <c r="B769" s="149" t="s">
        <v>126</v>
      </c>
      <c r="C769" s="149" t="s">
        <v>284</v>
      </c>
      <c r="D769" s="149">
        <v>556602</v>
      </c>
      <c r="E769" s="281">
        <v>43013</v>
      </c>
      <c r="F769" s="281">
        <v>43100</v>
      </c>
      <c r="G769" s="149">
        <v>4.7</v>
      </c>
      <c r="H769" s="149">
        <v>143</v>
      </c>
      <c r="I769" s="149">
        <v>361</v>
      </c>
      <c r="J769" s="149">
        <v>571</v>
      </c>
      <c r="K769" s="149" t="s">
        <v>1025</v>
      </c>
      <c r="L769" s="149"/>
      <c r="M769" s="149"/>
    </row>
    <row r="770" spans="1:13" hidden="1">
      <c r="A770" s="149" t="s">
        <v>111</v>
      </c>
      <c r="B770" s="149" t="s">
        <v>126</v>
      </c>
      <c r="C770" s="149" t="s">
        <v>262</v>
      </c>
      <c r="D770" s="149">
        <v>556602</v>
      </c>
      <c r="E770" s="281">
        <v>43013</v>
      </c>
      <c r="F770" s="281">
        <v>43100</v>
      </c>
      <c r="G770" s="149">
        <v>11.6</v>
      </c>
      <c r="H770" s="149">
        <v>35</v>
      </c>
      <c r="I770" s="149">
        <v>1013</v>
      </c>
      <c r="J770" s="149">
        <v>1213</v>
      </c>
      <c r="K770" s="149" t="s">
        <v>1001</v>
      </c>
      <c r="L770" s="149"/>
      <c r="M770" s="149"/>
    </row>
    <row r="771" spans="1:13" hidden="1">
      <c r="A771" s="149" t="s">
        <v>112</v>
      </c>
      <c r="B771" s="149" t="s">
        <v>321</v>
      </c>
      <c r="C771" s="149" t="s">
        <v>426</v>
      </c>
      <c r="D771" s="149">
        <v>556603</v>
      </c>
      <c r="E771" s="281">
        <v>43014</v>
      </c>
      <c r="F771" s="281">
        <v>43100</v>
      </c>
      <c r="G771" s="149">
        <v>0.1</v>
      </c>
      <c r="H771" s="149"/>
      <c r="I771" s="149"/>
      <c r="J771" s="149">
        <v>6</v>
      </c>
      <c r="K771" s="149" t="s">
        <v>1163</v>
      </c>
      <c r="L771" s="149"/>
      <c r="M771" s="149"/>
    </row>
    <row r="772" spans="1:13" hidden="1">
      <c r="A772" s="149" t="s">
        <v>112</v>
      </c>
      <c r="B772" s="149" t="s">
        <v>321</v>
      </c>
      <c r="C772" s="149" t="s">
        <v>427</v>
      </c>
      <c r="D772" s="149">
        <v>556603</v>
      </c>
      <c r="E772" s="281">
        <v>43014</v>
      </c>
      <c r="F772" s="281">
        <v>43100</v>
      </c>
      <c r="G772" s="149">
        <v>0.8</v>
      </c>
      <c r="H772" s="149"/>
      <c r="I772" s="149">
        <v>6</v>
      </c>
      <c r="J772" s="149">
        <v>12</v>
      </c>
      <c r="K772" s="149" t="s">
        <v>1165</v>
      </c>
      <c r="L772" s="149"/>
      <c r="M772" s="149"/>
    </row>
    <row r="773" spans="1:13" hidden="1">
      <c r="A773" s="149" t="s">
        <v>112</v>
      </c>
      <c r="B773" s="149" t="s">
        <v>321</v>
      </c>
      <c r="C773" s="149" t="s">
        <v>322</v>
      </c>
      <c r="D773" s="149">
        <v>556604</v>
      </c>
      <c r="E773" s="281">
        <v>43025</v>
      </c>
      <c r="F773" s="281">
        <v>43100</v>
      </c>
      <c r="G773" s="149">
        <v>0.1</v>
      </c>
      <c r="H773" s="149"/>
      <c r="I773" s="149">
        <v>21</v>
      </c>
      <c r="J773" s="149">
        <v>25</v>
      </c>
      <c r="K773" s="149" t="s">
        <v>1045</v>
      </c>
      <c r="L773" s="149"/>
      <c r="M773" s="149"/>
    </row>
    <row r="774" spans="1:13" hidden="1">
      <c r="A774" s="149" t="s">
        <v>116</v>
      </c>
      <c r="B774" s="149" t="s">
        <v>605</v>
      </c>
      <c r="C774" s="149" t="s">
        <v>400</v>
      </c>
      <c r="D774" s="149">
        <v>556605</v>
      </c>
      <c r="E774" s="281">
        <v>43032</v>
      </c>
      <c r="F774" s="281">
        <v>43100</v>
      </c>
      <c r="G774" s="149">
        <v>0.1</v>
      </c>
      <c r="H774" s="149"/>
      <c r="I774" s="149">
        <v>2</v>
      </c>
      <c r="J774" s="149">
        <v>2</v>
      </c>
      <c r="K774" s="149" t="s">
        <v>1454</v>
      </c>
      <c r="L774" s="149"/>
      <c r="M774" s="149"/>
    </row>
    <row r="775" spans="1:13" hidden="1">
      <c r="A775" s="149" t="s">
        <v>116</v>
      </c>
      <c r="B775" s="149" t="s">
        <v>126</v>
      </c>
      <c r="C775" s="149" t="s">
        <v>577</v>
      </c>
      <c r="D775" s="149">
        <v>556606</v>
      </c>
      <c r="E775" s="281">
        <v>43038</v>
      </c>
      <c r="F775" s="281">
        <v>43100</v>
      </c>
      <c r="G775" s="149">
        <v>5.9</v>
      </c>
      <c r="H775" s="149">
        <v>22</v>
      </c>
      <c r="I775" s="149">
        <v>190</v>
      </c>
      <c r="J775" s="149">
        <v>246</v>
      </c>
      <c r="K775" s="149" t="s">
        <v>1344</v>
      </c>
      <c r="L775" s="149"/>
      <c r="M775" s="149"/>
    </row>
    <row r="776" spans="1:13" hidden="1">
      <c r="A776" s="149" t="s">
        <v>116</v>
      </c>
      <c r="B776" s="149" t="s">
        <v>126</v>
      </c>
      <c r="C776" s="149" t="s">
        <v>627</v>
      </c>
      <c r="D776" s="149">
        <v>556606</v>
      </c>
      <c r="E776" s="281">
        <v>43038</v>
      </c>
      <c r="F776" s="281">
        <v>43100</v>
      </c>
      <c r="G776" s="149">
        <v>3</v>
      </c>
      <c r="H776" s="149">
        <v>5</v>
      </c>
      <c r="I776" s="149">
        <v>69</v>
      </c>
      <c r="J776" s="149">
        <v>86</v>
      </c>
      <c r="K776" s="149" t="s">
        <v>1398</v>
      </c>
      <c r="L776" s="149"/>
      <c r="M776" s="149"/>
    </row>
    <row r="777" spans="1:13" hidden="1">
      <c r="A777" s="149" t="s">
        <v>116</v>
      </c>
      <c r="B777" s="149" t="s">
        <v>126</v>
      </c>
      <c r="C777" s="149" t="s">
        <v>715</v>
      </c>
      <c r="D777" s="149">
        <v>556606</v>
      </c>
      <c r="E777" s="281">
        <v>43038</v>
      </c>
      <c r="F777" s="281">
        <v>43100</v>
      </c>
      <c r="G777" s="149">
        <v>2.9</v>
      </c>
      <c r="H777" s="149"/>
      <c r="I777" s="149">
        <v>49</v>
      </c>
      <c r="J777" s="149">
        <v>56</v>
      </c>
      <c r="K777" s="149" t="s">
        <v>1508</v>
      </c>
      <c r="L777" s="149"/>
      <c r="M777" s="149"/>
    </row>
    <row r="778" spans="1:13" hidden="1">
      <c r="A778" s="149" t="s">
        <v>116</v>
      </c>
      <c r="B778" s="149" t="s">
        <v>126</v>
      </c>
      <c r="C778" s="149" t="s">
        <v>475</v>
      </c>
      <c r="D778" s="149">
        <v>556606</v>
      </c>
      <c r="E778" s="281">
        <v>43038</v>
      </c>
      <c r="F778" s="281">
        <v>43100</v>
      </c>
      <c r="G778" s="149">
        <v>5.5</v>
      </c>
      <c r="H778" s="149">
        <v>4</v>
      </c>
      <c r="I778" s="149">
        <v>113</v>
      </c>
      <c r="J778" s="149">
        <v>137</v>
      </c>
      <c r="K778" s="149" t="s">
        <v>1426</v>
      </c>
      <c r="L778" s="149"/>
      <c r="M778" s="149"/>
    </row>
    <row r="779" spans="1:13" hidden="1">
      <c r="A779" s="149" t="s">
        <v>116</v>
      </c>
      <c r="B779" s="149" t="s">
        <v>126</v>
      </c>
      <c r="C779" s="149" t="s">
        <v>714</v>
      </c>
      <c r="D779" s="149">
        <v>556606</v>
      </c>
      <c r="E779" s="281">
        <v>43038</v>
      </c>
      <c r="F779" s="281">
        <v>43100</v>
      </c>
      <c r="G779" s="149">
        <v>5.2</v>
      </c>
      <c r="H779" s="149">
        <v>5</v>
      </c>
      <c r="I779" s="149">
        <v>37</v>
      </c>
      <c r="J779" s="149">
        <v>48</v>
      </c>
      <c r="K779" s="149" t="s">
        <v>1506</v>
      </c>
      <c r="L779" s="149"/>
      <c r="M779" s="149"/>
    </row>
    <row r="780" spans="1:13" hidden="1">
      <c r="A780" s="149" t="s">
        <v>116</v>
      </c>
      <c r="B780" s="149" t="s">
        <v>126</v>
      </c>
      <c r="C780" s="149" t="s">
        <v>638</v>
      </c>
      <c r="D780" s="149">
        <v>556606</v>
      </c>
      <c r="E780" s="281">
        <v>43038</v>
      </c>
      <c r="F780" s="281">
        <v>43100</v>
      </c>
      <c r="G780" s="149">
        <v>6.7</v>
      </c>
      <c r="H780" s="149">
        <v>1</v>
      </c>
      <c r="I780" s="149">
        <v>106</v>
      </c>
      <c r="J780" s="149">
        <v>125</v>
      </c>
      <c r="K780" s="149" t="s">
        <v>1410</v>
      </c>
      <c r="L780" s="149"/>
      <c r="M780" s="149"/>
    </row>
    <row r="781" spans="1:13" hidden="1">
      <c r="A781" s="149" t="s">
        <v>116</v>
      </c>
      <c r="B781" s="149" t="s">
        <v>126</v>
      </c>
      <c r="C781" s="149" t="s">
        <v>629</v>
      </c>
      <c r="D781" s="149">
        <v>556606</v>
      </c>
      <c r="E781" s="281">
        <v>43038</v>
      </c>
      <c r="F781" s="281">
        <v>43100</v>
      </c>
      <c r="G781" s="149">
        <v>1.3</v>
      </c>
      <c r="H781" s="149">
        <v>1</v>
      </c>
      <c r="I781" s="149">
        <v>26</v>
      </c>
      <c r="J781" s="149">
        <v>32</v>
      </c>
      <c r="K781" s="149" t="s">
        <v>1400</v>
      </c>
      <c r="L781" s="149"/>
      <c r="M781" s="149"/>
    </row>
    <row r="782" spans="1:13" hidden="1">
      <c r="A782" s="149" t="s">
        <v>116</v>
      </c>
      <c r="B782" s="149" t="s">
        <v>126</v>
      </c>
      <c r="C782" s="149" t="s">
        <v>669</v>
      </c>
      <c r="D782" s="149">
        <v>556606</v>
      </c>
      <c r="E782" s="281">
        <v>43038</v>
      </c>
      <c r="F782" s="281">
        <v>43100</v>
      </c>
      <c r="G782" s="149">
        <v>0.6</v>
      </c>
      <c r="H782" s="149">
        <v>3</v>
      </c>
      <c r="I782" s="149">
        <v>21</v>
      </c>
      <c r="J782" s="149">
        <v>27</v>
      </c>
      <c r="K782" s="149" t="s">
        <v>1450</v>
      </c>
      <c r="L782" s="149"/>
      <c r="M782" s="149"/>
    </row>
    <row r="783" spans="1:13" hidden="1">
      <c r="A783" s="149" t="s">
        <v>112</v>
      </c>
      <c r="B783" s="149" t="s">
        <v>126</v>
      </c>
      <c r="C783" s="149" t="s">
        <v>440</v>
      </c>
      <c r="D783" s="149">
        <v>556607</v>
      </c>
      <c r="E783" s="281">
        <v>43038</v>
      </c>
      <c r="F783" s="281">
        <v>43100</v>
      </c>
      <c r="G783" s="149">
        <v>4</v>
      </c>
      <c r="H783" s="149"/>
      <c r="I783" s="149">
        <v>68</v>
      </c>
      <c r="J783" s="149">
        <v>82</v>
      </c>
      <c r="K783" s="149" t="s">
        <v>1179</v>
      </c>
      <c r="L783" s="149"/>
      <c r="M783" s="149"/>
    </row>
    <row r="784" spans="1:13" hidden="1">
      <c r="A784" s="149" t="s">
        <v>441</v>
      </c>
      <c r="B784" s="149" t="s">
        <v>126</v>
      </c>
      <c r="C784" s="149" t="s">
        <v>440</v>
      </c>
      <c r="D784" s="149">
        <v>556607</v>
      </c>
      <c r="E784" s="281">
        <v>42383</v>
      </c>
      <c r="F784" s="281">
        <v>42735</v>
      </c>
      <c r="G784" s="149"/>
      <c r="H784" s="149"/>
      <c r="I784" s="149"/>
      <c r="J784" s="149"/>
      <c r="K784" s="149" t="s">
        <v>1179</v>
      </c>
      <c r="L784" s="149"/>
      <c r="M784" s="149"/>
    </row>
    <row r="785" spans="1:13" hidden="1">
      <c r="A785" s="149" t="s">
        <v>112</v>
      </c>
      <c r="B785" s="149" t="s">
        <v>126</v>
      </c>
      <c r="C785" s="149" t="s">
        <v>318</v>
      </c>
      <c r="D785" s="149">
        <v>556607</v>
      </c>
      <c r="E785" s="281">
        <v>43038</v>
      </c>
      <c r="F785" s="281">
        <v>43100</v>
      </c>
      <c r="G785" s="149">
        <v>12.9</v>
      </c>
      <c r="H785" s="149">
        <v>2</v>
      </c>
      <c r="I785" s="149">
        <v>135</v>
      </c>
      <c r="J785" s="149">
        <v>159</v>
      </c>
      <c r="K785" s="149" t="s">
        <v>1043</v>
      </c>
      <c r="L785" s="149"/>
      <c r="M785" s="149"/>
    </row>
    <row r="786" spans="1:13" hidden="1">
      <c r="A786" s="149" t="s">
        <v>112</v>
      </c>
      <c r="B786" s="149" t="s">
        <v>126</v>
      </c>
      <c r="C786" s="149" t="s">
        <v>361</v>
      </c>
      <c r="D786" s="149">
        <v>556607</v>
      </c>
      <c r="E786" s="281">
        <v>43038</v>
      </c>
      <c r="F786" s="281">
        <v>43100</v>
      </c>
      <c r="G786" s="149">
        <v>6.7</v>
      </c>
      <c r="H786" s="149">
        <v>22</v>
      </c>
      <c r="I786" s="149">
        <v>138</v>
      </c>
      <c r="J786" s="149">
        <v>185</v>
      </c>
      <c r="K786" s="149" t="s">
        <v>1091</v>
      </c>
      <c r="L786" s="149"/>
      <c r="M786" s="149"/>
    </row>
    <row r="787" spans="1:13" hidden="1">
      <c r="A787" s="149" t="s">
        <v>112</v>
      </c>
      <c r="B787" s="149" t="s">
        <v>126</v>
      </c>
      <c r="C787" s="149" t="s">
        <v>364</v>
      </c>
      <c r="D787" s="149">
        <v>556607</v>
      </c>
      <c r="E787" s="281">
        <v>43038</v>
      </c>
      <c r="F787" s="281">
        <v>43100</v>
      </c>
      <c r="G787" s="149">
        <v>0.7</v>
      </c>
      <c r="H787" s="149">
        <v>2</v>
      </c>
      <c r="I787" s="149">
        <v>20</v>
      </c>
      <c r="J787" s="149">
        <v>26</v>
      </c>
      <c r="K787" s="149" t="s">
        <v>1095</v>
      </c>
      <c r="L787" s="149"/>
      <c r="M787" s="149"/>
    </row>
    <row r="788" spans="1:13" hidden="1">
      <c r="A788" s="149" t="s">
        <v>441</v>
      </c>
      <c r="B788" s="149" t="s">
        <v>126</v>
      </c>
      <c r="C788" s="149" t="s">
        <v>440</v>
      </c>
      <c r="D788" s="149">
        <v>556607</v>
      </c>
      <c r="E788" s="281">
        <v>42739</v>
      </c>
      <c r="F788" s="281">
        <v>43100</v>
      </c>
      <c r="G788" s="149"/>
      <c r="H788" s="149"/>
      <c r="I788" s="149"/>
      <c r="J788" s="149"/>
      <c r="K788" s="149" t="s">
        <v>1179</v>
      </c>
      <c r="L788" s="149"/>
      <c r="M788" s="149"/>
    </row>
    <row r="789" spans="1:13" hidden="1">
      <c r="A789" s="149" t="s">
        <v>113</v>
      </c>
      <c r="B789" s="149" t="s">
        <v>126</v>
      </c>
      <c r="C789" s="149" t="s">
        <v>162</v>
      </c>
      <c r="D789" s="149">
        <v>556608</v>
      </c>
      <c r="E789" s="281">
        <v>43038</v>
      </c>
      <c r="F789" s="281">
        <v>43100</v>
      </c>
      <c r="G789" s="149">
        <v>6.3</v>
      </c>
      <c r="H789" s="149"/>
      <c r="I789" s="149">
        <v>151</v>
      </c>
      <c r="J789" s="149">
        <v>189</v>
      </c>
      <c r="K789" s="149" t="s">
        <v>898</v>
      </c>
      <c r="L789" s="149"/>
      <c r="M789" s="149"/>
    </row>
    <row r="790" spans="1:13" hidden="1">
      <c r="A790" s="149" t="s">
        <v>113</v>
      </c>
      <c r="B790" s="149" t="s">
        <v>126</v>
      </c>
      <c r="C790" s="149" t="s">
        <v>179</v>
      </c>
      <c r="D790" s="149">
        <v>556608</v>
      </c>
      <c r="E790" s="281">
        <v>43038</v>
      </c>
      <c r="F790" s="281">
        <v>43100</v>
      </c>
      <c r="G790" s="149">
        <v>0.8</v>
      </c>
      <c r="H790" s="149"/>
      <c r="I790" s="149">
        <v>48</v>
      </c>
      <c r="J790" s="149">
        <v>57</v>
      </c>
      <c r="K790" s="149" t="s">
        <v>924</v>
      </c>
      <c r="L790" s="149"/>
      <c r="M790" s="149"/>
    </row>
    <row r="791" spans="1:13" hidden="1">
      <c r="A791" s="149" t="s">
        <v>113</v>
      </c>
      <c r="B791" s="149" t="s">
        <v>126</v>
      </c>
      <c r="C791" s="149" t="s">
        <v>203</v>
      </c>
      <c r="D791" s="149">
        <v>556608</v>
      </c>
      <c r="E791" s="281">
        <v>43038</v>
      </c>
      <c r="F791" s="281">
        <v>43100</v>
      </c>
      <c r="G791" s="149">
        <v>3</v>
      </c>
      <c r="H791" s="149">
        <v>1</v>
      </c>
      <c r="I791" s="149">
        <v>89</v>
      </c>
      <c r="J791" s="149">
        <v>108</v>
      </c>
      <c r="K791" s="149" t="s">
        <v>950</v>
      </c>
      <c r="L791" s="149"/>
      <c r="M791" s="149"/>
    </row>
    <row r="792" spans="1:13" hidden="1">
      <c r="A792" s="149" t="s">
        <v>113</v>
      </c>
      <c r="B792" s="149" t="s">
        <v>126</v>
      </c>
      <c r="C792" s="149" t="s">
        <v>178</v>
      </c>
      <c r="D792" s="149">
        <v>556608</v>
      </c>
      <c r="E792" s="281">
        <v>43038</v>
      </c>
      <c r="F792" s="281">
        <v>43100</v>
      </c>
      <c r="G792" s="149">
        <v>1.4</v>
      </c>
      <c r="H792" s="149"/>
      <c r="I792" s="149">
        <v>45</v>
      </c>
      <c r="J792" s="149">
        <v>53</v>
      </c>
      <c r="K792" s="149" t="s">
        <v>922</v>
      </c>
      <c r="L792" s="149"/>
      <c r="M792" s="149"/>
    </row>
    <row r="793" spans="1:13" hidden="1">
      <c r="A793" s="149" t="s">
        <v>113</v>
      </c>
      <c r="B793" s="149" t="s">
        <v>126</v>
      </c>
      <c r="C793" s="149" t="s">
        <v>159</v>
      </c>
      <c r="D793" s="149">
        <v>556608</v>
      </c>
      <c r="E793" s="281">
        <v>43038</v>
      </c>
      <c r="F793" s="281">
        <v>43100</v>
      </c>
      <c r="G793" s="149">
        <v>2</v>
      </c>
      <c r="H793" s="149"/>
      <c r="I793" s="149">
        <v>43</v>
      </c>
      <c r="J793" s="149">
        <v>64</v>
      </c>
      <c r="K793" s="149" t="s">
        <v>892</v>
      </c>
      <c r="L793" s="149"/>
      <c r="M793" s="149"/>
    </row>
    <row r="794" spans="1:13" hidden="1">
      <c r="A794" s="149" t="s">
        <v>113</v>
      </c>
      <c r="B794" s="149" t="s">
        <v>126</v>
      </c>
      <c r="C794" s="149" t="s">
        <v>202</v>
      </c>
      <c r="D794" s="149">
        <v>556608</v>
      </c>
      <c r="E794" s="281">
        <v>43038</v>
      </c>
      <c r="F794" s="281">
        <v>43100</v>
      </c>
      <c r="G794" s="149">
        <v>2.6</v>
      </c>
      <c r="H794" s="149">
        <v>1</v>
      </c>
      <c r="I794" s="149">
        <v>57</v>
      </c>
      <c r="J794" s="149">
        <v>68</v>
      </c>
      <c r="K794" s="149" t="s">
        <v>948</v>
      </c>
      <c r="L794" s="149"/>
      <c r="M794" s="149"/>
    </row>
    <row r="795" spans="1:13" hidden="1">
      <c r="A795" s="149" t="s">
        <v>113</v>
      </c>
      <c r="B795" s="149" t="s">
        <v>126</v>
      </c>
      <c r="C795" s="149" t="s">
        <v>185</v>
      </c>
      <c r="D795" s="149">
        <v>556608</v>
      </c>
      <c r="E795" s="281">
        <v>43038</v>
      </c>
      <c r="F795" s="281">
        <v>43100</v>
      </c>
      <c r="G795" s="149">
        <v>1.2</v>
      </c>
      <c r="H795" s="149">
        <v>5</v>
      </c>
      <c r="I795" s="149">
        <v>55</v>
      </c>
      <c r="J795" s="149">
        <v>79</v>
      </c>
      <c r="K795" s="149" t="s">
        <v>934</v>
      </c>
      <c r="L795" s="149"/>
      <c r="M795" s="149"/>
    </row>
    <row r="796" spans="1:13" hidden="1">
      <c r="A796" s="149" t="s">
        <v>113</v>
      </c>
      <c r="B796" s="149" t="s">
        <v>126</v>
      </c>
      <c r="C796" s="149" t="s">
        <v>223</v>
      </c>
      <c r="D796" s="149">
        <v>556608</v>
      </c>
      <c r="E796" s="281">
        <v>43038</v>
      </c>
      <c r="F796" s="281">
        <v>43100</v>
      </c>
      <c r="G796" s="149">
        <v>3.5</v>
      </c>
      <c r="H796" s="149">
        <v>5</v>
      </c>
      <c r="I796" s="149">
        <v>67</v>
      </c>
      <c r="J796" s="149">
        <v>90</v>
      </c>
      <c r="K796" s="149" t="s">
        <v>962</v>
      </c>
      <c r="L796" s="149"/>
      <c r="M796" s="149"/>
    </row>
    <row r="797" spans="1:13" hidden="1">
      <c r="A797" s="149" t="s">
        <v>113</v>
      </c>
      <c r="B797" s="149" t="s">
        <v>126</v>
      </c>
      <c r="C797" s="149" t="s">
        <v>217</v>
      </c>
      <c r="D797" s="149">
        <v>556608</v>
      </c>
      <c r="E797" s="281">
        <v>43038</v>
      </c>
      <c r="F797" s="281">
        <v>43100</v>
      </c>
      <c r="G797" s="149">
        <v>0.6</v>
      </c>
      <c r="H797" s="149">
        <v>1</v>
      </c>
      <c r="I797" s="149">
        <v>28</v>
      </c>
      <c r="J797" s="149">
        <v>34</v>
      </c>
      <c r="K797" s="149" t="s">
        <v>960</v>
      </c>
      <c r="L797" s="149"/>
      <c r="M797" s="149"/>
    </row>
    <row r="798" spans="1:13" hidden="1">
      <c r="A798" s="149" t="s">
        <v>113</v>
      </c>
      <c r="B798" s="149" t="s">
        <v>126</v>
      </c>
      <c r="C798" s="149" t="s">
        <v>255</v>
      </c>
      <c r="D798" s="149">
        <v>556608</v>
      </c>
      <c r="E798" s="281">
        <v>43038</v>
      </c>
      <c r="F798" s="281">
        <v>43100</v>
      </c>
      <c r="G798" s="149">
        <v>11.4</v>
      </c>
      <c r="H798" s="149"/>
      <c r="I798" s="149">
        <v>162</v>
      </c>
      <c r="J798" s="149">
        <v>187</v>
      </c>
      <c r="K798" s="149" t="s">
        <v>988</v>
      </c>
      <c r="L798" s="149"/>
      <c r="M798" s="149"/>
    </row>
    <row r="799" spans="1:13" hidden="1">
      <c r="A799" s="149" t="s">
        <v>113</v>
      </c>
      <c r="B799" s="149" t="s">
        <v>126</v>
      </c>
      <c r="C799" s="149" t="s">
        <v>249</v>
      </c>
      <c r="D799" s="149">
        <v>556608</v>
      </c>
      <c r="E799" s="281">
        <v>43038</v>
      </c>
      <c r="F799" s="281">
        <v>43100</v>
      </c>
      <c r="G799" s="149">
        <v>3.2</v>
      </c>
      <c r="H799" s="149"/>
      <c r="I799" s="149">
        <v>58</v>
      </c>
      <c r="J799" s="149">
        <v>71</v>
      </c>
      <c r="K799" s="149" t="s">
        <v>982</v>
      </c>
      <c r="L799" s="149"/>
      <c r="M799" s="149"/>
    </row>
    <row r="800" spans="1:13" hidden="1">
      <c r="A800" s="149" t="s">
        <v>114</v>
      </c>
      <c r="B800" s="149" t="s">
        <v>126</v>
      </c>
      <c r="C800" s="149" t="s">
        <v>533</v>
      </c>
      <c r="D800" s="149">
        <v>556609</v>
      </c>
      <c r="E800" s="281">
        <v>43038</v>
      </c>
      <c r="F800" s="281">
        <v>43100</v>
      </c>
      <c r="G800" s="149">
        <v>1</v>
      </c>
      <c r="H800" s="149">
        <v>35</v>
      </c>
      <c r="I800" s="149">
        <v>217</v>
      </c>
      <c r="J800" s="149">
        <v>292</v>
      </c>
      <c r="K800" s="149" t="s">
        <v>1282</v>
      </c>
      <c r="L800" s="149"/>
      <c r="M800" s="149"/>
    </row>
    <row r="801" spans="1:13" hidden="1">
      <c r="A801" s="149" t="s">
        <v>114</v>
      </c>
      <c r="B801" s="149" t="s">
        <v>126</v>
      </c>
      <c r="C801" s="149" t="s">
        <v>515</v>
      </c>
      <c r="D801" s="149">
        <v>556609</v>
      </c>
      <c r="E801" s="281">
        <v>43038</v>
      </c>
      <c r="F801" s="281">
        <v>43100</v>
      </c>
      <c r="G801" s="149">
        <v>4.2</v>
      </c>
      <c r="H801" s="149">
        <v>1</v>
      </c>
      <c r="I801" s="149">
        <v>57</v>
      </c>
      <c r="J801" s="149">
        <v>67</v>
      </c>
      <c r="K801" s="149" t="s">
        <v>1260</v>
      </c>
      <c r="L801" s="149"/>
      <c r="M801" s="149"/>
    </row>
    <row r="802" spans="1:13" hidden="1">
      <c r="A802" s="149" t="s">
        <v>114</v>
      </c>
      <c r="B802" s="149" t="s">
        <v>126</v>
      </c>
      <c r="C802" s="149" t="s">
        <v>189</v>
      </c>
      <c r="D802" s="149">
        <v>556609</v>
      </c>
      <c r="E802" s="281">
        <v>43038</v>
      </c>
      <c r="F802" s="281">
        <v>43100</v>
      </c>
      <c r="G802" s="149">
        <v>2.2000000000000002</v>
      </c>
      <c r="H802" s="149">
        <v>2</v>
      </c>
      <c r="I802" s="149">
        <v>15</v>
      </c>
      <c r="J802" s="149">
        <v>20</v>
      </c>
      <c r="K802" s="149" t="s">
        <v>1230</v>
      </c>
      <c r="L802" s="149"/>
      <c r="M802" s="149"/>
    </row>
    <row r="803" spans="1:13" hidden="1">
      <c r="A803" s="149" t="s">
        <v>114</v>
      </c>
      <c r="B803" s="149" t="s">
        <v>126</v>
      </c>
      <c r="C803" s="149" t="s">
        <v>370</v>
      </c>
      <c r="D803" s="149">
        <v>556609</v>
      </c>
      <c r="E803" s="281">
        <v>43038</v>
      </c>
      <c r="F803" s="281">
        <v>43100</v>
      </c>
      <c r="G803" s="149">
        <v>3</v>
      </c>
      <c r="H803" s="149">
        <v>4</v>
      </c>
      <c r="I803" s="149">
        <v>15</v>
      </c>
      <c r="J803" s="149">
        <v>22</v>
      </c>
      <c r="K803" s="149" t="s">
        <v>1228</v>
      </c>
      <c r="L803" s="149"/>
      <c r="M803" s="149"/>
    </row>
    <row r="804" spans="1:13" hidden="1">
      <c r="A804" s="149" t="s">
        <v>114</v>
      </c>
      <c r="B804" s="149" t="s">
        <v>126</v>
      </c>
      <c r="C804" s="149" t="s">
        <v>508</v>
      </c>
      <c r="D804" s="149">
        <v>556609</v>
      </c>
      <c r="E804" s="281">
        <v>43038</v>
      </c>
      <c r="F804" s="281">
        <v>43100</v>
      </c>
      <c r="G804" s="149">
        <v>1.4</v>
      </c>
      <c r="H804" s="149">
        <v>7</v>
      </c>
      <c r="I804" s="149">
        <v>25</v>
      </c>
      <c r="J804" s="149">
        <v>37</v>
      </c>
      <c r="K804" s="149" t="s">
        <v>1253</v>
      </c>
      <c r="L804" s="149"/>
      <c r="M804" s="149"/>
    </row>
    <row r="805" spans="1:13" hidden="1">
      <c r="A805" s="149" t="s">
        <v>114</v>
      </c>
      <c r="B805" s="149" t="s">
        <v>126</v>
      </c>
      <c r="C805" s="149" t="s">
        <v>477</v>
      </c>
      <c r="D805" s="149">
        <v>556609</v>
      </c>
      <c r="E805" s="281">
        <v>43038</v>
      </c>
      <c r="F805" s="281">
        <v>43100</v>
      </c>
      <c r="G805" s="149">
        <v>1.1000000000000001</v>
      </c>
      <c r="H805" s="149">
        <v>3</v>
      </c>
      <c r="I805" s="149">
        <v>30</v>
      </c>
      <c r="J805" s="149">
        <v>38</v>
      </c>
      <c r="K805" s="149" t="s">
        <v>1222</v>
      </c>
      <c r="L805" s="149"/>
      <c r="M805" s="149"/>
    </row>
    <row r="806" spans="1:13" hidden="1">
      <c r="A806" s="149" t="s">
        <v>114</v>
      </c>
      <c r="B806" s="149" t="s">
        <v>140</v>
      </c>
      <c r="C806" s="149" t="s">
        <v>537</v>
      </c>
      <c r="D806" s="149">
        <v>556610</v>
      </c>
      <c r="E806" s="281">
        <v>43055</v>
      </c>
      <c r="F806" s="281">
        <v>43100</v>
      </c>
      <c r="G806" s="149">
        <v>2.2000000000000002</v>
      </c>
      <c r="H806" s="149">
        <v>4</v>
      </c>
      <c r="I806" s="149">
        <v>42</v>
      </c>
      <c r="J806" s="149">
        <v>54</v>
      </c>
      <c r="K806" s="149" t="s">
        <v>1288</v>
      </c>
      <c r="L806" s="149"/>
      <c r="M806" s="149"/>
    </row>
    <row r="807" spans="1:13" hidden="1">
      <c r="A807" s="149" t="s">
        <v>115</v>
      </c>
      <c r="B807" s="149" t="s">
        <v>126</v>
      </c>
      <c r="C807" s="149" t="s">
        <v>633</v>
      </c>
      <c r="D807" s="149">
        <v>556611</v>
      </c>
      <c r="E807" s="281">
        <v>43062</v>
      </c>
      <c r="F807" s="281">
        <v>43100</v>
      </c>
      <c r="G807" s="149">
        <v>12</v>
      </c>
      <c r="H807" s="149">
        <v>17</v>
      </c>
      <c r="I807" s="149">
        <v>110</v>
      </c>
      <c r="J807" s="149">
        <v>150</v>
      </c>
      <c r="K807" s="149" t="s">
        <v>1617</v>
      </c>
      <c r="L807" s="149"/>
      <c r="M807" s="149"/>
    </row>
    <row r="808" spans="1:13" hidden="1">
      <c r="A808" s="149" t="s">
        <v>115</v>
      </c>
      <c r="B808" s="149" t="s">
        <v>126</v>
      </c>
      <c r="C808" s="149" t="s">
        <v>848</v>
      </c>
      <c r="D808" s="149">
        <v>556611</v>
      </c>
      <c r="E808" s="281">
        <v>43062</v>
      </c>
      <c r="F808" s="281">
        <v>43100</v>
      </c>
      <c r="G808" s="149">
        <v>2.2000000000000002</v>
      </c>
      <c r="H808" s="149">
        <v>2</v>
      </c>
      <c r="I808" s="149">
        <v>65</v>
      </c>
      <c r="J808" s="149">
        <v>77</v>
      </c>
      <c r="K808" s="149" t="s">
        <v>1693</v>
      </c>
      <c r="L808" s="149"/>
      <c r="M808" s="149"/>
    </row>
    <row r="809" spans="1:13" hidden="1">
      <c r="A809" s="149" t="s">
        <v>115</v>
      </c>
      <c r="B809" s="149" t="s">
        <v>126</v>
      </c>
      <c r="C809" s="149" t="s">
        <v>856</v>
      </c>
      <c r="D809" s="149">
        <v>556611</v>
      </c>
      <c r="E809" s="281">
        <v>43062</v>
      </c>
      <c r="F809" s="281">
        <v>43100</v>
      </c>
      <c r="G809" s="149">
        <v>26.1</v>
      </c>
      <c r="H809" s="149">
        <v>25</v>
      </c>
      <c r="I809" s="149">
        <v>190</v>
      </c>
      <c r="J809" s="149">
        <v>252</v>
      </c>
      <c r="K809" s="149" t="s">
        <v>1709</v>
      </c>
      <c r="L809" s="149"/>
      <c r="M809" s="149"/>
    </row>
    <row r="810" spans="1:13" hidden="1">
      <c r="A810" s="149" t="s">
        <v>115</v>
      </c>
      <c r="B810" s="149" t="s">
        <v>126</v>
      </c>
      <c r="C810" s="149" t="s">
        <v>757</v>
      </c>
      <c r="D810" s="149">
        <v>556611</v>
      </c>
      <c r="E810" s="281">
        <v>43062</v>
      </c>
      <c r="F810" s="281">
        <v>43100</v>
      </c>
      <c r="G810" s="149">
        <v>16</v>
      </c>
      <c r="H810" s="149">
        <v>24</v>
      </c>
      <c r="I810" s="149">
        <v>384</v>
      </c>
      <c r="J810" s="149">
        <v>471</v>
      </c>
      <c r="K810" s="149" t="s">
        <v>1551</v>
      </c>
      <c r="L810" s="149"/>
      <c r="M810" s="149"/>
    </row>
    <row r="811" spans="1:13" hidden="1">
      <c r="A811" s="149" t="s">
        <v>115</v>
      </c>
      <c r="B811" s="149" t="s">
        <v>126</v>
      </c>
      <c r="C811" s="149" t="s">
        <v>697</v>
      </c>
      <c r="D811" s="149">
        <v>556611</v>
      </c>
      <c r="E811" s="281">
        <v>43062</v>
      </c>
      <c r="F811" s="281">
        <v>43100</v>
      </c>
      <c r="G811" s="149">
        <v>0.4</v>
      </c>
      <c r="H811" s="149"/>
      <c r="I811" s="149">
        <v>33</v>
      </c>
      <c r="J811" s="149">
        <v>49</v>
      </c>
      <c r="K811" s="149" t="s">
        <v>1695</v>
      </c>
      <c r="L811" s="149"/>
      <c r="M811" s="149"/>
    </row>
    <row r="812" spans="1:13" hidden="1">
      <c r="A812" s="149" t="s">
        <v>115</v>
      </c>
      <c r="B812" s="149" t="s">
        <v>126</v>
      </c>
      <c r="C812" s="149" t="s">
        <v>832</v>
      </c>
      <c r="D812" s="149">
        <v>556611</v>
      </c>
      <c r="E812" s="281">
        <v>43062</v>
      </c>
      <c r="F812" s="281">
        <v>43100</v>
      </c>
      <c r="G812" s="149">
        <v>11.1</v>
      </c>
      <c r="H812" s="149">
        <v>2</v>
      </c>
      <c r="I812" s="149">
        <v>94</v>
      </c>
      <c r="J812" s="149">
        <v>112</v>
      </c>
      <c r="K812" s="149" t="s">
        <v>1663</v>
      </c>
      <c r="L812" s="149"/>
      <c r="M812" s="149"/>
    </row>
    <row r="813" spans="1:13" hidden="1">
      <c r="A813" s="149" t="s">
        <v>115</v>
      </c>
      <c r="B813" s="149" t="s">
        <v>126</v>
      </c>
      <c r="C813" s="149" t="s">
        <v>851</v>
      </c>
      <c r="D813" s="149">
        <v>556611</v>
      </c>
      <c r="E813" s="281">
        <v>43062</v>
      </c>
      <c r="F813" s="281">
        <v>43100</v>
      </c>
      <c r="G813" s="149">
        <v>10.3</v>
      </c>
      <c r="H813" s="149">
        <v>35</v>
      </c>
      <c r="I813" s="149">
        <v>159</v>
      </c>
      <c r="J813" s="149">
        <v>226</v>
      </c>
      <c r="K813" s="149" t="s">
        <v>1701</v>
      </c>
      <c r="L813" s="149"/>
      <c r="M813" s="149"/>
    </row>
    <row r="814" spans="1:13" hidden="1">
      <c r="A814" s="149" t="s">
        <v>115</v>
      </c>
      <c r="B814" s="149" t="s">
        <v>126</v>
      </c>
      <c r="C814" s="149" t="s">
        <v>762</v>
      </c>
      <c r="D814" s="149">
        <v>556611</v>
      </c>
      <c r="E814" s="281">
        <v>43062</v>
      </c>
      <c r="F814" s="281">
        <v>43100</v>
      </c>
      <c r="G814" s="149">
        <v>4</v>
      </c>
      <c r="H814" s="149">
        <v>23</v>
      </c>
      <c r="I814" s="149">
        <v>125</v>
      </c>
      <c r="J814" s="149">
        <v>171</v>
      </c>
      <c r="K814" s="149" t="s">
        <v>1557</v>
      </c>
      <c r="L814" s="149"/>
      <c r="M814" s="149"/>
    </row>
    <row r="815" spans="1:13" hidden="1">
      <c r="A815" s="149" t="s">
        <v>115</v>
      </c>
      <c r="B815" s="149" t="s">
        <v>126</v>
      </c>
      <c r="C815" s="149" t="s">
        <v>807</v>
      </c>
      <c r="D815" s="149">
        <v>556611</v>
      </c>
      <c r="E815" s="281">
        <v>43062</v>
      </c>
      <c r="F815" s="281">
        <v>43100</v>
      </c>
      <c r="G815" s="149">
        <v>0.9</v>
      </c>
      <c r="H815" s="149"/>
      <c r="I815" s="149">
        <v>29</v>
      </c>
      <c r="J815" s="149">
        <v>34</v>
      </c>
      <c r="K815" s="149" t="s">
        <v>1621</v>
      </c>
      <c r="L815" s="149"/>
      <c r="M815" s="149"/>
    </row>
    <row r="816" spans="1:13" hidden="1">
      <c r="A816" s="149" t="s">
        <v>115</v>
      </c>
      <c r="B816" s="149" t="s">
        <v>126</v>
      </c>
      <c r="C816" s="149" t="s">
        <v>822</v>
      </c>
      <c r="D816" s="149">
        <v>556611</v>
      </c>
      <c r="E816" s="281">
        <v>43062</v>
      </c>
      <c r="F816" s="281">
        <v>43100</v>
      </c>
      <c r="G816" s="149">
        <v>2.8</v>
      </c>
      <c r="H816" s="149">
        <v>13</v>
      </c>
      <c r="I816" s="149">
        <v>69</v>
      </c>
      <c r="J816" s="149">
        <v>95</v>
      </c>
      <c r="K816" s="149" t="s">
        <v>1653</v>
      </c>
      <c r="L816" s="149"/>
      <c r="M816" s="149"/>
    </row>
    <row r="817" spans="1:13" hidden="1">
      <c r="A817" s="149" t="s">
        <v>114</v>
      </c>
      <c r="B817" s="149" t="s">
        <v>478</v>
      </c>
      <c r="C817" s="149" t="s">
        <v>479</v>
      </c>
      <c r="D817" s="149">
        <v>556612</v>
      </c>
      <c r="E817" s="281">
        <v>43062</v>
      </c>
      <c r="F817" s="281">
        <v>43100</v>
      </c>
      <c r="G817" s="149">
        <v>0.1</v>
      </c>
      <c r="H817" s="149"/>
      <c r="I817" s="149"/>
      <c r="J817" s="149">
        <v>3</v>
      </c>
      <c r="K817" s="149" t="s">
        <v>2133</v>
      </c>
      <c r="L817" s="149"/>
      <c r="M817" s="149"/>
    </row>
    <row r="818" spans="1:13" hidden="1">
      <c r="A818" s="149" t="s">
        <v>114</v>
      </c>
      <c r="B818" s="149" t="s">
        <v>478</v>
      </c>
      <c r="C818" s="149" t="s">
        <v>483</v>
      </c>
      <c r="D818" s="149">
        <v>556612</v>
      </c>
      <c r="E818" s="281">
        <v>43062</v>
      </c>
      <c r="F818" s="281">
        <v>43100</v>
      </c>
      <c r="G818" s="149">
        <v>0.3</v>
      </c>
      <c r="H818" s="149"/>
      <c r="I818" s="149"/>
      <c r="J818" s="149">
        <v>6</v>
      </c>
      <c r="K818" s="149" t="s">
        <v>2131</v>
      </c>
      <c r="L818" s="149"/>
      <c r="M818" s="149"/>
    </row>
    <row r="819" spans="1:13" hidden="1">
      <c r="A819" s="149" t="s">
        <v>114</v>
      </c>
      <c r="B819" s="149" t="s">
        <v>478</v>
      </c>
      <c r="C819" s="149" t="s">
        <v>484</v>
      </c>
      <c r="D819" s="149">
        <v>556612</v>
      </c>
      <c r="E819" s="281">
        <v>43062</v>
      </c>
      <c r="F819" s="281">
        <v>43100</v>
      </c>
      <c r="G819" s="149">
        <v>0.2</v>
      </c>
      <c r="H819" s="149"/>
      <c r="I819" s="149"/>
      <c r="J819" s="149">
        <v>4</v>
      </c>
      <c r="K819" s="149" t="s">
        <v>2132</v>
      </c>
      <c r="L819" s="149"/>
      <c r="M819" s="149"/>
    </row>
    <row r="820" spans="1:13" hidden="1">
      <c r="A820" s="149" t="s">
        <v>112</v>
      </c>
      <c r="B820" s="149" t="s">
        <v>126</v>
      </c>
      <c r="C820" s="149" t="s">
        <v>336</v>
      </c>
      <c r="D820" s="149">
        <v>556613</v>
      </c>
      <c r="E820" s="281">
        <v>43062</v>
      </c>
      <c r="F820" s="281">
        <v>43100</v>
      </c>
      <c r="G820" s="149">
        <v>0.5</v>
      </c>
      <c r="H820" s="149"/>
      <c r="I820" s="149">
        <v>10</v>
      </c>
      <c r="J820" s="149">
        <v>12</v>
      </c>
      <c r="K820" s="149" t="s">
        <v>1069</v>
      </c>
      <c r="L820" s="149"/>
      <c r="M820" s="149"/>
    </row>
    <row r="821" spans="1:13" hidden="1">
      <c r="A821" s="149" t="s">
        <v>112</v>
      </c>
      <c r="B821" s="149" t="s">
        <v>126</v>
      </c>
      <c r="C821" s="149" t="s">
        <v>420</v>
      </c>
      <c r="D821" s="149">
        <v>556613</v>
      </c>
      <c r="E821" s="281">
        <v>43062</v>
      </c>
      <c r="F821" s="281">
        <v>43100</v>
      </c>
      <c r="G821" s="149">
        <v>0.1</v>
      </c>
      <c r="H821" s="149"/>
      <c r="I821" s="149">
        <v>1</v>
      </c>
      <c r="J821" s="149">
        <v>1</v>
      </c>
      <c r="K821" s="149" t="s">
        <v>1154</v>
      </c>
      <c r="L821" s="149"/>
      <c r="M821" s="149"/>
    </row>
    <row r="822" spans="1:13" hidden="1">
      <c r="A822" s="149" t="s">
        <v>112</v>
      </c>
      <c r="B822" s="149" t="s">
        <v>126</v>
      </c>
      <c r="C822" s="149" t="s">
        <v>425</v>
      </c>
      <c r="D822" s="149">
        <v>556613</v>
      </c>
      <c r="E822" s="281">
        <v>43062</v>
      </c>
      <c r="F822" s="281">
        <v>43100</v>
      </c>
      <c r="G822" s="149">
        <v>0.1</v>
      </c>
      <c r="H822" s="149"/>
      <c r="I822" s="149">
        <v>1</v>
      </c>
      <c r="J822" s="149">
        <v>1</v>
      </c>
      <c r="K822" s="149" t="s">
        <v>1162</v>
      </c>
      <c r="L822" s="149"/>
      <c r="M822" s="149"/>
    </row>
    <row r="823" spans="1:13" hidden="1">
      <c r="A823" s="149" t="s">
        <v>112</v>
      </c>
      <c r="B823" s="149" t="s">
        <v>126</v>
      </c>
      <c r="C823" s="149" t="s">
        <v>422</v>
      </c>
      <c r="D823" s="149">
        <v>556613</v>
      </c>
      <c r="E823" s="281">
        <v>43062</v>
      </c>
      <c r="F823" s="281">
        <v>43100</v>
      </c>
      <c r="G823" s="149">
        <v>0.1</v>
      </c>
      <c r="H823" s="149"/>
      <c r="I823" s="149">
        <v>1</v>
      </c>
      <c r="J823" s="149">
        <v>1</v>
      </c>
      <c r="K823" s="149" t="s">
        <v>1156</v>
      </c>
      <c r="L823" s="149"/>
      <c r="M823" s="149"/>
    </row>
    <row r="824" spans="1:13" hidden="1">
      <c r="A824" s="149" t="s">
        <v>113</v>
      </c>
      <c r="B824" s="149" t="s">
        <v>126</v>
      </c>
      <c r="C824" s="149" t="s">
        <v>216</v>
      </c>
      <c r="D824" s="149">
        <v>556614</v>
      </c>
      <c r="E824" s="281">
        <v>43062</v>
      </c>
      <c r="F824" s="281">
        <v>43100</v>
      </c>
      <c r="G824" s="149">
        <v>9.9</v>
      </c>
      <c r="H824" s="149">
        <v>3</v>
      </c>
      <c r="I824" s="149">
        <v>101</v>
      </c>
      <c r="J824" s="149">
        <v>143</v>
      </c>
      <c r="K824" s="149" t="s">
        <v>958</v>
      </c>
      <c r="L824" s="149"/>
      <c r="M824" s="149"/>
    </row>
    <row r="825" spans="1:13" hidden="1">
      <c r="A825" s="149" t="s">
        <v>113</v>
      </c>
      <c r="B825" s="149" t="s">
        <v>126</v>
      </c>
      <c r="C825" s="149" t="s">
        <v>145</v>
      </c>
      <c r="D825" s="149">
        <v>556614</v>
      </c>
      <c r="E825" s="281">
        <v>43062</v>
      </c>
      <c r="F825" s="281">
        <v>43100</v>
      </c>
      <c r="G825" s="149">
        <v>1.5</v>
      </c>
      <c r="H825" s="149">
        <v>1</v>
      </c>
      <c r="I825" s="149">
        <v>66</v>
      </c>
      <c r="J825" s="149">
        <v>86</v>
      </c>
      <c r="K825" s="149" t="s">
        <v>882</v>
      </c>
      <c r="L825" s="149"/>
      <c r="M825" s="149"/>
    </row>
    <row r="826" spans="1:13" hidden="1">
      <c r="A826" s="149" t="s">
        <v>113</v>
      </c>
      <c r="B826" s="149" t="s">
        <v>126</v>
      </c>
      <c r="C826" s="149" t="s">
        <v>250</v>
      </c>
      <c r="D826" s="149">
        <v>556614</v>
      </c>
      <c r="E826" s="281">
        <v>43062</v>
      </c>
      <c r="F826" s="281">
        <v>43100</v>
      </c>
      <c r="G826" s="149">
        <v>3.4</v>
      </c>
      <c r="H826" s="149"/>
      <c r="I826" s="149">
        <v>77</v>
      </c>
      <c r="J826" s="149">
        <v>97</v>
      </c>
      <c r="K826" s="149" t="s">
        <v>984</v>
      </c>
      <c r="L826" s="149"/>
      <c r="M826" s="149"/>
    </row>
    <row r="827" spans="1:13" hidden="1">
      <c r="A827" s="149" t="s">
        <v>113</v>
      </c>
      <c r="B827" s="149" t="s">
        <v>126</v>
      </c>
      <c r="C827" s="149" t="s">
        <v>143</v>
      </c>
      <c r="D827" s="149">
        <v>556614</v>
      </c>
      <c r="E827" s="281">
        <v>43062</v>
      </c>
      <c r="F827" s="281">
        <v>43100</v>
      </c>
      <c r="G827" s="149">
        <v>1</v>
      </c>
      <c r="H827" s="149">
        <v>1</v>
      </c>
      <c r="I827" s="149">
        <v>18</v>
      </c>
      <c r="J827" s="149">
        <v>28</v>
      </c>
      <c r="K827" s="149" t="s">
        <v>880</v>
      </c>
      <c r="L827" s="149"/>
      <c r="M827" s="149"/>
    </row>
    <row r="828" spans="1:13" hidden="1">
      <c r="A828" s="149" t="s">
        <v>116</v>
      </c>
      <c r="B828" s="149" t="s">
        <v>126</v>
      </c>
      <c r="C828" s="149" t="s">
        <v>717</v>
      </c>
      <c r="D828" s="149">
        <v>556615</v>
      </c>
      <c r="E828" s="281">
        <v>43063</v>
      </c>
      <c r="F828" s="281">
        <v>43100</v>
      </c>
      <c r="G828" s="149">
        <v>2.8</v>
      </c>
      <c r="H828" s="149">
        <v>3</v>
      </c>
      <c r="I828" s="149">
        <v>58</v>
      </c>
      <c r="J828" s="149">
        <v>71</v>
      </c>
      <c r="K828" s="149" t="s">
        <v>1512</v>
      </c>
      <c r="L828" s="149"/>
      <c r="M828" s="149"/>
    </row>
    <row r="829" spans="1:13" hidden="1">
      <c r="A829" s="149" t="s">
        <v>116</v>
      </c>
      <c r="B829" s="149" t="s">
        <v>126</v>
      </c>
      <c r="C829" s="149" t="s">
        <v>232</v>
      </c>
      <c r="D829" s="149">
        <v>556615</v>
      </c>
      <c r="E829" s="281">
        <v>43063</v>
      </c>
      <c r="F829" s="281">
        <v>43100</v>
      </c>
      <c r="G829" s="149">
        <v>1.3</v>
      </c>
      <c r="H829" s="149">
        <v>5</v>
      </c>
      <c r="I829" s="149">
        <v>41</v>
      </c>
      <c r="J829" s="149">
        <v>52</v>
      </c>
      <c r="K829" s="149" t="s">
        <v>1498</v>
      </c>
      <c r="L829" s="149"/>
      <c r="M829" s="149"/>
    </row>
    <row r="830" spans="1:13" hidden="1">
      <c r="A830" s="149" t="s">
        <v>116</v>
      </c>
      <c r="B830" s="149" t="s">
        <v>126</v>
      </c>
      <c r="C830" s="149" t="s">
        <v>347</v>
      </c>
      <c r="D830" s="149">
        <v>556615</v>
      </c>
      <c r="E830" s="281">
        <v>43063</v>
      </c>
      <c r="F830" s="281">
        <v>43100</v>
      </c>
      <c r="G830" s="149">
        <v>0.8</v>
      </c>
      <c r="H830" s="149">
        <v>1</v>
      </c>
      <c r="I830" s="149">
        <v>25</v>
      </c>
      <c r="J830" s="149">
        <v>30</v>
      </c>
      <c r="K830" s="149" t="s">
        <v>1414</v>
      </c>
      <c r="L830" s="149"/>
      <c r="M830" s="149"/>
    </row>
    <row r="831" spans="1:13" hidden="1">
      <c r="A831" s="149" t="s">
        <v>116</v>
      </c>
      <c r="B831" s="149" t="s">
        <v>126</v>
      </c>
      <c r="C831" s="149" t="s">
        <v>664</v>
      </c>
      <c r="D831" s="149">
        <v>556615</v>
      </c>
      <c r="E831" s="281">
        <v>43063</v>
      </c>
      <c r="F831" s="281">
        <v>43100</v>
      </c>
      <c r="G831" s="149">
        <v>0.5</v>
      </c>
      <c r="H831" s="149"/>
      <c r="I831" s="149">
        <v>20</v>
      </c>
      <c r="J831" s="149">
        <v>23</v>
      </c>
      <c r="K831" s="149" t="s">
        <v>1438</v>
      </c>
      <c r="L831" s="149"/>
      <c r="M831" s="149"/>
    </row>
    <row r="832" spans="1:13" hidden="1">
      <c r="A832" s="149" t="s">
        <v>116</v>
      </c>
      <c r="B832" s="149" t="s">
        <v>126</v>
      </c>
      <c r="C832" s="149" t="s">
        <v>558</v>
      </c>
      <c r="D832" s="149">
        <v>556615</v>
      </c>
      <c r="E832" s="281">
        <v>43063</v>
      </c>
      <c r="F832" s="281">
        <v>43100</v>
      </c>
      <c r="G832" s="149">
        <v>5.2</v>
      </c>
      <c r="H832" s="149">
        <v>19</v>
      </c>
      <c r="I832" s="149">
        <v>107</v>
      </c>
      <c r="J832" s="149">
        <v>146</v>
      </c>
      <c r="K832" s="149" t="s">
        <v>1318</v>
      </c>
      <c r="L832" s="149"/>
      <c r="M832" s="149"/>
    </row>
    <row r="833" spans="1:13" hidden="1">
      <c r="A833" s="149" t="s">
        <v>116</v>
      </c>
      <c r="B833" s="149" t="s">
        <v>152</v>
      </c>
      <c r="C833" s="149" t="s">
        <v>675</v>
      </c>
      <c r="D833" s="149">
        <v>556616</v>
      </c>
      <c r="E833" s="281">
        <v>43066</v>
      </c>
      <c r="F833" s="281">
        <v>43100</v>
      </c>
      <c r="G833" s="149">
        <v>0.5</v>
      </c>
      <c r="H833" s="149">
        <v>15</v>
      </c>
      <c r="I833" s="149">
        <v>54</v>
      </c>
      <c r="J833" s="149">
        <v>80</v>
      </c>
      <c r="K833" s="149" t="s">
        <v>1458</v>
      </c>
      <c r="L833" s="149"/>
      <c r="M833" s="149"/>
    </row>
    <row r="834" spans="1:13" hidden="1">
      <c r="A834" s="149" t="s">
        <v>115</v>
      </c>
      <c r="B834" s="149" t="s">
        <v>321</v>
      </c>
      <c r="C834" s="149" t="s">
        <v>780</v>
      </c>
      <c r="D834" s="149">
        <v>5565951</v>
      </c>
      <c r="E834" s="281">
        <v>42985</v>
      </c>
      <c r="F834" s="281">
        <v>43100</v>
      </c>
      <c r="G834" s="149">
        <v>0.1</v>
      </c>
      <c r="H834" s="149"/>
      <c r="I834" s="149">
        <v>7</v>
      </c>
      <c r="J834" s="149">
        <v>8</v>
      </c>
      <c r="K834" s="149" t="s">
        <v>1583</v>
      </c>
      <c r="L834" s="149"/>
      <c r="M834" s="149"/>
    </row>
    <row r="835" spans="1:13" hidden="1">
      <c r="A835" s="149" t="s">
        <v>115</v>
      </c>
      <c r="B835" s="149" t="s">
        <v>321</v>
      </c>
      <c r="C835" s="149" t="s">
        <v>781</v>
      </c>
      <c r="D835" s="149">
        <v>5565951</v>
      </c>
      <c r="E835" s="281">
        <v>42985</v>
      </c>
      <c r="F835" s="281">
        <v>43100</v>
      </c>
      <c r="G835" s="149">
        <v>0.2</v>
      </c>
      <c r="H835" s="149"/>
      <c r="I835" s="149">
        <v>4</v>
      </c>
      <c r="J835" s="149">
        <v>4</v>
      </c>
      <c r="K835" s="149" t="s">
        <v>1585</v>
      </c>
      <c r="L835" s="149"/>
      <c r="M835" s="149"/>
    </row>
    <row r="836" spans="1:13" hidden="1">
      <c r="A836" s="149" t="s">
        <v>115</v>
      </c>
      <c r="B836" s="149" t="s">
        <v>321</v>
      </c>
      <c r="C836" s="149" t="s">
        <v>782</v>
      </c>
      <c r="D836" s="149">
        <v>5565951</v>
      </c>
      <c r="E836" s="281">
        <v>42985</v>
      </c>
      <c r="F836" s="281">
        <v>43100</v>
      </c>
      <c r="G836" s="149">
        <v>0.3</v>
      </c>
      <c r="H836" s="149"/>
      <c r="I836" s="149">
        <v>24</v>
      </c>
      <c r="J836" s="149">
        <v>28</v>
      </c>
      <c r="K836" s="149" t="s">
        <v>1587</v>
      </c>
      <c r="L836" s="149"/>
      <c r="M836" s="149"/>
    </row>
    <row r="837" spans="1:13">
      <c r="L837" s="149"/>
      <c r="M837" s="149"/>
    </row>
  </sheetData>
  <dataConsolidate link="1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tabColor rgb="FF7030A0"/>
  </sheetPr>
  <dimension ref="A1:G430"/>
  <sheetViews>
    <sheetView workbookViewId="0">
      <selection activeCell="C443" sqref="C443"/>
    </sheetView>
  </sheetViews>
  <sheetFormatPr defaultRowHeight="15"/>
  <cols>
    <col min="1" max="1" width="18.5703125" bestFit="1" customWidth="1"/>
    <col min="2" max="2" width="17.85546875" bestFit="1" customWidth="1"/>
    <col min="3" max="3" width="37.140625" bestFit="1" customWidth="1"/>
    <col min="4" max="4" width="20.5703125" bestFit="1" customWidth="1"/>
    <col min="5" max="5" width="23.42578125" bestFit="1" customWidth="1"/>
    <col min="6" max="6" width="9.5703125" bestFit="1" customWidth="1"/>
    <col min="7" max="7" width="27.28515625" bestFit="1" customWidth="1"/>
  </cols>
  <sheetData>
    <row r="1" spans="1:7">
      <c r="A1" s="149" t="s">
        <v>866</v>
      </c>
      <c r="B1" s="149" t="s">
        <v>54</v>
      </c>
      <c r="C1" s="149" t="s">
        <v>68</v>
      </c>
      <c r="D1" s="149" t="s">
        <v>117</v>
      </c>
      <c r="E1" s="149" t="s">
        <v>867</v>
      </c>
      <c r="F1" s="149" t="s">
        <v>118</v>
      </c>
      <c r="G1" s="149" t="s">
        <v>868</v>
      </c>
    </row>
    <row r="2" spans="1:7" hidden="1">
      <c r="A2" s="149" t="s">
        <v>869</v>
      </c>
      <c r="B2" s="149" t="s">
        <v>113</v>
      </c>
      <c r="C2" s="149" t="s">
        <v>870</v>
      </c>
      <c r="D2" s="149" t="s">
        <v>129</v>
      </c>
      <c r="E2" s="149" t="s">
        <v>871</v>
      </c>
      <c r="F2" s="149">
        <v>514154</v>
      </c>
      <c r="G2" s="149" t="s">
        <v>872</v>
      </c>
    </row>
    <row r="3" spans="1:7" hidden="1">
      <c r="A3" s="149" t="s">
        <v>869</v>
      </c>
      <c r="B3" s="149" t="s">
        <v>113</v>
      </c>
      <c r="C3" s="149" t="s">
        <v>870</v>
      </c>
      <c r="D3" s="149" t="s">
        <v>133</v>
      </c>
      <c r="E3" s="149" t="s">
        <v>873</v>
      </c>
      <c r="F3" s="149">
        <v>514154</v>
      </c>
      <c r="G3" s="149" t="s">
        <v>874</v>
      </c>
    </row>
    <row r="4" spans="1:7" hidden="1">
      <c r="A4" s="149" t="s">
        <v>869</v>
      </c>
      <c r="B4" s="149" t="s">
        <v>113</v>
      </c>
      <c r="C4" s="149" t="s">
        <v>870</v>
      </c>
      <c r="D4" s="149" t="s">
        <v>139</v>
      </c>
      <c r="E4" s="149" t="s">
        <v>875</v>
      </c>
      <c r="F4" s="149">
        <v>556579</v>
      </c>
      <c r="G4" s="149" t="s">
        <v>876</v>
      </c>
    </row>
    <row r="5" spans="1:7" hidden="1">
      <c r="A5" s="149" t="s">
        <v>869</v>
      </c>
      <c r="B5" s="149" t="s">
        <v>113</v>
      </c>
      <c r="C5" s="149" t="s">
        <v>870</v>
      </c>
      <c r="D5" s="149" t="s">
        <v>141</v>
      </c>
      <c r="E5" s="149" t="s">
        <v>877</v>
      </c>
      <c r="F5" s="149">
        <v>514175</v>
      </c>
      <c r="G5" s="149" t="s">
        <v>878</v>
      </c>
    </row>
    <row r="6" spans="1:7" hidden="1">
      <c r="A6" s="149" t="s">
        <v>869</v>
      </c>
      <c r="B6" s="149" t="s">
        <v>113</v>
      </c>
      <c r="C6" s="149" t="s">
        <v>870</v>
      </c>
      <c r="D6" s="149" t="s">
        <v>143</v>
      </c>
      <c r="E6" s="149" t="s">
        <v>879</v>
      </c>
      <c r="F6" s="149">
        <v>556614</v>
      </c>
      <c r="G6" s="149" t="s">
        <v>880</v>
      </c>
    </row>
    <row r="7" spans="1:7" hidden="1">
      <c r="A7" s="149" t="s">
        <v>869</v>
      </c>
      <c r="B7" s="149" t="s">
        <v>113</v>
      </c>
      <c r="C7" s="149" t="s">
        <v>870</v>
      </c>
      <c r="D7" s="149" t="s">
        <v>145</v>
      </c>
      <c r="E7" s="149" t="s">
        <v>881</v>
      </c>
      <c r="F7" s="149">
        <v>556614</v>
      </c>
      <c r="G7" s="149" t="s">
        <v>882</v>
      </c>
    </row>
    <row r="8" spans="1:7" hidden="1">
      <c r="A8" s="149" t="s">
        <v>869</v>
      </c>
      <c r="B8" s="149" t="s">
        <v>113</v>
      </c>
      <c r="C8" s="149" t="s">
        <v>870</v>
      </c>
      <c r="D8" s="149" t="s">
        <v>146</v>
      </c>
      <c r="E8" s="149" t="s">
        <v>883</v>
      </c>
      <c r="F8" s="149">
        <v>514188</v>
      </c>
      <c r="G8" s="149" t="s">
        <v>884</v>
      </c>
    </row>
    <row r="9" spans="1:7" hidden="1">
      <c r="A9" s="149" t="s">
        <v>869</v>
      </c>
      <c r="B9" s="149" t="s">
        <v>113</v>
      </c>
      <c r="C9" s="149" t="s">
        <v>870</v>
      </c>
      <c r="D9" s="149" t="s">
        <v>151</v>
      </c>
      <c r="E9" s="149" t="s">
        <v>885</v>
      </c>
      <c r="F9" s="149">
        <v>514174</v>
      </c>
      <c r="G9" s="149" t="s">
        <v>886</v>
      </c>
    </row>
    <row r="10" spans="1:7" hidden="1">
      <c r="A10" s="149" t="s">
        <v>869</v>
      </c>
      <c r="B10" s="149" t="s">
        <v>113</v>
      </c>
      <c r="C10" s="149" t="s">
        <v>870</v>
      </c>
      <c r="D10" s="149" t="s">
        <v>154</v>
      </c>
      <c r="E10" s="149" t="s">
        <v>887</v>
      </c>
      <c r="F10" s="149">
        <v>556579</v>
      </c>
      <c r="G10" s="149" t="s">
        <v>888</v>
      </c>
    </row>
    <row r="11" spans="1:7" hidden="1">
      <c r="A11" s="149" t="s">
        <v>869</v>
      </c>
      <c r="B11" s="149" t="s">
        <v>113</v>
      </c>
      <c r="C11" s="149" t="s">
        <v>870</v>
      </c>
      <c r="D11" s="149" t="s">
        <v>157</v>
      </c>
      <c r="E11" s="149" t="s">
        <v>889</v>
      </c>
      <c r="F11" s="149">
        <v>514154</v>
      </c>
      <c r="G11" s="149" t="s">
        <v>890</v>
      </c>
    </row>
    <row r="12" spans="1:7" hidden="1">
      <c r="A12" s="149" t="s">
        <v>869</v>
      </c>
      <c r="B12" s="149" t="s">
        <v>113</v>
      </c>
      <c r="C12" s="149" t="s">
        <v>870</v>
      </c>
      <c r="D12" s="149" t="s">
        <v>159</v>
      </c>
      <c r="E12" s="149" t="s">
        <v>891</v>
      </c>
      <c r="F12" s="149">
        <v>556608</v>
      </c>
      <c r="G12" s="149" t="s">
        <v>892</v>
      </c>
    </row>
    <row r="13" spans="1:7" hidden="1">
      <c r="A13" s="149" t="s">
        <v>869</v>
      </c>
      <c r="B13" s="149" t="s">
        <v>113</v>
      </c>
      <c r="C13" s="149" t="s">
        <v>870</v>
      </c>
      <c r="D13" s="149" t="s">
        <v>160</v>
      </c>
      <c r="E13" s="149" t="s">
        <v>893</v>
      </c>
      <c r="F13" s="149">
        <v>556592</v>
      </c>
      <c r="G13" s="149" t="s">
        <v>894</v>
      </c>
    </row>
    <row r="14" spans="1:7" hidden="1">
      <c r="A14" s="149" t="s">
        <v>869</v>
      </c>
      <c r="B14" s="149" t="s">
        <v>113</v>
      </c>
      <c r="C14" s="149" t="s">
        <v>870</v>
      </c>
      <c r="D14" s="149" t="s">
        <v>161</v>
      </c>
      <c r="E14" s="149" t="s">
        <v>895</v>
      </c>
      <c r="F14" s="149">
        <v>556592</v>
      </c>
      <c r="G14" s="149" t="s">
        <v>896</v>
      </c>
    </row>
    <row r="15" spans="1:7" hidden="1">
      <c r="A15" s="149" t="s">
        <v>869</v>
      </c>
      <c r="B15" s="149" t="s">
        <v>113</v>
      </c>
      <c r="C15" s="149" t="s">
        <v>870</v>
      </c>
      <c r="D15" s="149" t="s">
        <v>162</v>
      </c>
      <c r="E15" s="149" t="s">
        <v>897</v>
      </c>
      <c r="F15" s="149">
        <v>556608</v>
      </c>
      <c r="G15" s="149" t="s">
        <v>898</v>
      </c>
    </row>
    <row r="16" spans="1:7" hidden="1">
      <c r="A16" s="149" t="s">
        <v>869</v>
      </c>
      <c r="B16" s="149" t="s">
        <v>113</v>
      </c>
      <c r="C16" s="149" t="s">
        <v>870</v>
      </c>
      <c r="D16" s="149" t="s">
        <v>164</v>
      </c>
      <c r="E16" s="149" t="s">
        <v>899</v>
      </c>
      <c r="F16" s="149">
        <v>514181</v>
      </c>
      <c r="G16" s="149" t="s">
        <v>900</v>
      </c>
    </row>
    <row r="17" spans="1:7" hidden="1">
      <c r="A17" s="149" t="s">
        <v>869</v>
      </c>
      <c r="B17" s="149" t="s">
        <v>113</v>
      </c>
      <c r="C17" s="149" t="s">
        <v>870</v>
      </c>
      <c r="D17" s="149" t="s">
        <v>166</v>
      </c>
      <c r="E17" s="149" t="s">
        <v>901</v>
      </c>
      <c r="F17" s="149">
        <v>514181</v>
      </c>
      <c r="G17" s="149" t="s">
        <v>902</v>
      </c>
    </row>
    <row r="18" spans="1:7" hidden="1">
      <c r="A18" s="149" t="s">
        <v>869</v>
      </c>
      <c r="B18" s="149" t="s">
        <v>113</v>
      </c>
      <c r="C18" s="149" t="s">
        <v>870</v>
      </c>
      <c r="D18" s="149" t="s">
        <v>167</v>
      </c>
      <c r="E18" s="149" t="s">
        <v>903</v>
      </c>
      <c r="F18" s="149">
        <v>514176</v>
      </c>
      <c r="G18" s="149" t="s">
        <v>904</v>
      </c>
    </row>
    <row r="19" spans="1:7" hidden="1">
      <c r="A19" s="149" t="s">
        <v>869</v>
      </c>
      <c r="B19" s="149" t="s">
        <v>113</v>
      </c>
      <c r="C19" s="149" t="s">
        <v>870</v>
      </c>
      <c r="D19" s="149" t="s">
        <v>168</v>
      </c>
      <c r="E19" s="149" t="s">
        <v>905</v>
      </c>
      <c r="F19" s="149">
        <v>514154</v>
      </c>
      <c r="G19" s="149" t="s">
        <v>906</v>
      </c>
    </row>
    <row r="20" spans="1:7" hidden="1">
      <c r="A20" s="149" t="s">
        <v>869</v>
      </c>
      <c r="B20" s="149" t="s">
        <v>113</v>
      </c>
      <c r="C20" s="149" t="s">
        <v>870</v>
      </c>
      <c r="D20" s="149" t="s">
        <v>169</v>
      </c>
      <c r="E20" s="149" t="s">
        <v>907</v>
      </c>
      <c r="F20" s="149">
        <v>556592</v>
      </c>
      <c r="G20" s="149" t="s">
        <v>908</v>
      </c>
    </row>
    <row r="21" spans="1:7" hidden="1">
      <c r="A21" s="149" t="s">
        <v>869</v>
      </c>
      <c r="B21" s="149" t="s">
        <v>113</v>
      </c>
      <c r="C21" s="149" t="s">
        <v>870</v>
      </c>
      <c r="D21" s="149" t="s">
        <v>171</v>
      </c>
      <c r="E21" s="149" t="s">
        <v>909</v>
      </c>
      <c r="F21" s="149">
        <v>556592</v>
      </c>
      <c r="G21" s="149" t="s">
        <v>910</v>
      </c>
    </row>
    <row r="22" spans="1:7" hidden="1">
      <c r="A22" s="149" t="s">
        <v>869</v>
      </c>
      <c r="B22" s="149" t="s">
        <v>113</v>
      </c>
      <c r="C22" s="149" t="s">
        <v>870</v>
      </c>
      <c r="D22" s="149" t="s">
        <v>172</v>
      </c>
      <c r="E22" s="149" t="s">
        <v>911</v>
      </c>
      <c r="F22" s="149">
        <v>556579</v>
      </c>
      <c r="G22" s="149" t="s">
        <v>912</v>
      </c>
    </row>
    <row r="23" spans="1:7" hidden="1">
      <c r="A23" s="149" t="s">
        <v>869</v>
      </c>
      <c r="B23" s="149" t="s">
        <v>113</v>
      </c>
      <c r="C23" s="149" t="s">
        <v>870</v>
      </c>
      <c r="D23" s="149" t="s">
        <v>173</v>
      </c>
      <c r="E23" s="149" t="s">
        <v>913</v>
      </c>
      <c r="F23" s="149">
        <v>556592</v>
      </c>
      <c r="G23" s="149" t="s">
        <v>914</v>
      </c>
    </row>
    <row r="24" spans="1:7" hidden="1">
      <c r="A24" s="149" t="s">
        <v>869</v>
      </c>
      <c r="B24" s="149" t="s">
        <v>113</v>
      </c>
      <c r="C24" s="149" t="s">
        <v>870</v>
      </c>
      <c r="D24" s="149" t="s">
        <v>174</v>
      </c>
      <c r="E24" s="149" t="s">
        <v>915</v>
      </c>
      <c r="F24" s="149">
        <v>556592</v>
      </c>
      <c r="G24" s="149" t="s">
        <v>916</v>
      </c>
    </row>
    <row r="25" spans="1:7" hidden="1">
      <c r="A25" s="149" t="s">
        <v>869</v>
      </c>
      <c r="B25" s="149" t="s">
        <v>113</v>
      </c>
      <c r="C25" s="149" t="s">
        <v>870</v>
      </c>
      <c r="D25" s="149" t="s">
        <v>176</v>
      </c>
      <c r="E25" s="149" t="s">
        <v>917</v>
      </c>
      <c r="F25" s="149">
        <v>556592</v>
      </c>
      <c r="G25" s="149" t="s">
        <v>918</v>
      </c>
    </row>
    <row r="26" spans="1:7" hidden="1">
      <c r="A26" s="149" t="s">
        <v>869</v>
      </c>
      <c r="B26" s="149" t="s">
        <v>113</v>
      </c>
      <c r="C26" s="149" t="s">
        <v>870</v>
      </c>
      <c r="D26" s="149" t="s">
        <v>177</v>
      </c>
      <c r="E26" s="149" t="s">
        <v>919</v>
      </c>
      <c r="F26" s="149">
        <v>556592</v>
      </c>
      <c r="G26" s="149" t="s">
        <v>920</v>
      </c>
    </row>
    <row r="27" spans="1:7" hidden="1">
      <c r="A27" s="149" t="s">
        <v>869</v>
      </c>
      <c r="B27" s="149" t="s">
        <v>113</v>
      </c>
      <c r="C27" s="149" t="s">
        <v>870</v>
      </c>
      <c r="D27" s="149" t="s">
        <v>178</v>
      </c>
      <c r="E27" s="149" t="s">
        <v>921</v>
      </c>
      <c r="F27" s="149">
        <v>556608</v>
      </c>
      <c r="G27" s="149" t="s">
        <v>922</v>
      </c>
    </row>
    <row r="28" spans="1:7" hidden="1">
      <c r="A28" s="149" t="s">
        <v>869</v>
      </c>
      <c r="B28" s="149" t="s">
        <v>113</v>
      </c>
      <c r="C28" s="149" t="s">
        <v>870</v>
      </c>
      <c r="D28" s="149" t="s">
        <v>179</v>
      </c>
      <c r="E28" s="149" t="s">
        <v>923</v>
      </c>
      <c r="F28" s="149">
        <v>556608</v>
      </c>
      <c r="G28" s="149" t="s">
        <v>924</v>
      </c>
    </row>
    <row r="29" spans="1:7" hidden="1">
      <c r="A29" s="149" t="s">
        <v>869</v>
      </c>
      <c r="B29" s="149" t="s">
        <v>113</v>
      </c>
      <c r="C29" s="149" t="s">
        <v>870</v>
      </c>
      <c r="D29" s="149" t="s">
        <v>180</v>
      </c>
      <c r="E29" s="149" t="s">
        <v>925</v>
      </c>
      <c r="F29" s="149">
        <v>514154</v>
      </c>
      <c r="G29" s="149" t="s">
        <v>926</v>
      </c>
    </row>
    <row r="30" spans="1:7" hidden="1">
      <c r="A30" s="149" t="s">
        <v>869</v>
      </c>
      <c r="B30" s="149" t="s">
        <v>113</v>
      </c>
      <c r="C30" s="149" t="s">
        <v>870</v>
      </c>
      <c r="D30" s="149" t="s">
        <v>181</v>
      </c>
      <c r="E30" s="149" t="s">
        <v>927</v>
      </c>
      <c r="F30" s="149">
        <v>514154</v>
      </c>
      <c r="G30" s="149" t="s">
        <v>928</v>
      </c>
    </row>
    <row r="31" spans="1:7" hidden="1">
      <c r="A31" s="149" t="s">
        <v>869</v>
      </c>
      <c r="B31" s="149" t="s">
        <v>113</v>
      </c>
      <c r="C31" s="149" t="s">
        <v>870</v>
      </c>
      <c r="D31" s="149" t="s">
        <v>183</v>
      </c>
      <c r="E31" s="149" t="s">
        <v>929</v>
      </c>
      <c r="F31" s="149">
        <v>514174</v>
      </c>
      <c r="G31" s="149" t="s">
        <v>930</v>
      </c>
    </row>
    <row r="32" spans="1:7" hidden="1">
      <c r="A32" s="149" t="s">
        <v>869</v>
      </c>
      <c r="B32" s="149" t="s">
        <v>113</v>
      </c>
      <c r="C32" s="149" t="s">
        <v>870</v>
      </c>
      <c r="D32" s="149" t="s">
        <v>184</v>
      </c>
      <c r="E32" s="149" t="s">
        <v>931</v>
      </c>
      <c r="F32" s="149">
        <v>556592</v>
      </c>
      <c r="G32" s="149" t="s">
        <v>932</v>
      </c>
    </row>
    <row r="33" spans="1:7" hidden="1">
      <c r="A33" s="149" t="s">
        <v>869</v>
      </c>
      <c r="B33" s="149" t="s">
        <v>113</v>
      </c>
      <c r="C33" s="149" t="s">
        <v>870</v>
      </c>
      <c r="D33" s="149" t="s">
        <v>185</v>
      </c>
      <c r="E33" s="149" t="s">
        <v>933</v>
      </c>
      <c r="F33" s="149">
        <v>556608</v>
      </c>
      <c r="G33" s="149" t="s">
        <v>934</v>
      </c>
    </row>
    <row r="34" spans="1:7" hidden="1">
      <c r="A34" s="149" t="s">
        <v>869</v>
      </c>
      <c r="B34" s="149" t="s">
        <v>113</v>
      </c>
      <c r="C34" s="149" t="s">
        <v>870</v>
      </c>
      <c r="D34" s="149" t="s">
        <v>193</v>
      </c>
      <c r="E34" s="149" t="s">
        <v>935</v>
      </c>
      <c r="F34" s="149">
        <v>514154</v>
      </c>
      <c r="G34" s="149" t="s">
        <v>936</v>
      </c>
    </row>
    <row r="35" spans="1:7" hidden="1">
      <c r="A35" s="149" t="s">
        <v>869</v>
      </c>
      <c r="B35" s="149" t="s">
        <v>113</v>
      </c>
      <c r="C35" s="149" t="s">
        <v>870</v>
      </c>
      <c r="D35" s="149" t="s">
        <v>194</v>
      </c>
      <c r="E35" s="149" t="s">
        <v>937</v>
      </c>
      <c r="F35" s="149">
        <v>514192</v>
      </c>
      <c r="G35" s="149" t="s">
        <v>938</v>
      </c>
    </row>
    <row r="36" spans="1:7" hidden="1">
      <c r="A36" s="149" t="s">
        <v>869</v>
      </c>
      <c r="B36" s="149" t="s">
        <v>113</v>
      </c>
      <c r="C36" s="149" t="s">
        <v>870</v>
      </c>
      <c r="D36" s="149" t="s">
        <v>196</v>
      </c>
      <c r="E36" s="149" t="s">
        <v>939</v>
      </c>
      <c r="F36" s="149">
        <v>514154</v>
      </c>
      <c r="G36" s="149" t="s">
        <v>940</v>
      </c>
    </row>
    <row r="37" spans="1:7" hidden="1">
      <c r="A37" s="149" t="s">
        <v>869</v>
      </c>
      <c r="B37" s="149" t="s">
        <v>113</v>
      </c>
      <c r="C37" s="149" t="s">
        <v>870</v>
      </c>
      <c r="D37" s="149" t="s">
        <v>198</v>
      </c>
      <c r="E37" s="149" t="s">
        <v>941</v>
      </c>
      <c r="F37" s="149">
        <v>514175</v>
      </c>
      <c r="G37" s="149" t="s">
        <v>942</v>
      </c>
    </row>
    <row r="38" spans="1:7" hidden="1">
      <c r="A38" s="149" t="s">
        <v>869</v>
      </c>
      <c r="B38" s="149" t="s">
        <v>113</v>
      </c>
      <c r="C38" s="149" t="s">
        <v>870</v>
      </c>
      <c r="D38" s="149" t="s">
        <v>200</v>
      </c>
      <c r="E38" s="149" t="s">
        <v>943</v>
      </c>
      <c r="F38" s="149">
        <v>514192</v>
      </c>
      <c r="G38" s="149" t="s">
        <v>944</v>
      </c>
    </row>
    <row r="39" spans="1:7" hidden="1">
      <c r="A39" s="149" t="s">
        <v>869</v>
      </c>
      <c r="B39" s="149" t="s">
        <v>113</v>
      </c>
      <c r="C39" s="149" t="s">
        <v>870</v>
      </c>
      <c r="D39" s="149" t="s">
        <v>201</v>
      </c>
      <c r="E39" s="149" t="s">
        <v>945</v>
      </c>
      <c r="F39" s="149">
        <v>514154</v>
      </c>
      <c r="G39" s="149" t="s">
        <v>946</v>
      </c>
    </row>
    <row r="40" spans="1:7" hidden="1">
      <c r="A40" s="149" t="s">
        <v>869</v>
      </c>
      <c r="B40" s="149" t="s">
        <v>113</v>
      </c>
      <c r="C40" s="149" t="s">
        <v>870</v>
      </c>
      <c r="D40" s="149" t="s">
        <v>202</v>
      </c>
      <c r="E40" s="149" t="s">
        <v>947</v>
      </c>
      <c r="F40" s="149">
        <v>556608</v>
      </c>
      <c r="G40" s="149" t="s">
        <v>948</v>
      </c>
    </row>
    <row r="41" spans="1:7" hidden="1">
      <c r="A41" s="149" t="s">
        <v>869</v>
      </c>
      <c r="B41" s="149" t="s">
        <v>113</v>
      </c>
      <c r="C41" s="149" t="s">
        <v>870</v>
      </c>
      <c r="D41" s="149" t="s">
        <v>203</v>
      </c>
      <c r="E41" s="149" t="s">
        <v>949</v>
      </c>
      <c r="F41" s="149">
        <v>556608</v>
      </c>
      <c r="G41" s="149" t="s">
        <v>950</v>
      </c>
    </row>
    <row r="42" spans="1:7" hidden="1">
      <c r="A42" s="149" t="s">
        <v>869</v>
      </c>
      <c r="B42" s="149" t="s">
        <v>113</v>
      </c>
      <c r="C42" s="149" t="s">
        <v>870</v>
      </c>
      <c r="D42" s="149" t="s">
        <v>208</v>
      </c>
      <c r="E42" s="149" t="s">
        <v>951</v>
      </c>
      <c r="F42" s="149">
        <v>514175</v>
      </c>
      <c r="G42" s="149" t="s">
        <v>952</v>
      </c>
    </row>
    <row r="43" spans="1:7" hidden="1">
      <c r="A43" s="149" t="s">
        <v>869</v>
      </c>
      <c r="B43" s="149" t="s">
        <v>113</v>
      </c>
      <c r="C43" s="149" t="s">
        <v>870</v>
      </c>
      <c r="D43" s="149" t="s">
        <v>209</v>
      </c>
      <c r="E43" s="149" t="s">
        <v>953</v>
      </c>
      <c r="F43" s="149">
        <v>514154</v>
      </c>
      <c r="G43" s="149" t="s">
        <v>954</v>
      </c>
    </row>
    <row r="44" spans="1:7" hidden="1">
      <c r="A44" s="149" t="s">
        <v>869</v>
      </c>
      <c r="B44" s="149" t="s">
        <v>113</v>
      </c>
      <c r="C44" s="149" t="s">
        <v>870</v>
      </c>
      <c r="D44" s="149" t="s">
        <v>214</v>
      </c>
      <c r="E44" s="149" t="s">
        <v>955</v>
      </c>
      <c r="F44" s="149">
        <v>514154</v>
      </c>
      <c r="G44" s="149" t="s">
        <v>956</v>
      </c>
    </row>
    <row r="45" spans="1:7" hidden="1">
      <c r="A45" s="149" t="s">
        <v>869</v>
      </c>
      <c r="B45" s="149" t="s">
        <v>113</v>
      </c>
      <c r="C45" s="149" t="s">
        <v>870</v>
      </c>
      <c r="D45" s="149" t="s">
        <v>216</v>
      </c>
      <c r="E45" s="149" t="s">
        <v>957</v>
      </c>
      <c r="F45" s="149">
        <v>556614</v>
      </c>
      <c r="G45" s="149" t="s">
        <v>958</v>
      </c>
    </row>
    <row r="46" spans="1:7" hidden="1">
      <c r="A46" s="149" t="s">
        <v>869</v>
      </c>
      <c r="B46" s="149" t="s">
        <v>113</v>
      </c>
      <c r="C46" s="149" t="s">
        <v>870</v>
      </c>
      <c r="D46" s="149" t="s">
        <v>217</v>
      </c>
      <c r="E46" s="149" t="s">
        <v>959</v>
      </c>
      <c r="F46" s="149">
        <v>556608</v>
      </c>
      <c r="G46" s="149" t="s">
        <v>960</v>
      </c>
    </row>
    <row r="47" spans="1:7" hidden="1">
      <c r="A47" s="149" t="s">
        <v>869</v>
      </c>
      <c r="B47" s="149" t="s">
        <v>113</v>
      </c>
      <c r="C47" s="149" t="s">
        <v>870</v>
      </c>
      <c r="D47" s="149" t="s">
        <v>223</v>
      </c>
      <c r="E47" s="149" t="s">
        <v>961</v>
      </c>
      <c r="F47" s="149">
        <v>556608</v>
      </c>
      <c r="G47" s="149" t="s">
        <v>962</v>
      </c>
    </row>
    <row r="48" spans="1:7" hidden="1">
      <c r="A48" s="149" t="s">
        <v>869</v>
      </c>
      <c r="B48" s="149" t="s">
        <v>113</v>
      </c>
      <c r="C48" s="149" t="s">
        <v>870</v>
      </c>
      <c r="D48" s="149" t="s">
        <v>224</v>
      </c>
      <c r="E48" s="149" t="s">
        <v>963</v>
      </c>
      <c r="F48" s="149">
        <v>514175</v>
      </c>
      <c r="G48" s="149" t="s">
        <v>964</v>
      </c>
    </row>
    <row r="49" spans="1:7" hidden="1">
      <c r="A49" s="149" t="s">
        <v>869</v>
      </c>
      <c r="B49" s="149" t="s">
        <v>113</v>
      </c>
      <c r="C49" s="149" t="s">
        <v>870</v>
      </c>
      <c r="D49" s="149" t="s">
        <v>228</v>
      </c>
      <c r="E49" s="149" t="s">
        <v>965</v>
      </c>
      <c r="F49" s="149">
        <v>514154</v>
      </c>
      <c r="G49" s="149" t="s">
        <v>966</v>
      </c>
    </row>
    <row r="50" spans="1:7" hidden="1">
      <c r="A50" s="149" t="s">
        <v>869</v>
      </c>
      <c r="B50" s="149" t="s">
        <v>113</v>
      </c>
      <c r="C50" s="149" t="s">
        <v>870</v>
      </c>
      <c r="D50" s="149" t="s">
        <v>231</v>
      </c>
      <c r="E50" s="149" t="s">
        <v>967</v>
      </c>
      <c r="F50" s="149">
        <v>514176</v>
      </c>
      <c r="G50" s="149" t="s">
        <v>968</v>
      </c>
    </row>
    <row r="51" spans="1:7" hidden="1">
      <c r="A51" s="149" t="s">
        <v>869</v>
      </c>
      <c r="B51" s="149" t="s">
        <v>113</v>
      </c>
      <c r="C51" s="149" t="s">
        <v>870</v>
      </c>
      <c r="D51" s="149" t="s">
        <v>234</v>
      </c>
      <c r="E51" s="149" t="s">
        <v>3404</v>
      </c>
      <c r="F51" s="149">
        <v>514149</v>
      </c>
      <c r="G51" s="149" t="s">
        <v>2043</v>
      </c>
    </row>
    <row r="52" spans="1:7" hidden="1">
      <c r="A52" s="149" t="s">
        <v>869</v>
      </c>
      <c r="B52" s="149" t="s">
        <v>113</v>
      </c>
      <c r="C52" s="149" t="s">
        <v>870</v>
      </c>
      <c r="D52" s="149" t="s">
        <v>236</v>
      </c>
      <c r="E52" s="149" t="s">
        <v>969</v>
      </c>
      <c r="F52" s="149">
        <v>514154</v>
      </c>
      <c r="G52" s="149" t="s">
        <v>970</v>
      </c>
    </row>
    <row r="53" spans="1:7" hidden="1">
      <c r="A53" s="149" t="s">
        <v>869</v>
      </c>
      <c r="B53" s="149" t="s">
        <v>113</v>
      </c>
      <c r="C53" s="149" t="s">
        <v>870</v>
      </c>
      <c r="D53" s="149" t="s">
        <v>237</v>
      </c>
      <c r="E53" s="149" t="s">
        <v>971</v>
      </c>
      <c r="F53" s="149">
        <v>514181</v>
      </c>
      <c r="G53" s="149" t="s">
        <v>972</v>
      </c>
    </row>
    <row r="54" spans="1:7" hidden="1">
      <c r="A54" s="149" t="s">
        <v>869</v>
      </c>
      <c r="B54" s="149" t="s">
        <v>113</v>
      </c>
      <c r="C54" s="149" t="s">
        <v>870</v>
      </c>
      <c r="D54" s="149" t="s">
        <v>238</v>
      </c>
      <c r="E54" s="149" t="s">
        <v>973</v>
      </c>
      <c r="F54" s="149">
        <v>514176</v>
      </c>
      <c r="G54" s="149" t="s">
        <v>974</v>
      </c>
    </row>
    <row r="55" spans="1:7" hidden="1">
      <c r="A55" s="149" t="s">
        <v>869</v>
      </c>
      <c r="B55" s="149" t="s">
        <v>113</v>
      </c>
      <c r="C55" s="149" t="s">
        <v>870</v>
      </c>
      <c r="D55" s="149" t="s">
        <v>243</v>
      </c>
      <c r="E55" s="149" t="s">
        <v>975</v>
      </c>
      <c r="F55" s="149">
        <v>514175</v>
      </c>
      <c r="G55" s="149" t="s">
        <v>976</v>
      </c>
    </row>
    <row r="56" spans="1:7" hidden="1">
      <c r="A56" s="149" t="s">
        <v>869</v>
      </c>
      <c r="B56" s="149" t="s">
        <v>113</v>
      </c>
      <c r="C56" s="149" t="s">
        <v>870</v>
      </c>
      <c r="D56" s="149" t="s">
        <v>247</v>
      </c>
      <c r="E56" s="149" t="s">
        <v>977</v>
      </c>
      <c r="F56" s="149">
        <v>514188</v>
      </c>
      <c r="G56" s="149" t="s">
        <v>978</v>
      </c>
    </row>
    <row r="57" spans="1:7" hidden="1">
      <c r="A57" s="149" t="s">
        <v>869</v>
      </c>
      <c r="B57" s="149" t="s">
        <v>113</v>
      </c>
      <c r="C57" s="149" t="s">
        <v>870</v>
      </c>
      <c r="D57" s="149" t="s">
        <v>248</v>
      </c>
      <c r="E57" s="149" t="s">
        <v>979</v>
      </c>
      <c r="F57" s="149">
        <v>556579</v>
      </c>
      <c r="G57" s="149" t="s">
        <v>980</v>
      </c>
    </row>
    <row r="58" spans="1:7" hidden="1">
      <c r="A58" s="149" t="s">
        <v>869</v>
      </c>
      <c r="B58" s="149" t="s">
        <v>113</v>
      </c>
      <c r="C58" s="149" t="s">
        <v>870</v>
      </c>
      <c r="D58" s="149" t="s">
        <v>249</v>
      </c>
      <c r="E58" s="149" t="s">
        <v>981</v>
      </c>
      <c r="F58" s="149">
        <v>556608</v>
      </c>
      <c r="G58" s="149" t="s">
        <v>982</v>
      </c>
    </row>
    <row r="59" spans="1:7" hidden="1">
      <c r="A59" s="149" t="s">
        <v>869</v>
      </c>
      <c r="B59" s="149" t="s">
        <v>113</v>
      </c>
      <c r="C59" s="149" t="s">
        <v>870</v>
      </c>
      <c r="D59" s="149" t="s">
        <v>250</v>
      </c>
      <c r="E59" s="149" t="s">
        <v>983</v>
      </c>
      <c r="F59" s="149">
        <v>556614</v>
      </c>
      <c r="G59" s="149" t="s">
        <v>984</v>
      </c>
    </row>
    <row r="60" spans="1:7" hidden="1">
      <c r="A60" s="149" t="s">
        <v>869</v>
      </c>
      <c r="B60" s="149" t="s">
        <v>113</v>
      </c>
      <c r="C60" s="149" t="s">
        <v>870</v>
      </c>
      <c r="D60" s="149" t="s">
        <v>254</v>
      </c>
      <c r="E60" s="149" t="s">
        <v>985</v>
      </c>
      <c r="F60" s="149">
        <v>514154</v>
      </c>
      <c r="G60" s="149" t="s">
        <v>986</v>
      </c>
    </row>
    <row r="61" spans="1:7" hidden="1">
      <c r="A61" s="149" t="s">
        <v>869</v>
      </c>
      <c r="B61" s="149" t="s">
        <v>113</v>
      </c>
      <c r="C61" s="149" t="s">
        <v>870</v>
      </c>
      <c r="D61" s="149" t="s">
        <v>255</v>
      </c>
      <c r="E61" s="149" t="s">
        <v>987</v>
      </c>
      <c r="F61" s="149">
        <v>556608</v>
      </c>
      <c r="G61" s="149" t="s">
        <v>988</v>
      </c>
    </row>
    <row r="62" spans="1:7" hidden="1">
      <c r="A62" s="149" t="s">
        <v>869</v>
      </c>
      <c r="B62" s="149" t="s">
        <v>113</v>
      </c>
      <c r="C62" s="149" t="s">
        <v>870</v>
      </c>
      <c r="D62" s="149" t="s">
        <v>256</v>
      </c>
      <c r="E62" s="149" t="s">
        <v>989</v>
      </c>
      <c r="F62" s="149">
        <v>514188</v>
      </c>
      <c r="G62" s="149" t="s">
        <v>990</v>
      </c>
    </row>
    <row r="63" spans="1:7" hidden="1">
      <c r="A63" s="149" t="s">
        <v>869</v>
      </c>
      <c r="B63" s="149" t="s">
        <v>111</v>
      </c>
      <c r="C63" s="149" t="s">
        <v>991</v>
      </c>
      <c r="D63" s="149" t="s">
        <v>258</v>
      </c>
      <c r="E63" s="149" t="s">
        <v>992</v>
      </c>
      <c r="F63" s="149">
        <v>507280</v>
      </c>
      <c r="G63" s="149" t="s">
        <v>993</v>
      </c>
    </row>
    <row r="64" spans="1:7" hidden="1">
      <c r="A64" s="149" t="s">
        <v>869</v>
      </c>
      <c r="B64" s="149" t="s">
        <v>111</v>
      </c>
      <c r="C64" s="149" t="s">
        <v>991</v>
      </c>
      <c r="D64" s="149" t="s">
        <v>259</v>
      </c>
      <c r="E64" s="149" t="s">
        <v>994</v>
      </c>
      <c r="F64" s="149">
        <v>507280</v>
      </c>
      <c r="G64" s="149" t="s">
        <v>995</v>
      </c>
    </row>
    <row r="65" spans="1:7" hidden="1">
      <c r="A65" s="149" t="s">
        <v>869</v>
      </c>
      <c r="B65" s="149" t="s">
        <v>111</v>
      </c>
      <c r="C65" s="149" t="s">
        <v>991</v>
      </c>
      <c r="D65" s="149" t="s">
        <v>260</v>
      </c>
      <c r="E65" s="149" t="s">
        <v>996</v>
      </c>
      <c r="F65" s="149">
        <v>507280</v>
      </c>
      <c r="G65" s="149" t="s">
        <v>997</v>
      </c>
    </row>
    <row r="66" spans="1:7" hidden="1">
      <c r="A66" s="149" t="s">
        <v>869</v>
      </c>
      <c r="B66" s="149" t="s">
        <v>111</v>
      </c>
      <c r="C66" s="149" t="s">
        <v>991</v>
      </c>
      <c r="D66" s="149" t="s">
        <v>261</v>
      </c>
      <c r="E66" s="149" t="s">
        <v>998</v>
      </c>
      <c r="F66" s="149">
        <v>514169</v>
      </c>
      <c r="G66" s="149" t="s">
        <v>999</v>
      </c>
    </row>
    <row r="67" spans="1:7" hidden="1">
      <c r="A67" s="149" t="s">
        <v>869</v>
      </c>
      <c r="B67" s="149" t="s">
        <v>111</v>
      </c>
      <c r="C67" s="149" t="s">
        <v>991</v>
      </c>
      <c r="D67" s="149" t="s">
        <v>262</v>
      </c>
      <c r="E67" s="149" t="s">
        <v>1000</v>
      </c>
      <c r="F67" s="149">
        <v>556602</v>
      </c>
      <c r="G67" s="149" t="s">
        <v>1001</v>
      </c>
    </row>
    <row r="68" spans="1:7" hidden="1">
      <c r="A68" s="149" t="s">
        <v>869</v>
      </c>
      <c r="B68" s="149" t="s">
        <v>111</v>
      </c>
      <c r="C68" s="149" t="s">
        <v>991</v>
      </c>
      <c r="D68" s="149" t="s">
        <v>263</v>
      </c>
      <c r="E68" s="149" t="s">
        <v>1002</v>
      </c>
      <c r="F68" s="149">
        <v>556596</v>
      </c>
      <c r="G68" s="149" t="s">
        <v>1003</v>
      </c>
    </row>
    <row r="69" spans="1:7" hidden="1">
      <c r="A69" s="149" t="s">
        <v>869</v>
      </c>
      <c r="B69" s="149" t="s">
        <v>111</v>
      </c>
      <c r="C69" s="149" t="s">
        <v>991</v>
      </c>
      <c r="D69" s="149" t="s">
        <v>267</v>
      </c>
      <c r="E69" s="149" t="s">
        <v>1004</v>
      </c>
      <c r="F69" s="149">
        <v>514155</v>
      </c>
      <c r="G69" s="149" t="s">
        <v>1005</v>
      </c>
    </row>
    <row r="70" spans="1:7" hidden="1">
      <c r="A70" s="149" t="s">
        <v>869</v>
      </c>
      <c r="B70" s="149" t="s">
        <v>111</v>
      </c>
      <c r="C70" s="149" t="s">
        <v>991</v>
      </c>
      <c r="D70" s="149" t="s">
        <v>270</v>
      </c>
      <c r="E70" s="149" t="s">
        <v>1006</v>
      </c>
      <c r="F70" s="149">
        <v>514155</v>
      </c>
      <c r="G70" s="149" t="s">
        <v>1007</v>
      </c>
    </row>
    <row r="71" spans="1:7" hidden="1">
      <c r="A71" s="149" t="s">
        <v>869</v>
      </c>
      <c r="B71" s="149" t="s">
        <v>111</v>
      </c>
      <c r="C71" s="149" t="s">
        <v>991</v>
      </c>
      <c r="D71" s="149" t="s">
        <v>272</v>
      </c>
      <c r="E71" s="149" t="s">
        <v>1008</v>
      </c>
      <c r="F71" s="149">
        <v>556576</v>
      </c>
      <c r="G71" s="149" t="s">
        <v>1009</v>
      </c>
    </row>
    <row r="72" spans="1:7" hidden="1">
      <c r="A72" s="149" t="s">
        <v>869</v>
      </c>
      <c r="B72" s="149" t="s">
        <v>111</v>
      </c>
      <c r="C72" s="149" t="s">
        <v>991</v>
      </c>
      <c r="D72" s="149" t="s">
        <v>274</v>
      </c>
      <c r="E72" s="149" t="s">
        <v>1010</v>
      </c>
      <c r="F72" s="149">
        <v>514155</v>
      </c>
      <c r="G72" s="149" t="s">
        <v>1011</v>
      </c>
    </row>
    <row r="73" spans="1:7" hidden="1">
      <c r="A73" s="149" t="s">
        <v>869</v>
      </c>
      <c r="B73" s="149" t="s">
        <v>111</v>
      </c>
      <c r="C73" s="149" t="s">
        <v>991</v>
      </c>
      <c r="D73" s="149" t="s">
        <v>275</v>
      </c>
      <c r="E73" s="149" t="s">
        <v>1012</v>
      </c>
      <c r="F73" s="149">
        <v>556576</v>
      </c>
      <c r="G73" s="149" t="s">
        <v>1013</v>
      </c>
    </row>
    <row r="74" spans="1:7" hidden="1">
      <c r="A74" s="149" t="s">
        <v>869</v>
      </c>
      <c r="B74" s="149" t="s">
        <v>111</v>
      </c>
      <c r="C74" s="149" t="s">
        <v>991</v>
      </c>
      <c r="D74" s="149" t="s">
        <v>278</v>
      </c>
      <c r="E74" s="149" t="s">
        <v>1014</v>
      </c>
      <c r="F74" s="149">
        <v>556576</v>
      </c>
      <c r="G74" s="149" t="s">
        <v>1015</v>
      </c>
    </row>
    <row r="75" spans="1:7" hidden="1">
      <c r="A75" s="149" t="s">
        <v>869</v>
      </c>
      <c r="B75" s="149" t="s">
        <v>111</v>
      </c>
      <c r="C75" s="149" t="s">
        <v>991</v>
      </c>
      <c r="D75" s="149" t="s">
        <v>279</v>
      </c>
      <c r="E75" s="149" t="s">
        <v>1016</v>
      </c>
      <c r="F75" s="149">
        <v>556576</v>
      </c>
      <c r="G75" s="149" t="s">
        <v>1017</v>
      </c>
    </row>
    <row r="76" spans="1:7" hidden="1">
      <c r="A76" s="149" t="s">
        <v>869</v>
      </c>
      <c r="B76" s="149" t="s">
        <v>111</v>
      </c>
      <c r="C76" s="149" t="s">
        <v>991</v>
      </c>
      <c r="D76" s="149" t="s">
        <v>280</v>
      </c>
      <c r="E76" s="149" t="s">
        <v>1018</v>
      </c>
      <c r="F76" s="149">
        <v>514146</v>
      </c>
      <c r="G76" s="149" t="s">
        <v>1019</v>
      </c>
    </row>
    <row r="77" spans="1:7" hidden="1">
      <c r="A77" s="149" t="s">
        <v>869</v>
      </c>
      <c r="B77" s="149" t="s">
        <v>111</v>
      </c>
      <c r="C77" s="149" t="s">
        <v>1256</v>
      </c>
      <c r="D77" s="149" t="s">
        <v>280</v>
      </c>
      <c r="E77" s="149" t="s">
        <v>3405</v>
      </c>
      <c r="F77" s="149">
        <v>514146</v>
      </c>
      <c r="G77" s="149" t="s">
        <v>1019</v>
      </c>
    </row>
    <row r="78" spans="1:7" hidden="1">
      <c r="A78" s="149" t="s">
        <v>869</v>
      </c>
      <c r="B78" s="149" t="s">
        <v>111</v>
      </c>
      <c r="C78" s="149" t="s">
        <v>991</v>
      </c>
      <c r="D78" s="149" t="s">
        <v>281</v>
      </c>
      <c r="E78" s="149" t="s">
        <v>1020</v>
      </c>
      <c r="F78" s="149">
        <v>556585</v>
      </c>
      <c r="G78" s="149" t="s">
        <v>1021</v>
      </c>
    </row>
    <row r="79" spans="1:7" hidden="1">
      <c r="A79" s="149" t="s">
        <v>869</v>
      </c>
      <c r="B79" s="149" t="s">
        <v>111</v>
      </c>
      <c r="C79" s="149" t="s">
        <v>991</v>
      </c>
      <c r="D79" s="149" t="s">
        <v>282</v>
      </c>
      <c r="E79" s="149" t="s">
        <v>1022</v>
      </c>
      <c r="F79" s="149">
        <v>556576</v>
      </c>
      <c r="G79" s="149" t="s">
        <v>1023</v>
      </c>
    </row>
    <row r="80" spans="1:7" hidden="1">
      <c r="A80" s="149" t="s">
        <v>869</v>
      </c>
      <c r="B80" s="149" t="s">
        <v>111</v>
      </c>
      <c r="C80" s="149" t="s">
        <v>991</v>
      </c>
      <c r="D80" s="149" t="s">
        <v>284</v>
      </c>
      <c r="E80" s="149" t="s">
        <v>1024</v>
      </c>
      <c r="F80" s="149">
        <v>556602</v>
      </c>
      <c r="G80" s="149" t="s">
        <v>1025</v>
      </c>
    </row>
    <row r="81" spans="1:7" hidden="1">
      <c r="A81" s="149" t="s">
        <v>869</v>
      </c>
      <c r="B81" s="149" t="s">
        <v>111</v>
      </c>
      <c r="C81" s="149" t="s">
        <v>991</v>
      </c>
      <c r="D81" s="149" t="s">
        <v>290</v>
      </c>
      <c r="E81" s="149" t="s">
        <v>1026</v>
      </c>
      <c r="F81" s="149">
        <v>514168</v>
      </c>
      <c r="G81" s="149" t="s">
        <v>1027</v>
      </c>
    </row>
    <row r="82" spans="1:7" hidden="1">
      <c r="A82" s="149" t="s">
        <v>869</v>
      </c>
      <c r="B82" s="149" t="s">
        <v>111</v>
      </c>
      <c r="C82" s="149" t="s">
        <v>991</v>
      </c>
      <c r="D82" s="149" t="s">
        <v>297</v>
      </c>
      <c r="E82" s="149" t="s">
        <v>1028</v>
      </c>
      <c r="F82" s="149">
        <v>556596</v>
      </c>
      <c r="G82" s="149" t="s">
        <v>1029</v>
      </c>
    </row>
    <row r="83" spans="1:7" hidden="1">
      <c r="A83" s="149" t="s">
        <v>869</v>
      </c>
      <c r="B83" s="149" t="s">
        <v>111</v>
      </c>
      <c r="C83" s="149" t="s">
        <v>991</v>
      </c>
      <c r="D83" s="149" t="s">
        <v>302</v>
      </c>
      <c r="E83" s="149" t="s">
        <v>1030</v>
      </c>
      <c r="F83" s="149">
        <v>514155</v>
      </c>
      <c r="G83" s="149" t="s">
        <v>1031</v>
      </c>
    </row>
    <row r="84" spans="1:7" hidden="1">
      <c r="A84" s="149" t="s">
        <v>869</v>
      </c>
      <c r="B84" s="149" t="s">
        <v>111</v>
      </c>
      <c r="C84" s="149" t="s">
        <v>991</v>
      </c>
      <c r="D84" s="149" t="s">
        <v>303</v>
      </c>
      <c r="E84" s="149" t="s">
        <v>1032</v>
      </c>
      <c r="F84" s="149">
        <v>514155</v>
      </c>
      <c r="G84" s="149" t="s">
        <v>1033</v>
      </c>
    </row>
    <row r="85" spans="1:7" hidden="1">
      <c r="A85" s="149" t="s">
        <v>869</v>
      </c>
      <c r="B85" s="149" t="s">
        <v>111</v>
      </c>
      <c r="C85" s="149" t="s">
        <v>991</v>
      </c>
      <c r="D85" s="149" t="s">
        <v>305</v>
      </c>
      <c r="E85" s="149" t="s">
        <v>1034</v>
      </c>
      <c r="F85" s="149">
        <v>514155</v>
      </c>
      <c r="G85" s="149" t="s">
        <v>1035</v>
      </c>
    </row>
    <row r="86" spans="1:7" hidden="1">
      <c r="A86" s="149" t="s">
        <v>869</v>
      </c>
      <c r="B86" s="149" t="s">
        <v>111</v>
      </c>
      <c r="C86" s="149" t="s">
        <v>991</v>
      </c>
      <c r="D86" s="149" t="s">
        <v>306</v>
      </c>
      <c r="E86" s="149" t="s">
        <v>1036</v>
      </c>
      <c r="F86" s="149">
        <v>514155</v>
      </c>
      <c r="G86" s="149" t="s">
        <v>1037</v>
      </c>
    </row>
    <row r="87" spans="1:7" hidden="1">
      <c r="A87" s="149" t="s">
        <v>869</v>
      </c>
      <c r="B87" s="149" t="s">
        <v>111</v>
      </c>
      <c r="C87" s="149" t="s">
        <v>991</v>
      </c>
      <c r="D87" s="149" t="s">
        <v>307</v>
      </c>
      <c r="E87" s="149" t="s">
        <v>1038</v>
      </c>
      <c r="F87" s="149">
        <v>514155</v>
      </c>
      <c r="G87" s="149" t="s">
        <v>1039</v>
      </c>
    </row>
    <row r="88" spans="1:7" hidden="1">
      <c r="A88" s="149" t="s">
        <v>869</v>
      </c>
      <c r="B88" s="149" t="s">
        <v>111</v>
      </c>
      <c r="C88" s="149" t="s">
        <v>991</v>
      </c>
      <c r="D88" s="149" t="s">
        <v>312</v>
      </c>
      <c r="E88" s="149" t="s">
        <v>1040</v>
      </c>
      <c r="F88" s="149">
        <v>514168</v>
      </c>
      <c r="G88" s="149" t="s">
        <v>1041</v>
      </c>
    </row>
    <row r="89" spans="1:7" hidden="1">
      <c r="A89" s="149" t="s">
        <v>869</v>
      </c>
      <c r="B89" s="149" t="s">
        <v>112</v>
      </c>
      <c r="C89" s="149" t="s">
        <v>870</v>
      </c>
      <c r="D89" s="149" t="s">
        <v>318</v>
      </c>
      <c r="E89" s="149" t="s">
        <v>1042</v>
      </c>
      <c r="F89" s="149">
        <v>556607</v>
      </c>
      <c r="G89" s="149" t="s">
        <v>1043</v>
      </c>
    </row>
    <row r="90" spans="1:7" hidden="1">
      <c r="A90" s="149" t="s">
        <v>869</v>
      </c>
      <c r="B90" s="149" t="s">
        <v>112</v>
      </c>
      <c r="C90" s="149" t="s">
        <v>870</v>
      </c>
      <c r="D90" s="149" t="s">
        <v>322</v>
      </c>
      <c r="E90" s="149" t="s">
        <v>1044</v>
      </c>
      <c r="F90" s="149">
        <v>556604</v>
      </c>
      <c r="G90" s="149" t="s">
        <v>1045</v>
      </c>
    </row>
    <row r="91" spans="1:7">
      <c r="A91" s="149" t="s">
        <v>869</v>
      </c>
      <c r="B91" s="149" t="s">
        <v>112</v>
      </c>
      <c r="C91" s="149" t="s">
        <v>870</v>
      </c>
      <c r="D91" s="149" t="s">
        <v>324</v>
      </c>
      <c r="E91" s="149" t="s">
        <v>1046</v>
      </c>
      <c r="F91" s="149">
        <v>514193</v>
      </c>
      <c r="G91" s="149" t="s">
        <v>1047</v>
      </c>
    </row>
    <row r="92" spans="1:7" hidden="1">
      <c r="A92" s="149" t="s">
        <v>869</v>
      </c>
      <c r="B92" s="149" t="s">
        <v>112</v>
      </c>
      <c r="C92" s="149" t="s">
        <v>870</v>
      </c>
      <c r="D92" s="149" t="s">
        <v>324</v>
      </c>
      <c r="E92" s="149" t="s">
        <v>1048</v>
      </c>
      <c r="F92" s="149">
        <v>556583</v>
      </c>
      <c r="G92" s="149" t="s">
        <v>1049</v>
      </c>
    </row>
    <row r="93" spans="1:7" hidden="1">
      <c r="A93" s="149" t="s">
        <v>869</v>
      </c>
      <c r="B93" s="149" t="s">
        <v>112</v>
      </c>
      <c r="C93" s="149" t="s">
        <v>870</v>
      </c>
      <c r="D93" s="149" t="s">
        <v>326</v>
      </c>
      <c r="E93" s="149" t="s">
        <v>1050</v>
      </c>
      <c r="F93" s="149">
        <v>556588</v>
      </c>
      <c r="G93" s="149" t="s">
        <v>1051</v>
      </c>
    </row>
    <row r="94" spans="1:7">
      <c r="A94" s="149" t="s">
        <v>869</v>
      </c>
      <c r="B94" s="149" t="s">
        <v>112</v>
      </c>
      <c r="C94" s="149" t="s">
        <v>870</v>
      </c>
      <c r="D94" s="149" t="s">
        <v>327</v>
      </c>
      <c r="E94" s="149" t="s">
        <v>1052</v>
      </c>
      <c r="F94" s="149">
        <v>514193</v>
      </c>
      <c r="G94" s="149" t="s">
        <v>1053</v>
      </c>
    </row>
    <row r="95" spans="1:7" hidden="1">
      <c r="A95" s="149" t="s">
        <v>869</v>
      </c>
      <c r="B95" s="149" t="s">
        <v>112</v>
      </c>
      <c r="C95" s="149" t="s">
        <v>870</v>
      </c>
      <c r="D95" s="149" t="s">
        <v>327</v>
      </c>
      <c r="E95" s="149" t="s">
        <v>1054</v>
      </c>
      <c r="F95" s="149">
        <v>556583</v>
      </c>
      <c r="G95" s="149" t="s">
        <v>1055</v>
      </c>
    </row>
    <row r="96" spans="1:7" hidden="1">
      <c r="A96" s="149" t="s">
        <v>869</v>
      </c>
      <c r="B96" s="149" t="s">
        <v>112</v>
      </c>
      <c r="C96" s="149" t="s">
        <v>870</v>
      </c>
      <c r="D96" s="149" t="s">
        <v>328</v>
      </c>
      <c r="E96" s="149" t="s">
        <v>1056</v>
      </c>
      <c r="F96" s="149">
        <v>556583</v>
      </c>
      <c r="G96" s="149" t="s">
        <v>1057</v>
      </c>
    </row>
    <row r="97" spans="1:7" hidden="1">
      <c r="A97" s="149" t="s">
        <v>869</v>
      </c>
      <c r="B97" s="149" t="s">
        <v>112</v>
      </c>
      <c r="C97" s="149" t="s">
        <v>870</v>
      </c>
      <c r="D97" s="149" t="s">
        <v>329</v>
      </c>
      <c r="E97" s="149" t="s">
        <v>1058</v>
      </c>
      <c r="F97" s="149">
        <v>514180</v>
      </c>
      <c r="G97" s="149" t="s">
        <v>1059</v>
      </c>
    </row>
    <row r="98" spans="1:7" hidden="1">
      <c r="A98" s="149" t="s">
        <v>869</v>
      </c>
      <c r="B98" s="149" t="s">
        <v>112</v>
      </c>
      <c r="C98" s="149" t="s">
        <v>870</v>
      </c>
      <c r="D98" s="149" t="s">
        <v>275</v>
      </c>
      <c r="E98" s="149" t="s">
        <v>1060</v>
      </c>
      <c r="F98" s="149">
        <v>556583</v>
      </c>
      <c r="G98" s="149" t="s">
        <v>1061</v>
      </c>
    </row>
    <row r="99" spans="1:7" hidden="1">
      <c r="A99" s="149" t="s">
        <v>869</v>
      </c>
      <c r="B99" s="149" t="s">
        <v>112</v>
      </c>
      <c r="C99" s="149" t="s">
        <v>870</v>
      </c>
      <c r="D99" s="149" t="s">
        <v>332</v>
      </c>
      <c r="E99" s="149" t="s">
        <v>1062</v>
      </c>
      <c r="F99" s="149">
        <v>556583</v>
      </c>
      <c r="G99" s="149" t="s">
        <v>1063</v>
      </c>
    </row>
    <row r="100" spans="1:7" hidden="1">
      <c r="A100" s="149" t="s">
        <v>869</v>
      </c>
      <c r="B100" s="149" t="s">
        <v>112</v>
      </c>
      <c r="C100" s="149" t="s">
        <v>870</v>
      </c>
      <c r="D100" s="149" t="s">
        <v>334</v>
      </c>
      <c r="E100" s="149" t="s">
        <v>1064</v>
      </c>
      <c r="F100" s="149">
        <v>556582</v>
      </c>
      <c r="G100" s="149" t="s">
        <v>1065</v>
      </c>
    </row>
    <row r="101" spans="1:7" hidden="1">
      <c r="A101" s="149" t="s">
        <v>869</v>
      </c>
      <c r="B101" s="149" t="s">
        <v>112</v>
      </c>
      <c r="C101" s="149" t="s">
        <v>870</v>
      </c>
      <c r="D101" s="149" t="s">
        <v>335</v>
      </c>
      <c r="E101" s="149" t="s">
        <v>1066</v>
      </c>
      <c r="F101" s="149">
        <v>556582</v>
      </c>
      <c r="G101" s="149" t="s">
        <v>1067</v>
      </c>
    </row>
    <row r="102" spans="1:7" hidden="1">
      <c r="A102" s="149" t="s">
        <v>869</v>
      </c>
      <c r="B102" s="149" t="s">
        <v>112</v>
      </c>
      <c r="C102" s="149" t="s">
        <v>870</v>
      </c>
      <c r="D102" s="149" t="s">
        <v>336</v>
      </c>
      <c r="E102" s="149" t="s">
        <v>1068</v>
      </c>
      <c r="F102" s="149">
        <v>556613</v>
      </c>
      <c r="G102" s="149" t="s">
        <v>1069</v>
      </c>
    </row>
    <row r="103" spans="1:7" hidden="1">
      <c r="A103" s="149" t="s">
        <v>869</v>
      </c>
      <c r="B103" s="149" t="s">
        <v>112</v>
      </c>
      <c r="C103" s="149" t="s">
        <v>870</v>
      </c>
      <c r="D103" s="149" t="s">
        <v>337</v>
      </c>
      <c r="E103" s="149" t="s">
        <v>1070</v>
      </c>
      <c r="F103" s="149">
        <v>514151</v>
      </c>
      <c r="G103" s="149" t="s">
        <v>1071</v>
      </c>
    </row>
    <row r="104" spans="1:7" hidden="1">
      <c r="A104" s="149" t="s">
        <v>869</v>
      </c>
      <c r="B104" s="149" t="s">
        <v>112</v>
      </c>
      <c r="C104" s="149" t="s">
        <v>870</v>
      </c>
      <c r="D104" s="149" t="s">
        <v>344</v>
      </c>
      <c r="E104" s="149" t="s">
        <v>1072</v>
      </c>
      <c r="F104" s="149">
        <v>556582</v>
      </c>
      <c r="G104" s="149" t="s">
        <v>1073</v>
      </c>
    </row>
    <row r="105" spans="1:7" hidden="1">
      <c r="A105" s="149" t="s">
        <v>869</v>
      </c>
      <c r="B105" s="149" t="s">
        <v>112</v>
      </c>
      <c r="C105" s="149" t="s">
        <v>870</v>
      </c>
      <c r="D105" s="149" t="s">
        <v>346</v>
      </c>
      <c r="E105" s="149" t="s">
        <v>1074</v>
      </c>
      <c r="F105" s="149">
        <v>514180</v>
      </c>
      <c r="G105" s="149" t="s">
        <v>1075</v>
      </c>
    </row>
    <row r="106" spans="1:7" hidden="1">
      <c r="A106" s="149" t="s">
        <v>869</v>
      </c>
      <c r="B106" s="149" t="s">
        <v>112</v>
      </c>
      <c r="C106" s="149" t="s">
        <v>870</v>
      </c>
      <c r="D106" s="149" t="s">
        <v>348</v>
      </c>
      <c r="E106" s="149" t="s">
        <v>1076</v>
      </c>
      <c r="F106" s="149">
        <v>514189</v>
      </c>
      <c r="G106" s="149" t="s">
        <v>1077</v>
      </c>
    </row>
    <row r="107" spans="1:7" hidden="1">
      <c r="A107" s="149" t="s">
        <v>869</v>
      </c>
      <c r="B107" s="149" t="s">
        <v>112</v>
      </c>
      <c r="C107" s="149" t="s">
        <v>870</v>
      </c>
      <c r="D107" s="149" t="s">
        <v>350</v>
      </c>
      <c r="E107" s="149" t="s">
        <v>1078</v>
      </c>
      <c r="F107" s="149">
        <v>514189</v>
      </c>
      <c r="G107" s="149" t="s">
        <v>1079</v>
      </c>
    </row>
    <row r="108" spans="1:7" hidden="1">
      <c r="A108" s="149" t="s">
        <v>869</v>
      </c>
      <c r="B108" s="149" t="s">
        <v>112</v>
      </c>
      <c r="C108" s="149" t="s">
        <v>870</v>
      </c>
      <c r="D108" s="149" t="s">
        <v>352</v>
      </c>
      <c r="E108" s="149" t="s">
        <v>1080</v>
      </c>
      <c r="F108" s="149">
        <v>514162</v>
      </c>
      <c r="G108" s="149" t="s">
        <v>1081</v>
      </c>
    </row>
    <row r="109" spans="1:7" hidden="1">
      <c r="A109" s="149" t="s">
        <v>869</v>
      </c>
      <c r="B109" s="149" t="s">
        <v>112</v>
      </c>
      <c r="C109" s="149" t="s">
        <v>870</v>
      </c>
      <c r="D109" s="149" t="s">
        <v>356</v>
      </c>
      <c r="E109" s="149" t="s">
        <v>1082</v>
      </c>
      <c r="F109" s="149">
        <v>514180</v>
      </c>
      <c r="G109" s="149" t="s">
        <v>1083</v>
      </c>
    </row>
    <row r="110" spans="1:7" hidden="1">
      <c r="A110" s="149" t="s">
        <v>869</v>
      </c>
      <c r="B110" s="149" t="s">
        <v>112</v>
      </c>
      <c r="C110" s="149" t="s">
        <v>870</v>
      </c>
      <c r="D110" s="149" t="s">
        <v>357</v>
      </c>
      <c r="E110" s="149" t="s">
        <v>1084</v>
      </c>
      <c r="F110" s="149">
        <v>556597</v>
      </c>
      <c r="G110" s="149" t="s">
        <v>1085</v>
      </c>
    </row>
    <row r="111" spans="1:7" hidden="1">
      <c r="A111" s="149" t="s">
        <v>869</v>
      </c>
      <c r="B111" s="149" t="s">
        <v>112</v>
      </c>
      <c r="C111" s="149" t="s">
        <v>870</v>
      </c>
      <c r="D111" s="149" t="s">
        <v>359</v>
      </c>
      <c r="E111" s="149" t="s">
        <v>1086</v>
      </c>
      <c r="F111" s="149">
        <v>556582</v>
      </c>
      <c r="G111" s="149" t="s">
        <v>1087</v>
      </c>
    </row>
    <row r="112" spans="1:7" hidden="1">
      <c r="A112" s="149" t="s">
        <v>869</v>
      </c>
      <c r="B112" s="149" t="s">
        <v>112</v>
      </c>
      <c r="C112" s="149" t="s">
        <v>870</v>
      </c>
      <c r="D112" s="149" t="s">
        <v>360</v>
      </c>
      <c r="E112" s="149" t="s">
        <v>1088</v>
      </c>
      <c r="F112" s="149">
        <v>556588</v>
      </c>
      <c r="G112" s="149" t="s">
        <v>1089</v>
      </c>
    </row>
    <row r="113" spans="1:7" hidden="1">
      <c r="A113" s="149" t="s">
        <v>869</v>
      </c>
      <c r="B113" s="149" t="s">
        <v>112</v>
      </c>
      <c r="C113" s="149" t="s">
        <v>870</v>
      </c>
      <c r="D113" s="149" t="s">
        <v>361</v>
      </c>
      <c r="E113" s="149" t="s">
        <v>1090</v>
      </c>
      <c r="F113" s="149">
        <v>556607</v>
      </c>
      <c r="G113" s="149" t="s">
        <v>1091</v>
      </c>
    </row>
    <row r="114" spans="1:7" hidden="1">
      <c r="A114" s="149" t="s">
        <v>869</v>
      </c>
      <c r="B114" s="149" t="s">
        <v>112</v>
      </c>
      <c r="C114" s="149" t="s">
        <v>870</v>
      </c>
      <c r="D114" s="149" t="s">
        <v>363</v>
      </c>
      <c r="E114" s="149" t="s">
        <v>1092</v>
      </c>
      <c r="F114" s="149">
        <v>514151</v>
      </c>
      <c r="G114" s="149" t="s">
        <v>1093</v>
      </c>
    </row>
    <row r="115" spans="1:7" hidden="1">
      <c r="A115" s="149" t="s">
        <v>869</v>
      </c>
      <c r="B115" s="149" t="s">
        <v>112</v>
      </c>
      <c r="C115" s="149" t="s">
        <v>870</v>
      </c>
      <c r="D115" s="149" t="s">
        <v>364</v>
      </c>
      <c r="E115" s="149" t="s">
        <v>1094</v>
      </c>
      <c r="F115" s="149">
        <v>556607</v>
      </c>
      <c r="G115" s="149" t="s">
        <v>1095</v>
      </c>
    </row>
    <row r="116" spans="1:7" hidden="1">
      <c r="A116" s="149" t="s">
        <v>869</v>
      </c>
      <c r="B116" s="149" t="s">
        <v>112</v>
      </c>
      <c r="C116" s="149" t="s">
        <v>870</v>
      </c>
      <c r="D116" s="149" t="s">
        <v>369</v>
      </c>
      <c r="E116" s="149" t="s">
        <v>1096</v>
      </c>
      <c r="F116" s="149">
        <v>514151</v>
      </c>
      <c r="G116" s="149" t="s">
        <v>1097</v>
      </c>
    </row>
    <row r="117" spans="1:7" hidden="1">
      <c r="A117" s="149" t="s">
        <v>869</v>
      </c>
      <c r="B117" s="149" t="s">
        <v>112</v>
      </c>
      <c r="C117" s="149" t="s">
        <v>870</v>
      </c>
      <c r="D117" s="149" t="s">
        <v>372</v>
      </c>
      <c r="E117" s="149" t="s">
        <v>1098</v>
      </c>
      <c r="F117" s="149">
        <v>514162</v>
      </c>
      <c r="G117" s="149" t="s">
        <v>1099</v>
      </c>
    </row>
    <row r="118" spans="1:7" hidden="1">
      <c r="A118" s="149" t="s">
        <v>869</v>
      </c>
      <c r="B118" s="149" t="s">
        <v>112</v>
      </c>
      <c r="C118" s="149" t="s">
        <v>870</v>
      </c>
      <c r="D118" s="149" t="s">
        <v>373</v>
      </c>
      <c r="E118" s="149" t="s">
        <v>1100</v>
      </c>
      <c r="F118" s="149">
        <v>514162</v>
      </c>
      <c r="G118" s="149" t="s">
        <v>1101</v>
      </c>
    </row>
    <row r="119" spans="1:7" hidden="1">
      <c r="A119" s="149" t="s">
        <v>869</v>
      </c>
      <c r="B119" s="149" t="s">
        <v>112</v>
      </c>
      <c r="C119" s="149" t="s">
        <v>870</v>
      </c>
      <c r="D119" s="149" t="s">
        <v>380</v>
      </c>
      <c r="E119" s="149" t="s">
        <v>1102</v>
      </c>
      <c r="F119" s="149">
        <v>514189</v>
      </c>
      <c r="G119" s="149" t="s">
        <v>1103</v>
      </c>
    </row>
    <row r="120" spans="1:7" hidden="1">
      <c r="A120" s="149" t="s">
        <v>869</v>
      </c>
      <c r="B120" s="149" t="s">
        <v>112</v>
      </c>
      <c r="C120" s="149" t="s">
        <v>870</v>
      </c>
      <c r="D120" s="149" t="s">
        <v>381</v>
      </c>
      <c r="E120" s="149" t="s">
        <v>1104</v>
      </c>
      <c r="F120" s="149">
        <v>514189</v>
      </c>
      <c r="G120" s="149" t="s">
        <v>1105</v>
      </c>
    </row>
    <row r="121" spans="1:7" hidden="1">
      <c r="A121" s="149" t="s">
        <v>869</v>
      </c>
      <c r="B121" s="149" t="s">
        <v>112</v>
      </c>
      <c r="C121" s="149" t="s">
        <v>870</v>
      </c>
      <c r="D121" s="149" t="s">
        <v>384</v>
      </c>
      <c r="E121" s="149" t="s">
        <v>1106</v>
      </c>
      <c r="F121" s="149">
        <v>514189</v>
      </c>
      <c r="G121" s="149" t="s">
        <v>1107</v>
      </c>
    </row>
    <row r="122" spans="1:7" hidden="1">
      <c r="A122" s="149" t="s">
        <v>869</v>
      </c>
      <c r="B122" s="149" t="s">
        <v>112</v>
      </c>
      <c r="C122" s="149" t="s">
        <v>870</v>
      </c>
      <c r="D122" s="149" t="s">
        <v>386</v>
      </c>
      <c r="E122" s="149" t="s">
        <v>1108</v>
      </c>
      <c r="F122" s="149">
        <v>514189</v>
      </c>
      <c r="G122" s="149" t="s">
        <v>1109</v>
      </c>
    </row>
    <row r="123" spans="1:7" hidden="1">
      <c r="A123" s="149" t="s">
        <v>869</v>
      </c>
      <c r="B123" s="149" t="s">
        <v>112</v>
      </c>
      <c r="C123" s="149" t="s">
        <v>870</v>
      </c>
      <c r="D123" s="149" t="s">
        <v>289</v>
      </c>
      <c r="E123" s="149" t="s">
        <v>1110</v>
      </c>
      <c r="F123" s="149">
        <v>514189</v>
      </c>
      <c r="G123" s="149" t="s">
        <v>1111</v>
      </c>
    </row>
    <row r="124" spans="1:7" hidden="1">
      <c r="A124" s="149" t="s">
        <v>869</v>
      </c>
      <c r="B124" s="149" t="s">
        <v>112</v>
      </c>
      <c r="C124" s="149" t="s">
        <v>870</v>
      </c>
      <c r="D124" s="149" t="s">
        <v>387</v>
      </c>
      <c r="E124" s="149" t="s">
        <v>1112</v>
      </c>
      <c r="F124" s="149">
        <v>514189</v>
      </c>
      <c r="G124" s="149" t="s">
        <v>1113</v>
      </c>
    </row>
    <row r="125" spans="1:7" hidden="1">
      <c r="A125" s="149" t="s">
        <v>869</v>
      </c>
      <c r="B125" s="149" t="s">
        <v>112</v>
      </c>
      <c r="C125" s="149" t="s">
        <v>870</v>
      </c>
      <c r="D125" s="149" t="s">
        <v>388</v>
      </c>
      <c r="E125" s="149" t="s">
        <v>1114</v>
      </c>
      <c r="F125" s="149">
        <v>514189</v>
      </c>
      <c r="G125" s="149" t="s">
        <v>1115</v>
      </c>
    </row>
    <row r="126" spans="1:7" hidden="1">
      <c r="A126" s="149" t="s">
        <v>869</v>
      </c>
      <c r="B126" s="149" t="s">
        <v>112</v>
      </c>
      <c r="C126" s="149" t="s">
        <v>870</v>
      </c>
      <c r="D126" s="149" t="s">
        <v>389</v>
      </c>
      <c r="E126" s="149" t="s">
        <v>1116</v>
      </c>
      <c r="F126" s="149">
        <v>514189</v>
      </c>
      <c r="G126" s="149" t="s">
        <v>1117</v>
      </c>
    </row>
    <row r="127" spans="1:7" hidden="1">
      <c r="A127" s="149" t="s">
        <v>869</v>
      </c>
      <c r="B127" s="149" t="s">
        <v>112</v>
      </c>
      <c r="C127" s="149" t="s">
        <v>870</v>
      </c>
      <c r="D127" s="149" t="s">
        <v>390</v>
      </c>
      <c r="E127" s="149" t="s">
        <v>1118</v>
      </c>
      <c r="F127" s="149">
        <v>514189</v>
      </c>
      <c r="G127" s="149" t="s">
        <v>1119</v>
      </c>
    </row>
    <row r="128" spans="1:7" hidden="1">
      <c r="A128" s="149" t="s">
        <v>869</v>
      </c>
      <c r="B128" s="149" t="s">
        <v>112</v>
      </c>
      <c r="C128" s="149" t="s">
        <v>870</v>
      </c>
      <c r="D128" s="149" t="s">
        <v>391</v>
      </c>
      <c r="E128" s="149" t="s">
        <v>1120</v>
      </c>
      <c r="F128" s="149">
        <v>514189</v>
      </c>
      <c r="G128" s="149" t="s">
        <v>1121</v>
      </c>
    </row>
    <row r="129" spans="1:7">
      <c r="A129" s="149" t="s">
        <v>869</v>
      </c>
      <c r="B129" s="149" t="s">
        <v>112</v>
      </c>
      <c r="C129" s="149" t="s">
        <v>870</v>
      </c>
      <c r="D129" s="149" t="s">
        <v>392</v>
      </c>
      <c r="E129" s="149" t="s">
        <v>1122</v>
      </c>
      <c r="F129" s="149">
        <v>514193</v>
      </c>
      <c r="G129" s="149" t="s">
        <v>1123</v>
      </c>
    </row>
    <row r="130" spans="1:7">
      <c r="A130" s="149" t="s">
        <v>869</v>
      </c>
      <c r="B130" s="149" t="s">
        <v>112</v>
      </c>
      <c r="C130" s="149" t="s">
        <v>870</v>
      </c>
      <c r="D130" s="149" t="s">
        <v>394</v>
      </c>
      <c r="E130" s="149" t="s">
        <v>1124</v>
      </c>
      <c r="F130" s="149">
        <v>514193</v>
      </c>
      <c r="G130" s="149" t="s">
        <v>1125</v>
      </c>
    </row>
    <row r="131" spans="1:7" hidden="1">
      <c r="A131" s="149" t="s">
        <v>869</v>
      </c>
      <c r="B131" s="149" t="s">
        <v>112</v>
      </c>
      <c r="C131" s="149" t="s">
        <v>870</v>
      </c>
      <c r="D131" s="149" t="s">
        <v>395</v>
      </c>
      <c r="E131" s="149" t="s">
        <v>1126</v>
      </c>
      <c r="F131" s="149">
        <v>514189</v>
      </c>
      <c r="G131" s="149" t="s">
        <v>1127</v>
      </c>
    </row>
    <row r="132" spans="1:7" hidden="1">
      <c r="A132" s="149" t="s">
        <v>869</v>
      </c>
      <c r="B132" s="149" t="s">
        <v>112</v>
      </c>
      <c r="C132" s="149" t="s">
        <v>870</v>
      </c>
      <c r="D132" s="149" t="s">
        <v>397</v>
      </c>
      <c r="E132" s="149" t="s">
        <v>1128</v>
      </c>
      <c r="F132" s="149">
        <v>514189</v>
      </c>
      <c r="G132" s="149" t="s">
        <v>1129</v>
      </c>
    </row>
    <row r="133" spans="1:7" hidden="1">
      <c r="A133" s="149" t="s">
        <v>869</v>
      </c>
      <c r="B133" s="149" t="s">
        <v>112</v>
      </c>
      <c r="C133" s="149" t="s">
        <v>870</v>
      </c>
      <c r="D133" s="149" t="s">
        <v>398</v>
      </c>
      <c r="E133" s="149" t="s">
        <v>1130</v>
      </c>
      <c r="F133" s="149">
        <v>514163</v>
      </c>
      <c r="G133" s="149" t="s">
        <v>1131</v>
      </c>
    </row>
    <row r="134" spans="1:7" hidden="1">
      <c r="A134" s="149" t="s">
        <v>869</v>
      </c>
      <c r="B134" s="149" t="s">
        <v>112</v>
      </c>
      <c r="C134" s="149" t="s">
        <v>870</v>
      </c>
      <c r="D134" s="149" t="s">
        <v>399</v>
      </c>
      <c r="E134" s="149" t="s">
        <v>1132</v>
      </c>
      <c r="F134" s="149">
        <v>514151</v>
      </c>
      <c r="G134" s="149" t="s">
        <v>1133</v>
      </c>
    </row>
    <row r="135" spans="1:7">
      <c r="A135" s="149" t="s">
        <v>869</v>
      </c>
      <c r="B135" s="149" t="s">
        <v>112</v>
      </c>
      <c r="C135" s="149" t="s">
        <v>870</v>
      </c>
      <c r="D135" s="149" t="s">
        <v>1134</v>
      </c>
      <c r="E135" s="149" t="s">
        <v>1135</v>
      </c>
      <c r="F135" s="149">
        <v>514193</v>
      </c>
      <c r="G135" s="149" t="s">
        <v>1136</v>
      </c>
    </row>
    <row r="136" spans="1:7" hidden="1">
      <c r="A136" s="149" t="s">
        <v>869</v>
      </c>
      <c r="B136" s="149" t="s">
        <v>112</v>
      </c>
      <c r="C136" s="149" t="s">
        <v>870</v>
      </c>
      <c r="D136" s="149" t="s">
        <v>403</v>
      </c>
      <c r="E136" s="149" t="s">
        <v>1137</v>
      </c>
      <c r="F136" s="149">
        <v>556582</v>
      </c>
      <c r="G136" s="149" t="s">
        <v>1138</v>
      </c>
    </row>
    <row r="137" spans="1:7" hidden="1">
      <c r="A137" s="149" t="s">
        <v>869</v>
      </c>
      <c r="B137" s="149" t="s">
        <v>112</v>
      </c>
      <c r="C137" s="149" t="s">
        <v>870</v>
      </c>
      <c r="D137" s="149" t="s">
        <v>404</v>
      </c>
      <c r="E137" s="149" t="s">
        <v>1139</v>
      </c>
      <c r="F137" s="149">
        <v>556597</v>
      </c>
      <c r="G137" s="149" t="s">
        <v>1140</v>
      </c>
    </row>
    <row r="138" spans="1:7" hidden="1">
      <c r="A138" s="149" t="s">
        <v>869</v>
      </c>
      <c r="B138" s="149" t="s">
        <v>112</v>
      </c>
      <c r="C138" s="149" t="s">
        <v>870</v>
      </c>
      <c r="D138" s="149" t="s">
        <v>406</v>
      </c>
      <c r="E138" s="149" t="s">
        <v>1141</v>
      </c>
      <c r="F138" s="149">
        <v>514151</v>
      </c>
      <c r="G138" s="149" t="s">
        <v>1142</v>
      </c>
    </row>
    <row r="139" spans="1:7">
      <c r="A139" s="149" t="s">
        <v>869</v>
      </c>
      <c r="B139" s="149" t="s">
        <v>112</v>
      </c>
      <c r="C139" s="149" t="s">
        <v>870</v>
      </c>
      <c r="D139" s="149" t="s">
        <v>407</v>
      </c>
      <c r="E139" s="149" t="s">
        <v>1143</v>
      </c>
      <c r="F139" s="149">
        <v>514193</v>
      </c>
      <c r="G139" s="149" t="s">
        <v>1144</v>
      </c>
    </row>
    <row r="140" spans="1:7" hidden="1">
      <c r="A140" s="149" t="s">
        <v>869</v>
      </c>
      <c r="B140" s="149" t="s">
        <v>112</v>
      </c>
      <c r="C140" s="149" t="s">
        <v>870</v>
      </c>
      <c r="D140" s="149" t="s">
        <v>408</v>
      </c>
      <c r="E140" s="149" t="s">
        <v>1145</v>
      </c>
      <c r="F140" s="149">
        <v>514151</v>
      </c>
      <c r="G140" s="149" t="s">
        <v>1146</v>
      </c>
    </row>
    <row r="141" spans="1:7" hidden="1">
      <c r="A141" s="149" t="s">
        <v>869</v>
      </c>
      <c r="B141" s="149" t="s">
        <v>112</v>
      </c>
      <c r="C141" s="149" t="s">
        <v>870</v>
      </c>
      <c r="D141" s="149" t="s">
        <v>412</v>
      </c>
      <c r="E141" s="149" t="s">
        <v>1147</v>
      </c>
      <c r="F141" s="149">
        <v>514151</v>
      </c>
      <c r="G141" s="149" t="s">
        <v>1148</v>
      </c>
    </row>
    <row r="142" spans="1:7" hidden="1">
      <c r="A142" s="149" t="s">
        <v>869</v>
      </c>
      <c r="B142" s="149" t="s">
        <v>112</v>
      </c>
      <c r="C142" s="149" t="s">
        <v>870</v>
      </c>
      <c r="D142" s="149" t="s">
        <v>416</v>
      </c>
      <c r="E142" s="149" t="s">
        <v>1149</v>
      </c>
      <c r="F142" s="149">
        <v>556582</v>
      </c>
      <c r="G142" s="149" t="s">
        <v>1150</v>
      </c>
    </row>
    <row r="143" spans="1:7" hidden="1">
      <c r="A143" s="149" t="s">
        <v>869</v>
      </c>
      <c r="B143" s="149" t="s">
        <v>112</v>
      </c>
      <c r="C143" s="149" t="s">
        <v>870</v>
      </c>
      <c r="D143" s="149" t="s">
        <v>418</v>
      </c>
      <c r="E143" s="149" t="s">
        <v>1151</v>
      </c>
      <c r="F143" s="149">
        <v>514180</v>
      </c>
      <c r="G143" s="149" t="s">
        <v>1152</v>
      </c>
    </row>
    <row r="144" spans="1:7" hidden="1">
      <c r="A144" s="149" t="s">
        <v>869</v>
      </c>
      <c r="B144" s="149" t="s">
        <v>112</v>
      </c>
      <c r="C144" s="149" t="s">
        <v>870</v>
      </c>
      <c r="D144" s="149" t="s">
        <v>420</v>
      </c>
      <c r="E144" s="149" t="s">
        <v>1153</v>
      </c>
      <c r="F144" s="149">
        <v>556613</v>
      </c>
      <c r="G144" s="149" t="s">
        <v>1154</v>
      </c>
    </row>
    <row r="145" spans="1:7" hidden="1">
      <c r="A145" s="149" t="s">
        <v>869</v>
      </c>
      <c r="B145" s="149" t="s">
        <v>112</v>
      </c>
      <c r="C145" s="149" t="s">
        <v>870</v>
      </c>
      <c r="D145" s="149" t="s">
        <v>422</v>
      </c>
      <c r="E145" s="149" t="s">
        <v>1155</v>
      </c>
      <c r="F145" s="149">
        <v>556613</v>
      </c>
      <c r="G145" s="149" t="s">
        <v>1156</v>
      </c>
    </row>
    <row r="146" spans="1:7" hidden="1">
      <c r="A146" s="149" t="s">
        <v>869</v>
      </c>
      <c r="B146" s="149" t="s">
        <v>112</v>
      </c>
      <c r="C146" s="149" t="s">
        <v>870</v>
      </c>
      <c r="D146" s="149" t="s">
        <v>423</v>
      </c>
      <c r="E146" s="149" t="s">
        <v>1157</v>
      </c>
      <c r="F146" s="149">
        <v>514151</v>
      </c>
      <c r="G146" s="149" t="s">
        <v>1158</v>
      </c>
    </row>
    <row r="147" spans="1:7" hidden="1">
      <c r="A147" s="149" t="s">
        <v>869</v>
      </c>
      <c r="B147" s="149" t="s">
        <v>112</v>
      </c>
      <c r="C147" s="149" t="s">
        <v>870</v>
      </c>
      <c r="D147" s="149" t="s">
        <v>424</v>
      </c>
      <c r="E147" s="149" t="s">
        <v>1159</v>
      </c>
      <c r="F147" s="149">
        <v>556588</v>
      </c>
      <c r="G147" s="149" t="s">
        <v>1160</v>
      </c>
    </row>
    <row r="148" spans="1:7" hidden="1">
      <c r="A148" s="149" t="s">
        <v>869</v>
      </c>
      <c r="B148" s="149" t="s">
        <v>112</v>
      </c>
      <c r="C148" s="149" t="s">
        <v>870</v>
      </c>
      <c r="D148" s="149" t="s">
        <v>425</v>
      </c>
      <c r="E148" s="149" t="s">
        <v>1161</v>
      </c>
      <c r="F148" s="149">
        <v>556613</v>
      </c>
      <c r="G148" s="149" t="s">
        <v>1162</v>
      </c>
    </row>
    <row r="149" spans="1:7" hidden="1">
      <c r="A149" s="149" t="s">
        <v>869</v>
      </c>
      <c r="B149" s="149" t="s">
        <v>112</v>
      </c>
      <c r="C149" s="149" t="s">
        <v>870</v>
      </c>
      <c r="D149" s="149" t="s">
        <v>426</v>
      </c>
      <c r="E149" s="149" t="s">
        <v>1147</v>
      </c>
      <c r="F149" s="149">
        <v>556603</v>
      </c>
      <c r="G149" s="149" t="s">
        <v>1163</v>
      </c>
    </row>
    <row r="150" spans="1:7" hidden="1">
      <c r="A150" s="149" t="s">
        <v>869</v>
      </c>
      <c r="B150" s="149" t="s">
        <v>112</v>
      </c>
      <c r="C150" s="149" t="s">
        <v>870</v>
      </c>
      <c r="D150" s="149" t="s">
        <v>427</v>
      </c>
      <c r="E150" s="149" t="s">
        <v>1164</v>
      </c>
      <c r="F150" s="149">
        <v>556603</v>
      </c>
      <c r="G150" s="149" t="s">
        <v>1165</v>
      </c>
    </row>
    <row r="151" spans="1:7" hidden="1">
      <c r="A151" s="149" t="s">
        <v>869</v>
      </c>
      <c r="B151" s="149" t="s">
        <v>112</v>
      </c>
      <c r="C151" s="149" t="s">
        <v>870</v>
      </c>
      <c r="D151" s="149" t="s">
        <v>429</v>
      </c>
      <c r="E151" s="149" t="s">
        <v>1166</v>
      </c>
      <c r="F151" s="149">
        <v>514163</v>
      </c>
      <c r="G151" s="149" t="s">
        <v>1167</v>
      </c>
    </row>
    <row r="152" spans="1:7" hidden="1">
      <c r="A152" s="149" t="s">
        <v>869</v>
      </c>
      <c r="B152" s="149" t="s">
        <v>112</v>
      </c>
      <c r="C152" s="149" t="s">
        <v>870</v>
      </c>
      <c r="D152" s="149" t="s">
        <v>433</v>
      </c>
      <c r="E152" s="149" t="s">
        <v>1168</v>
      </c>
      <c r="F152" s="149">
        <v>514186</v>
      </c>
      <c r="G152" s="149" t="s">
        <v>1169</v>
      </c>
    </row>
    <row r="153" spans="1:7" hidden="1">
      <c r="A153" s="149" t="s">
        <v>869</v>
      </c>
      <c r="B153" s="149" t="s">
        <v>112</v>
      </c>
      <c r="C153" s="149" t="s">
        <v>870</v>
      </c>
      <c r="D153" s="149" t="s">
        <v>435</v>
      </c>
      <c r="E153" s="149" t="s">
        <v>1170</v>
      </c>
      <c r="F153" s="149">
        <v>556584</v>
      </c>
      <c r="G153" s="149" t="s">
        <v>1171</v>
      </c>
    </row>
    <row r="154" spans="1:7">
      <c r="A154" s="149" t="s">
        <v>869</v>
      </c>
      <c r="B154" s="149" t="s">
        <v>112</v>
      </c>
      <c r="C154" s="149" t="s">
        <v>870</v>
      </c>
      <c r="D154" s="149" t="s">
        <v>437</v>
      </c>
      <c r="E154" s="149" t="s">
        <v>1172</v>
      </c>
      <c r="F154" s="149">
        <v>514193</v>
      </c>
      <c r="G154" s="149" t="s">
        <v>1173</v>
      </c>
    </row>
    <row r="155" spans="1:7" hidden="1">
      <c r="A155" s="149" t="s">
        <v>869</v>
      </c>
      <c r="B155" s="149" t="s">
        <v>112</v>
      </c>
      <c r="C155" s="149" t="s">
        <v>870</v>
      </c>
      <c r="D155" s="149" t="s">
        <v>438</v>
      </c>
      <c r="E155" s="149" t="s">
        <v>1174</v>
      </c>
      <c r="F155" s="149">
        <v>514182</v>
      </c>
      <c r="G155" s="149" t="s">
        <v>1175</v>
      </c>
    </row>
    <row r="156" spans="1:7">
      <c r="A156" s="149" t="s">
        <v>869</v>
      </c>
      <c r="B156" s="149" t="s">
        <v>112</v>
      </c>
      <c r="C156" s="149" t="s">
        <v>870</v>
      </c>
      <c r="D156" s="149" t="s">
        <v>439</v>
      </c>
      <c r="E156" s="149" t="s">
        <v>1176</v>
      </c>
      <c r="F156" s="149">
        <v>514193</v>
      </c>
      <c r="G156" s="149" t="s">
        <v>1177</v>
      </c>
    </row>
    <row r="157" spans="1:7" hidden="1">
      <c r="A157" s="149" t="s">
        <v>869</v>
      </c>
      <c r="B157" s="149" t="s">
        <v>112</v>
      </c>
      <c r="C157" s="149" t="s">
        <v>870</v>
      </c>
      <c r="D157" s="149" t="s">
        <v>440</v>
      </c>
      <c r="E157" s="149" t="s">
        <v>1178</v>
      </c>
      <c r="F157" s="149">
        <v>556607</v>
      </c>
      <c r="G157" s="149" t="s">
        <v>1179</v>
      </c>
    </row>
    <row r="158" spans="1:7" hidden="1">
      <c r="A158" s="149" t="s">
        <v>869</v>
      </c>
      <c r="B158" s="149" t="s">
        <v>112</v>
      </c>
      <c r="C158" s="149" t="s">
        <v>870</v>
      </c>
      <c r="D158" s="149" t="s">
        <v>440</v>
      </c>
      <c r="E158" s="149" t="s">
        <v>1180</v>
      </c>
      <c r="F158" s="149">
        <v>556597</v>
      </c>
      <c r="G158" s="149" t="s">
        <v>1181</v>
      </c>
    </row>
    <row r="159" spans="1:7" hidden="1">
      <c r="A159" s="149" t="s">
        <v>869</v>
      </c>
      <c r="B159" s="149" t="s">
        <v>112</v>
      </c>
      <c r="C159" s="149" t="s">
        <v>870</v>
      </c>
      <c r="D159" s="149" t="s">
        <v>440</v>
      </c>
      <c r="E159" s="149" t="s">
        <v>1180</v>
      </c>
      <c r="F159" s="149">
        <v>556607</v>
      </c>
      <c r="G159" s="149" t="s">
        <v>1179</v>
      </c>
    </row>
    <row r="160" spans="1:7" hidden="1">
      <c r="A160" s="149" t="s">
        <v>869</v>
      </c>
      <c r="B160" s="149" t="s">
        <v>114</v>
      </c>
      <c r="C160" s="149" t="s">
        <v>991</v>
      </c>
      <c r="D160" s="149" t="s">
        <v>443</v>
      </c>
      <c r="E160" s="149" t="s">
        <v>1182</v>
      </c>
      <c r="F160" s="149">
        <v>556578</v>
      </c>
      <c r="G160" s="149" t="s">
        <v>1183</v>
      </c>
    </row>
    <row r="161" spans="1:7" hidden="1">
      <c r="A161" s="149" t="s">
        <v>869</v>
      </c>
      <c r="B161" s="149" t="s">
        <v>114</v>
      </c>
      <c r="C161" s="149" t="s">
        <v>991</v>
      </c>
      <c r="D161" s="149" t="s">
        <v>447</v>
      </c>
      <c r="E161" s="149" t="s">
        <v>1184</v>
      </c>
      <c r="F161" s="149">
        <v>556587</v>
      </c>
      <c r="G161" s="149" t="s">
        <v>1185</v>
      </c>
    </row>
    <row r="162" spans="1:7" hidden="1">
      <c r="A162" s="149" t="s">
        <v>869</v>
      </c>
      <c r="B162" s="149" t="s">
        <v>114</v>
      </c>
      <c r="C162" s="149" t="s">
        <v>991</v>
      </c>
      <c r="D162" s="149" t="s">
        <v>451</v>
      </c>
      <c r="E162" s="149" t="s">
        <v>1186</v>
      </c>
      <c r="F162" s="149">
        <v>514153</v>
      </c>
      <c r="G162" s="149" t="s">
        <v>1187</v>
      </c>
    </row>
    <row r="163" spans="1:7" hidden="1">
      <c r="A163" s="149" t="s">
        <v>869</v>
      </c>
      <c r="B163" s="149" t="s">
        <v>114</v>
      </c>
      <c r="C163" s="149" t="s">
        <v>991</v>
      </c>
      <c r="D163" s="149" t="s">
        <v>455</v>
      </c>
      <c r="E163" s="149" t="s">
        <v>1188</v>
      </c>
      <c r="F163" s="149">
        <v>556587</v>
      </c>
      <c r="G163" s="149" t="s">
        <v>1189</v>
      </c>
    </row>
    <row r="164" spans="1:7" hidden="1">
      <c r="A164" s="149" t="s">
        <v>869</v>
      </c>
      <c r="B164" s="149" t="s">
        <v>114</v>
      </c>
      <c r="C164" s="149" t="s">
        <v>991</v>
      </c>
      <c r="D164" s="149" t="s">
        <v>456</v>
      </c>
      <c r="E164" s="149" t="s">
        <v>1190</v>
      </c>
      <c r="F164" s="149">
        <v>514157</v>
      </c>
      <c r="G164" s="149" t="s">
        <v>1191</v>
      </c>
    </row>
    <row r="165" spans="1:7" hidden="1">
      <c r="A165" s="149" t="s">
        <v>869</v>
      </c>
      <c r="B165" s="149" t="s">
        <v>114</v>
      </c>
      <c r="C165" s="149" t="s">
        <v>991</v>
      </c>
      <c r="D165" s="149" t="s">
        <v>457</v>
      </c>
      <c r="E165" s="149" t="s">
        <v>1192</v>
      </c>
      <c r="F165" s="149">
        <v>514160</v>
      </c>
      <c r="G165" s="149" t="s">
        <v>1193</v>
      </c>
    </row>
    <row r="166" spans="1:7" hidden="1">
      <c r="A166" s="149" t="s">
        <v>869</v>
      </c>
      <c r="B166" s="149" t="s">
        <v>114</v>
      </c>
      <c r="C166" s="149" t="s">
        <v>991</v>
      </c>
      <c r="D166" s="149" t="s">
        <v>458</v>
      </c>
      <c r="E166" s="149" t="s">
        <v>1194</v>
      </c>
      <c r="F166" s="149">
        <v>514191</v>
      </c>
      <c r="G166" s="149" t="s">
        <v>1195</v>
      </c>
    </row>
    <row r="167" spans="1:7" hidden="1">
      <c r="A167" s="149" t="s">
        <v>869</v>
      </c>
      <c r="B167" s="149" t="s">
        <v>114</v>
      </c>
      <c r="C167" s="149" t="s">
        <v>991</v>
      </c>
      <c r="D167" s="149" t="s">
        <v>460</v>
      </c>
      <c r="E167" s="149" t="s">
        <v>1196</v>
      </c>
      <c r="F167" s="149">
        <v>556587</v>
      </c>
      <c r="G167" s="149" t="s">
        <v>1197</v>
      </c>
    </row>
    <row r="168" spans="1:7" hidden="1">
      <c r="A168" s="149" t="s">
        <v>869</v>
      </c>
      <c r="B168" s="149" t="s">
        <v>114</v>
      </c>
      <c r="C168" s="149" t="s">
        <v>991</v>
      </c>
      <c r="D168" s="149" t="s">
        <v>462</v>
      </c>
      <c r="E168" s="149" t="s">
        <v>1198</v>
      </c>
      <c r="F168" s="149">
        <v>514157</v>
      </c>
      <c r="G168" s="149" t="s">
        <v>1199</v>
      </c>
    </row>
    <row r="169" spans="1:7" hidden="1">
      <c r="A169" s="149" t="s">
        <v>869</v>
      </c>
      <c r="B169" s="149" t="s">
        <v>114</v>
      </c>
      <c r="C169" s="149" t="s">
        <v>991</v>
      </c>
      <c r="D169" s="149" t="s">
        <v>464</v>
      </c>
      <c r="E169" s="149" t="s">
        <v>1200</v>
      </c>
      <c r="F169" s="149">
        <v>514191</v>
      </c>
      <c r="G169" s="149" t="s">
        <v>1201</v>
      </c>
    </row>
    <row r="170" spans="1:7" hidden="1">
      <c r="A170" s="149" t="s">
        <v>869</v>
      </c>
      <c r="B170" s="149" t="s">
        <v>114</v>
      </c>
      <c r="C170" s="149" t="s">
        <v>991</v>
      </c>
      <c r="D170" s="149" t="s">
        <v>465</v>
      </c>
      <c r="E170" s="149" t="s">
        <v>1202</v>
      </c>
      <c r="F170" s="149">
        <v>514153</v>
      </c>
      <c r="G170" s="149" t="s">
        <v>1203</v>
      </c>
    </row>
    <row r="171" spans="1:7" hidden="1">
      <c r="A171" s="149" t="s">
        <v>869</v>
      </c>
      <c r="B171" s="149" t="s">
        <v>114</v>
      </c>
      <c r="C171" s="149" t="s">
        <v>991</v>
      </c>
      <c r="D171" s="149" t="s">
        <v>466</v>
      </c>
      <c r="E171" s="149" t="s">
        <v>1204</v>
      </c>
      <c r="F171" s="149">
        <v>556587</v>
      </c>
      <c r="G171" s="149" t="s">
        <v>1205</v>
      </c>
    </row>
    <row r="172" spans="1:7" hidden="1">
      <c r="A172" s="149" t="s">
        <v>869</v>
      </c>
      <c r="B172" s="149" t="s">
        <v>114</v>
      </c>
      <c r="C172" s="149" t="s">
        <v>991</v>
      </c>
      <c r="D172" s="149" t="s">
        <v>467</v>
      </c>
      <c r="E172" s="149" t="s">
        <v>1206</v>
      </c>
      <c r="F172" s="149">
        <v>556578</v>
      </c>
      <c r="G172" s="149" t="s">
        <v>1207</v>
      </c>
    </row>
    <row r="173" spans="1:7" hidden="1">
      <c r="A173" s="149" t="s">
        <v>869</v>
      </c>
      <c r="B173" s="149" t="s">
        <v>114</v>
      </c>
      <c r="C173" s="149" t="s">
        <v>991</v>
      </c>
      <c r="D173" s="149" t="s">
        <v>470</v>
      </c>
      <c r="E173" s="149" t="s">
        <v>1208</v>
      </c>
      <c r="F173" s="149">
        <v>514184</v>
      </c>
      <c r="G173" s="149" t="s">
        <v>1209</v>
      </c>
    </row>
    <row r="174" spans="1:7" hidden="1">
      <c r="A174" s="149" t="s">
        <v>869</v>
      </c>
      <c r="B174" s="149" t="s">
        <v>114</v>
      </c>
      <c r="C174" s="149" t="s">
        <v>991</v>
      </c>
      <c r="D174" s="149" t="s">
        <v>470</v>
      </c>
      <c r="E174" s="149" t="s">
        <v>1210</v>
      </c>
      <c r="F174" s="149">
        <v>514184</v>
      </c>
      <c r="G174" s="149" t="s">
        <v>1209</v>
      </c>
    </row>
    <row r="175" spans="1:7" hidden="1">
      <c r="A175" s="149" t="s">
        <v>869</v>
      </c>
      <c r="B175" s="149" t="s">
        <v>114</v>
      </c>
      <c r="C175" s="149" t="s">
        <v>991</v>
      </c>
      <c r="D175" s="149" t="s">
        <v>471</v>
      </c>
      <c r="E175" s="149" t="s">
        <v>1211</v>
      </c>
      <c r="F175" s="149">
        <v>556573</v>
      </c>
      <c r="G175" s="149" t="s">
        <v>1212</v>
      </c>
    </row>
    <row r="176" spans="1:7" hidden="1">
      <c r="A176" s="149" t="s">
        <v>869</v>
      </c>
      <c r="B176" s="149" t="s">
        <v>114</v>
      </c>
      <c r="C176" s="149" t="s">
        <v>991</v>
      </c>
      <c r="D176" s="149" t="s">
        <v>472</v>
      </c>
      <c r="E176" s="149" t="s">
        <v>1213</v>
      </c>
      <c r="F176" s="149">
        <v>514184</v>
      </c>
      <c r="G176" s="149" t="s">
        <v>1214</v>
      </c>
    </row>
    <row r="177" spans="1:7" hidden="1">
      <c r="A177" s="149" t="s">
        <v>869</v>
      </c>
      <c r="B177" s="149" t="s">
        <v>114</v>
      </c>
      <c r="C177" s="149" t="s">
        <v>991</v>
      </c>
      <c r="D177" s="149" t="s">
        <v>183</v>
      </c>
      <c r="E177" s="149" t="s">
        <v>1215</v>
      </c>
      <c r="F177" s="149">
        <v>514184</v>
      </c>
      <c r="G177" s="149" t="s">
        <v>1216</v>
      </c>
    </row>
    <row r="178" spans="1:7" hidden="1">
      <c r="A178" s="149" t="s">
        <v>869</v>
      </c>
      <c r="B178" s="149" t="s">
        <v>114</v>
      </c>
      <c r="C178" s="149" t="s">
        <v>991</v>
      </c>
      <c r="D178" s="149" t="s">
        <v>475</v>
      </c>
      <c r="E178" s="149" t="s">
        <v>1217</v>
      </c>
      <c r="F178" s="149">
        <v>556587</v>
      </c>
      <c r="G178" s="149" t="s">
        <v>1218</v>
      </c>
    </row>
    <row r="179" spans="1:7" hidden="1">
      <c r="A179" s="149" t="s">
        <v>869</v>
      </c>
      <c r="B179" s="149" t="s">
        <v>114</v>
      </c>
      <c r="C179" s="149" t="s">
        <v>991</v>
      </c>
      <c r="D179" s="149" t="s">
        <v>476</v>
      </c>
      <c r="E179" s="149" t="s">
        <v>1219</v>
      </c>
      <c r="F179" s="149">
        <v>556587</v>
      </c>
      <c r="G179" s="149" t="s">
        <v>1220</v>
      </c>
    </row>
    <row r="180" spans="1:7" hidden="1">
      <c r="A180" s="149" t="s">
        <v>869</v>
      </c>
      <c r="B180" s="149" t="s">
        <v>114</v>
      </c>
      <c r="C180" s="149" t="s">
        <v>991</v>
      </c>
      <c r="D180" s="149" t="s">
        <v>477</v>
      </c>
      <c r="E180" s="149" t="s">
        <v>1221</v>
      </c>
      <c r="F180" s="149">
        <v>556609</v>
      </c>
      <c r="G180" s="149" t="s">
        <v>1222</v>
      </c>
    </row>
    <row r="181" spans="1:7" hidden="1">
      <c r="A181" s="149" t="s">
        <v>869</v>
      </c>
      <c r="B181" s="149" t="s">
        <v>114</v>
      </c>
      <c r="C181" s="149" t="s">
        <v>991</v>
      </c>
      <c r="D181" s="149" t="s">
        <v>482</v>
      </c>
      <c r="E181" s="149" t="s">
        <v>1223</v>
      </c>
      <c r="F181" s="149">
        <v>514178</v>
      </c>
      <c r="G181" s="149" t="s">
        <v>1224</v>
      </c>
    </row>
    <row r="182" spans="1:7" hidden="1">
      <c r="A182" s="149" t="s">
        <v>869</v>
      </c>
      <c r="B182" s="149" t="s">
        <v>114</v>
      </c>
      <c r="C182" s="149" t="s">
        <v>991</v>
      </c>
      <c r="D182" s="149" t="s">
        <v>188</v>
      </c>
      <c r="E182" s="149" t="s">
        <v>1225</v>
      </c>
      <c r="F182" s="149">
        <v>514178</v>
      </c>
      <c r="G182" s="149" t="s">
        <v>1226</v>
      </c>
    </row>
    <row r="183" spans="1:7" hidden="1">
      <c r="A183" s="149" t="s">
        <v>869</v>
      </c>
      <c r="B183" s="149" t="s">
        <v>114</v>
      </c>
      <c r="C183" s="149" t="s">
        <v>991</v>
      </c>
      <c r="D183" s="149" t="s">
        <v>370</v>
      </c>
      <c r="E183" s="149" t="s">
        <v>1227</v>
      </c>
      <c r="F183" s="149">
        <v>556609</v>
      </c>
      <c r="G183" s="149" t="s">
        <v>1228</v>
      </c>
    </row>
    <row r="184" spans="1:7" hidden="1">
      <c r="A184" s="149" t="s">
        <v>869</v>
      </c>
      <c r="B184" s="149" t="s">
        <v>114</v>
      </c>
      <c r="C184" s="149" t="s">
        <v>991</v>
      </c>
      <c r="D184" s="149" t="s">
        <v>189</v>
      </c>
      <c r="E184" s="149" t="s">
        <v>1229</v>
      </c>
      <c r="F184" s="149">
        <v>556609</v>
      </c>
      <c r="G184" s="149" t="s">
        <v>1230</v>
      </c>
    </row>
    <row r="185" spans="1:7" hidden="1">
      <c r="A185" s="149" t="s">
        <v>869</v>
      </c>
      <c r="B185" s="149" t="s">
        <v>114</v>
      </c>
      <c r="C185" s="149" t="s">
        <v>991</v>
      </c>
      <c r="D185" s="149" t="s">
        <v>485</v>
      </c>
      <c r="E185" s="149" t="s">
        <v>1231</v>
      </c>
      <c r="F185" s="149">
        <v>514184</v>
      </c>
      <c r="G185" s="149" t="s">
        <v>1232</v>
      </c>
    </row>
    <row r="186" spans="1:7" hidden="1">
      <c r="A186" s="149" t="s">
        <v>869</v>
      </c>
      <c r="B186" s="149" t="s">
        <v>114</v>
      </c>
      <c r="C186" s="149" t="s">
        <v>991</v>
      </c>
      <c r="D186" s="149" t="s">
        <v>487</v>
      </c>
      <c r="E186" s="149" t="s">
        <v>1233</v>
      </c>
      <c r="F186" s="149">
        <v>514184</v>
      </c>
      <c r="G186" s="149" t="s">
        <v>1234</v>
      </c>
    </row>
    <row r="187" spans="1:7" hidden="1">
      <c r="A187" s="149" t="s">
        <v>869</v>
      </c>
      <c r="B187" s="149" t="s">
        <v>114</v>
      </c>
      <c r="C187" s="149" t="s">
        <v>991</v>
      </c>
      <c r="D187" s="149" t="s">
        <v>290</v>
      </c>
      <c r="E187" s="149" t="s">
        <v>1235</v>
      </c>
      <c r="F187" s="149">
        <v>514184</v>
      </c>
      <c r="G187" s="149" t="s">
        <v>1236</v>
      </c>
    </row>
    <row r="188" spans="1:7" hidden="1">
      <c r="A188" s="149" t="s">
        <v>869</v>
      </c>
      <c r="B188" s="149" t="s">
        <v>114</v>
      </c>
      <c r="C188" s="149" t="s">
        <v>991</v>
      </c>
      <c r="D188" s="149" t="s">
        <v>290</v>
      </c>
      <c r="E188" s="149" t="s">
        <v>1237</v>
      </c>
      <c r="F188" s="149">
        <v>514184</v>
      </c>
      <c r="G188" s="149" t="s">
        <v>1236</v>
      </c>
    </row>
    <row r="189" spans="1:7" hidden="1">
      <c r="A189" s="149" t="s">
        <v>869</v>
      </c>
      <c r="B189" s="149" t="s">
        <v>114</v>
      </c>
      <c r="C189" s="149" t="s">
        <v>991</v>
      </c>
      <c r="D189" s="149" t="s">
        <v>490</v>
      </c>
      <c r="E189" s="149" t="s">
        <v>1238</v>
      </c>
      <c r="F189" s="149">
        <v>514191</v>
      </c>
      <c r="G189" s="149" t="s">
        <v>1239</v>
      </c>
    </row>
    <row r="190" spans="1:7" hidden="1">
      <c r="A190" s="149" t="s">
        <v>869</v>
      </c>
      <c r="B190" s="149" t="s">
        <v>114</v>
      </c>
      <c r="C190" s="149" t="s">
        <v>991</v>
      </c>
      <c r="D190" s="149" t="s">
        <v>491</v>
      </c>
      <c r="E190" s="149" t="s">
        <v>1240</v>
      </c>
      <c r="F190" s="149">
        <v>514184</v>
      </c>
      <c r="G190" s="149" t="s">
        <v>1241</v>
      </c>
    </row>
    <row r="191" spans="1:7" hidden="1">
      <c r="A191" s="149" t="s">
        <v>869</v>
      </c>
      <c r="B191" s="149" t="s">
        <v>114</v>
      </c>
      <c r="C191" s="149" t="s">
        <v>991</v>
      </c>
      <c r="D191" s="149" t="s">
        <v>492</v>
      </c>
      <c r="E191" s="149" t="s">
        <v>1242</v>
      </c>
      <c r="F191" s="149">
        <v>514191</v>
      </c>
      <c r="G191" s="149" t="s">
        <v>1243</v>
      </c>
    </row>
    <row r="192" spans="1:7" hidden="1">
      <c r="A192" s="149" t="s">
        <v>869</v>
      </c>
      <c r="B192" s="149" t="s">
        <v>114</v>
      </c>
      <c r="C192" s="149" t="s">
        <v>991</v>
      </c>
      <c r="D192" s="149" t="s">
        <v>494</v>
      </c>
      <c r="E192" s="149" t="s">
        <v>1244</v>
      </c>
      <c r="F192" s="149">
        <v>514191</v>
      </c>
      <c r="G192" s="149" t="s">
        <v>1245</v>
      </c>
    </row>
    <row r="193" spans="1:7" hidden="1">
      <c r="A193" s="149" t="s">
        <v>869</v>
      </c>
      <c r="B193" s="149" t="s">
        <v>114</v>
      </c>
      <c r="C193" s="149" t="s">
        <v>991</v>
      </c>
      <c r="D193" s="149" t="s">
        <v>497</v>
      </c>
      <c r="E193" s="149" t="s">
        <v>1246</v>
      </c>
      <c r="F193" s="149">
        <v>514178</v>
      </c>
      <c r="G193" s="149" t="s">
        <v>1247</v>
      </c>
    </row>
    <row r="194" spans="1:7" hidden="1">
      <c r="A194" s="149" t="s">
        <v>869</v>
      </c>
      <c r="B194" s="149" t="s">
        <v>114</v>
      </c>
      <c r="C194" s="149" t="s">
        <v>991</v>
      </c>
      <c r="D194" s="149" t="s">
        <v>499</v>
      </c>
      <c r="E194" s="149" t="s">
        <v>1248</v>
      </c>
      <c r="F194" s="149">
        <v>514160</v>
      </c>
      <c r="G194" s="149" t="s">
        <v>1249</v>
      </c>
    </row>
    <row r="195" spans="1:7" hidden="1">
      <c r="A195" s="149" t="s">
        <v>869</v>
      </c>
      <c r="B195" s="149" t="s">
        <v>114</v>
      </c>
      <c r="C195" s="149" t="s">
        <v>991</v>
      </c>
      <c r="D195" s="149" t="s">
        <v>503</v>
      </c>
      <c r="E195" s="149" t="s">
        <v>1250</v>
      </c>
      <c r="F195" s="149">
        <v>556587</v>
      </c>
      <c r="G195" s="149" t="s">
        <v>1251</v>
      </c>
    </row>
    <row r="196" spans="1:7" hidden="1">
      <c r="A196" s="149" t="s">
        <v>869</v>
      </c>
      <c r="B196" s="149" t="s">
        <v>114</v>
      </c>
      <c r="C196" s="149" t="s">
        <v>991</v>
      </c>
      <c r="D196" s="149" t="s">
        <v>508</v>
      </c>
      <c r="E196" s="149" t="s">
        <v>1252</v>
      </c>
      <c r="F196" s="149">
        <v>556609</v>
      </c>
      <c r="G196" s="149" t="s">
        <v>1253</v>
      </c>
    </row>
    <row r="197" spans="1:7" hidden="1">
      <c r="A197" s="149" t="s">
        <v>869</v>
      </c>
      <c r="B197" s="149" t="s">
        <v>114</v>
      </c>
      <c r="C197" s="149" t="s">
        <v>991</v>
      </c>
      <c r="D197" s="149" t="s">
        <v>509</v>
      </c>
      <c r="E197" s="149" t="s">
        <v>1254</v>
      </c>
      <c r="F197" s="149">
        <v>514153</v>
      </c>
      <c r="G197" s="149" t="s">
        <v>1255</v>
      </c>
    </row>
    <row r="198" spans="1:7" hidden="1">
      <c r="A198" s="149" t="s">
        <v>869</v>
      </c>
      <c r="B198" s="149" t="s">
        <v>114</v>
      </c>
      <c r="C198" s="149" t="s">
        <v>1256</v>
      </c>
      <c r="D198" s="149" t="s">
        <v>512</v>
      </c>
      <c r="E198" s="149" t="s">
        <v>1257</v>
      </c>
      <c r="F198" s="149">
        <v>514148</v>
      </c>
      <c r="G198" s="149" t="s">
        <v>1258</v>
      </c>
    </row>
    <row r="199" spans="1:7" hidden="1">
      <c r="A199" s="149" t="s">
        <v>869</v>
      </c>
      <c r="B199" s="149" t="s">
        <v>114</v>
      </c>
      <c r="C199" s="149" t="s">
        <v>991</v>
      </c>
      <c r="D199" s="149" t="s">
        <v>515</v>
      </c>
      <c r="E199" s="149" t="s">
        <v>1259</v>
      </c>
      <c r="F199" s="149">
        <v>556609</v>
      </c>
      <c r="G199" s="149" t="s">
        <v>1260</v>
      </c>
    </row>
    <row r="200" spans="1:7" hidden="1">
      <c r="A200" s="149" t="s">
        <v>869</v>
      </c>
      <c r="B200" s="149" t="s">
        <v>114</v>
      </c>
      <c r="C200" s="149" t="s">
        <v>991</v>
      </c>
      <c r="D200" s="149" t="s">
        <v>516</v>
      </c>
      <c r="E200" s="149" t="s">
        <v>1261</v>
      </c>
      <c r="F200" s="149">
        <v>514153</v>
      </c>
      <c r="G200" s="149" t="s">
        <v>1262</v>
      </c>
    </row>
    <row r="201" spans="1:7" hidden="1">
      <c r="A201" s="149" t="s">
        <v>869</v>
      </c>
      <c r="B201" s="149" t="s">
        <v>114</v>
      </c>
      <c r="C201" s="149" t="s">
        <v>991</v>
      </c>
      <c r="D201" s="149" t="s">
        <v>517</v>
      </c>
      <c r="E201" s="149" t="s">
        <v>1263</v>
      </c>
      <c r="F201" s="149">
        <v>556578</v>
      </c>
      <c r="G201" s="149" t="s">
        <v>1264</v>
      </c>
    </row>
    <row r="202" spans="1:7" hidden="1">
      <c r="A202" s="149" t="s">
        <v>869</v>
      </c>
      <c r="B202" s="149" t="s">
        <v>114</v>
      </c>
      <c r="C202" s="149" t="s">
        <v>991</v>
      </c>
      <c r="D202" s="149" t="s">
        <v>518</v>
      </c>
      <c r="E202" s="149" t="s">
        <v>1265</v>
      </c>
      <c r="F202" s="149">
        <v>556578</v>
      </c>
      <c r="G202" s="149" t="s">
        <v>1266</v>
      </c>
    </row>
    <row r="203" spans="1:7" hidden="1">
      <c r="A203" s="149" t="s">
        <v>869</v>
      </c>
      <c r="B203" s="149" t="s">
        <v>114</v>
      </c>
      <c r="C203" s="149" t="s">
        <v>991</v>
      </c>
      <c r="D203" s="149" t="s">
        <v>519</v>
      </c>
      <c r="E203" s="149" t="s">
        <v>1267</v>
      </c>
      <c r="F203" s="149">
        <v>556587</v>
      </c>
      <c r="G203" s="149" t="s">
        <v>1268</v>
      </c>
    </row>
    <row r="204" spans="1:7" hidden="1">
      <c r="A204" s="149" t="s">
        <v>869</v>
      </c>
      <c r="B204" s="149" t="s">
        <v>114</v>
      </c>
      <c r="C204" s="149" t="s">
        <v>991</v>
      </c>
      <c r="D204" s="149" t="s">
        <v>208</v>
      </c>
      <c r="E204" s="149" t="s">
        <v>1269</v>
      </c>
      <c r="F204" s="149">
        <v>556587</v>
      </c>
      <c r="G204" s="149" t="s">
        <v>1270</v>
      </c>
    </row>
    <row r="205" spans="1:7" hidden="1">
      <c r="A205" s="149" t="s">
        <v>869</v>
      </c>
      <c r="B205" s="149" t="s">
        <v>114</v>
      </c>
      <c r="C205" s="149" t="s">
        <v>991</v>
      </c>
      <c r="D205" s="149" t="s">
        <v>522</v>
      </c>
      <c r="E205" s="149" t="s">
        <v>1271</v>
      </c>
      <c r="F205" s="149">
        <v>556578</v>
      </c>
      <c r="G205" s="149" t="s">
        <v>1272</v>
      </c>
    </row>
    <row r="206" spans="1:7" hidden="1">
      <c r="A206" s="149" t="s">
        <v>869</v>
      </c>
      <c r="B206" s="149" t="s">
        <v>114</v>
      </c>
      <c r="C206" s="149" t="s">
        <v>991</v>
      </c>
      <c r="D206" s="149" t="s">
        <v>524</v>
      </c>
      <c r="E206" s="149" t="s">
        <v>1273</v>
      </c>
      <c r="F206" s="149">
        <v>514160</v>
      </c>
      <c r="G206" s="149" t="s">
        <v>1274</v>
      </c>
    </row>
    <row r="207" spans="1:7" hidden="1">
      <c r="A207" s="149" t="s">
        <v>869</v>
      </c>
      <c r="B207" s="149" t="s">
        <v>114</v>
      </c>
      <c r="C207" s="149" t="s">
        <v>991</v>
      </c>
      <c r="D207" s="149" t="s">
        <v>527</v>
      </c>
      <c r="E207" s="149" t="s">
        <v>1275</v>
      </c>
      <c r="F207" s="149">
        <v>514178</v>
      </c>
      <c r="G207" s="149" t="s">
        <v>1276</v>
      </c>
    </row>
    <row r="208" spans="1:7" hidden="1">
      <c r="A208" s="149" t="s">
        <v>869</v>
      </c>
      <c r="B208" s="149" t="s">
        <v>114</v>
      </c>
      <c r="C208" s="149" t="s">
        <v>991</v>
      </c>
      <c r="D208" s="149" t="s">
        <v>530</v>
      </c>
      <c r="E208" s="149" t="s">
        <v>1277</v>
      </c>
      <c r="F208" s="149">
        <v>556578</v>
      </c>
      <c r="G208" s="149" t="s">
        <v>1278</v>
      </c>
    </row>
    <row r="209" spans="1:7" hidden="1">
      <c r="A209" s="149" t="s">
        <v>869</v>
      </c>
      <c r="B209" s="149" t="s">
        <v>114</v>
      </c>
      <c r="C209" s="149" t="s">
        <v>991</v>
      </c>
      <c r="D209" s="149" t="s">
        <v>532</v>
      </c>
      <c r="E209" s="149" t="s">
        <v>1279</v>
      </c>
      <c r="F209" s="149">
        <v>514153</v>
      </c>
      <c r="G209" s="149" t="s">
        <v>1280</v>
      </c>
    </row>
    <row r="210" spans="1:7" hidden="1">
      <c r="A210" s="149" t="s">
        <v>869</v>
      </c>
      <c r="B210" s="149" t="s">
        <v>114</v>
      </c>
      <c r="C210" s="149" t="s">
        <v>991</v>
      </c>
      <c r="D210" s="149" t="s">
        <v>533</v>
      </c>
      <c r="E210" s="149" t="s">
        <v>1281</v>
      </c>
      <c r="F210" s="149">
        <v>556609</v>
      </c>
      <c r="G210" s="149" t="s">
        <v>1282</v>
      </c>
    </row>
    <row r="211" spans="1:7" hidden="1">
      <c r="A211" s="149" t="s">
        <v>869</v>
      </c>
      <c r="B211" s="149" t="s">
        <v>114</v>
      </c>
      <c r="C211" s="149" t="s">
        <v>991</v>
      </c>
      <c r="D211" s="149" t="s">
        <v>534</v>
      </c>
      <c r="E211" s="149" t="s">
        <v>1283</v>
      </c>
      <c r="F211" s="149">
        <v>556578</v>
      </c>
      <c r="G211" s="149" t="s">
        <v>1284</v>
      </c>
    </row>
    <row r="212" spans="1:7" hidden="1">
      <c r="A212" s="149" t="s">
        <v>869</v>
      </c>
      <c r="B212" s="149" t="s">
        <v>114</v>
      </c>
      <c r="C212" s="149" t="s">
        <v>991</v>
      </c>
      <c r="D212" s="149" t="s">
        <v>414</v>
      </c>
      <c r="E212" s="149" t="s">
        <v>1285</v>
      </c>
      <c r="F212" s="149">
        <v>556578</v>
      </c>
      <c r="G212" s="149" t="s">
        <v>1286</v>
      </c>
    </row>
    <row r="213" spans="1:7" hidden="1">
      <c r="A213" s="149" t="s">
        <v>869</v>
      </c>
      <c r="B213" s="149" t="s">
        <v>114</v>
      </c>
      <c r="C213" s="149" t="s">
        <v>991</v>
      </c>
      <c r="D213" s="149" t="s">
        <v>537</v>
      </c>
      <c r="E213" s="149" t="s">
        <v>1287</v>
      </c>
      <c r="F213" s="149">
        <v>556610</v>
      </c>
      <c r="G213" s="149" t="s">
        <v>1288</v>
      </c>
    </row>
    <row r="214" spans="1:7" hidden="1">
      <c r="A214" s="149" t="s">
        <v>869</v>
      </c>
      <c r="B214" s="149" t="s">
        <v>114</v>
      </c>
      <c r="C214" s="149" t="s">
        <v>991</v>
      </c>
      <c r="D214" s="149" t="s">
        <v>417</v>
      </c>
      <c r="E214" s="149" t="s">
        <v>1289</v>
      </c>
      <c r="F214" s="149">
        <v>514159</v>
      </c>
      <c r="G214" s="149" t="s">
        <v>1290</v>
      </c>
    </row>
    <row r="215" spans="1:7" hidden="1">
      <c r="A215" s="149" t="s">
        <v>869</v>
      </c>
      <c r="B215" s="149" t="s">
        <v>114</v>
      </c>
      <c r="C215" s="149" t="s">
        <v>991</v>
      </c>
      <c r="D215" s="149" t="s">
        <v>540</v>
      </c>
      <c r="E215" s="149" t="s">
        <v>1291</v>
      </c>
      <c r="F215" s="149">
        <v>514157</v>
      </c>
      <c r="G215" s="149" t="s">
        <v>1292</v>
      </c>
    </row>
    <row r="216" spans="1:7" hidden="1">
      <c r="A216" s="149" t="s">
        <v>869</v>
      </c>
      <c r="B216" s="149" t="s">
        <v>114</v>
      </c>
      <c r="C216" s="149" t="s">
        <v>991</v>
      </c>
      <c r="D216" s="149" t="s">
        <v>542</v>
      </c>
      <c r="E216" s="149" t="s">
        <v>1293</v>
      </c>
      <c r="F216" s="149">
        <v>514159</v>
      </c>
      <c r="G216" s="149" t="s">
        <v>1294</v>
      </c>
    </row>
    <row r="217" spans="1:7" hidden="1">
      <c r="A217" s="149" t="s">
        <v>869</v>
      </c>
      <c r="B217" s="149" t="s">
        <v>114</v>
      </c>
      <c r="C217" s="149" t="s">
        <v>991</v>
      </c>
      <c r="D217" s="149" t="s">
        <v>543</v>
      </c>
      <c r="E217" s="149" t="s">
        <v>1295</v>
      </c>
      <c r="F217" s="149">
        <v>556587</v>
      </c>
      <c r="G217" s="149" t="s">
        <v>1296</v>
      </c>
    </row>
    <row r="218" spans="1:7" hidden="1">
      <c r="A218" s="149" t="s">
        <v>869</v>
      </c>
      <c r="B218" s="149" t="s">
        <v>114</v>
      </c>
      <c r="C218" s="149" t="s">
        <v>991</v>
      </c>
      <c r="D218" s="149" t="s">
        <v>544</v>
      </c>
      <c r="E218" s="149" t="s">
        <v>1297</v>
      </c>
      <c r="F218" s="149">
        <v>556600</v>
      </c>
      <c r="G218" s="149" t="s">
        <v>1298</v>
      </c>
    </row>
    <row r="219" spans="1:7" hidden="1">
      <c r="A219" s="149" t="s">
        <v>869</v>
      </c>
      <c r="B219" s="149" t="s">
        <v>114</v>
      </c>
      <c r="C219" s="149" t="s">
        <v>991</v>
      </c>
      <c r="D219" s="149" t="s">
        <v>545</v>
      </c>
      <c r="E219" s="149" t="s">
        <v>1299</v>
      </c>
      <c r="F219" s="149">
        <v>514157</v>
      </c>
      <c r="G219" s="149" t="s">
        <v>1300</v>
      </c>
    </row>
    <row r="220" spans="1:7" hidden="1">
      <c r="A220" s="149" t="s">
        <v>869</v>
      </c>
      <c r="B220" s="149" t="s">
        <v>114</v>
      </c>
      <c r="C220" s="149" t="s">
        <v>991</v>
      </c>
      <c r="D220" s="149" t="s">
        <v>546</v>
      </c>
      <c r="E220" s="149" t="s">
        <v>1301</v>
      </c>
      <c r="F220" s="149">
        <v>514157</v>
      </c>
      <c r="G220" s="149" t="s">
        <v>1302</v>
      </c>
    </row>
    <row r="221" spans="1:7" hidden="1">
      <c r="A221" s="149" t="s">
        <v>869</v>
      </c>
      <c r="B221" s="149" t="s">
        <v>114</v>
      </c>
      <c r="C221" s="149" t="s">
        <v>991</v>
      </c>
      <c r="D221" s="149" t="s">
        <v>547</v>
      </c>
      <c r="E221" s="149" t="s">
        <v>1303</v>
      </c>
      <c r="F221" s="149">
        <v>556587</v>
      </c>
      <c r="G221" s="149" t="s">
        <v>1304</v>
      </c>
    </row>
    <row r="222" spans="1:7" hidden="1">
      <c r="A222" s="149" t="s">
        <v>869</v>
      </c>
      <c r="B222" s="149" t="s">
        <v>114</v>
      </c>
      <c r="C222" s="149" t="s">
        <v>991</v>
      </c>
      <c r="D222" s="149" t="s">
        <v>548</v>
      </c>
      <c r="E222" s="149" t="s">
        <v>1305</v>
      </c>
      <c r="F222" s="149">
        <v>556578</v>
      </c>
      <c r="G222" s="149" t="s">
        <v>1306</v>
      </c>
    </row>
    <row r="223" spans="1:7" hidden="1">
      <c r="A223" s="149" t="s">
        <v>869</v>
      </c>
      <c r="B223" s="149" t="s">
        <v>114</v>
      </c>
      <c r="C223" s="149" t="s">
        <v>991</v>
      </c>
      <c r="D223" s="149" t="s">
        <v>553</v>
      </c>
      <c r="E223" s="149" t="s">
        <v>1307</v>
      </c>
      <c r="F223" s="149">
        <v>514160</v>
      </c>
      <c r="G223" s="149" t="s">
        <v>1308</v>
      </c>
    </row>
    <row r="224" spans="1:7" hidden="1">
      <c r="A224" s="149" t="s">
        <v>869</v>
      </c>
      <c r="B224" s="149" t="s">
        <v>114</v>
      </c>
      <c r="C224" s="149" t="s">
        <v>991</v>
      </c>
      <c r="D224" s="149" t="s">
        <v>554</v>
      </c>
      <c r="E224" s="149" t="s">
        <v>1309</v>
      </c>
      <c r="F224" s="149">
        <v>514159</v>
      </c>
      <c r="G224" s="149" t="s">
        <v>1310</v>
      </c>
    </row>
    <row r="225" spans="1:7" hidden="1">
      <c r="A225" s="149" t="s">
        <v>869</v>
      </c>
      <c r="B225" s="149" t="s">
        <v>114</v>
      </c>
      <c r="C225" s="149" t="s">
        <v>991</v>
      </c>
      <c r="D225" s="149" t="s">
        <v>555</v>
      </c>
      <c r="E225" s="149" t="s">
        <v>1311</v>
      </c>
      <c r="F225" s="149">
        <v>556578</v>
      </c>
      <c r="G225" s="149" t="s">
        <v>1312</v>
      </c>
    </row>
    <row r="226" spans="1:7" hidden="1">
      <c r="A226" s="149" t="s">
        <v>869</v>
      </c>
      <c r="B226" s="149" t="s">
        <v>116</v>
      </c>
      <c r="C226" s="149" t="s">
        <v>870</v>
      </c>
      <c r="D226" s="149" t="s">
        <v>556</v>
      </c>
      <c r="E226" s="149" t="s">
        <v>1313</v>
      </c>
      <c r="F226" s="149">
        <v>514165</v>
      </c>
      <c r="G226" s="149" t="s">
        <v>1314</v>
      </c>
    </row>
    <row r="227" spans="1:7" hidden="1">
      <c r="A227" s="149" t="s">
        <v>869</v>
      </c>
      <c r="B227" s="149" t="s">
        <v>116</v>
      </c>
      <c r="C227" s="149" t="s">
        <v>870</v>
      </c>
      <c r="D227" s="149" t="s">
        <v>557</v>
      </c>
      <c r="E227" s="149" t="s">
        <v>1315</v>
      </c>
      <c r="F227" s="149">
        <v>514165</v>
      </c>
      <c r="G227" s="149" t="s">
        <v>1316</v>
      </c>
    </row>
    <row r="228" spans="1:7" hidden="1">
      <c r="A228" s="149" t="s">
        <v>869</v>
      </c>
      <c r="B228" s="149" t="s">
        <v>116</v>
      </c>
      <c r="C228" s="149" t="s">
        <v>870</v>
      </c>
      <c r="D228" s="149" t="s">
        <v>558</v>
      </c>
      <c r="E228" s="149" t="s">
        <v>1317</v>
      </c>
      <c r="F228" s="149">
        <v>556615</v>
      </c>
      <c r="G228" s="149" t="s">
        <v>1318</v>
      </c>
    </row>
    <row r="229" spans="1:7" hidden="1">
      <c r="A229" s="149" t="s">
        <v>869</v>
      </c>
      <c r="B229" s="149" t="s">
        <v>116</v>
      </c>
      <c r="C229" s="149" t="s">
        <v>870</v>
      </c>
      <c r="D229" s="149" t="s">
        <v>559</v>
      </c>
      <c r="E229" s="149" t="s">
        <v>1319</v>
      </c>
      <c r="F229" s="149">
        <v>514152</v>
      </c>
      <c r="G229" s="149" t="s">
        <v>1320</v>
      </c>
    </row>
    <row r="230" spans="1:7" hidden="1">
      <c r="A230" s="149" t="s">
        <v>869</v>
      </c>
      <c r="B230" s="149" t="s">
        <v>116</v>
      </c>
      <c r="C230" s="149" t="s">
        <v>870</v>
      </c>
      <c r="D230" s="149" t="s">
        <v>561</v>
      </c>
      <c r="E230" s="149" t="s">
        <v>1321</v>
      </c>
      <c r="F230" s="149">
        <v>514166</v>
      </c>
      <c r="G230" s="149" t="s">
        <v>1322</v>
      </c>
    </row>
    <row r="231" spans="1:7" hidden="1">
      <c r="A231" s="149" t="s">
        <v>869</v>
      </c>
      <c r="B231" s="149" t="s">
        <v>116</v>
      </c>
      <c r="C231" s="149" t="s">
        <v>870</v>
      </c>
      <c r="D231" s="149" t="s">
        <v>563</v>
      </c>
      <c r="E231" s="149" t="s">
        <v>1323</v>
      </c>
      <c r="F231" s="149">
        <v>514152</v>
      </c>
      <c r="G231" s="149" t="s">
        <v>1324</v>
      </c>
    </row>
    <row r="232" spans="1:7" hidden="1">
      <c r="A232" s="149" t="s">
        <v>869</v>
      </c>
      <c r="B232" s="149" t="s">
        <v>116</v>
      </c>
      <c r="C232" s="149" t="s">
        <v>870</v>
      </c>
      <c r="D232" s="149" t="s">
        <v>564</v>
      </c>
      <c r="E232" s="149" t="s">
        <v>1325</v>
      </c>
      <c r="F232" s="149">
        <v>514165</v>
      </c>
      <c r="G232" s="149" t="s">
        <v>1326</v>
      </c>
    </row>
    <row r="233" spans="1:7" hidden="1">
      <c r="A233" s="149" t="s">
        <v>869</v>
      </c>
      <c r="B233" s="149" t="s">
        <v>116</v>
      </c>
      <c r="C233" s="149" t="s">
        <v>870</v>
      </c>
      <c r="D233" s="149" t="s">
        <v>565</v>
      </c>
      <c r="E233" s="149" t="s">
        <v>1327</v>
      </c>
      <c r="F233" s="149">
        <v>556580</v>
      </c>
      <c r="G233" s="149" t="s">
        <v>1328</v>
      </c>
    </row>
    <row r="234" spans="1:7" hidden="1">
      <c r="A234" s="149" t="s">
        <v>869</v>
      </c>
      <c r="B234" s="149" t="s">
        <v>116</v>
      </c>
      <c r="C234" s="149" t="s">
        <v>870</v>
      </c>
      <c r="D234" s="149" t="s">
        <v>127</v>
      </c>
      <c r="E234" s="149" t="s">
        <v>1329</v>
      </c>
      <c r="F234" s="149">
        <v>556591</v>
      </c>
      <c r="G234" s="149" t="s">
        <v>1330</v>
      </c>
    </row>
    <row r="235" spans="1:7" hidden="1">
      <c r="A235" s="149" t="s">
        <v>869</v>
      </c>
      <c r="B235" s="149" t="s">
        <v>116</v>
      </c>
      <c r="C235" s="149" t="s">
        <v>870</v>
      </c>
      <c r="D235" s="149" t="s">
        <v>567</v>
      </c>
      <c r="E235" s="149" t="s">
        <v>1331</v>
      </c>
      <c r="F235" s="149">
        <v>556586</v>
      </c>
      <c r="G235" s="149" t="s">
        <v>1332</v>
      </c>
    </row>
    <row r="236" spans="1:7" hidden="1">
      <c r="A236" s="149" t="s">
        <v>869</v>
      </c>
      <c r="B236" s="149" t="s">
        <v>116</v>
      </c>
      <c r="C236" s="149" t="s">
        <v>870</v>
      </c>
      <c r="D236" s="149" t="s">
        <v>568</v>
      </c>
      <c r="E236" s="149" t="s">
        <v>1333</v>
      </c>
      <c r="F236" s="149">
        <v>514152</v>
      </c>
      <c r="G236" s="149" t="s">
        <v>1334</v>
      </c>
    </row>
    <row r="237" spans="1:7" hidden="1">
      <c r="A237" s="149" t="s">
        <v>869</v>
      </c>
      <c r="B237" s="149" t="s">
        <v>116</v>
      </c>
      <c r="C237" s="149" t="s">
        <v>870</v>
      </c>
      <c r="D237" s="149" t="s">
        <v>569</v>
      </c>
      <c r="E237" s="149" t="s">
        <v>1335</v>
      </c>
      <c r="F237" s="149">
        <v>514185</v>
      </c>
      <c r="G237" s="149" t="s">
        <v>1336</v>
      </c>
    </row>
    <row r="238" spans="1:7" hidden="1">
      <c r="A238" s="149" t="s">
        <v>869</v>
      </c>
      <c r="B238" s="149" t="s">
        <v>116</v>
      </c>
      <c r="C238" s="149" t="s">
        <v>870</v>
      </c>
      <c r="D238" s="149" t="s">
        <v>570</v>
      </c>
      <c r="E238" s="149" t="s">
        <v>1337</v>
      </c>
      <c r="F238" s="149">
        <v>514177</v>
      </c>
      <c r="G238" s="149" t="s">
        <v>1338</v>
      </c>
    </row>
    <row r="239" spans="1:7" hidden="1">
      <c r="A239" s="149" t="s">
        <v>869</v>
      </c>
      <c r="B239" s="149" t="s">
        <v>116</v>
      </c>
      <c r="C239" s="149" t="s">
        <v>870</v>
      </c>
      <c r="D239" s="149" t="s">
        <v>571</v>
      </c>
      <c r="E239" s="149" t="s">
        <v>1339</v>
      </c>
      <c r="F239" s="149">
        <v>514177</v>
      </c>
      <c r="G239" s="149" t="s">
        <v>1340</v>
      </c>
    </row>
    <row r="240" spans="1:7" hidden="1">
      <c r="A240" s="149" t="s">
        <v>869</v>
      </c>
      <c r="B240" s="149" t="s">
        <v>116</v>
      </c>
      <c r="C240" s="149" t="s">
        <v>870</v>
      </c>
      <c r="D240" s="149" t="s">
        <v>575</v>
      </c>
      <c r="E240" s="149" t="s">
        <v>1341</v>
      </c>
      <c r="F240" s="149">
        <v>514177</v>
      </c>
      <c r="G240" s="149" t="s">
        <v>1342</v>
      </c>
    </row>
    <row r="241" spans="1:7" hidden="1">
      <c r="A241" s="149" t="s">
        <v>869</v>
      </c>
      <c r="B241" s="149" t="s">
        <v>116</v>
      </c>
      <c r="C241" s="149" t="s">
        <v>870</v>
      </c>
      <c r="D241" s="149" t="s">
        <v>577</v>
      </c>
      <c r="E241" s="149" t="s">
        <v>1343</v>
      </c>
      <c r="F241" s="149">
        <v>556606</v>
      </c>
      <c r="G241" s="149" t="s">
        <v>1344</v>
      </c>
    </row>
    <row r="242" spans="1:7" hidden="1">
      <c r="A242" s="149" t="s">
        <v>869</v>
      </c>
      <c r="B242" s="149" t="s">
        <v>116</v>
      </c>
      <c r="C242" s="149" t="s">
        <v>870</v>
      </c>
      <c r="D242" s="149" t="s">
        <v>579</v>
      </c>
      <c r="E242" s="149" t="s">
        <v>1345</v>
      </c>
      <c r="F242" s="149">
        <v>514190</v>
      </c>
      <c r="G242" s="149" t="s">
        <v>1346</v>
      </c>
    </row>
    <row r="243" spans="1:7" hidden="1">
      <c r="A243" s="149" t="s">
        <v>869</v>
      </c>
      <c r="B243" s="149" t="s">
        <v>116</v>
      </c>
      <c r="C243" s="149" t="s">
        <v>870</v>
      </c>
      <c r="D243" s="149" t="s">
        <v>580</v>
      </c>
      <c r="E243" s="149" t="s">
        <v>1347</v>
      </c>
      <c r="F243" s="149">
        <v>514177</v>
      </c>
      <c r="G243" s="149" t="s">
        <v>1348</v>
      </c>
    </row>
    <row r="244" spans="1:7" hidden="1">
      <c r="A244" s="149" t="s">
        <v>869</v>
      </c>
      <c r="B244" s="149" t="s">
        <v>116</v>
      </c>
      <c r="C244" s="149" t="s">
        <v>870</v>
      </c>
      <c r="D244" s="149" t="s">
        <v>581</v>
      </c>
      <c r="E244" s="149" t="s">
        <v>1349</v>
      </c>
      <c r="F244" s="149">
        <v>514152</v>
      </c>
      <c r="G244" s="149" t="s">
        <v>1350</v>
      </c>
    </row>
    <row r="245" spans="1:7" hidden="1">
      <c r="A245" s="149" t="s">
        <v>869</v>
      </c>
      <c r="B245" s="149" t="s">
        <v>116</v>
      </c>
      <c r="C245" s="149" t="s">
        <v>870</v>
      </c>
      <c r="D245" s="149" t="s">
        <v>584</v>
      </c>
      <c r="E245" s="149" t="s">
        <v>1351</v>
      </c>
      <c r="F245" s="149">
        <v>556591</v>
      </c>
      <c r="G245" s="149" t="s">
        <v>1352</v>
      </c>
    </row>
    <row r="246" spans="1:7" hidden="1">
      <c r="A246" s="149" t="s">
        <v>869</v>
      </c>
      <c r="B246" s="149" t="s">
        <v>116</v>
      </c>
      <c r="C246" s="149" t="s">
        <v>870</v>
      </c>
      <c r="D246" s="149" t="s">
        <v>586</v>
      </c>
      <c r="E246" s="149" t="s">
        <v>1353</v>
      </c>
      <c r="F246" s="149">
        <v>514165</v>
      </c>
      <c r="G246" s="149" t="s">
        <v>1354</v>
      </c>
    </row>
    <row r="247" spans="1:7" hidden="1">
      <c r="A247" s="149" t="s">
        <v>869</v>
      </c>
      <c r="B247" s="149" t="s">
        <v>116</v>
      </c>
      <c r="C247" s="149" t="s">
        <v>870</v>
      </c>
      <c r="D247" s="149" t="s">
        <v>588</v>
      </c>
      <c r="E247" s="149" t="s">
        <v>1355</v>
      </c>
      <c r="F247" s="149">
        <v>514190</v>
      </c>
      <c r="G247" s="149" t="s">
        <v>1356</v>
      </c>
    </row>
    <row r="248" spans="1:7" hidden="1">
      <c r="A248" s="149" t="s">
        <v>869</v>
      </c>
      <c r="B248" s="149" t="s">
        <v>116</v>
      </c>
      <c r="C248" s="149" t="s">
        <v>870</v>
      </c>
      <c r="D248" s="149" t="s">
        <v>593</v>
      </c>
      <c r="E248" s="149" t="s">
        <v>1357</v>
      </c>
      <c r="F248" s="149">
        <v>556580</v>
      </c>
      <c r="G248" s="149" t="s">
        <v>1358</v>
      </c>
    </row>
    <row r="249" spans="1:7" hidden="1">
      <c r="A249" s="149" t="s">
        <v>869</v>
      </c>
      <c r="B249" s="149" t="s">
        <v>116</v>
      </c>
      <c r="C249" s="149" t="s">
        <v>870</v>
      </c>
      <c r="D249" s="149" t="s">
        <v>594</v>
      </c>
      <c r="E249" s="149" t="s">
        <v>1359</v>
      </c>
      <c r="F249" s="149">
        <v>556591</v>
      </c>
      <c r="G249" s="149" t="s">
        <v>1360</v>
      </c>
    </row>
    <row r="250" spans="1:7" hidden="1">
      <c r="A250" s="149" t="s">
        <v>869</v>
      </c>
      <c r="B250" s="149" t="s">
        <v>116</v>
      </c>
      <c r="C250" s="149" t="s">
        <v>870</v>
      </c>
      <c r="D250" s="149" t="s">
        <v>595</v>
      </c>
      <c r="E250" s="149" t="s">
        <v>1361</v>
      </c>
      <c r="F250" s="149">
        <v>514185</v>
      </c>
      <c r="G250" s="149" t="s">
        <v>1362</v>
      </c>
    </row>
    <row r="251" spans="1:7" hidden="1">
      <c r="A251" s="149" t="s">
        <v>869</v>
      </c>
      <c r="B251" s="149" t="s">
        <v>116</v>
      </c>
      <c r="C251" s="149" t="s">
        <v>870</v>
      </c>
      <c r="D251" s="149" t="s">
        <v>596</v>
      </c>
      <c r="E251" s="149" t="s">
        <v>1363</v>
      </c>
      <c r="F251" s="149">
        <v>514177</v>
      </c>
      <c r="G251" s="149" t="s">
        <v>1364</v>
      </c>
    </row>
    <row r="252" spans="1:7" hidden="1">
      <c r="A252" s="149" t="s">
        <v>869</v>
      </c>
      <c r="B252" s="149" t="s">
        <v>116</v>
      </c>
      <c r="C252" s="149" t="s">
        <v>870</v>
      </c>
      <c r="D252" s="149" t="s">
        <v>598</v>
      </c>
      <c r="E252" s="149" t="s">
        <v>1365</v>
      </c>
      <c r="F252" s="149">
        <v>556591</v>
      </c>
      <c r="G252" s="149" t="s">
        <v>1366</v>
      </c>
    </row>
    <row r="253" spans="1:7" hidden="1">
      <c r="A253" s="149" t="s">
        <v>869</v>
      </c>
      <c r="B253" s="149" t="s">
        <v>116</v>
      </c>
      <c r="C253" s="149" t="s">
        <v>870</v>
      </c>
      <c r="D253" s="149" t="s">
        <v>599</v>
      </c>
      <c r="E253" s="149" t="s">
        <v>1367</v>
      </c>
      <c r="F253" s="149">
        <v>514185</v>
      </c>
      <c r="G253" s="149" t="s">
        <v>1368</v>
      </c>
    </row>
    <row r="254" spans="1:7" hidden="1">
      <c r="A254" s="149" t="s">
        <v>869</v>
      </c>
      <c r="B254" s="149" t="s">
        <v>116</v>
      </c>
      <c r="C254" s="149" t="s">
        <v>870</v>
      </c>
      <c r="D254" s="149" t="s">
        <v>600</v>
      </c>
      <c r="E254" s="149" t="s">
        <v>1369</v>
      </c>
      <c r="F254" s="149">
        <v>556580</v>
      </c>
      <c r="G254" s="149" t="s">
        <v>1370</v>
      </c>
    </row>
    <row r="255" spans="1:7" hidden="1">
      <c r="A255" s="149" t="s">
        <v>869</v>
      </c>
      <c r="B255" s="149" t="s">
        <v>116</v>
      </c>
      <c r="C255" s="149" t="s">
        <v>870</v>
      </c>
      <c r="D255" s="149" t="s">
        <v>601</v>
      </c>
      <c r="E255" s="149" t="s">
        <v>1371</v>
      </c>
      <c r="F255" s="149">
        <v>514165</v>
      </c>
      <c r="G255" s="149" t="s">
        <v>1372</v>
      </c>
    </row>
    <row r="256" spans="1:7" hidden="1">
      <c r="A256" s="149" t="s">
        <v>869</v>
      </c>
      <c r="B256" s="149" t="s">
        <v>116</v>
      </c>
      <c r="C256" s="149" t="s">
        <v>870</v>
      </c>
      <c r="D256" s="149" t="s">
        <v>603</v>
      </c>
      <c r="E256" s="149" t="s">
        <v>1373</v>
      </c>
      <c r="F256" s="149">
        <v>514165</v>
      </c>
      <c r="G256" s="149" t="s">
        <v>1374</v>
      </c>
    </row>
    <row r="257" spans="1:7" hidden="1">
      <c r="A257" s="149" t="s">
        <v>869</v>
      </c>
      <c r="B257" s="149" t="s">
        <v>116</v>
      </c>
      <c r="C257" s="149" t="s">
        <v>870</v>
      </c>
      <c r="D257" s="149" t="s">
        <v>607</v>
      </c>
      <c r="E257" s="149" t="s">
        <v>1375</v>
      </c>
      <c r="F257" s="149">
        <v>514152</v>
      </c>
      <c r="G257" s="149" t="s">
        <v>1376</v>
      </c>
    </row>
    <row r="258" spans="1:7" hidden="1">
      <c r="A258" s="149" t="s">
        <v>869</v>
      </c>
      <c r="B258" s="149" t="s">
        <v>116</v>
      </c>
      <c r="C258" s="149" t="s">
        <v>870</v>
      </c>
      <c r="D258" s="149" t="s">
        <v>611</v>
      </c>
      <c r="E258" s="149" t="s">
        <v>1377</v>
      </c>
      <c r="F258" s="149">
        <v>514177</v>
      </c>
      <c r="G258" s="149" t="s">
        <v>1378</v>
      </c>
    </row>
    <row r="259" spans="1:7" hidden="1">
      <c r="A259" s="149" t="s">
        <v>869</v>
      </c>
      <c r="B259" s="149" t="s">
        <v>116</v>
      </c>
      <c r="C259" s="149" t="s">
        <v>870</v>
      </c>
      <c r="D259" s="149" t="s">
        <v>614</v>
      </c>
      <c r="E259" s="149" t="s">
        <v>1379</v>
      </c>
      <c r="F259" s="149">
        <v>514152</v>
      </c>
      <c r="G259" s="149" t="s">
        <v>1380</v>
      </c>
    </row>
    <row r="260" spans="1:7" hidden="1">
      <c r="A260" s="149" t="s">
        <v>869</v>
      </c>
      <c r="B260" s="149" t="s">
        <v>116</v>
      </c>
      <c r="C260" s="149" t="s">
        <v>870</v>
      </c>
      <c r="D260" s="149" t="s">
        <v>615</v>
      </c>
      <c r="E260" s="149" t="s">
        <v>1381</v>
      </c>
      <c r="F260" s="149">
        <v>514152</v>
      </c>
      <c r="G260" s="149" t="s">
        <v>1382</v>
      </c>
    </row>
    <row r="261" spans="1:7" hidden="1">
      <c r="A261" s="149" t="s">
        <v>869</v>
      </c>
      <c r="B261" s="149" t="s">
        <v>116</v>
      </c>
      <c r="C261" s="149" t="s">
        <v>870</v>
      </c>
      <c r="D261" s="149" t="s">
        <v>616</v>
      </c>
      <c r="E261" s="149" t="s">
        <v>1383</v>
      </c>
      <c r="F261" s="149">
        <v>141195</v>
      </c>
      <c r="G261" s="149" t="s">
        <v>1384</v>
      </c>
    </row>
    <row r="262" spans="1:7" hidden="1">
      <c r="A262" s="149" t="s">
        <v>869</v>
      </c>
      <c r="B262" s="149" t="s">
        <v>116</v>
      </c>
      <c r="C262" s="149" t="s">
        <v>870</v>
      </c>
      <c r="D262" s="149" t="s">
        <v>618</v>
      </c>
      <c r="E262" s="149" t="s">
        <v>1385</v>
      </c>
      <c r="F262" s="149">
        <v>514166</v>
      </c>
      <c r="G262" s="149" t="s">
        <v>1386</v>
      </c>
    </row>
    <row r="263" spans="1:7" hidden="1">
      <c r="A263" s="149" t="s">
        <v>869</v>
      </c>
      <c r="B263" s="149" t="s">
        <v>116</v>
      </c>
      <c r="C263" s="149" t="s">
        <v>870</v>
      </c>
      <c r="D263" s="149" t="s">
        <v>619</v>
      </c>
      <c r="E263" s="149" t="s">
        <v>1387</v>
      </c>
      <c r="F263" s="149">
        <v>514152</v>
      </c>
      <c r="G263" s="149" t="s">
        <v>1388</v>
      </c>
    </row>
    <row r="264" spans="1:7" hidden="1">
      <c r="A264" s="149" t="s">
        <v>869</v>
      </c>
      <c r="B264" s="149" t="s">
        <v>116</v>
      </c>
      <c r="C264" s="149" t="s">
        <v>870</v>
      </c>
      <c r="D264" s="149" t="s">
        <v>621</v>
      </c>
      <c r="E264" s="149" t="s">
        <v>1389</v>
      </c>
      <c r="F264" s="149">
        <v>514177</v>
      </c>
      <c r="G264" s="149" t="s">
        <v>1390</v>
      </c>
    </row>
    <row r="265" spans="1:7" hidden="1">
      <c r="A265" s="149" t="s">
        <v>869</v>
      </c>
      <c r="B265" s="149" t="s">
        <v>116</v>
      </c>
      <c r="C265" s="149" t="s">
        <v>870</v>
      </c>
      <c r="D265" s="149" t="s">
        <v>623</v>
      </c>
      <c r="E265" s="149" t="s">
        <v>1391</v>
      </c>
      <c r="F265" s="149">
        <v>514152</v>
      </c>
      <c r="G265" s="149" t="s">
        <v>1392</v>
      </c>
    </row>
    <row r="266" spans="1:7" hidden="1">
      <c r="A266" s="149" t="s">
        <v>869</v>
      </c>
      <c r="B266" s="149" t="s">
        <v>116</v>
      </c>
      <c r="C266" s="149" t="s">
        <v>870</v>
      </c>
      <c r="D266" s="149" t="s">
        <v>625</v>
      </c>
      <c r="E266" s="149" t="s">
        <v>1393</v>
      </c>
      <c r="F266" s="149">
        <v>556580</v>
      </c>
      <c r="G266" s="149" t="s">
        <v>1394</v>
      </c>
    </row>
    <row r="267" spans="1:7" hidden="1">
      <c r="A267" s="149" t="s">
        <v>869</v>
      </c>
      <c r="B267" s="149" t="s">
        <v>116</v>
      </c>
      <c r="C267" s="149" t="s">
        <v>870</v>
      </c>
      <c r="D267" s="149" t="s">
        <v>626</v>
      </c>
      <c r="E267" s="149" t="s">
        <v>1395</v>
      </c>
      <c r="F267" s="149">
        <v>556580</v>
      </c>
      <c r="G267" s="149" t="s">
        <v>1396</v>
      </c>
    </row>
    <row r="268" spans="1:7" hidden="1">
      <c r="A268" s="149" t="s">
        <v>869</v>
      </c>
      <c r="B268" s="149" t="s">
        <v>116</v>
      </c>
      <c r="C268" s="149" t="s">
        <v>870</v>
      </c>
      <c r="D268" s="149" t="s">
        <v>627</v>
      </c>
      <c r="E268" s="149" t="s">
        <v>1397</v>
      </c>
      <c r="F268" s="149">
        <v>556606</v>
      </c>
      <c r="G268" s="149" t="s">
        <v>1398</v>
      </c>
    </row>
    <row r="269" spans="1:7" hidden="1">
      <c r="A269" s="149" t="s">
        <v>869</v>
      </c>
      <c r="B269" s="149" t="s">
        <v>116</v>
      </c>
      <c r="C269" s="149" t="s">
        <v>870</v>
      </c>
      <c r="D269" s="149" t="s">
        <v>629</v>
      </c>
      <c r="E269" s="149" t="s">
        <v>1399</v>
      </c>
      <c r="F269" s="149">
        <v>556606</v>
      </c>
      <c r="G269" s="149" t="s">
        <v>1400</v>
      </c>
    </row>
    <row r="270" spans="1:7" hidden="1">
      <c r="A270" s="149" t="s">
        <v>869</v>
      </c>
      <c r="B270" s="149" t="s">
        <v>116</v>
      </c>
      <c r="C270" s="149" t="s">
        <v>870</v>
      </c>
      <c r="D270" s="149" t="s">
        <v>275</v>
      </c>
      <c r="E270" s="149" t="s">
        <v>1401</v>
      </c>
      <c r="F270" s="149">
        <v>556580</v>
      </c>
      <c r="G270" s="149" t="s">
        <v>1402</v>
      </c>
    </row>
    <row r="271" spans="1:7" hidden="1">
      <c r="A271" s="149" t="s">
        <v>869</v>
      </c>
      <c r="B271" s="149" t="s">
        <v>116</v>
      </c>
      <c r="C271" s="149" t="s">
        <v>870</v>
      </c>
      <c r="D271" s="149" t="s">
        <v>179</v>
      </c>
      <c r="E271" s="149" t="s">
        <v>1403</v>
      </c>
      <c r="F271" s="149">
        <v>514177</v>
      </c>
      <c r="G271" s="149" t="s">
        <v>1404</v>
      </c>
    </row>
    <row r="272" spans="1:7" hidden="1">
      <c r="A272" s="149" t="s">
        <v>869</v>
      </c>
      <c r="B272" s="149" t="s">
        <v>116</v>
      </c>
      <c r="C272" s="149" t="s">
        <v>870</v>
      </c>
      <c r="D272" s="149" t="s">
        <v>634</v>
      </c>
      <c r="E272" s="149" t="s">
        <v>1405</v>
      </c>
      <c r="F272" s="149">
        <v>514190</v>
      </c>
      <c r="G272" s="149" t="s">
        <v>1406</v>
      </c>
    </row>
    <row r="273" spans="1:7" hidden="1">
      <c r="A273" s="149" t="s">
        <v>869</v>
      </c>
      <c r="B273" s="149" t="s">
        <v>116</v>
      </c>
      <c r="C273" s="149" t="s">
        <v>870</v>
      </c>
      <c r="D273" s="149" t="s">
        <v>637</v>
      </c>
      <c r="E273" s="149" t="s">
        <v>1407</v>
      </c>
      <c r="F273" s="149">
        <v>556591</v>
      </c>
      <c r="G273" s="149" t="s">
        <v>1408</v>
      </c>
    </row>
    <row r="274" spans="1:7" hidden="1">
      <c r="A274" s="149" t="s">
        <v>869</v>
      </c>
      <c r="B274" s="149" t="s">
        <v>116</v>
      </c>
      <c r="C274" s="149" t="s">
        <v>870</v>
      </c>
      <c r="D274" s="149" t="s">
        <v>638</v>
      </c>
      <c r="E274" s="149" t="s">
        <v>1409</v>
      </c>
      <c r="F274" s="149">
        <v>556606</v>
      </c>
      <c r="G274" s="149" t="s">
        <v>1410</v>
      </c>
    </row>
    <row r="275" spans="1:7" hidden="1">
      <c r="A275" s="149" t="s">
        <v>869</v>
      </c>
      <c r="B275" s="149" t="s">
        <v>116</v>
      </c>
      <c r="C275" s="149" t="s">
        <v>870</v>
      </c>
      <c r="D275" s="149" t="s">
        <v>639</v>
      </c>
      <c r="E275" s="149" t="s">
        <v>1411</v>
      </c>
      <c r="F275" s="149">
        <v>556586</v>
      </c>
      <c r="G275" s="149" t="s">
        <v>1412</v>
      </c>
    </row>
    <row r="276" spans="1:7" hidden="1">
      <c r="A276" s="149" t="s">
        <v>869</v>
      </c>
      <c r="B276" s="149" t="s">
        <v>116</v>
      </c>
      <c r="C276" s="149" t="s">
        <v>870</v>
      </c>
      <c r="D276" s="149" t="s">
        <v>347</v>
      </c>
      <c r="E276" s="149" t="s">
        <v>1413</v>
      </c>
      <c r="F276" s="149">
        <v>556615</v>
      </c>
      <c r="G276" s="149" t="s">
        <v>1414</v>
      </c>
    </row>
    <row r="277" spans="1:7" hidden="1">
      <c r="A277" s="149" t="s">
        <v>869</v>
      </c>
      <c r="B277" s="149" t="s">
        <v>116</v>
      </c>
      <c r="C277" s="149" t="s">
        <v>870</v>
      </c>
      <c r="D277" s="149" t="s">
        <v>349</v>
      </c>
      <c r="E277" s="149" t="s">
        <v>1415</v>
      </c>
      <c r="F277" s="149">
        <v>514166</v>
      </c>
      <c r="G277" s="149" t="s">
        <v>1416</v>
      </c>
    </row>
    <row r="278" spans="1:7" hidden="1">
      <c r="A278" s="149" t="s">
        <v>869</v>
      </c>
      <c r="B278" s="149" t="s">
        <v>116</v>
      </c>
      <c r="C278" s="149" t="s">
        <v>870</v>
      </c>
      <c r="D278" s="149" t="s">
        <v>280</v>
      </c>
      <c r="E278" s="149" t="s">
        <v>1417</v>
      </c>
      <c r="F278" s="149">
        <v>514177</v>
      </c>
      <c r="G278" s="149" t="s">
        <v>1418</v>
      </c>
    </row>
    <row r="279" spans="1:7" hidden="1">
      <c r="A279" s="149" t="s">
        <v>869</v>
      </c>
      <c r="B279" s="149" t="s">
        <v>116</v>
      </c>
      <c r="C279" s="149" t="s">
        <v>870</v>
      </c>
      <c r="D279" s="149" t="s">
        <v>645</v>
      </c>
      <c r="E279" s="149" t="s">
        <v>1419</v>
      </c>
      <c r="F279" s="149">
        <v>556591</v>
      </c>
      <c r="G279" s="149" t="s">
        <v>1420</v>
      </c>
    </row>
    <row r="280" spans="1:7" hidden="1">
      <c r="A280" s="149" t="s">
        <v>869</v>
      </c>
      <c r="B280" s="149" t="s">
        <v>116</v>
      </c>
      <c r="C280" s="149" t="s">
        <v>870</v>
      </c>
      <c r="D280" s="149" t="s">
        <v>650</v>
      </c>
      <c r="E280" s="149" t="s">
        <v>1421</v>
      </c>
      <c r="F280" s="149">
        <v>514177</v>
      </c>
      <c r="G280" s="149" t="s">
        <v>1422</v>
      </c>
    </row>
    <row r="281" spans="1:7" hidden="1">
      <c r="A281" s="149" t="s">
        <v>869</v>
      </c>
      <c r="B281" s="149" t="s">
        <v>116</v>
      </c>
      <c r="C281" s="149" t="s">
        <v>870</v>
      </c>
      <c r="D281" s="149" t="s">
        <v>652</v>
      </c>
      <c r="E281" s="149" t="s">
        <v>1423</v>
      </c>
      <c r="F281" s="149">
        <v>514190</v>
      </c>
      <c r="G281" s="149" t="s">
        <v>1424</v>
      </c>
    </row>
    <row r="282" spans="1:7" hidden="1">
      <c r="A282" s="149" t="s">
        <v>869</v>
      </c>
      <c r="B282" s="149" t="s">
        <v>116</v>
      </c>
      <c r="C282" s="149" t="s">
        <v>870</v>
      </c>
      <c r="D282" s="149" t="s">
        <v>475</v>
      </c>
      <c r="E282" s="149" t="s">
        <v>1425</v>
      </c>
      <c r="F282" s="149">
        <v>556606</v>
      </c>
      <c r="G282" s="149" t="s">
        <v>1426</v>
      </c>
    </row>
    <row r="283" spans="1:7" hidden="1">
      <c r="A283" s="149" t="s">
        <v>869</v>
      </c>
      <c r="B283" s="149" t="s">
        <v>116</v>
      </c>
      <c r="C283" s="149" t="s">
        <v>870</v>
      </c>
      <c r="D283" s="149" t="s">
        <v>654</v>
      </c>
      <c r="E283" s="149" t="s">
        <v>1427</v>
      </c>
      <c r="F283" s="149">
        <v>556580</v>
      </c>
      <c r="G283" s="149" t="s">
        <v>1428</v>
      </c>
    </row>
    <row r="284" spans="1:7" hidden="1">
      <c r="A284" s="149" t="s">
        <v>869</v>
      </c>
      <c r="B284" s="149" t="s">
        <v>116</v>
      </c>
      <c r="C284" s="149" t="s">
        <v>870</v>
      </c>
      <c r="D284" s="149" t="s">
        <v>655</v>
      </c>
      <c r="E284" s="149" t="s">
        <v>1429</v>
      </c>
      <c r="F284" s="149">
        <v>514152</v>
      </c>
      <c r="G284" s="149" t="s">
        <v>1430</v>
      </c>
    </row>
    <row r="285" spans="1:7" hidden="1">
      <c r="A285" s="149" t="s">
        <v>869</v>
      </c>
      <c r="B285" s="149" t="s">
        <v>116</v>
      </c>
      <c r="C285" s="149" t="s">
        <v>870</v>
      </c>
      <c r="D285" s="149" t="s">
        <v>656</v>
      </c>
      <c r="E285" s="149" t="s">
        <v>1431</v>
      </c>
      <c r="F285" s="149">
        <v>514166</v>
      </c>
      <c r="G285" s="149" t="s">
        <v>1432</v>
      </c>
    </row>
    <row r="286" spans="1:7" hidden="1">
      <c r="A286" s="149" t="s">
        <v>869</v>
      </c>
      <c r="B286" s="149" t="s">
        <v>116</v>
      </c>
      <c r="C286" s="149" t="s">
        <v>870</v>
      </c>
      <c r="D286" s="149" t="s">
        <v>660</v>
      </c>
      <c r="E286" s="149" t="s">
        <v>1433</v>
      </c>
      <c r="F286" s="149">
        <v>514166</v>
      </c>
      <c r="G286" s="149" t="s">
        <v>1434</v>
      </c>
    </row>
    <row r="287" spans="1:7" hidden="1">
      <c r="A287" s="149" t="s">
        <v>869</v>
      </c>
      <c r="B287" s="149" t="s">
        <v>116</v>
      </c>
      <c r="C287" s="149" t="s">
        <v>870</v>
      </c>
      <c r="D287" s="149" t="s">
        <v>194</v>
      </c>
      <c r="E287" s="149" t="s">
        <v>1435</v>
      </c>
      <c r="F287" s="149">
        <v>514177</v>
      </c>
      <c r="G287" s="149" t="s">
        <v>1436</v>
      </c>
    </row>
    <row r="288" spans="1:7" hidden="1">
      <c r="A288" s="149" t="s">
        <v>869</v>
      </c>
      <c r="B288" s="149" t="s">
        <v>116</v>
      </c>
      <c r="C288" s="149" t="s">
        <v>870</v>
      </c>
      <c r="D288" s="149" t="s">
        <v>664</v>
      </c>
      <c r="E288" s="149" t="s">
        <v>1437</v>
      </c>
      <c r="F288" s="149">
        <v>556615</v>
      </c>
      <c r="G288" s="149" t="s">
        <v>1438</v>
      </c>
    </row>
    <row r="289" spans="1:7" hidden="1">
      <c r="A289" s="149" t="s">
        <v>869</v>
      </c>
      <c r="B289" s="149" t="s">
        <v>116</v>
      </c>
      <c r="C289" s="149" t="s">
        <v>870</v>
      </c>
      <c r="D289" s="149" t="s">
        <v>493</v>
      </c>
      <c r="E289" s="149" t="s">
        <v>1439</v>
      </c>
      <c r="F289" s="149">
        <v>556589</v>
      </c>
      <c r="G289" s="149" t="s">
        <v>1440</v>
      </c>
    </row>
    <row r="290" spans="1:7" hidden="1">
      <c r="A290" s="149" t="s">
        <v>869</v>
      </c>
      <c r="B290" s="149" t="s">
        <v>116</v>
      </c>
      <c r="C290" s="149" t="s">
        <v>870</v>
      </c>
      <c r="D290" s="149" t="s">
        <v>665</v>
      </c>
      <c r="E290" s="149" t="s">
        <v>1441</v>
      </c>
      <c r="F290" s="149">
        <v>556589</v>
      </c>
      <c r="G290" s="149" t="s">
        <v>1442</v>
      </c>
    </row>
    <row r="291" spans="1:7" hidden="1">
      <c r="A291" s="149" t="s">
        <v>869</v>
      </c>
      <c r="B291" s="149" t="s">
        <v>116</v>
      </c>
      <c r="C291" s="149" t="s">
        <v>870</v>
      </c>
      <c r="D291" s="149" t="s">
        <v>667</v>
      </c>
      <c r="E291" s="149" t="s">
        <v>1443</v>
      </c>
      <c r="F291" s="149">
        <v>514165</v>
      </c>
      <c r="G291" s="149" t="s">
        <v>1444</v>
      </c>
    </row>
    <row r="292" spans="1:7" hidden="1">
      <c r="A292" s="149" t="s">
        <v>869</v>
      </c>
      <c r="B292" s="149" t="s">
        <v>116</v>
      </c>
      <c r="C292" s="149" t="s">
        <v>870</v>
      </c>
      <c r="D292" s="149" t="s">
        <v>668</v>
      </c>
      <c r="E292" s="149" t="s">
        <v>1445</v>
      </c>
      <c r="F292" s="149">
        <v>514166</v>
      </c>
      <c r="G292" s="149" t="s">
        <v>1446</v>
      </c>
    </row>
    <row r="293" spans="1:7" hidden="1">
      <c r="A293" s="149" t="s">
        <v>869</v>
      </c>
      <c r="B293" s="149" t="s">
        <v>116</v>
      </c>
      <c r="C293" s="149" t="s">
        <v>870</v>
      </c>
      <c r="D293" s="149" t="s">
        <v>500</v>
      </c>
      <c r="E293" s="149" t="s">
        <v>1447</v>
      </c>
      <c r="F293" s="149">
        <v>514165</v>
      </c>
      <c r="G293" s="149" t="s">
        <v>1448</v>
      </c>
    </row>
    <row r="294" spans="1:7" hidden="1">
      <c r="A294" s="149" t="s">
        <v>869</v>
      </c>
      <c r="B294" s="149" t="s">
        <v>116</v>
      </c>
      <c r="C294" s="149" t="s">
        <v>870</v>
      </c>
      <c r="D294" s="149" t="s">
        <v>669</v>
      </c>
      <c r="E294" s="149" t="s">
        <v>1449</v>
      </c>
      <c r="F294" s="149">
        <v>556606</v>
      </c>
      <c r="G294" s="149" t="s">
        <v>1450</v>
      </c>
    </row>
    <row r="295" spans="1:7" hidden="1">
      <c r="A295" s="149" t="s">
        <v>869</v>
      </c>
      <c r="B295" s="149" t="s">
        <v>116</v>
      </c>
      <c r="C295" s="149" t="s">
        <v>870</v>
      </c>
      <c r="D295" s="149" t="s">
        <v>671</v>
      </c>
      <c r="E295" s="149" t="s">
        <v>1451</v>
      </c>
      <c r="F295" s="149">
        <v>141195</v>
      </c>
      <c r="G295" s="149" t="s">
        <v>1452</v>
      </c>
    </row>
    <row r="296" spans="1:7" hidden="1">
      <c r="A296" s="149" t="s">
        <v>869</v>
      </c>
      <c r="B296" s="149" t="s">
        <v>116</v>
      </c>
      <c r="C296" s="149" t="s">
        <v>870</v>
      </c>
      <c r="D296" s="149" t="s">
        <v>400</v>
      </c>
      <c r="E296" s="149" t="s">
        <v>1453</v>
      </c>
      <c r="F296" s="149">
        <v>556605</v>
      </c>
      <c r="G296" s="149" t="s">
        <v>1454</v>
      </c>
    </row>
    <row r="297" spans="1:7" hidden="1">
      <c r="A297" s="149" t="s">
        <v>869</v>
      </c>
      <c r="B297" s="149" t="s">
        <v>116</v>
      </c>
      <c r="C297" s="149" t="s">
        <v>870</v>
      </c>
      <c r="D297" s="149" t="s">
        <v>201</v>
      </c>
      <c r="E297" s="149" t="s">
        <v>1455</v>
      </c>
      <c r="F297" s="149">
        <v>514177</v>
      </c>
      <c r="G297" s="149" t="s">
        <v>1456</v>
      </c>
    </row>
    <row r="298" spans="1:7" hidden="1">
      <c r="A298" s="149" t="s">
        <v>869</v>
      </c>
      <c r="B298" s="149" t="s">
        <v>116</v>
      </c>
      <c r="C298" s="149" t="s">
        <v>870</v>
      </c>
      <c r="D298" s="149" t="s">
        <v>675</v>
      </c>
      <c r="E298" s="149" t="s">
        <v>1457</v>
      </c>
      <c r="F298" s="149">
        <v>556616</v>
      </c>
      <c r="G298" s="149" t="s">
        <v>1458</v>
      </c>
    </row>
    <row r="299" spans="1:7" hidden="1">
      <c r="A299" s="149" t="s">
        <v>869</v>
      </c>
      <c r="B299" s="149" t="s">
        <v>116</v>
      </c>
      <c r="C299" s="149" t="s">
        <v>870</v>
      </c>
      <c r="D299" s="149" t="s">
        <v>677</v>
      </c>
      <c r="E299" s="149" t="s">
        <v>1459</v>
      </c>
      <c r="F299" s="149">
        <v>514152</v>
      </c>
      <c r="G299" s="149" t="s">
        <v>1460</v>
      </c>
    </row>
    <row r="300" spans="1:7" hidden="1">
      <c r="A300" s="149" t="s">
        <v>869</v>
      </c>
      <c r="B300" s="149" t="s">
        <v>116</v>
      </c>
      <c r="C300" s="149" t="s">
        <v>870</v>
      </c>
      <c r="D300" s="149" t="s">
        <v>509</v>
      </c>
      <c r="E300" s="149" t="s">
        <v>1461</v>
      </c>
      <c r="F300" s="149">
        <v>556580</v>
      </c>
      <c r="G300" s="149" t="s">
        <v>1462</v>
      </c>
    </row>
    <row r="301" spans="1:7" hidden="1">
      <c r="A301" s="149" t="s">
        <v>869</v>
      </c>
      <c r="B301" s="149" t="s">
        <v>116</v>
      </c>
      <c r="C301" s="149" t="s">
        <v>870</v>
      </c>
      <c r="D301" s="149" t="s">
        <v>681</v>
      </c>
      <c r="E301" s="149" t="s">
        <v>1463</v>
      </c>
      <c r="F301" s="149">
        <v>556594</v>
      </c>
      <c r="G301" s="149" t="s">
        <v>1464</v>
      </c>
    </row>
    <row r="302" spans="1:7" hidden="1">
      <c r="A302" s="149" t="s">
        <v>869</v>
      </c>
      <c r="B302" s="149" t="s">
        <v>116</v>
      </c>
      <c r="C302" s="149" t="s">
        <v>870</v>
      </c>
      <c r="D302" s="149" t="s">
        <v>682</v>
      </c>
      <c r="E302" s="149" t="s">
        <v>1465</v>
      </c>
      <c r="F302" s="149">
        <v>556601</v>
      </c>
      <c r="G302" s="149" t="s">
        <v>1466</v>
      </c>
    </row>
    <row r="303" spans="1:7" hidden="1">
      <c r="A303" s="149" t="s">
        <v>869</v>
      </c>
      <c r="B303" s="149" t="s">
        <v>116</v>
      </c>
      <c r="C303" s="149" t="s">
        <v>870</v>
      </c>
      <c r="D303" s="149" t="s">
        <v>683</v>
      </c>
      <c r="E303" s="149" t="s">
        <v>1467</v>
      </c>
      <c r="F303" s="149">
        <v>514152</v>
      </c>
      <c r="G303" s="149" t="s">
        <v>1468</v>
      </c>
    </row>
    <row r="304" spans="1:7" hidden="1">
      <c r="A304" s="149" t="s">
        <v>869</v>
      </c>
      <c r="B304" s="149" t="s">
        <v>116</v>
      </c>
      <c r="C304" s="149" t="s">
        <v>870</v>
      </c>
      <c r="D304" s="149" t="s">
        <v>406</v>
      </c>
      <c r="E304" s="149" t="s">
        <v>1469</v>
      </c>
      <c r="F304" s="149">
        <v>556591</v>
      </c>
      <c r="G304" s="149" t="s">
        <v>1470</v>
      </c>
    </row>
    <row r="305" spans="1:7" hidden="1">
      <c r="A305" s="149" t="s">
        <v>869</v>
      </c>
      <c r="B305" s="149" t="s">
        <v>116</v>
      </c>
      <c r="C305" s="149" t="s">
        <v>870</v>
      </c>
      <c r="D305" s="149" t="s">
        <v>519</v>
      </c>
      <c r="E305" s="149" t="s">
        <v>1471</v>
      </c>
      <c r="F305" s="149">
        <v>556580</v>
      </c>
      <c r="G305" s="149" t="s">
        <v>1472</v>
      </c>
    </row>
    <row r="306" spans="1:7" hidden="1">
      <c r="A306" s="149" t="s">
        <v>869</v>
      </c>
      <c r="B306" s="149" t="s">
        <v>116</v>
      </c>
      <c r="C306" s="149" t="s">
        <v>870</v>
      </c>
      <c r="D306" s="149" t="s">
        <v>686</v>
      </c>
      <c r="E306" s="149" t="s">
        <v>1473</v>
      </c>
      <c r="F306" s="149">
        <v>514177</v>
      </c>
      <c r="G306" s="149" t="s">
        <v>1474</v>
      </c>
    </row>
    <row r="307" spans="1:7" hidden="1">
      <c r="A307" s="149" t="s">
        <v>869</v>
      </c>
      <c r="B307" s="149" t="s">
        <v>116</v>
      </c>
      <c r="C307" s="149" t="s">
        <v>870</v>
      </c>
      <c r="D307" s="149" t="s">
        <v>526</v>
      </c>
      <c r="E307" s="149" t="s">
        <v>1475</v>
      </c>
      <c r="F307" s="149">
        <v>514177</v>
      </c>
      <c r="G307" s="149" t="s">
        <v>1476</v>
      </c>
    </row>
    <row r="308" spans="1:7" hidden="1">
      <c r="A308" s="149" t="s">
        <v>869</v>
      </c>
      <c r="B308" s="149" t="s">
        <v>116</v>
      </c>
      <c r="C308" s="149" t="s">
        <v>870</v>
      </c>
      <c r="D308" s="149" t="s">
        <v>690</v>
      </c>
      <c r="E308" s="149" t="s">
        <v>1477</v>
      </c>
      <c r="F308" s="149">
        <v>141195</v>
      </c>
      <c r="G308" s="149" t="s">
        <v>1478</v>
      </c>
    </row>
    <row r="309" spans="1:7" hidden="1">
      <c r="A309" s="149" t="s">
        <v>869</v>
      </c>
      <c r="B309" s="149" t="s">
        <v>116</v>
      </c>
      <c r="C309" s="149" t="s">
        <v>870</v>
      </c>
      <c r="D309" s="149" t="s">
        <v>413</v>
      </c>
      <c r="E309" s="149" t="s">
        <v>1479</v>
      </c>
      <c r="F309" s="149">
        <v>514165</v>
      </c>
      <c r="G309" s="149" t="s">
        <v>1480</v>
      </c>
    </row>
    <row r="310" spans="1:7" hidden="1">
      <c r="A310" s="149" t="s">
        <v>869</v>
      </c>
      <c r="B310" s="149" t="s">
        <v>116</v>
      </c>
      <c r="C310" s="149" t="s">
        <v>870</v>
      </c>
      <c r="D310" s="149" t="s">
        <v>695</v>
      </c>
      <c r="E310" s="149" t="s">
        <v>1481</v>
      </c>
      <c r="F310" s="149">
        <v>556591</v>
      </c>
      <c r="G310" s="149" t="s">
        <v>1482</v>
      </c>
    </row>
    <row r="311" spans="1:7" hidden="1">
      <c r="A311" s="149" t="s">
        <v>869</v>
      </c>
      <c r="B311" s="149" t="s">
        <v>116</v>
      </c>
      <c r="C311" s="149" t="s">
        <v>870</v>
      </c>
      <c r="D311" s="149" t="s">
        <v>532</v>
      </c>
      <c r="E311" s="149" t="s">
        <v>1483</v>
      </c>
      <c r="F311" s="149">
        <v>556580</v>
      </c>
      <c r="G311" s="149" t="s">
        <v>1484</v>
      </c>
    </row>
    <row r="312" spans="1:7" hidden="1">
      <c r="A312" s="149" t="s">
        <v>869</v>
      </c>
      <c r="B312" s="149" t="s">
        <v>116</v>
      </c>
      <c r="C312" s="149" t="s">
        <v>870</v>
      </c>
      <c r="D312" s="149" t="s">
        <v>697</v>
      </c>
      <c r="E312" s="149" t="s">
        <v>1485</v>
      </c>
      <c r="F312" s="149">
        <v>556580</v>
      </c>
      <c r="G312" s="149" t="s">
        <v>1486</v>
      </c>
    </row>
    <row r="313" spans="1:7" hidden="1">
      <c r="A313" s="149" t="s">
        <v>869</v>
      </c>
      <c r="B313" s="149" t="s">
        <v>116</v>
      </c>
      <c r="C313" s="149" t="s">
        <v>870</v>
      </c>
      <c r="D313" s="149" t="s">
        <v>698</v>
      </c>
      <c r="E313" s="149" t="s">
        <v>1487</v>
      </c>
      <c r="F313" s="149">
        <v>556586</v>
      </c>
      <c r="G313" s="149" t="s">
        <v>1488</v>
      </c>
    </row>
    <row r="314" spans="1:7" hidden="1">
      <c r="A314" s="149" t="s">
        <v>869</v>
      </c>
      <c r="B314" s="149" t="s">
        <v>116</v>
      </c>
      <c r="C314" s="149" t="s">
        <v>870</v>
      </c>
      <c r="D314" s="149" t="s">
        <v>701</v>
      </c>
      <c r="E314" s="149" t="s">
        <v>1489</v>
      </c>
      <c r="F314" s="149">
        <v>556589</v>
      </c>
      <c r="G314" s="149" t="s">
        <v>1490</v>
      </c>
    </row>
    <row r="315" spans="1:7" hidden="1">
      <c r="A315" s="149" t="s">
        <v>869</v>
      </c>
      <c r="B315" s="149" t="s">
        <v>116</v>
      </c>
      <c r="C315" s="149" t="s">
        <v>870</v>
      </c>
      <c r="D315" s="149" t="s">
        <v>702</v>
      </c>
      <c r="E315" s="149" t="s">
        <v>1491</v>
      </c>
      <c r="F315" s="149">
        <v>556601</v>
      </c>
      <c r="G315" s="149" t="s">
        <v>1492</v>
      </c>
    </row>
    <row r="316" spans="1:7" hidden="1">
      <c r="A316" s="149" t="s">
        <v>869</v>
      </c>
      <c r="B316" s="149" t="s">
        <v>116</v>
      </c>
      <c r="C316" s="149" t="s">
        <v>870</v>
      </c>
      <c r="D316" s="149" t="s">
        <v>703</v>
      </c>
      <c r="E316" s="149" t="s">
        <v>1493</v>
      </c>
      <c r="F316" s="149">
        <v>514152</v>
      </c>
      <c r="G316" s="149" t="s">
        <v>1494</v>
      </c>
    </row>
    <row r="317" spans="1:7" hidden="1">
      <c r="A317" s="149" t="s">
        <v>869</v>
      </c>
      <c r="B317" s="149" t="s">
        <v>116</v>
      </c>
      <c r="C317" s="149" t="s">
        <v>870</v>
      </c>
      <c r="D317" s="149" t="s">
        <v>230</v>
      </c>
      <c r="E317" s="149" t="s">
        <v>1495</v>
      </c>
      <c r="F317" s="149">
        <v>141195</v>
      </c>
      <c r="G317" s="149" t="s">
        <v>1496</v>
      </c>
    </row>
    <row r="318" spans="1:7" hidden="1">
      <c r="A318" s="149" t="s">
        <v>869</v>
      </c>
      <c r="B318" s="149" t="s">
        <v>116</v>
      </c>
      <c r="C318" s="149" t="s">
        <v>870</v>
      </c>
      <c r="D318" s="149" t="s">
        <v>232</v>
      </c>
      <c r="E318" s="149" t="s">
        <v>1497</v>
      </c>
      <c r="F318" s="149">
        <v>556615</v>
      </c>
      <c r="G318" s="149" t="s">
        <v>1498</v>
      </c>
    </row>
    <row r="319" spans="1:7" hidden="1">
      <c r="A319" s="149" t="s">
        <v>869</v>
      </c>
      <c r="B319" s="149" t="s">
        <v>116</v>
      </c>
      <c r="C319" s="149" t="s">
        <v>870</v>
      </c>
      <c r="D319" s="149" t="s">
        <v>707</v>
      </c>
      <c r="E319" s="149" t="s">
        <v>1499</v>
      </c>
      <c r="F319" s="149">
        <v>141195</v>
      </c>
      <c r="G319" s="149" t="s">
        <v>1500</v>
      </c>
    </row>
    <row r="320" spans="1:7" hidden="1">
      <c r="A320" s="149" t="s">
        <v>869</v>
      </c>
      <c r="B320" s="149" t="s">
        <v>116</v>
      </c>
      <c r="C320" s="149" t="s">
        <v>870</v>
      </c>
      <c r="D320" s="149" t="s">
        <v>709</v>
      </c>
      <c r="E320" s="149" t="s">
        <v>1501</v>
      </c>
      <c r="F320" s="149">
        <v>514152</v>
      </c>
      <c r="G320" s="149" t="s">
        <v>1502</v>
      </c>
    </row>
    <row r="321" spans="1:7" hidden="1">
      <c r="A321" s="149" t="s">
        <v>869</v>
      </c>
      <c r="B321" s="149" t="s">
        <v>116</v>
      </c>
      <c r="C321" s="149" t="s">
        <v>870</v>
      </c>
      <c r="D321" s="149" t="s">
        <v>711</v>
      </c>
      <c r="E321" s="149" t="s">
        <v>1503</v>
      </c>
      <c r="F321" s="149">
        <v>556580</v>
      </c>
      <c r="G321" s="149" t="s">
        <v>1504</v>
      </c>
    </row>
    <row r="322" spans="1:7" hidden="1">
      <c r="A322" s="149" t="s">
        <v>869</v>
      </c>
      <c r="B322" s="149" t="s">
        <v>116</v>
      </c>
      <c r="C322" s="149" t="s">
        <v>870</v>
      </c>
      <c r="D322" s="149" t="s">
        <v>714</v>
      </c>
      <c r="E322" s="149" t="s">
        <v>1505</v>
      </c>
      <c r="F322" s="149">
        <v>556606</v>
      </c>
      <c r="G322" s="149" t="s">
        <v>1506</v>
      </c>
    </row>
    <row r="323" spans="1:7" hidden="1">
      <c r="A323" s="149" t="s">
        <v>869</v>
      </c>
      <c r="B323" s="149" t="s">
        <v>116</v>
      </c>
      <c r="C323" s="149" t="s">
        <v>870</v>
      </c>
      <c r="D323" s="149" t="s">
        <v>715</v>
      </c>
      <c r="E323" s="149" t="s">
        <v>1507</v>
      </c>
      <c r="F323" s="149">
        <v>556606</v>
      </c>
      <c r="G323" s="149" t="s">
        <v>1508</v>
      </c>
    </row>
    <row r="324" spans="1:7" hidden="1">
      <c r="A324" s="149" t="s">
        <v>869</v>
      </c>
      <c r="B324" s="149" t="s">
        <v>116</v>
      </c>
      <c r="C324" s="149" t="s">
        <v>870</v>
      </c>
      <c r="D324" s="149" t="s">
        <v>716</v>
      </c>
      <c r="E324" s="149" t="s">
        <v>1509</v>
      </c>
      <c r="F324" s="149">
        <v>556580</v>
      </c>
      <c r="G324" s="149" t="s">
        <v>1510</v>
      </c>
    </row>
    <row r="325" spans="1:7" hidden="1">
      <c r="A325" s="149" t="s">
        <v>869</v>
      </c>
      <c r="B325" s="149" t="s">
        <v>116</v>
      </c>
      <c r="C325" s="149" t="s">
        <v>870</v>
      </c>
      <c r="D325" s="149" t="s">
        <v>717</v>
      </c>
      <c r="E325" s="149" t="s">
        <v>1511</v>
      </c>
      <c r="F325" s="149">
        <v>556615</v>
      </c>
      <c r="G325" s="149" t="s">
        <v>1512</v>
      </c>
    </row>
    <row r="326" spans="1:7" hidden="1">
      <c r="A326" s="149" t="s">
        <v>869</v>
      </c>
      <c r="B326" s="149" t="s">
        <v>116</v>
      </c>
      <c r="C326" s="149" t="s">
        <v>870</v>
      </c>
      <c r="D326" s="149" t="s">
        <v>718</v>
      </c>
      <c r="E326" s="149" t="s">
        <v>1513</v>
      </c>
      <c r="F326" s="149">
        <v>514152</v>
      </c>
      <c r="G326" s="149" t="s">
        <v>1514</v>
      </c>
    </row>
    <row r="327" spans="1:7" hidden="1">
      <c r="A327" s="149" t="s">
        <v>869</v>
      </c>
      <c r="B327" s="149" t="s">
        <v>116</v>
      </c>
      <c r="C327" s="149" t="s">
        <v>870</v>
      </c>
      <c r="D327" s="149" t="s">
        <v>720</v>
      </c>
      <c r="E327" s="149" t="s">
        <v>1515</v>
      </c>
      <c r="F327" s="149">
        <v>556591</v>
      </c>
      <c r="G327" s="149" t="s">
        <v>1516</v>
      </c>
    </row>
    <row r="328" spans="1:7" hidden="1">
      <c r="A328" s="149" t="s">
        <v>869</v>
      </c>
      <c r="B328" s="149" t="s">
        <v>116</v>
      </c>
      <c r="C328" s="149" t="s">
        <v>870</v>
      </c>
      <c r="D328" s="149" t="s">
        <v>721</v>
      </c>
      <c r="E328" s="149" t="s">
        <v>1517</v>
      </c>
      <c r="F328" s="149">
        <v>556577</v>
      </c>
      <c r="G328" s="149" t="s">
        <v>1518</v>
      </c>
    </row>
    <row r="329" spans="1:7" hidden="1">
      <c r="A329" s="149" t="s">
        <v>869</v>
      </c>
      <c r="B329" s="149" t="s">
        <v>116</v>
      </c>
      <c r="C329" s="149" t="s">
        <v>870</v>
      </c>
      <c r="D329" s="149" t="s">
        <v>723</v>
      </c>
      <c r="E329" s="149" t="s">
        <v>1519</v>
      </c>
      <c r="F329" s="149">
        <v>556586</v>
      </c>
      <c r="G329" s="149" t="s">
        <v>1520</v>
      </c>
    </row>
    <row r="330" spans="1:7" hidden="1">
      <c r="A330" s="149" t="s">
        <v>869</v>
      </c>
      <c r="B330" s="149" t="s">
        <v>116</v>
      </c>
      <c r="C330" s="149" t="s">
        <v>870</v>
      </c>
      <c r="D330" s="149" t="s">
        <v>724</v>
      </c>
      <c r="E330" s="149" t="s">
        <v>1521</v>
      </c>
      <c r="F330" s="149">
        <v>514177</v>
      </c>
      <c r="G330" s="149" t="s">
        <v>1522</v>
      </c>
    </row>
    <row r="331" spans="1:7" hidden="1">
      <c r="A331" s="149" t="s">
        <v>869</v>
      </c>
      <c r="B331" s="149" t="s">
        <v>116</v>
      </c>
      <c r="C331" s="149" t="s">
        <v>870</v>
      </c>
      <c r="D331" s="149" t="s">
        <v>725</v>
      </c>
      <c r="E331" s="149" t="s">
        <v>1523</v>
      </c>
      <c r="F331" s="149">
        <v>514177</v>
      </c>
      <c r="G331" s="149" t="s">
        <v>1524</v>
      </c>
    </row>
    <row r="332" spans="1:7" hidden="1">
      <c r="A332" s="149" t="s">
        <v>869</v>
      </c>
      <c r="B332" s="149" t="s">
        <v>116</v>
      </c>
      <c r="C332" s="149" t="s">
        <v>870</v>
      </c>
      <c r="D332" s="149" t="s">
        <v>253</v>
      </c>
      <c r="E332" s="149" t="s">
        <v>1525</v>
      </c>
      <c r="F332" s="149">
        <v>514164</v>
      </c>
      <c r="G332" s="149" t="s">
        <v>1526</v>
      </c>
    </row>
    <row r="333" spans="1:7" hidden="1">
      <c r="A333" s="149" t="s">
        <v>869</v>
      </c>
      <c r="B333" s="149" t="s">
        <v>116</v>
      </c>
      <c r="C333" s="149" t="s">
        <v>870</v>
      </c>
      <c r="D333" s="149" t="s">
        <v>728</v>
      </c>
      <c r="E333" s="149" t="s">
        <v>1527</v>
      </c>
      <c r="F333" s="149">
        <v>556591</v>
      </c>
      <c r="G333" s="149" t="s">
        <v>1528</v>
      </c>
    </row>
    <row r="334" spans="1:7" hidden="1">
      <c r="A334" s="149" t="s">
        <v>869</v>
      </c>
      <c r="B334" s="149" t="s">
        <v>116</v>
      </c>
      <c r="C334" s="149" t="s">
        <v>870</v>
      </c>
      <c r="D334" s="149" t="s">
        <v>733</v>
      </c>
      <c r="E334" s="149" t="s">
        <v>1529</v>
      </c>
      <c r="F334" s="149">
        <v>514177</v>
      </c>
      <c r="G334" s="149" t="s">
        <v>1530</v>
      </c>
    </row>
    <row r="335" spans="1:7" hidden="1">
      <c r="A335" s="149" t="s">
        <v>869</v>
      </c>
      <c r="B335" s="149" t="s">
        <v>116</v>
      </c>
      <c r="C335" s="149" t="s">
        <v>870</v>
      </c>
      <c r="D335" s="149" t="s">
        <v>735</v>
      </c>
      <c r="E335" s="149" t="s">
        <v>1531</v>
      </c>
      <c r="F335" s="149">
        <v>556580</v>
      </c>
      <c r="G335" s="149" t="s">
        <v>1532</v>
      </c>
    </row>
    <row r="336" spans="1:7" hidden="1">
      <c r="A336" s="149" t="s">
        <v>869</v>
      </c>
      <c r="B336" s="149" t="s">
        <v>116</v>
      </c>
      <c r="C336" s="149" t="s">
        <v>870</v>
      </c>
      <c r="D336" s="149" t="s">
        <v>736</v>
      </c>
      <c r="E336" s="149" t="s">
        <v>1533</v>
      </c>
      <c r="F336" s="149">
        <v>514177</v>
      </c>
      <c r="G336" s="149" t="s">
        <v>1534</v>
      </c>
    </row>
    <row r="337" spans="1:7" hidden="1">
      <c r="A337" s="149" t="s">
        <v>869</v>
      </c>
      <c r="B337" s="149" t="s">
        <v>115</v>
      </c>
      <c r="C337" s="149" t="s">
        <v>1535</v>
      </c>
      <c r="D337" s="149" t="s">
        <v>738</v>
      </c>
      <c r="E337" s="149" t="s">
        <v>1536</v>
      </c>
      <c r="F337" s="149">
        <v>514156</v>
      </c>
      <c r="G337" s="149" t="s">
        <v>1537</v>
      </c>
    </row>
    <row r="338" spans="1:7" hidden="1">
      <c r="A338" s="149" t="s">
        <v>869</v>
      </c>
      <c r="B338" s="149" t="s">
        <v>115</v>
      </c>
      <c r="C338" s="149" t="s">
        <v>1535</v>
      </c>
      <c r="D338" s="149" t="s">
        <v>741</v>
      </c>
      <c r="E338" s="149" t="s">
        <v>1538</v>
      </c>
      <c r="F338" s="149">
        <v>514194</v>
      </c>
      <c r="G338" s="149" t="s">
        <v>1539</v>
      </c>
    </row>
    <row r="339" spans="1:7" hidden="1">
      <c r="A339" s="149" t="s">
        <v>869</v>
      </c>
      <c r="B339" s="149" t="s">
        <v>115</v>
      </c>
      <c r="C339" s="149" t="s">
        <v>1535</v>
      </c>
      <c r="D339" s="149" t="s">
        <v>749</v>
      </c>
      <c r="E339" s="149" t="s">
        <v>1540</v>
      </c>
      <c r="F339" s="149">
        <v>514171</v>
      </c>
      <c r="G339" s="149" t="s">
        <v>1541</v>
      </c>
    </row>
    <row r="340" spans="1:7" hidden="1">
      <c r="A340" s="149" t="s">
        <v>869</v>
      </c>
      <c r="B340" s="149" t="s">
        <v>115</v>
      </c>
      <c r="C340" s="149" t="s">
        <v>1535</v>
      </c>
      <c r="D340" s="149" t="s">
        <v>750</v>
      </c>
      <c r="E340" s="149" t="s">
        <v>1542</v>
      </c>
      <c r="F340" s="149">
        <v>514179</v>
      </c>
      <c r="G340" s="149" t="s">
        <v>1543</v>
      </c>
    </row>
    <row r="341" spans="1:7" hidden="1">
      <c r="A341" s="149" t="s">
        <v>869</v>
      </c>
      <c r="B341" s="149" t="s">
        <v>115</v>
      </c>
      <c r="C341" s="149" t="s">
        <v>1535</v>
      </c>
      <c r="D341" s="149" t="s">
        <v>751</v>
      </c>
      <c r="E341" s="149" t="s">
        <v>1544</v>
      </c>
      <c r="F341" s="149">
        <v>556581</v>
      </c>
      <c r="G341" s="149" t="s">
        <v>1545</v>
      </c>
    </row>
    <row r="342" spans="1:7" hidden="1">
      <c r="A342" s="149" t="s">
        <v>869</v>
      </c>
      <c r="B342" s="149" t="s">
        <v>115</v>
      </c>
      <c r="C342" s="149" t="s">
        <v>1535</v>
      </c>
      <c r="D342" s="149" t="s">
        <v>753</v>
      </c>
      <c r="E342" s="149" t="s">
        <v>1546</v>
      </c>
      <c r="F342" s="149">
        <v>514156</v>
      </c>
      <c r="G342" s="149" t="s">
        <v>1547</v>
      </c>
    </row>
    <row r="343" spans="1:7" hidden="1">
      <c r="A343" s="149" t="s">
        <v>869</v>
      </c>
      <c r="B343" s="149" t="s">
        <v>115</v>
      </c>
      <c r="C343" s="149" t="s">
        <v>1535</v>
      </c>
      <c r="D343" s="149" t="s">
        <v>754</v>
      </c>
      <c r="E343" s="149" t="s">
        <v>1548</v>
      </c>
      <c r="F343" s="149">
        <v>514172</v>
      </c>
      <c r="G343" s="149" t="s">
        <v>1549</v>
      </c>
    </row>
    <row r="344" spans="1:7" hidden="1">
      <c r="A344" s="149" t="s">
        <v>869</v>
      </c>
      <c r="B344" s="149" t="s">
        <v>115</v>
      </c>
      <c r="C344" s="149" t="s">
        <v>1535</v>
      </c>
      <c r="D344" s="149" t="s">
        <v>757</v>
      </c>
      <c r="E344" s="149" t="s">
        <v>1550</v>
      </c>
      <c r="F344" s="149">
        <v>556611</v>
      </c>
      <c r="G344" s="149" t="s">
        <v>1551</v>
      </c>
    </row>
    <row r="345" spans="1:7" hidden="1">
      <c r="A345" s="149" t="s">
        <v>869</v>
      </c>
      <c r="B345" s="149" t="s">
        <v>115</v>
      </c>
      <c r="C345" s="149" t="s">
        <v>1535</v>
      </c>
      <c r="D345" s="149" t="s">
        <v>758</v>
      </c>
      <c r="E345" s="149" t="s">
        <v>1552</v>
      </c>
      <c r="F345" s="149">
        <v>514156</v>
      </c>
      <c r="G345" s="149" t="s">
        <v>1553</v>
      </c>
    </row>
    <row r="346" spans="1:7" hidden="1">
      <c r="A346" s="149" t="s">
        <v>869</v>
      </c>
      <c r="B346" s="149" t="s">
        <v>115</v>
      </c>
      <c r="C346" s="149" t="s">
        <v>1535</v>
      </c>
      <c r="D346" s="149" t="s">
        <v>761</v>
      </c>
      <c r="E346" s="149" t="s">
        <v>1554</v>
      </c>
      <c r="F346" s="149">
        <v>556593</v>
      </c>
      <c r="G346" s="149" t="s">
        <v>1555</v>
      </c>
    </row>
    <row r="347" spans="1:7" hidden="1">
      <c r="A347" s="149" t="s">
        <v>869</v>
      </c>
      <c r="B347" s="149" t="s">
        <v>115</v>
      </c>
      <c r="C347" s="149" t="s">
        <v>1535</v>
      </c>
      <c r="D347" s="149" t="s">
        <v>762</v>
      </c>
      <c r="E347" s="149" t="s">
        <v>1556</v>
      </c>
      <c r="F347" s="149">
        <v>556611</v>
      </c>
      <c r="G347" s="149" t="s">
        <v>1557</v>
      </c>
    </row>
    <row r="348" spans="1:7" hidden="1">
      <c r="A348" s="149" t="s">
        <v>869</v>
      </c>
      <c r="B348" s="149" t="s">
        <v>115</v>
      </c>
      <c r="C348" s="149" t="s">
        <v>1535</v>
      </c>
      <c r="D348" s="149" t="s">
        <v>763</v>
      </c>
      <c r="E348" s="149" t="s">
        <v>1558</v>
      </c>
      <c r="F348" s="149">
        <v>514172</v>
      </c>
      <c r="G348" s="149" t="s">
        <v>1559</v>
      </c>
    </row>
    <row r="349" spans="1:7" hidden="1">
      <c r="A349" s="149" t="s">
        <v>869</v>
      </c>
      <c r="B349" s="149" t="s">
        <v>115</v>
      </c>
      <c r="C349" s="149" t="s">
        <v>1535</v>
      </c>
      <c r="D349" s="149" t="s">
        <v>768</v>
      </c>
      <c r="E349" s="149" t="s">
        <v>1560</v>
      </c>
      <c r="F349" s="149">
        <v>556581</v>
      </c>
      <c r="G349" s="149" t="s">
        <v>1561</v>
      </c>
    </row>
    <row r="350" spans="1:7" hidden="1">
      <c r="A350" s="149" t="s">
        <v>869</v>
      </c>
      <c r="B350" s="149" t="s">
        <v>115</v>
      </c>
      <c r="C350" s="149" t="s">
        <v>1535</v>
      </c>
      <c r="D350" s="149" t="s">
        <v>769</v>
      </c>
      <c r="E350" s="149" t="s">
        <v>1562</v>
      </c>
      <c r="F350" s="149">
        <v>556593</v>
      </c>
      <c r="G350" s="149" t="s">
        <v>1563</v>
      </c>
    </row>
    <row r="351" spans="1:7" hidden="1">
      <c r="A351" s="149" t="s">
        <v>869</v>
      </c>
      <c r="B351" s="149" t="s">
        <v>115</v>
      </c>
      <c r="C351" s="149" t="s">
        <v>1535</v>
      </c>
      <c r="D351" s="149" t="s">
        <v>770</v>
      </c>
      <c r="E351" s="149" t="s">
        <v>1564</v>
      </c>
      <c r="F351" s="149">
        <v>514187</v>
      </c>
      <c r="G351" s="149" t="s">
        <v>1565</v>
      </c>
    </row>
    <row r="352" spans="1:7" hidden="1">
      <c r="A352" s="149" t="s">
        <v>869</v>
      </c>
      <c r="B352" s="149" t="s">
        <v>115</v>
      </c>
      <c r="C352" s="149" t="s">
        <v>1535</v>
      </c>
      <c r="D352" s="149" t="s">
        <v>601</v>
      </c>
      <c r="E352" s="149" t="s">
        <v>1566</v>
      </c>
      <c r="F352" s="149">
        <v>514156</v>
      </c>
      <c r="G352" s="149" t="s">
        <v>1567</v>
      </c>
    </row>
    <row r="353" spans="1:7" hidden="1">
      <c r="A353" s="149" t="s">
        <v>869</v>
      </c>
      <c r="B353" s="149" t="s">
        <v>115</v>
      </c>
      <c r="C353" s="149" t="s">
        <v>1535</v>
      </c>
      <c r="D353" s="149" t="s">
        <v>771</v>
      </c>
      <c r="E353" s="149" t="s">
        <v>1568</v>
      </c>
      <c r="F353" s="149">
        <v>514194</v>
      </c>
      <c r="G353" s="149" t="s">
        <v>1569</v>
      </c>
    </row>
    <row r="354" spans="1:7" hidden="1">
      <c r="A354" s="149" t="s">
        <v>869</v>
      </c>
      <c r="B354" s="149" t="s">
        <v>115</v>
      </c>
      <c r="C354" s="149" t="s">
        <v>1535</v>
      </c>
      <c r="D354" s="149" t="s">
        <v>772</v>
      </c>
      <c r="E354" s="149" t="s">
        <v>1570</v>
      </c>
      <c r="F354" s="149">
        <v>514179</v>
      </c>
      <c r="G354" s="149" t="s">
        <v>1571</v>
      </c>
    </row>
    <row r="355" spans="1:7" hidden="1">
      <c r="A355" s="149" t="s">
        <v>869</v>
      </c>
      <c r="B355" s="149" t="s">
        <v>115</v>
      </c>
      <c r="C355" s="149" t="s">
        <v>1535</v>
      </c>
      <c r="D355" s="149" t="s">
        <v>773</v>
      </c>
      <c r="E355" s="149" t="s">
        <v>1572</v>
      </c>
      <c r="F355" s="149">
        <v>514194</v>
      </c>
      <c r="G355" s="149" t="s">
        <v>1573</v>
      </c>
    </row>
    <row r="356" spans="1:7" hidden="1">
      <c r="A356" s="149" t="s">
        <v>869</v>
      </c>
      <c r="B356" s="149" t="s">
        <v>115</v>
      </c>
      <c r="C356" s="149" t="s">
        <v>1535</v>
      </c>
      <c r="D356" s="149" t="s">
        <v>775</v>
      </c>
      <c r="E356" s="149" t="s">
        <v>1574</v>
      </c>
      <c r="F356" s="149">
        <v>556581</v>
      </c>
      <c r="G356" s="149" t="s">
        <v>1575</v>
      </c>
    </row>
    <row r="357" spans="1:7" hidden="1">
      <c r="A357" s="149" t="s">
        <v>869</v>
      </c>
      <c r="B357" s="149" t="s">
        <v>115</v>
      </c>
      <c r="C357" s="149" t="s">
        <v>1535</v>
      </c>
      <c r="D357" s="149" t="s">
        <v>776</v>
      </c>
      <c r="E357" s="149" t="s">
        <v>1576</v>
      </c>
      <c r="F357" s="149">
        <v>514194</v>
      </c>
      <c r="G357" s="149" t="s">
        <v>1577</v>
      </c>
    </row>
    <row r="358" spans="1:7" hidden="1">
      <c r="A358" s="149" t="s">
        <v>869</v>
      </c>
      <c r="B358" s="149" t="s">
        <v>115</v>
      </c>
      <c r="C358" s="149" t="s">
        <v>1535</v>
      </c>
      <c r="D358" s="149" t="s">
        <v>777</v>
      </c>
      <c r="E358" s="149" t="s">
        <v>1578</v>
      </c>
      <c r="F358" s="149">
        <v>556572</v>
      </c>
      <c r="G358" s="149" t="s">
        <v>1579</v>
      </c>
    </row>
    <row r="359" spans="1:7" hidden="1">
      <c r="A359" s="149" t="s">
        <v>869</v>
      </c>
      <c r="B359" s="149" t="s">
        <v>115</v>
      </c>
      <c r="C359" s="149" t="s">
        <v>1535</v>
      </c>
      <c r="D359" s="149" t="s">
        <v>779</v>
      </c>
      <c r="E359" s="149" t="s">
        <v>1580</v>
      </c>
      <c r="F359" s="149">
        <v>556595</v>
      </c>
      <c r="G359" s="149" t="s">
        <v>1581</v>
      </c>
    </row>
    <row r="360" spans="1:7" hidden="1">
      <c r="A360" s="149" t="s">
        <v>869</v>
      </c>
      <c r="B360" s="149" t="s">
        <v>115</v>
      </c>
      <c r="C360" s="149" t="s">
        <v>1535</v>
      </c>
      <c r="D360" s="149" t="s">
        <v>780</v>
      </c>
      <c r="E360" s="149" t="s">
        <v>1582</v>
      </c>
      <c r="F360" s="149">
        <v>5565951</v>
      </c>
      <c r="G360" s="149" t="s">
        <v>1583</v>
      </c>
    </row>
    <row r="361" spans="1:7" hidden="1">
      <c r="A361" s="149" t="s">
        <v>869</v>
      </c>
      <c r="B361" s="149" t="s">
        <v>115</v>
      </c>
      <c r="C361" s="149" t="s">
        <v>1535</v>
      </c>
      <c r="D361" s="149" t="s">
        <v>781</v>
      </c>
      <c r="E361" s="149" t="s">
        <v>1584</v>
      </c>
      <c r="F361" s="149">
        <v>5565951</v>
      </c>
      <c r="G361" s="149" t="s">
        <v>1585</v>
      </c>
    </row>
    <row r="362" spans="1:7" hidden="1">
      <c r="A362" s="149" t="s">
        <v>869</v>
      </c>
      <c r="B362" s="149" t="s">
        <v>115</v>
      </c>
      <c r="C362" s="149" t="s">
        <v>1535</v>
      </c>
      <c r="D362" s="149" t="s">
        <v>782</v>
      </c>
      <c r="E362" s="149" t="s">
        <v>1586</v>
      </c>
      <c r="F362" s="149">
        <v>5565951</v>
      </c>
      <c r="G362" s="149" t="s">
        <v>1587</v>
      </c>
    </row>
    <row r="363" spans="1:7" hidden="1">
      <c r="A363" s="149" t="s">
        <v>869</v>
      </c>
      <c r="B363" s="149" t="s">
        <v>115</v>
      </c>
      <c r="C363" s="149" t="s">
        <v>1535</v>
      </c>
      <c r="D363" s="149" t="s">
        <v>783</v>
      </c>
      <c r="E363" s="149" t="s">
        <v>1588</v>
      </c>
      <c r="F363" s="149">
        <v>556581</v>
      </c>
      <c r="G363" s="149" t="s">
        <v>1589</v>
      </c>
    </row>
    <row r="364" spans="1:7" hidden="1">
      <c r="A364" s="149" t="s">
        <v>869</v>
      </c>
      <c r="B364" s="149" t="s">
        <v>115</v>
      </c>
      <c r="C364" s="149" t="s">
        <v>1535</v>
      </c>
      <c r="D364" s="149" t="s">
        <v>784</v>
      </c>
      <c r="E364" s="149" t="s">
        <v>1590</v>
      </c>
      <c r="F364" s="149">
        <v>556581</v>
      </c>
      <c r="G364" s="149" t="s">
        <v>1591</v>
      </c>
    </row>
    <row r="365" spans="1:7" hidden="1">
      <c r="A365" s="149" t="s">
        <v>869</v>
      </c>
      <c r="B365" s="149" t="s">
        <v>115</v>
      </c>
      <c r="C365" s="149" t="s">
        <v>1535</v>
      </c>
      <c r="D365" s="149" t="s">
        <v>785</v>
      </c>
      <c r="E365" s="149" t="s">
        <v>1592</v>
      </c>
      <c r="F365" s="149">
        <v>556581</v>
      </c>
      <c r="G365" s="149" t="s">
        <v>1593</v>
      </c>
    </row>
    <row r="366" spans="1:7" hidden="1">
      <c r="A366" s="149" t="s">
        <v>869</v>
      </c>
      <c r="B366" s="149" t="s">
        <v>115</v>
      </c>
      <c r="C366" s="149" t="s">
        <v>1535</v>
      </c>
      <c r="D366" s="149" t="s">
        <v>786</v>
      </c>
      <c r="E366" s="149" t="s">
        <v>1594</v>
      </c>
      <c r="F366" s="149">
        <v>556581</v>
      </c>
      <c r="G366" s="149" t="s">
        <v>1595</v>
      </c>
    </row>
    <row r="367" spans="1:7" hidden="1">
      <c r="A367" s="149" t="s">
        <v>869</v>
      </c>
      <c r="B367" s="149" t="s">
        <v>115</v>
      </c>
      <c r="C367" s="149" t="s">
        <v>1535</v>
      </c>
      <c r="D367" s="149" t="s">
        <v>787</v>
      </c>
      <c r="E367" s="149" t="s">
        <v>1596</v>
      </c>
      <c r="F367" s="149">
        <v>556581</v>
      </c>
      <c r="G367" s="149" t="s">
        <v>1597</v>
      </c>
    </row>
    <row r="368" spans="1:7" hidden="1">
      <c r="A368" s="149" t="s">
        <v>869</v>
      </c>
      <c r="B368" s="149" t="s">
        <v>115</v>
      </c>
      <c r="C368" s="149" t="s">
        <v>1535</v>
      </c>
      <c r="D368" s="149" t="s">
        <v>792</v>
      </c>
      <c r="E368" s="149" t="s">
        <v>1598</v>
      </c>
      <c r="F368" s="149">
        <v>514156</v>
      </c>
      <c r="G368" s="149" t="s">
        <v>1599</v>
      </c>
    </row>
    <row r="369" spans="1:7" hidden="1">
      <c r="A369" s="149" t="s">
        <v>869</v>
      </c>
      <c r="B369" s="149" t="s">
        <v>115</v>
      </c>
      <c r="C369" s="149" t="s">
        <v>1535</v>
      </c>
      <c r="D369" s="149" t="s">
        <v>793</v>
      </c>
      <c r="E369" s="149" t="s">
        <v>1600</v>
      </c>
      <c r="F369" s="149">
        <v>556581</v>
      </c>
      <c r="G369" s="149" t="s">
        <v>1601</v>
      </c>
    </row>
    <row r="370" spans="1:7" hidden="1">
      <c r="A370" s="149" t="s">
        <v>869</v>
      </c>
      <c r="B370" s="149" t="s">
        <v>115</v>
      </c>
      <c r="C370" s="149" t="s">
        <v>1535</v>
      </c>
      <c r="D370" s="149" t="s">
        <v>794</v>
      </c>
      <c r="E370" s="149" t="s">
        <v>1602</v>
      </c>
      <c r="F370" s="149">
        <v>556581</v>
      </c>
      <c r="G370" s="149" t="s">
        <v>1603</v>
      </c>
    </row>
    <row r="371" spans="1:7" hidden="1">
      <c r="A371" s="149" t="s">
        <v>869</v>
      </c>
      <c r="B371" s="149" t="s">
        <v>115</v>
      </c>
      <c r="C371" s="149" t="s">
        <v>1535</v>
      </c>
      <c r="D371" s="149" t="s">
        <v>795</v>
      </c>
      <c r="E371" s="149" t="s">
        <v>1604</v>
      </c>
      <c r="F371" s="149">
        <v>556581</v>
      </c>
      <c r="G371" s="149" t="s">
        <v>1605</v>
      </c>
    </row>
    <row r="372" spans="1:7" hidden="1">
      <c r="A372" s="149" t="s">
        <v>869</v>
      </c>
      <c r="B372" s="149" t="s">
        <v>115</v>
      </c>
      <c r="C372" s="149" t="s">
        <v>870</v>
      </c>
      <c r="D372" s="149" t="s">
        <v>796</v>
      </c>
      <c r="E372" s="149" t="s">
        <v>1606</v>
      </c>
      <c r="F372" s="149">
        <v>514179</v>
      </c>
      <c r="G372" s="149" t="s">
        <v>1607</v>
      </c>
    </row>
    <row r="373" spans="1:7" hidden="1">
      <c r="A373" s="149" t="s">
        <v>869</v>
      </c>
      <c r="B373" s="149" t="s">
        <v>115</v>
      </c>
      <c r="C373" s="149" t="s">
        <v>1535</v>
      </c>
      <c r="D373" s="149" t="s">
        <v>797</v>
      </c>
      <c r="E373" s="149" t="s">
        <v>1608</v>
      </c>
      <c r="F373" s="149">
        <v>514194</v>
      </c>
      <c r="G373" s="149" t="s">
        <v>1609</v>
      </c>
    </row>
    <row r="374" spans="1:7" hidden="1">
      <c r="A374" s="149" t="s">
        <v>869</v>
      </c>
      <c r="B374" s="149" t="s">
        <v>115</v>
      </c>
      <c r="C374" s="149" t="s">
        <v>1535</v>
      </c>
      <c r="D374" s="149" t="s">
        <v>799</v>
      </c>
      <c r="E374" s="149" t="s">
        <v>1610</v>
      </c>
      <c r="F374" s="149">
        <v>556581</v>
      </c>
      <c r="G374" s="149" t="s">
        <v>1611</v>
      </c>
    </row>
    <row r="375" spans="1:7" hidden="1">
      <c r="A375" s="149" t="s">
        <v>869</v>
      </c>
      <c r="B375" s="149" t="s">
        <v>115</v>
      </c>
      <c r="C375" s="149" t="s">
        <v>1535</v>
      </c>
      <c r="D375" s="149" t="s">
        <v>800</v>
      </c>
      <c r="E375" s="149" t="s">
        <v>1612</v>
      </c>
      <c r="F375" s="149">
        <v>556593</v>
      </c>
      <c r="G375" s="149" t="s">
        <v>1613</v>
      </c>
    </row>
    <row r="376" spans="1:7" hidden="1">
      <c r="A376" s="149" t="s">
        <v>869</v>
      </c>
      <c r="B376" s="149" t="s">
        <v>115</v>
      </c>
      <c r="C376" s="149" t="s">
        <v>1535</v>
      </c>
      <c r="D376" s="149" t="s">
        <v>801</v>
      </c>
      <c r="E376" s="149" t="s">
        <v>1614</v>
      </c>
      <c r="F376" s="149">
        <v>556581</v>
      </c>
      <c r="G376" s="149" t="s">
        <v>1615</v>
      </c>
    </row>
    <row r="377" spans="1:7" hidden="1">
      <c r="A377" s="149" t="s">
        <v>869</v>
      </c>
      <c r="B377" s="149" t="s">
        <v>115</v>
      </c>
      <c r="C377" s="149" t="s">
        <v>1535</v>
      </c>
      <c r="D377" s="149" t="s">
        <v>633</v>
      </c>
      <c r="E377" s="149" t="s">
        <v>1616</v>
      </c>
      <c r="F377" s="149">
        <v>556611</v>
      </c>
      <c r="G377" s="149" t="s">
        <v>1617</v>
      </c>
    </row>
    <row r="378" spans="1:7" hidden="1">
      <c r="A378" s="149" t="s">
        <v>869</v>
      </c>
      <c r="B378" s="149" t="s">
        <v>115</v>
      </c>
      <c r="C378" s="149" t="s">
        <v>1535</v>
      </c>
      <c r="D378" s="149" t="s">
        <v>278</v>
      </c>
      <c r="E378" s="149" t="s">
        <v>1618</v>
      </c>
      <c r="F378" s="149">
        <v>556599</v>
      </c>
      <c r="G378" s="149" t="s">
        <v>1619</v>
      </c>
    </row>
    <row r="379" spans="1:7" hidden="1">
      <c r="A379" s="149" t="s">
        <v>869</v>
      </c>
      <c r="B379" s="149" t="s">
        <v>115</v>
      </c>
      <c r="C379" s="149" t="s">
        <v>1535</v>
      </c>
      <c r="D379" s="149" t="s">
        <v>807</v>
      </c>
      <c r="E379" s="149" t="s">
        <v>1620</v>
      </c>
      <c r="F379" s="149">
        <v>556611</v>
      </c>
      <c r="G379" s="149" t="s">
        <v>1621</v>
      </c>
    </row>
    <row r="380" spans="1:7" hidden="1">
      <c r="A380" s="149" t="s">
        <v>869</v>
      </c>
      <c r="B380" s="149" t="s">
        <v>115</v>
      </c>
      <c r="C380" s="149" t="s">
        <v>1535</v>
      </c>
      <c r="D380" s="149" t="s">
        <v>808</v>
      </c>
      <c r="E380" s="149" t="s">
        <v>1622</v>
      </c>
      <c r="F380" s="149">
        <v>514156</v>
      </c>
      <c r="G380" s="149" t="s">
        <v>1623</v>
      </c>
    </row>
    <row r="381" spans="1:7" hidden="1">
      <c r="A381" s="149" t="s">
        <v>869</v>
      </c>
      <c r="B381" s="149" t="s">
        <v>115</v>
      </c>
      <c r="C381" s="149" t="s">
        <v>1535</v>
      </c>
      <c r="D381" s="149" t="s">
        <v>809</v>
      </c>
      <c r="E381" s="149" t="s">
        <v>1624</v>
      </c>
      <c r="F381" s="149">
        <v>514179</v>
      </c>
      <c r="G381" s="149" t="s">
        <v>1625</v>
      </c>
    </row>
    <row r="382" spans="1:7" hidden="1">
      <c r="A382" s="149" t="s">
        <v>869</v>
      </c>
      <c r="B382" s="149" t="s">
        <v>115</v>
      </c>
      <c r="C382" s="149" t="s">
        <v>1535</v>
      </c>
      <c r="D382" s="149" t="s">
        <v>811</v>
      </c>
      <c r="E382" s="149" t="s">
        <v>1626</v>
      </c>
      <c r="F382" s="149">
        <v>514194</v>
      </c>
      <c r="G382" s="149" t="s">
        <v>1627</v>
      </c>
    </row>
    <row r="383" spans="1:7" hidden="1">
      <c r="A383" s="149" t="s">
        <v>869</v>
      </c>
      <c r="B383" s="149" t="s">
        <v>115</v>
      </c>
      <c r="C383" s="149" t="s">
        <v>870</v>
      </c>
      <c r="D383" s="149" t="s">
        <v>812</v>
      </c>
      <c r="E383" s="149" t="s">
        <v>1628</v>
      </c>
      <c r="F383" s="149">
        <v>514156</v>
      </c>
      <c r="G383" s="149" t="s">
        <v>1629</v>
      </c>
    </row>
    <row r="384" spans="1:7" hidden="1">
      <c r="A384" s="149" t="s">
        <v>869</v>
      </c>
      <c r="B384" s="149" t="s">
        <v>115</v>
      </c>
      <c r="C384" s="149" t="s">
        <v>1535</v>
      </c>
      <c r="D384" s="149" t="s">
        <v>813</v>
      </c>
      <c r="E384" s="149" t="s">
        <v>1630</v>
      </c>
      <c r="F384" s="149">
        <v>514194</v>
      </c>
      <c r="G384" s="149" t="s">
        <v>1631</v>
      </c>
    </row>
    <row r="385" spans="1:7" hidden="1">
      <c r="A385" s="149" t="s">
        <v>869</v>
      </c>
      <c r="B385" s="149" t="s">
        <v>115</v>
      </c>
      <c r="C385" s="149" t="s">
        <v>1535</v>
      </c>
      <c r="D385" s="149" t="s">
        <v>814</v>
      </c>
      <c r="E385" s="149" t="s">
        <v>1632</v>
      </c>
      <c r="F385" s="149">
        <v>556575</v>
      </c>
      <c r="G385" s="149" t="s">
        <v>1633</v>
      </c>
    </row>
    <row r="386" spans="1:7" hidden="1">
      <c r="A386" s="149" t="s">
        <v>869</v>
      </c>
      <c r="B386" s="149" t="s">
        <v>115</v>
      </c>
      <c r="C386" s="149" t="s">
        <v>1535</v>
      </c>
      <c r="D386" s="149" t="s">
        <v>815</v>
      </c>
      <c r="E386" s="149" t="s">
        <v>1634</v>
      </c>
      <c r="F386" s="149">
        <v>514156</v>
      </c>
      <c r="G386" s="149" t="s">
        <v>1635</v>
      </c>
    </row>
    <row r="387" spans="1:7" hidden="1">
      <c r="A387" s="149" t="s">
        <v>869</v>
      </c>
      <c r="B387" s="149" t="s">
        <v>115</v>
      </c>
      <c r="C387" s="149" t="s">
        <v>870</v>
      </c>
      <c r="D387" s="149" t="s">
        <v>816</v>
      </c>
      <c r="E387" s="149" t="s">
        <v>1636</v>
      </c>
      <c r="F387" s="149">
        <v>514156</v>
      </c>
      <c r="G387" s="149" t="s">
        <v>1637</v>
      </c>
    </row>
    <row r="388" spans="1:7" hidden="1">
      <c r="A388" s="149" t="s">
        <v>869</v>
      </c>
      <c r="B388" s="149" t="s">
        <v>115</v>
      </c>
      <c r="C388" s="149" t="s">
        <v>1535</v>
      </c>
      <c r="D388" s="149" t="s">
        <v>816</v>
      </c>
      <c r="E388" s="149" t="s">
        <v>1638</v>
      </c>
      <c r="F388" s="149">
        <v>514156</v>
      </c>
      <c r="G388" s="149" t="s">
        <v>1637</v>
      </c>
    </row>
    <row r="389" spans="1:7" hidden="1">
      <c r="A389" s="149" t="s">
        <v>869</v>
      </c>
      <c r="B389" s="149" t="s">
        <v>115</v>
      </c>
      <c r="C389" s="149" t="s">
        <v>1535</v>
      </c>
      <c r="D389" s="149" t="s">
        <v>465</v>
      </c>
      <c r="E389" s="149" t="s">
        <v>1639</v>
      </c>
      <c r="F389" s="149">
        <v>556575</v>
      </c>
      <c r="G389" s="149" t="s">
        <v>1640</v>
      </c>
    </row>
    <row r="390" spans="1:7" hidden="1">
      <c r="A390" s="149" t="s">
        <v>869</v>
      </c>
      <c r="B390" s="149" t="s">
        <v>115</v>
      </c>
      <c r="C390" s="149" t="s">
        <v>1535</v>
      </c>
      <c r="D390" s="149" t="s">
        <v>817</v>
      </c>
      <c r="E390" s="149" t="s">
        <v>1641</v>
      </c>
      <c r="F390" s="149">
        <v>514171</v>
      </c>
      <c r="G390" s="149" t="s">
        <v>1642</v>
      </c>
    </row>
    <row r="391" spans="1:7" hidden="1">
      <c r="A391" s="149" t="s">
        <v>869</v>
      </c>
      <c r="B391" s="149" t="s">
        <v>115</v>
      </c>
      <c r="C391" s="149" t="s">
        <v>1535</v>
      </c>
      <c r="D391" s="149" t="s">
        <v>817</v>
      </c>
      <c r="E391" s="149" t="s">
        <v>1643</v>
      </c>
      <c r="F391" s="149">
        <v>514171</v>
      </c>
      <c r="G391" s="149" t="s">
        <v>1642</v>
      </c>
    </row>
    <row r="392" spans="1:7" hidden="1">
      <c r="A392" s="149" t="s">
        <v>869</v>
      </c>
      <c r="B392" s="149" t="s">
        <v>115</v>
      </c>
      <c r="C392" s="149" t="s">
        <v>1535</v>
      </c>
      <c r="D392" s="149" t="s">
        <v>819</v>
      </c>
      <c r="E392" s="149" t="s">
        <v>1644</v>
      </c>
      <c r="F392" s="149">
        <v>514187</v>
      </c>
      <c r="G392" s="149" t="s">
        <v>1645</v>
      </c>
    </row>
    <row r="393" spans="1:7" hidden="1">
      <c r="A393" s="149" t="s">
        <v>869</v>
      </c>
      <c r="B393" s="149" t="s">
        <v>115</v>
      </c>
      <c r="C393" s="149" t="s">
        <v>1535</v>
      </c>
      <c r="D393" s="149" t="s">
        <v>820</v>
      </c>
      <c r="E393" s="149" t="s">
        <v>1646</v>
      </c>
      <c r="F393" s="149">
        <v>556581</v>
      </c>
      <c r="G393" s="149" t="s">
        <v>1647</v>
      </c>
    </row>
    <row r="394" spans="1:7" hidden="1">
      <c r="A394" s="149" t="s">
        <v>869</v>
      </c>
      <c r="B394" s="149" t="s">
        <v>115</v>
      </c>
      <c r="C394" s="149" t="s">
        <v>870</v>
      </c>
      <c r="D394" s="149" t="s">
        <v>473</v>
      </c>
      <c r="E394" s="149" t="s">
        <v>1648</v>
      </c>
      <c r="F394" s="149">
        <v>514187</v>
      </c>
      <c r="G394" s="149" t="s">
        <v>1649</v>
      </c>
    </row>
    <row r="395" spans="1:7" hidden="1">
      <c r="A395" s="149" t="s">
        <v>869</v>
      </c>
      <c r="B395" s="149" t="s">
        <v>115</v>
      </c>
      <c r="C395" s="149" t="s">
        <v>1535</v>
      </c>
      <c r="D395" s="149" t="s">
        <v>821</v>
      </c>
      <c r="E395" s="149" t="s">
        <v>1650</v>
      </c>
      <c r="F395" s="149">
        <v>556581</v>
      </c>
      <c r="G395" s="149" t="s">
        <v>1651</v>
      </c>
    </row>
    <row r="396" spans="1:7" hidden="1">
      <c r="A396" s="149" t="s">
        <v>869</v>
      </c>
      <c r="B396" s="149" t="s">
        <v>115</v>
      </c>
      <c r="C396" s="149" t="s">
        <v>1535</v>
      </c>
      <c r="D396" s="149" t="s">
        <v>822</v>
      </c>
      <c r="E396" s="149" t="s">
        <v>1652</v>
      </c>
      <c r="F396" s="149">
        <v>556611</v>
      </c>
      <c r="G396" s="149" t="s">
        <v>1653</v>
      </c>
    </row>
    <row r="397" spans="1:7" hidden="1">
      <c r="A397" s="149" t="s">
        <v>869</v>
      </c>
      <c r="B397" s="149" t="s">
        <v>115</v>
      </c>
      <c r="C397" s="149" t="s">
        <v>1535</v>
      </c>
      <c r="D397" s="149" t="s">
        <v>825</v>
      </c>
      <c r="E397" s="149" t="s">
        <v>1654</v>
      </c>
      <c r="F397" s="149">
        <v>514194</v>
      </c>
      <c r="G397" s="149" t="s">
        <v>1655</v>
      </c>
    </row>
    <row r="398" spans="1:7" hidden="1">
      <c r="A398" s="149" t="s">
        <v>869</v>
      </c>
      <c r="B398" s="149" t="s">
        <v>115</v>
      </c>
      <c r="C398" s="149" t="s">
        <v>1535</v>
      </c>
      <c r="D398" s="149" t="s">
        <v>477</v>
      </c>
      <c r="E398" s="149" t="s">
        <v>1656</v>
      </c>
      <c r="F398" s="149">
        <v>556581</v>
      </c>
      <c r="G398" s="149" t="s">
        <v>1657</v>
      </c>
    </row>
    <row r="399" spans="1:7" hidden="1">
      <c r="A399" s="149" t="s">
        <v>869</v>
      </c>
      <c r="B399" s="149" t="s">
        <v>115</v>
      </c>
      <c r="C399" s="149" t="s">
        <v>1535</v>
      </c>
      <c r="D399" s="149" t="s">
        <v>828</v>
      </c>
      <c r="E399" s="149" t="s">
        <v>1658</v>
      </c>
      <c r="F399" s="149">
        <v>556590</v>
      </c>
      <c r="G399" s="149" t="s">
        <v>1659</v>
      </c>
    </row>
    <row r="400" spans="1:7" hidden="1">
      <c r="A400" s="149" t="s">
        <v>869</v>
      </c>
      <c r="B400" s="149" t="s">
        <v>115</v>
      </c>
      <c r="C400" s="149" t="s">
        <v>1535</v>
      </c>
      <c r="D400" s="149" t="s">
        <v>659</v>
      </c>
      <c r="E400" s="149" t="s">
        <v>1660</v>
      </c>
      <c r="F400" s="149">
        <v>556590</v>
      </c>
      <c r="G400" s="149" t="s">
        <v>1661</v>
      </c>
    </row>
    <row r="401" spans="1:7" hidden="1">
      <c r="A401" s="149" t="s">
        <v>869</v>
      </c>
      <c r="B401" s="149" t="s">
        <v>115</v>
      </c>
      <c r="C401" s="149" t="s">
        <v>1535</v>
      </c>
      <c r="D401" s="149" t="s">
        <v>832</v>
      </c>
      <c r="E401" s="149" t="s">
        <v>1662</v>
      </c>
      <c r="F401" s="149">
        <v>556611</v>
      </c>
      <c r="G401" s="149" t="s">
        <v>1663</v>
      </c>
    </row>
    <row r="402" spans="1:7" hidden="1">
      <c r="A402" s="149" t="s">
        <v>869</v>
      </c>
      <c r="B402" s="149" t="s">
        <v>115</v>
      </c>
      <c r="C402" s="149" t="s">
        <v>1535</v>
      </c>
      <c r="D402" s="149" t="s">
        <v>833</v>
      </c>
      <c r="E402" s="149" t="s">
        <v>1664</v>
      </c>
      <c r="F402" s="149">
        <v>556593</v>
      </c>
      <c r="G402" s="149" t="s">
        <v>1665</v>
      </c>
    </row>
    <row r="403" spans="1:7" hidden="1">
      <c r="A403" s="149" t="s">
        <v>869</v>
      </c>
      <c r="B403" s="149" t="s">
        <v>115</v>
      </c>
      <c r="C403" s="149" t="s">
        <v>1535</v>
      </c>
      <c r="D403" s="149" t="s">
        <v>836</v>
      </c>
      <c r="E403" s="149" t="s">
        <v>1666</v>
      </c>
      <c r="F403" s="149">
        <v>514156</v>
      </c>
      <c r="G403" s="149" t="s">
        <v>1667</v>
      </c>
    </row>
    <row r="404" spans="1:7" hidden="1">
      <c r="A404" s="149" t="s">
        <v>869</v>
      </c>
      <c r="B404" s="149" t="s">
        <v>115</v>
      </c>
      <c r="C404" s="149" t="s">
        <v>1535</v>
      </c>
      <c r="D404" s="149" t="s">
        <v>837</v>
      </c>
      <c r="E404" s="149" t="s">
        <v>1668</v>
      </c>
      <c r="F404" s="149">
        <v>514170</v>
      </c>
      <c r="G404" s="149" t="s">
        <v>1669</v>
      </c>
    </row>
    <row r="405" spans="1:7" hidden="1">
      <c r="A405" s="149" t="s">
        <v>869</v>
      </c>
      <c r="B405" s="149" t="s">
        <v>115</v>
      </c>
      <c r="C405" s="149" t="s">
        <v>1535</v>
      </c>
      <c r="D405" s="149" t="s">
        <v>838</v>
      </c>
      <c r="E405" s="149" t="s">
        <v>1670</v>
      </c>
      <c r="F405" s="149">
        <v>514194</v>
      </c>
      <c r="G405" s="149" t="s">
        <v>1671</v>
      </c>
    </row>
    <row r="406" spans="1:7" hidden="1">
      <c r="A406" s="149" t="s">
        <v>869</v>
      </c>
      <c r="B406" s="149" t="s">
        <v>115</v>
      </c>
      <c r="C406" s="149" t="s">
        <v>1535</v>
      </c>
      <c r="D406" s="149" t="s">
        <v>839</v>
      </c>
      <c r="E406" s="149" t="s">
        <v>1672</v>
      </c>
      <c r="F406" s="149">
        <v>514172</v>
      </c>
      <c r="G406" s="149" t="s">
        <v>1673</v>
      </c>
    </row>
    <row r="407" spans="1:7" hidden="1">
      <c r="A407" s="149" t="s">
        <v>869</v>
      </c>
      <c r="B407" s="149" t="s">
        <v>115</v>
      </c>
      <c r="C407" s="149" t="s">
        <v>1535</v>
      </c>
      <c r="D407" s="149" t="s">
        <v>520</v>
      </c>
      <c r="E407" s="149" t="s">
        <v>1674</v>
      </c>
      <c r="F407" s="149">
        <v>514156</v>
      </c>
      <c r="G407" s="149" t="s">
        <v>1675</v>
      </c>
    </row>
    <row r="408" spans="1:7" hidden="1">
      <c r="A408" s="149" t="s">
        <v>869</v>
      </c>
      <c r="B408" s="149" t="s">
        <v>115</v>
      </c>
      <c r="C408" s="149" t="s">
        <v>1535</v>
      </c>
      <c r="D408" s="149" t="s">
        <v>841</v>
      </c>
      <c r="E408" s="149" t="s">
        <v>1676</v>
      </c>
      <c r="F408" s="149">
        <v>514172</v>
      </c>
      <c r="G408" s="149" t="s">
        <v>1677</v>
      </c>
    </row>
    <row r="409" spans="1:7" hidden="1">
      <c r="A409" s="149" t="s">
        <v>869</v>
      </c>
      <c r="B409" s="149" t="s">
        <v>115</v>
      </c>
      <c r="C409" s="149" t="s">
        <v>1535</v>
      </c>
      <c r="D409" s="149" t="s">
        <v>843</v>
      </c>
      <c r="E409" s="149" t="s">
        <v>1678</v>
      </c>
      <c r="F409" s="149">
        <v>514156</v>
      </c>
      <c r="G409" s="149" t="s">
        <v>1679</v>
      </c>
    </row>
    <row r="410" spans="1:7" hidden="1">
      <c r="A410" s="149" t="s">
        <v>869</v>
      </c>
      <c r="B410" s="149" t="s">
        <v>115</v>
      </c>
      <c r="C410" s="149" t="s">
        <v>1535</v>
      </c>
      <c r="D410" s="149" t="s">
        <v>528</v>
      </c>
      <c r="E410" s="149" t="s">
        <v>1680</v>
      </c>
      <c r="F410" s="149">
        <v>514172</v>
      </c>
      <c r="G410" s="149" t="s">
        <v>1681</v>
      </c>
    </row>
    <row r="411" spans="1:7" hidden="1">
      <c r="A411" s="149" t="s">
        <v>869</v>
      </c>
      <c r="B411" s="149" t="s">
        <v>115</v>
      </c>
      <c r="C411" s="149" t="s">
        <v>1535</v>
      </c>
      <c r="D411" s="149" t="s">
        <v>846</v>
      </c>
      <c r="E411" s="149" t="s">
        <v>1682</v>
      </c>
      <c r="F411" s="149">
        <v>514179</v>
      </c>
      <c r="G411" s="149" t="s">
        <v>1683</v>
      </c>
    </row>
    <row r="412" spans="1:7" hidden="1">
      <c r="A412" s="149" t="s">
        <v>869</v>
      </c>
      <c r="B412" s="149" t="s">
        <v>115</v>
      </c>
      <c r="C412" s="149" t="s">
        <v>1535</v>
      </c>
      <c r="D412" s="149" t="s">
        <v>847</v>
      </c>
      <c r="E412" s="149" t="s">
        <v>1684</v>
      </c>
      <c r="F412" s="149">
        <v>556581</v>
      </c>
      <c r="G412" s="149" t="s">
        <v>1685</v>
      </c>
    </row>
    <row r="413" spans="1:7" hidden="1">
      <c r="A413" s="149" t="s">
        <v>869</v>
      </c>
      <c r="B413" s="149" t="s">
        <v>115</v>
      </c>
      <c r="C413" s="149" t="s">
        <v>1535</v>
      </c>
      <c r="D413" s="149" t="s">
        <v>215</v>
      </c>
      <c r="E413" s="149" t="s">
        <v>1686</v>
      </c>
      <c r="F413" s="149">
        <v>556581</v>
      </c>
      <c r="G413" s="149" t="s">
        <v>1687</v>
      </c>
    </row>
    <row r="414" spans="1:7" hidden="1">
      <c r="A414" s="149" t="s">
        <v>869</v>
      </c>
      <c r="B414" s="149" t="s">
        <v>115</v>
      </c>
      <c r="C414" s="149" t="s">
        <v>1535</v>
      </c>
      <c r="D414" s="149" t="s">
        <v>693</v>
      </c>
      <c r="E414" s="149" t="s">
        <v>1688</v>
      </c>
      <c r="F414" s="149">
        <v>556581</v>
      </c>
      <c r="G414" s="149" t="s">
        <v>1689</v>
      </c>
    </row>
    <row r="415" spans="1:7" hidden="1">
      <c r="A415" s="149" t="s">
        <v>869</v>
      </c>
      <c r="B415" s="149" t="s">
        <v>115</v>
      </c>
      <c r="C415" s="149" t="s">
        <v>1535</v>
      </c>
      <c r="D415" s="149" t="s">
        <v>417</v>
      </c>
      <c r="E415" s="149" t="s">
        <v>1690</v>
      </c>
      <c r="F415" s="149">
        <v>556590</v>
      </c>
      <c r="G415" s="149" t="s">
        <v>1691</v>
      </c>
    </row>
    <row r="416" spans="1:7" hidden="1">
      <c r="A416" s="149" t="s">
        <v>869</v>
      </c>
      <c r="B416" s="149" t="s">
        <v>115</v>
      </c>
      <c r="C416" s="149" t="s">
        <v>1535</v>
      </c>
      <c r="D416" s="149" t="s">
        <v>848</v>
      </c>
      <c r="E416" s="149" t="s">
        <v>1692</v>
      </c>
      <c r="F416" s="149">
        <v>556611</v>
      </c>
      <c r="G416" s="149" t="s">
        <v>1693</v>
      </c>
    </row>
    <row r="417" spans="1:7" hidden="1">
      <c r="A417" s="149" t="s">
        <v>869</v>
      </c>
      <c r="B417" s="149" t="s">
        <v>115</v>
      </c>
      <c r="C417" s="149" t="s">
        <v>1535</v>
      </c>
      <c r="D417" s="149" t="s">
        <v>697</v>
      </c>
      <c r="E417" s="149" t="s">
        <v>1694</v>
      </c>
      <c r="F417" s="149">
        <v>556611</v>
      </c>
      <c r="G417" s="149" t="s">
        <v>1695</v>
      </c>
    </row>
    <row r="418" spans="1:7" hidden="1">
      <c r="A418" s="149" t="s">
        <v>869</v>
      </c>
      <c r="B418" s="149" t="s">
        <v>115</v>
      </c>
      <c r="C418" s="149" t="s">
        <v>1535</v>
      </c>
      <c r="D418" s="149" t="s">
        <v>850</v>
      </c>
      <c r="E418" s="149" t="s">
        <v>1696</v>
      </c>
      <c r="F418" s="149">
        <v>514187</v>
      </c>
      <c r="G418" s="149" t="s">
        <v>1697</v>
      </c>
    </row>
    <row r="419" spans="1:7" hidden="1">
      <c r="A419" s="149" t="s">
        <v>869</v>
      </c>
      <c r="B419" s="149" t="s">
        <v>115</v>
      </c>
      <c r="C419" s="149" t="s">
        <v>1535</v>
      </c>
      <c r="D419" s="149" t="s">
        <v>233</v>
      </c>
      <c r="E419" s="149" t="s">
        <v>1698</v>
      </c>
      <c r="F419" s="149">
        <v>514171</v>
      </c>
      <c r="G419" s="149" t="s">
        <v>1699</v>
      </c>
    </row>
    <row r="420" spans="1:7" hidden="1">
      <c r="A420" s="149" t="s">
        <v>869</v>
      </c>
      <c r="B420" s="149" t="s">
        <v>115</v>
      </c>
      <c r="C420" s="149" t="s">
        <v>1535</v>
      </c>
      <c r="D420" s="149" t="s">
        <v>851</v>
      </c>
      <c r="E420" s="149" t="s">
        <v>1700</v>
      </c>
      <c r="F420" s="149">
        <v>556611</v>
      </c>
      <c r="G420" s="149" t="s">
        <v>1701</v>
      </c>
    </row>
    <row r="421" spans="1:7" hidden="1">
      <c r="A421" s="149" t="s">
        <v>869</v>
      </c>
      <c r="B421" s="149" t="s">
        <v>115</v>
      </c>
      <c r="C421" s="149" t="s">
        <v>1535</v>
      </c>
      <c r="D421" s="149" t="s">
        <v>306</v>
      </c>
      <c r="E421" s="149" t="s">
        <v>1702</v>
      </c>
      <c r="F421" s="149">
        <v>514172</v>
      </c>
      <c r="G421" s="149" t="s">
        <v>1703</v>
      </c>
    </row>
    <row r="422" spans="1:7" hidden="1">
      <c r="A422" s="149" t="s">
        <v>869</v>
      </c>
      <c r="B422" s="149" t="s">
        <v>115</v>
      </c>
      <c r="C422" s="149" t="s">
        <v>870</v>
      </c>
      <c r="D422" s="149" t="s">
        <v>853</v>
      </c>
      <c r="E422" s="149" t="s">
        <v>1704</v>
      </c>
      <c r="F422" s="149">
        <v>514150</v>
      </c>
      <c r="G422" s="149" t="s">
        <v>1705</v>
      </c>
    </row>
    <row r="423" spans="1:7" hidden="1">
      <c r="A423" s="149" t="s">
        <v>869</v>
      </c>
      <c r="B423" s="149" t="s">
        <v>115</v>
      </c>
      <c r="C423" s="149" t="s">
        <v>1535</v>
      </c>
      <c r="D423" s="149" t="s">
        <v>854</v>
      </c>
      <c r="E423" s="149" t="s">
        <v>1706</v>
      </c>
      <c r="F423" s="149">
        <v>514171</v>
      </c>
      <c r="G423" s="149" t="s">
        <v>1707</v>
      </c>
    </row>
    <row r="424" spans="1:7" hidden="1">
      <c r="A424" s="149" t="s">
        <v>869</v>
      </c>
      <c r="B424" s="149" t="s">
        <v>115</v>
      </c>
      <c r="C424" s="149" t="s">
        <v>1535</v>
      </c>
      <c r="D424" s="149" t="s">
        <v>856</v>
      </c>
      <c r="E424" s="149" t="s">
        <v>1708</v>
      </c>
      <c r="F424" s="149">
        <v>556611</v>
      </c>
      <c r="G424" s="149" t="s">
        <v>1709</v>
      </c>
    </row>
    <row r="425" spans="1:7" hidden="1">
      <c r="A425" s="149" t="s">
        <v>869</v>
      </c>
      <c r="B425" s="149" t="s">
        <v>115</v>
      </c>
      <c r="C425" s="149" t="s">
        <v>1535</v>
      </c>
      <c r="D425" s="149" t="s">
        <v>857</v>
      </c>
      <c r="E425" s="149" t="s">
        <v>1710</v>
      </c>
      <c r="F425" s="149">
        <v>556593</v>
      </c>
      <c r="G425" s="149" t="s">
        <v>1711</v>
      </c>
    </row>
    <row r="426" spans="1:7" hidden="1">
      <c r="A426" s="149" t="s">
        <v>869</v>
      </c>
      <c r="B426" s="149" t="s">
        <v>115</v>
      </c>
      <c r="C426" s="149" t="s">
        <v>1535</v>
      </c>
      <c r="D426" s="149" t="s">
        <v>733</v>
      </c>
      <c r="E426" s="149" t="s">
        <v>1712</v>
      </c>
      <c r="F426" s="149">
        <v>514187</v>
      </c>
      <c r="G426" s="149" t="s">
        <v>1713</v>
      </c>
    </row>
    <row r="427" spans="1:7" hidden="1">
      <c r="A427" s="149" t="s">
        <v>869</v>
      </c>
      <c r="B427" s="149" t="s">
        <v>115</v>
      </c>
      <c r="C427" s="149" t="s">
        <v>870</v>
      </c>
      <c r="D427" s="149" t="s">
        <v>858</v>
      </c>
      <c r="E427" s="149" t="s">
        <v>1714</v>
      </c>
      <c r="F427" s="149">
        <v>514179</v>
      </c>
      <c r="G427" s="149" t="s">
        <v>1715</v>
      </c>
    </row>
    <row r="428" spans="1:7" hidden="1">
      <c r="A428" s="149" t="s">
        <v>869</v>
      </c>
      <c r="B428" s="149" t="s">
        <v>115</v>
      </c>
      <c r="C428" s="149" t="s">
        <v>1535</v>
      </c>
      <c r="D428" s="149" t="s">
        <v>859</v>
      </c>
      <c r="E428" s="149" t="s">
        <v>1716</v>
      </c>
      <c r="F428" s="149">
        <v>514179</v>
      </c>
      <c r="G428" s="149" t="s">
        <v>1717</v>
      </c>
    </row>
    <row r="429" spans="1:7" hidden="1">
      <c r="A429" s="149" t="s">
        <v>869</v>
      </c>
      <c r="B429" s="149" t="s">
        <v>115</v>
      </c>
      <c r="C429" s="149" t="s">
        <v>870</v>
      </c>
      <c r="D429" s="149" t="s">
        <v>256</v>
      </c>
      <c r="E429" s="149" t="s">
        <v>1718</v>
      </c>
      <c r="F429" s="149">
        <v>514179</v>
      </c>
      <c r="G429" s="149" t="s">
        <v>1719</v>
      </c>
    </row>
    <row r="430" spans="1:7" hidden="1">
      <c r="A430" s="149" t="s">
        <v>869</v>
      </c>
      <c r="B430" s="149" t="s">
        <v>115</v>
      </c>
      <c r="C430" s="149" t="s">
        <v>1535</v>
      </c>
      <c r="D430" s="149" t="s">
        <v>861</v>
      </c>
      <c r="E430" s="149" t="s">
        <v>1720</v>
      </c>
      <c r="F430" s="149">
        <v>514156</v>
      </c>
      <c r="G430" s="149" t="s">
        <v>1721</v>
      </c>
    </row>
  </sheetData>
  <pageMargins left="0.7" right="0.7" top="0.75" bottom="0.75" header="0.3" footer="0.3"/>
  <tableParts count="1">
    <tablePart r:id="rId1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B3"/>
  <sheetViews>
    <sheetView workbookViewId="0">
      <selection sqref="A1:A3"/>
    </sheetView>
  </sheetViews>
  <sheetFormatPr defaultRowHeight="15"/>
  <cols>
    <col min="1" max="1" width="8.5703125" bestFit="1" customWidth="1"/>
    <col min="2" max="2" width="12" bestFit="1" customWidth="1"/>
  </cols>
  <sheetData>
    <row r="1" spans="1:2">
      <c r="A1" s="149" t="s">
        <v>3409</v>
      </c>
      <c r="B1" s="149"/>
    </row>
    <row r="2" spans="1:2">
      <c r="A2" s="149" t="s">
        <v>3410</v>
      </c>
      <c r="B2" s="149"/>
    </row>
    <row r="3" spans="1:2">
      <c r="A3" s="149" t="s">
        <v>3411</v>
      </c>
      <c r="B3" s="149"/>
    </row>
  </sheetData>
  <pageMargins left="0.7" right="0.7" top="0.75" bottom="0.75" header="0.3" footer="0.3"/>
  <tableParts count="1">
    <tablePart r:id="rId1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A2"/>
  <sheetViews>
    <sheetView workbookViewId="0">
      <selection sqref="A1:A2"/>
    </sheetView>
  </sheetViews>
  <sheetFormatPr defaultRowHeight="15"/>
  <cols>
    <col min="1" max="1" width="11.140625" bestFit="1" customWidth="1"/>
  </cols>
  <sheetData>
    <row r="1" spans="1:1">
      <c r="A1" s="149" t="s">
        <v>3484</v>
      </c>
    </row>
    <row r="2" spans="1:1">
      <c r="A2" s="149"/>
    </row>
  </sheetData>
  <pageMargins left="0.7" right="0.7" top="0.75" bottom="0.75" header="0.3" footer="0.3"/>
  <tableParts count="1">
    <tablePart r:id="rId1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A1:M106"/>
  <sheetViews>
    <sheetView topLeftCell="A64" workbookViewId="0">
      <selection activeCell="H102" sqref="H102"/>
    </sheetView>
  </sheetViews>
  <sheetFormatPr defaultRowHeight="15"/>
  <cols>
    <col min="1" max="1" width="28.42578125" bestFit="1" customWidth="1"/>
    <col min="2" max="2" width="29.42578125" bestFit="1" customWidth="1"/>
    <col min="5" max="5" width="9.85546875" bestFit="1" customWidth="1"/>
    <col min="9" max="9" width="10.28515625" bestFit="1" customWidth="1"/>
    <col min="12" max="12" width="27" bestFit="1" customWidth="1"/>
    <col min="13" max="13" width="15" customWidth="1"/>
  </cols>
  <sheetData>
    <row r="1" spans="1:13">
      <c r="A1" s="149" t="s">
        <v>3725</v>
      </c>
      <c r="B1" s="149" t="s">
        <v>3726</v>
      </c>
      <c r="D1" s="646" t="s">
        <v>113</v>
      </c>
    </row>
    <row r="2" spans="1:13">
      <c r="A2" s="149">
        <v>556623</v>
      </c>
      <c r="B2" s="149" t="s">
        <v>116</v>
      </c>
      <c r="L2" s="644" t="s">
        <v>3726</v>
      </c>
      <c r="M2" t="s">
        <v>113</v>
      </c>
    </row>
    <row r="3" spans="1:13" ht="15.75">
      <c r="A3" s="149">
        <v>556622</v>
      </c>
      <c r="B3" s="149" t="s">
        <v>115</v>
      </c>
      <c r="I3" s="642" t="e">
        <f ca="1">OFFSET(ЛК!L5,0,0,COUNTA(ЛК!L4:L100),1)</f>
        <v>#VALUE!</v>
      </c>
    </row>
    <row r="4" spans="1:13">
      <c r="A4" s="149">
        <v>556621</v>
      </c>
      <c r="B4" s="149" t="s">
        <v>111</v>
      </c>
      <c r="L4" s="644" t="s">
        <v>3771</v>
      </c>
    </row>
    <row r="5" spans="1:13">
      <c r="A5" s="149">
        <v>556620</v>
      </c>
      <c r="B5" s="149" t="s">
        <v>113</v>
      </c>
      <c r="E5" t="s">
        <v>3772</v>
      </c>
      <c r="L5" s="645">
        <v>514154</v>
      </c>
    </row>
    <row r="6" spans="1:13" ht="15.75">
      <c r="A6" s="149">
        <v>556619</v>
      </c>
      <c r="B6" s="149" t="s">
        <v>114</v>
      </c>
      <c r="E6" s="642">
        <f t="array" ref="E6:E28">IFERROR(INDEX(ІнформаціяДляСтроки7__2[ИнформацияДляСтрочки.1],SMALL(IF(D1=ІнформаціяДляСтроки7__2[ИнформацияДляСтрочки.15],ROW(ІнформаціяДляСтроки7__2[ИнформацияДляСтрочки.15])-1,""),ROW()-5)),"")</f>
        <v>556620</v>
      </c>
      <c r="L6" s="645">
        <v>514173</v>
      </c>
    </row>
    <row r="7" spans="1:13" ht="15.75">
      <c r="A7" s="149">
        <v>556618</v>
      </c>
      <c r="B7" s="149" t="s">
        <v>116</v>
      </c>
      <c r="E7" s="642">
        <v>556614</v>
      </c>
      <c r="L7" s="645">
        <v>514174</v>
      </c>
    </row>
    <row r="8" spans="1:13" ht="15.75">
      <c r="A8" s="149">
        <v>556617</v>
      </c>
      <c r="B8" s="149" t="s">
        <v>112</v>
      </c>
      <c r="E8" s="642">
        <v>556608</v>
      </c>
      <c r="L8" s="645">
        <v>514175</v>
      </c>
    </row>
    <row r="9" spans="1:13" ht="15.75">
      <c r="A9" s="149">
        <v>556616</v>
      </c>
      <c r="B9" s="149" t="s">
        <v>116</v>
      </c>
      <c r="E9" s="642">
        <v>556592</v>
      </c>
      <c r="L9" s="645">
        <v>514176</v>
      </c>
    </row>
    <row r="10" spans="1:13" ht="15.75">
      <c r="A10" s="149">
        <v>556615</v>
      </c>
      <c r="B10" s="149" t="s">
        <v>116</v>
      </c>
      <c r="E10" s="642">
        <v>556579</v>
      </c>
      <c r="L10" s="645">
        <v>514181</v>
      </c>
    </row>
    <row r="11" spans="1:13" ht="15.75">
      <c r="A11" s="149">
        <v>556614</v>
      </c>
      <c r="B11" s="149" t="s">
        <v>113</v>
      </c>
      <c r="E11" s="642">
        <v>556574</v>
      </c>
      <c r="L11" s="645">
        <v>514188</v>
      </c>
    </row>
    <row r="12" spans="1:13" ht="15.75">
      <c r="A12" s="149">
        <v>556613</v>
      </c>
      <c r="B12" s="149" t="s">
        <v>112</v>
      </c>
      <c r="E12" s="642">
        <v>514199</v>
      </c>
      <c r="L12" s="645">
        <v>514192</v>
      </c>
    </row>
    <row r="13" spans="1:13" ht="15.75">
      <c r="A13" s="149">
        <v>556612</v>
      </c>
      <c r="B13" s="149" t="s">
        <v>114</v>
      </c>
      <c r="E13" s="642">
        <v>514192</v>
      </c>
      <c r="L13" s="645">
        <v>514199</v>
      </c>
    </row>
    <row r="14" spans="1:13" ht="15.75">
      <c r="A14" s="149">
        <v>556611</v>
      </c>
      <c r="B14" s="149" t="s">
        <v>115</v>
      </c>
      <c r="E14" s="642">
        <v>514188</v>
      </c>
      <c r="L14" s="645">
        <v>556574</v>
      </c>
    </row>
    <row r="15" spans="1:13" ht="15.75">
      <c r="A15" s="149">
        <v>556610</v>
      </c>
      <c r="B15" s="149" t="s">
        <v>114</v>
      </c>
      <c r="E15" s="642">
        <v>514181</v>
      </c>
      <c r="L15" s="645">
        <v>556579</v>
      </c>
    </row>
    <row r="16" spans="1:13" ht="15.75">
      <c r="A16" s="149">
        <v>556609</v>
      </c>
      <c r="B16" s="149" t="s">
        <v>114</v>
      </c>
      <c r="E16" s="642">
        <v>514176</v>
      </c>
      <c r="L16" s="645">
        <v>556592</v>
      </c>
    </row>
    <row r="17" spans="1:12" ht="15.75">
      <c r="A17" s="149">
        <v>556608</v>
      </c>
      <c r="B17" s="149" t="s">
        <v>113</v>
      </c>
      <c r="E17" s="642">
        <v>514175</v>
      </c>
      <c r="L17" s="645">
        <v>556608</v>
      </c>
    </row>
    <row r="18" spans="1:12" ht="15.75">
      <c r="A18" s="149">
        <v>556607</v>
      </c>
      <c r="B18" s="149" t="s">
        <v>112</v>
      </c>
      <c r="E18" s="642">
        <v>514174</v>
      </c>
      <c r="L18" s="645">
        <v>556614</v>
      </c>
    </row>
    <row r="19" spans="1:12" ht="15.75">
      <c r="A19" s="149">
        <v>556606</v>
      </c>
      <c r="B19" s="149" t="s">
        <v>116</v>
      </c>
      <c r="E19" s="642">
        <v>514173</v>
      </c>
      <c r="L19" s="645">
        <v>556620</v>
      </c>
    </row>
    <row r="20" spans="1:12" ht="15.75">
      <c r="A20" s="149">
        <v>556605</v>
      </c>
      <c r="B20" s="149" t="s">
        <v>116</v>
      </c>
      <c r="E20" s="642">
        <v>514154</v>
      </c>
    </row>
    <row r="21" spans="1:12" ht="15.75">
      <c r="A21" s="149">
        <v>556604</v>
      </c>
      <c r="B21" s="149" t="s">
        <v>112</v>
      </c>
      <c r="E21" s="642" t="str">
        <v/>
      </c>
    </row>
    <row r="22" spans="1:12" ht="15.75">
      <c r="A22" s="149">
        <v>556603</v>
      </c>
      <c r="B22" s="149" t="s">
        <v>112</v>
      </c>
      <c r="E22" s="642" t="str">
        <v/>
      </c>
    </row>
    <row r="23" spans="1:12" ht="15.75">
      <c r="A23" s="149">
        <v>556602</v>
      </c>
      <c r="B23" s="149" t="s">
        <v>111</v>
      </c>
      <c r="E23" s="642" t="str">
        <v/>
      </c>
    </row>
    <row r="24" spans="1:12" ht="15.75">
      <c r="A24" s="149">
        <v>556601</v>
      </c>
      <c r="B24" s="149" t="s">
        <v>116</v>
      </c>
      <c r="E24" s="642" t="str">
        <v/>
      </c>
    </row>
    <row r="25" spans="1:12" ht="15.75">
      <c r="A25" s="149">
        <v>556600</v>
      </c>
      <c r="B25" s="149" t="s">
        <v>114</v>
      </c>
      <c r="E25" s="642" t="str">
        <v/>
      </c>
    </row>
    <row r="26" spans="1:12" ht="15.75">
      <c r="A26" s="149">
        <v>556599</v>
      </c>
      <c r="B26" s="149" t="s">
        <v>115</v>
      </c>
      <c r="E26" s="642" t="str">
        <v/>
      </c>
    </row>
    <row r="27" spans="1:12" ht="15.75">
      <c r="A27" s="149">
        <v>556598</v>
      </c>
      <c r="B27" s="149" t="s">
        <v>112</v>
      </c>
      <c r="E27" s="642" t="str">
        <v/>
      </c>
    </row>
    <row r="28" spans="1:12" ht="15.75">
      <c r="A28" s="149">
        <v>556597</v>
      </c>
      <c r="B28" s="149" t="s">
        <v>112</v>
      </c>
      <c r="E28" s="642" t="str">
        <v/>
      </c>
    </row>
    <row r="29" spans="1:12" ht="15.75">
      <c r="A29" s="149">
        <v>556596</v>
      </c>
      <c r="B29" s="149" t="s">
        <v>111</v>
      </c>
      <c r="E29" s="642" t="str">
        <f t="array" ref="E29">IFERROR(INDEX(ІнформаціяДляСтроки7__2[ИнформацияДляСтрочки.1],SMALL(IF(E24=ІнформаціяДляСтроки7__2[ИнформацияДляСтрочки.15],ROW(ІнформаціяДляСтроки7__2[ИнформацияДляСтрочки.15])-1,""),ROW()-5)),"")</f>
        <v/>
      </c>
    </row>
    <row r="30" spans="1:12" ht="15.75">
      <c r="A30" s="149">
        <v>556595</v>
      </c>
      <c r="B30" s="149" t="s">
        <v>115</v>
      </c>
      <c r="E30" s="642" t="str">
        <f t="array" ref="E30">IFERROR(INDEX(ІнформаціяДляСтроки7__2[ИнформацияДляСтрочки.1],SMALL(IF(E25=ІнформаціяДляСтроки7__2[ИнформацияДляСтрочки.15],ROW(ІнформаціяДляСтроки7__2[ИнформацияДляСтрочки.15])-1,""),ROW()-5)),"")</f>
        <v/>
      </c>
    </row>
    <row r="31" spans="1:12" ht="15.75">
      <c r="A31" s="149">
        <v>556594</v>
      </c>
      <c r="B31" s="149" t="s">
        <v>116</v>
      </c>
      <c r="E31" s="642" t="str">
        <f t="array" ref="E31">IFERROR(INDEX(ІнформаціяДляСтроки7__2[ИнформацияДляСтрочки.1],SMALL(IF(E26=ІнформаціяДляСтроки7__2[ИнформацияДляСтрочки.15],ROW(ІнформаціяДляСтроки7__2[ИнформацияДляСтрочки.15])-1,""),ROW()-5)),"")</f>
        <v/>
      </c>
    </row>
    <row r="32" spans="1:12" ht="15.75">
      <c r="A32" s="149">
        <v>556593</v>
      </c>
      <c r="B32" s="149" t="s">
        <v>115</v>
      </c>
      <c r="E32" s="642" t="str">
        <f t="array" ref="E32">IFERROR(INDEX(ІнформаціяДляСтроки7__2[ИнформацияДляСтрочки.1],SMALL(IF(E27=ІнформаціяДляСтроки7__2[ИнформацияДляСтрочки.15],ROW(ІнформаціяДляСтроки7__2[ИнформацияДляСтрочки.15])-1,""),ROW()-5)),"")</f>
        <v/>
      </c>
    </row>
    <row r="33" spans="1:5" ht="15.75">
      <c r="A33" s="149">
        <v>556592</v>
      </c>
      <c r="B33" s="149" t="s">
        <v>113</v>
      </c>
      <c r="E33" s="642" t="str">
        <f t="array" ref="E33">IFERROR(INDEX(ІнформаціяДляСтроки7__2[ИнформацияДляСтрочки.1],SMALL(IF(E28=ІнформаціяДляСтроки7__2[ИнформацияДляСтрочки.15],ROW(ІнформаціяДляСтроки7__2[ИнформацияДляСтрочки.15])-1,""),ROW()-5)),"")</f>
        <v/>
      </c>
    </row>
    <row r="34" spans="1:5" ht="15.75">
      <c r="A34" s="149">
        <v>556591</v>
      </c>
      <c r="B34" s="149" t="s">
        <v>116</v>
      </c>
      <c r="E34" s="642" t="str">
        <f t="array" ref="E34">IFERROR(INDEX(ІнформаціяДляСтроки7__2[ИнформацияДляСтрочки.1],SMALL(IF(E29=ІнформаціяДляСтроки7__2[ИнформацияДляСтрочки.15],ROW(ІнформаціяДляСтроки7__2[ИнформацияДляСтрочки.15])-1,""),ROW()-5)),"")</f>
        <v/>
      </c>
    </row>
    <row r="35" spans="1:5" ht="15.75">
      <c r="A35" s="149">
        <v>556590</v>
      </c>
      <c r="B35" s="149" t="s">
        <v>115</v>
      </c>
      <c r="E35" s="642" t="str">
        <f t="array" ref="E35">IFERROR(INDEX(ІнформаціяДляСтроки7__2[ИнформацияДляСтрочки.1],SMALL(IF(E30=ІнформаціяДляСтроки7__2[ИнформацияДляСтрочки.15],ROW(ІнформаціяДляСтроки7__2[ИнформацияДляСтрочки.15])-1,""),ROW()-5)),"")</f>
        <v/>
      </c>
    </row>
    <row r="36" spans="1:5" ht="15.75">
      <c r="A36" s="149">
        <v>556589</v>
      </c>
      <c r="B36" s="149" t="s">
        <v>116</v>
      </c>
      <c r="E36" s="642" t="str">
        <f t="array" ref="E36">IFERROR(INDEX(ІнформаціяДляСтроки7__2[ИнформацияДляСтрочки.1],SMALL(IF(E31=ІнформаціяДляСтроки7__2[ИнформацияДляСтрочки.15],ROW(ІнформаціяДляСтроки7__2[ИнформацияДляСтрочки.15])-1,""),ROW()-5)),"")</f>
        <v/>
      </c>
    </row>
    <row r="37" spans="1:5" ht="15.75">
      <c r="A37" s="149">
        <v>556588</v>
      </c>
      <c r="B37" s="149" t="s">
        <v>112</v>
      </c>
      <c r="E37" s="642" t="str">
        <f t="array" ref="E37">IFERROR(INDEX(ІнформаціяДляСтроки7__2[ИнформацияДляСтрочки.1],SMALL(IF(E32=ІнформаціяДляСтроки7__2[ИнформацияДляСтрочки.15],ROW(ІнформаціяДляСтроки7__2[ИнформацияДляСтрочки.15])-1,""),ROW()-5)),"")</f>
        <v/>
      </c>
    </row>
    <row r="38" spans="1:5" ht="15.75">
      <c r="A38" s="149">
        <v>556587</v>
      </c>
      <c r="B38" s="149" t="s">
        <v>114</v>
      </c>
      <c r="E38" s="642" t="str">
        <f t="array" ref="E38">IFERROR(INDEX(ІнформаціяДляСтроки7__2[ИнформацияДляСтрочки.1],SMALL(IF(E33=ІнформаціяДляСтроки7__2[ИнформацияДляСтрочки.15],ROW(ІнформаціяДляСтроки7__2[ИнформацияДляСтрочки.15])-1,""),ROW()-5)),"")</f>
        <v/>
      </c>
    </row>
    <row r="39" spans="1:5" ht="15.75">
      <c r="A39" s="149">
        <v>556586</v>
      </c>
      <c r="B39" s="149" t="s">
        <v>116</v>
      </c>
      <c r="E39" s="642" t="str">
        <f t="array" ref="E39">IFERROR(INDEX(ІнформаціяДляСтроки7__2[ИнформацияДляСтрочки.1],SMALL(IF(E34=ІнформаціяДляСтроки7__2[ИнформацияДляСтрочки.15],ROW(ІнформаціяДляСтроки7__2[ИнформацияДляСтрочки.15])-1,""),ROW()-5)),"")</f>
        <v/>
      </c>
    </row>
    <row r="40" spans="1:5" ht="15.75">
      <c r="A40" s="149">
        <v>556585</v>
      </c>
      <c r="B40" s="149" t="s">
        <v>111</v>
      </c>
      <c r="E40" s="642" t="str">
        <f t="array" ref="E40">IFERROR(INDEX(ІнформаціяДляСтроки7__2[ИнформацияДляСтрочки.1],SMALL(IF(E35=ІнформаціяДляСтроки7__2[ИнформацияДляСтрочки.15],ROW(ІнформаціяДляСтроки7__2[ИнформацияДляСтрочки.15])-1,""),ROW()-5)),"")</f>
        <v/>
      </c>
    </row>
    <row r="41" spans="1:5" ht="15.75">
      <c r="A41" s="149">
        <v>556584</v>
      </c>
      <c r="B41" s="149" t="s">
        <v>112</v>
      </c>
      <c r="E41" s="642" t="str">
        <f t="array" ref="E41">IFERROR(INDEX(ІнформаціяДляСтроки7__2[ИнформацияДляСтрочки.1],SMALL(IF(E36=ІнформаціяДляСтроки7__2[ИнформацияДляСтрочки.15],ROW(ІнформаціяДляСтроки7__2[ИнформацияДляСтрочки.15])-1,""),ROW()-5)),"")</f>
        <v/>
      </c>
    </row>
    <row r="42" spans="1:5" ht="15.75">
      <c r="A42" s="149">
        <v>556583</v>
      </c>
      <c r="B42" s="149" t="s">
        <v>112</v>
      </c>
      <c r="E42" s="642" t="str">
        <f t="array" ref="E42">IFERROR(INDEX(ІнформаціяДляСтроки7__2[ИнформацияДляСтрочки.1],SMALL(IF(E37=ІнформаціяДляСтроки7__2[ИнформацияДляСтрочки.15],ROW(ІнформаціяДляСтроки7__2[ИнформацияДляСтрочки.15])-1,""),ROW()-5)),"")</f>
        <v/>
      </c>
    </row>
    <row r="43" spans="1:5" ht="15.75">
      <c r="A43" s="149">
        <v>556582</v>
      </c>
      <c r="B43" s="149" t="s">
        <v>112</v>
      </c>
      <c r="E43" s="642" t="str">
        <f t="array" ref="E43">IFERROR(INDEX(ІнформаціяДляСтроки7__2[ИнформацияДляСтрочки.1],SMALL(IF(E38=ІнформаціяДляСтроки7__2[ИнформацияДляСтрочки.15],ROW(ІнформаціяДляСтроки7__2[ИнформацияДляСтрочки.15])-1,""),ROW()-5)),"")</f>
        <v/>
      </c>
    </row>
    <row r="44" spans="1:5" ht="15.75">
      <c r="A44" s="149">
        <v>556581</v>
      </c>
      <c r="B44" s="149" t="s">
        <v>115</v>
      </c>
      <c r="E44" s="642" t="str">
        <f t="array" ref="E44">IFERROR(INDEX(ІнформаціяДляСтроки7__2[ИнформацияДляСтрочки.1],SMALL(IF(E39=ІнформаціяДляСтроки7__2[ИнформацияДляСтрочки.15],ROW(ІнформаціяДляСтроки7__2[ИнформацияДляСтрочки.15])-1,""),ROW()-5)),"")</f>
        <v/>
      </c>
    </row>
    <row r="45" spans="1:5" ht="15.75">
      <c r="A45" s="149">
        <v>556580</v>
      </c>
      <c r="B45" s="149" t="s">
        <v>116</v>
      </c>
      <c r="E45" s="642" t="str">
        <f t="array" ref="E45">IFERROR(INDEX(ІнформаціяДляСтроки7__2[ИнформацияДляСтрочки.1],SMALL(IF(E40=ІнформаціяДляСтроки7__2[ИнформацияДляСтрочки.15],ROW(ІнформаціяДляСтроки7__2[ИнформацияДляСтрочки.15])-1,""),ROW()-5)),"")</f>
        <v/>
      </c>
    </row>
    <row r="46" spans="1:5" ht="15.75">
      <c r="A46" s="149">
        <v>556579</v>
      </c>
      <c r="B46" s="149" t="s">
        <v>113</v>
      </c>
      <c r="E46" s="642" t="str">
        <f t="array" ref="E46">IFERROR(INDEX(ІнформаціяДляСтроки7__2[ИнформацияДляСтрочки.1],SMALL(IF(E41=ІнформаціяДляСтроки7__2[ИнформацияДляСтрочки.15],ROW(ІнформаціяДляСтроки7__2[ИнформацияДляСтрочки.15])-1,""),ROW()-5)),"")</f>
        <v/>
      </c>
    </row>
    <row r="47" spans="1:5" ht="15.75">
      <c r="A47" s="149">
        <v>556578</v>
      </c>
      <c r="B47" s="149" t="s">
        <v>114</v>
      </c>
      <c r="E47" s="642" t="str">
        <f t="array" ref="E47">IFERROR(INDEX(ІнформаціяДляСтроки7__2[ИнформацияДляСтрочки.1],SMALL(IF(E42=ІнформаціяДляСтроки7__2[ИнформацияДляСтрочки.15],ROW(ІнформаціяДляСтроки7__2[ИнформацияДляСтрочки.15])-1,""),ROW()-5)),"")</f>
        <v/>
      </c>
    </row>
    <row r="48" spans="1:5" ht="15.75">
      <c r="A48" s="149">
        <v>556577</v>
      </c>
      <c r="B48" s="149" t="s">
        <v>116</v>
      </c>
      <c r="E48" s="642" t="str">
        <f t="array" ref="E48">IFERROR(INDEX(ІнформаціяДляСтроки7__2[ИнформацияДляСтрочки.1],SMALL(IF(E43=ІнформаціяДляСтроки7__2[ИнформацияДляСтрочки.15],ROW(ІнформаціяДляСтроки7__2[ИнформацияДляСтрочки.15])-1,""),ROW()-5)),"")</f>
        <v/>
      </c>
    </row>
    <row r="49" spans="1:5" ht="15.75">
      <c r="A49" s="149">
        <v>556576</v>
      </c>
      <c r="B49" s="149" t="s">
        <v>111</v>
      </c>
      <c r="E49" s="642" t="str">
        <f t="array" ref="E49">IFERROR(INDEX(ІнформаціяДляСтроки7__2[ИнформацияДляСтрочки.1],SMALL(IF(E44=ІнформаціяДляСтроки7__2[ИнформацияДляСтрочки.15],ROW(ІнформаціяДляСтроки7__2[ИнформацияДляСтрочки.15])-1,""),ROW()-5)),"")</f>
        <v/>
      </c>
    </row>
    <row r="50" spans="1:5" ht="15.75">
      <c r="A50" s="149">
        <v>556575</v>
      </c>
      <c r="B50" s="149" t="s">
        <v>115</v>
      </c>
      <c r="E50" s="642" t="str">
        <f t="array" ref="E50">IFERROR(INDEX(ІнформаціяДляСтроки7__2[ИнформацияДляСтрочки.1],SMALL(IF(E45=ІнформаціяДляСтроки7__2[ИнформацияДляСтрочки.15],ROW(ІнформаціяДляСтроки7__2[ИнформацияДляСтрочки.15])-1,""),ROW()-5)),"")</f>
        <v/>
      </c>
    </row>
    <row r="51" spans="1:5" ht="15.75">
      <c r="A51" s="149">
        <v>556574</v>
      </c>
      <c r="B51" s="149" t="s">
        <v>113</v>
      </c>
      <c r="E51" s="642" t="str">
        <f t="array" ref="E51">IFERROR(INDEX(ІнформаціяДляСтроки7__2[ИнформацияДляСтрочки.1],SMALL(IF(E46=ІнформаціяДляСтроки7__2[ИнформацияДляСтрочки.15],ROW(ІнформаціяДляСтроки7__2[ИнформацияДляСтрочки.15])-1,""),ROW()-5)),"")</f>
        <v/>
      </c>
    </row>
    <row r="52" spans="1:5" ht="15.75">
      <c r="A52" s="149">
        <v>556573</v>
      </c>
      <c r="B52" s="149" t="s">
        <v>114</v>
      </c>
      <c r="E52" s="642" t="str">
        <f t="array" ref="E52">IFERROR(INDEX(ІнформаціяДляСтроки7__2[ИнформацияДляСтрочки.1],SMALL(IF(E47=ІнформаціяДляСтроки7__2[ИнформацияДляСтрочки.15],ROW(ІнформаціяДляСтроки7__2[ИнформацияДляСтрочки.15])-1,""),ROW()-5)),"")</f>
        <v/>
      </c>
    </row>
    <row r="53" spans="1:5" ht="15.75">
      <c r="A53" s="149">
        <v>556572</v>
      </c>
      <c r="B53" s="149" t="s">
        <v>115</v>
      </c>
      <c r="E53" s="642" t="str">
        <f t="array" ref="E53">IFERROR(INDEX(ІнформаціяДляСтроки7__2[ИнформацияДляСтрочки.1],SMALL(IF(E48=ІнформаціяДляСтроки7__2[ИнформацияДляСтрочки.15],ROW(ІнформаціяДляСтроки7__2[ИнформацияДляСтрочки.15])-1,""),ROW()-5)),"")</f>
        <v/>
      </c>
    </row>
    <row r="54" spans="1:5" ht="15.75">
      <c r="A54" s="149">
        <v>556571</v>
      </c>
      <c r="B54" s="149" t="s">
        <v>115</v>
      </c>
      <c r="E54" s="642" t="str">
        <f t="array" ref="E54">IFERROR(INDEX(ІнформаціяДляСтроки7__2[ИнформацияДляСтрочки.1],SMALL(IF(E49=ІнформаціяДляСтроки7__2[ИнформацияДляСтрочки.15],ROW(ІнформаціяДляСтроки7__2[ИнформацияДляСтрочки.15])-1,""),ROW()-5)),"")</f>
        <v/>
      </c>
    </row>
    <row r="55" spans="1:5" ht="15.75">
      <c r="A55" s="149">
        <v>556570</v>
      </c>
      <c r="B55" s="149" t="s">
        <v>114</v>
      </c>
      <c r="E55" s="642" t="str">
        <f t="array" ref="E55">IFERROR(INDEX(ІнформаціяДляСтроки7__2[ИнформацияДляСтрочки.1],SMALL(IF(E50=ІнформаціяДляСтроки7__2[ИнформацияДляСтрочки.15],ROW(ІнформаціяДляСтроки7__2[ИнформацияДляСтрочки.15])-1,""),ROW()-5)),"")</f>
        <v/>
      </c>
    </row>
    <row r="56" spans="1:5" ht="15.75">
      <c r="A56" s="149">
        <v>514199</v>
      </c>
      <c r="B56" s="149" t="s">
        <v>113</v>
      </c>
      <c r="E56" s="642" t="str">
        <f t="array" ref="E56">IFERROR(INDEX(ІнформаціяДляСтроки7__2[ИнформацияДляСтрочки.1],SMALL(IF(E51=ІнформаціяДляСтроки7__2[ИнформацияДляСтрочки.15],ROW(ІнформаціяДляСтроки7__2[ИнформацияДляСтрочки.15])-1,""),ROW()-5)),"")</f>
        <v/>
      </c>
    </row>
    <row r="57" spans="1:5" ht="15.75">
      <c r="A57" s="149">
        <v>514198</v>
      </c>
      <c r="B57" s="149" t="s">
        <v>112</v>
      </c>
      <c r="E57" s="642" t="str">
        <f t="array" ref="E57">IFERROR(INDEX(ІнформаціяДляСтроки7__2[ИнформацияДляСтрочки.1],SMALL(IF(E52=ІнформаціяДляСтроки7__2[ИнформацияДляСтрочки.15],ROW(ІнформаціяДляСтроки7__2[ИнформацияДляСтрочки.15])-1,""),ROW()-5)),"")</f>
        <v/>
      </c>
    </row>
    <row r="58" spans="1:5" ht="15.75">
      <c r="A58" s="149">
        <v>514197</v>
      </c>
      <c r="B58" s="149" t="s">
        <v>111</v>
      </c>
      <c r="E58" s="642" t="str">
        <f t="array" ref="E58">IFERROR(INDEX(ІнформаціяДляСтроки7__2[ИнформацияДляСтрочки.1],SMALL(IF(E53=ІнформаціяДляСтроки7__2[ИнформацияДляСтрочки.15],ROW(ІнформаціяДляСтроки7__2[ИнформацияДляСтрочки.15])-1,""),ROW()-5)),"")</f>
        <v/>
      </c>
    </row>
    <row r="59" spans="1:5" ht="15.75">
      <c r="A59" s="149">
        <v>514196</v>
      </c>
      <c r="B59" s="149" t="s">
        <v>116</v>
      </c>
      <c r="E59" s="642" t="str">
        <f t="array" ref="E59">IFERROR(INDEX(ІнформаціяДляСтроки7__2[ИнформацияДляСтрочки.1],SMALL(IF(E54=ІнформаціяДляСтроки7__2[ИнформацияДляСтрочки.15],ROW(ІнформаціяДляСтроки7__2[ИнформацияДляСтрочки.15])-1,""),ROW()-5)),"")</f>
        <v/>
      </c>
    </row>
    <row r="60" spans="1:5" ht="15.75">
      <c r="A60" s="149">
        <v>514195</v>
      </c>
      <c r="B60" s="149" t="s">
        <v>116</v>
      </c>
      <c r="E60" s="642" t="str">
        <f t="array" ref="E60">IFERROR(INDEX(ІнформаціяДляСтроки7__2[ИнформацияДляСтрочки.1],SMALL(IF(E55=ІнформаціяДляСтроки7__2[ИнформацияДляСтрочки.15],ROW(ІнформаціяДляСтроки7__2[ИнформацияДляСтрочки.15])-1,""),ROW()-5)),"")</f>
        <v/>
      </c>
    </row>
    <row r="61" spans="1:5" ht="15.75">
      <c r="A61" s="149">
        <v>514194</v>
      </c>
      <c r="B61" s="149" t="s">
        <v>115</v>
      </c>
      <c r="E61" s="642" t="str">
        <f t="array" ref="E61">IFERROR(INDEX(ІнформаціяДляСтроки7__2[ИнформацияДляСтрочки.1],SMALL(IF(E56=ІнформаціяДляСтроки7__2[ИнформацияДляСтрочки.15],ROW(ІнформаціяДляСтроки7__2[ИнформацияДляСтрочки.15])-1,""),ROW()-5)),"")</f>
        <v/>
      </c>
    </row>
    <row r="62" spans="1:5" ht="15.75">
      <c r="A62" s="149">
        <v>514193</v>
      </c>
      <c r="B62" s="149" t="s">
        <v>112</v>
      </c>
      <c r="E62" s="642" t="str">
        <f t="array" ref="E62">IFERROR(INDEX(ІнформаціяДляСтроки7__2[ИнформацияДляСтрочки.1],SMALL(IF(E57=ІнформаціяДляСтроки7__2[ИнформацияДляСтрочки.15],ROW(ІнформаціяДляСтроки7__2[ИнформацияДляСтрочки.15])-1,""),ROW()-5)),"")</f>
        <v/>
      </c>
    </row>
    <row r="63" spans="1:5" ht="15.75">
      <c r="A63" s="149">
        <v>514192</v>
      </c>
      <c r="B63" s="149" t="s">
        <v>113</v>
      </c>
      <c r="E63" s="642" t="str">
        <f t="array" ref="E63">IFERROR(INDEX(ІнформаціяДляСтроки7__2[ИнформацияДляСтрочки.1],SMALL(IF(E58=ІнформаціяДляСтроки7__2[ИнформацияДляСтрочки.15],ROW(ІнформаціяДляСтроки7__2[ИнформацияДляСтрочки.15])-1,""),ROW()-5)),"")</f>
        <v/>
      </c>
    </row>
    <row r="64" spans="1:5" ht="15.75">
      <c r="A64" s="149">
        <v>514191</v>
      </c>
      <c r="B64" s="149" t="s">
        <v>114</v>
      </c>
      <c r="E64" s="642" t="str">
        <f t="array" ref="E64">IFERROR(INDEX(ІнформаціяДляСтроки7__2[ИнформацияДляСтрочки.1],SMALL(IF(E59=ІнформаціяДляСтроки7__2[ИнформацияДляСтрочки.15],ROW(ІнформаціяДляСтроки7__2[ИнформацияДляСтрочки.15])-1,""),ROW()-5)),"")</f>
        <v/>
      </c>
    </row>
    <row r="65" spans="1:5" ht="15.75">
      <c r="A65" s="149">
        <v>514190</v>
      </c>
      <c r="B65" s="149" t="s">
        <v>116</v>
      </c>
      <c r="E65" s="642" t="str">
        <f t="array" ref="E65">IFERROR(INDEX(ІнформаціяДляСтроки7__2[ИнформацияДляСтрочки.1],SMALL(IF(E60=ІнформаціяДляСтроки7__2[ИнформацияДляСтрочки.15],ROW(ІнформаціяДляСтроки7__2[ИнформацияДляСтрочки.15])-1,""),ROW()-5)),"")</f>
        <v/>
      </c>
    </row>
    <row r="66" spans="1:5" ht="15.75">
      <c r="A66" s="149">
        <v>514189</v>
      </c>
      <c r="B66" s="149" t="s">
        <v>112</v>
      </c>
      <c r="E66" s="642" t="str">
        <f t="array" ref="E66">IFERROR(INDEX(ІнформаціяДляСтроки7__2[ИнформацияДляСтрочки.1],SMALL(IF(E61=ІнформаціяДляСтроки7__2[ИнформацияДляСтрочки.15],ROW(ІнформаціяДляСтроки7__2[ИнформацияДляСтрочки.15])-1,""),ROW()-5)),"")</f>
        <v/>
      </c>
    </row>
    <row r="67" spans="1:5" ht="15.75">
      <c r="A67" s="149">
        <v>514188</v>
      </c>
      <c r="B67" s="149" t="s">
        <v>113</v>
      </c>
      <c r="E67" s="642" t="str">
        <f t="array" ref="E67">IFERROR(INDEX(ІнформаціяДляСтроки7__2[ИнформацияДляСтрочки.1],SMALL(IF(E62=ІнформаціяДляСтроки7__2[ИнформацияДляСтрочки.15],ROW(ІнформаціяДляСтроки7__2[ИнформацияДляСтрочки.15])-1,""),ROW()-5)),"")</f>
        <v/>
      </c>
    </row>
    <row r="68" spans="1:5" ht="15.75">
      <c r="A68" s="149">
        <v>514187</v>
      </c>
      <c r="B68" s="149" t="s">
        <v>115</v>
      </c>
      <c r="E68" s="642" t="str">
        <f t="array" ref="E68">IFERROR(INDEX(ІнформаціяДляСтроки7__2[ИнформацияДляСтрочки.1],SMALL(IF(E63=ІнформаціяДляСтроки7__2[ИнформацияДляСтрочки.15],ROW(ІнформаціяДляСтроки7__2[ИнформацияДляСтрочки.15])-1,""),ROW()-5)),"")</f>
        <v/>
      </c>
    </row>
    <row r="69" spans="1:5" ht="15.75">
      <c r="A69" s="149">
        <v>514186</v>
      </c>
      <c r="B69" s="149" t="s">
        <v>112</v>
      </c>
      <c r="E69" s="642" t="str">
        <f t="array" ref="E69">IFERROR(INDEX(ІнформаціяДляСтроки7__2[ИнформацияДляСтрочки.1],SMALL(IF(E64=ІнформаціяДляСтроки7__2[ИнформацияДляСтрочки.15],ROW(ІнформаціяДляСтроки7__2[ИнформацияДляСтрочки.15])-1,""),ROW()-5)),"")</f>
        <v/>
      </c>
    </row>
    <row r="70" spans="1:5" ht="15.75">
      <c r="A70" s="149">
        <v>514185</v>
      </c>
      <c r="B70" s="149" t="s">
        <v>116</v>
      </c>
      <c r="E70" s="642" t="str">
        <f t="array" ref="E70">IFERROR(INDEX(ІнформаціяДляСтроки7__2[ИнформацияДляСтрочки.1],SMALL(IF(E65=ІнформаціяДляСтроки7__2[ИнформацияДляСтрочки.15],ROW(ІнформаціяДляСтроки7__2[ИнформацияДляСтрочки.15])-1,""),ROW()-5)),"")</f>
        <v/>
      </c>
    </row>
    <row r="71" spans="1:5" ht="15.75">
      <c r="A71" s="149">
        <v>514184</v>
      </c>
      <c r="B71" s="149" t="s">
        <v>114</v>
      </c>
      <c r="E71" s="642" t="str">
        <f t="array" ref="E71">IFERROR(INDEX(ІнформаціяДляСтроки7__2[ИнформацияДляСтрочки.1],SMALL(IF(E66=ІнформаціяДляСтроки7__2[ИнформацияДляСтрочки.15],ROW(ІнформаціяДляСтроки7__2[ИнформацияДляСтрочки.15])-1,""),ROW()-5)),"")</f>
        <v/>
      </c>
    </row>
    <row r="72" spans="1:5" ht="15.75">
      <c r="A72" s="149">
        <v>514183</v>
      </c>
      <c r="B72" s="149" t="s">
        <v>114</v>
      </c>
      <c r="E72" s="642" t="str">
        <f t="array" ref="E72">IFERROR(INDEX(ІнформаціяДляСтроки7__2[ИнформацияДляСтрочки.1],SMALL(IF(E67=ІнформаціяДляСтроки7__2[ИнформацияДляСтрочки.15],ROW(ІнформаціяДляСтроки7__2[ИнформацияДляСтрочки.15])-1,""),ROW()-5)),"")</f>
        <v/>
      </c>
    </row>
    <row r="73" spans="1:5" ht="15.75">
      <c r="A73" s="149">
        <v>514182</v>
      </c>
      <c r="B73" s="149" t="s">
        <v>112</v>
      </c>
      <c r="E73" s="642" t="str">
        <f t="array" ref="E73">IFERROR(INDEX(ІнформаціяДляСтроки7__2[ИнформацияДляСтрочки.1],SMALL(IF(E68=ІнформаціяДляСтроки7__2[ИнформацияДляСтрочки.15],ROW(ІнформаціяДляСтроки7__2[ИнформацияДляСтрочки.15])-1,""),ROW()-5)),"")</f>
        <v/>
      </c>
    </row>
    <row r="74" spans="1:5" ht="15.75">
      <c r="A74" s="149">
        <v>514181</v>
      </c>
      <c r="B74" s="149" t="s">
        <v>113</v>
      </c>
      <c r="E74" s="642" t="str">
        <f t="array" ref="E74">IFERROR(INDEX(ІнформаціяДляСтроки7__2[ИнформацияДляСтрочки.1],SMALL(IF(E69=ІнформаціяДляСтроки7__2[ИнформацияДляСтрочки.15],ROW(ІнформаціяДляСтроки7__2[ИнформацияДляСтрочки.15])-1,""),ROW()-5)),"")</f>
        <v/>
      </c>
    </row>
    <row r="75" spans="1:5" ht="15.75">
      <c r="A75" s="149">
        <v>514180</v>
      </c>
      <c r="B75" s="149" t="s">
        <v>112</v>
      </c>
      <c r="E75" s="642" t="str">
        <f t="array" ref="E75">IFERROR(INDEX(ІнформаціяДляСтроки7__2[ИнформацияДляСтрочки.1],SMALL(IF(E70=ІнформаціяДляСтроки7__2[ИнформацияДляСтрочки.15],ROW(ІнформаціяДляСтроки7__2[ИнформацияДляСтрочки.15])-1,""),ROW()-5)),"")</f>
        <v/>
      </c>
    </row>
    <row r="76" spans="1:5" ht="15.75">
      <c r="A76" s="149">
        <v>514179</v>
      </c>
      <c r="B76" s="149" t="s">
        <v>115</v>
      </c>
      <c r="E76" s="642" t="str">
        <f t="array" ref="E76">IFERROR(INDEX(ІнформаціяДляСтроки7__2[ИнформацияДляСтрочки.1],SMALL(IF(E71=ІнформаціяДляСтроки7__2[ИнформацияДляСтрочки.15],ROW(ІнформаціяДляСтроки7__2[ИнформацияДляСтрочки.15])-1,""),ROW()-5)),"")</f>
        <v/>
      </c>
    </row>
    <row r="77" spans="1:5" ht="15.75">
      <c r="A77" s="149">
        <v>514178</v>
      </c>
      <c r="B77" s="149" t="s">
        <v>114</v>
      </c>
      <c r="E77" s="642" t="str">
        <f t="array" ref="E77">IFERROR(INDEX(ІнформаціяДляСтроки7__2[ИнформацияДляСтрочки.1],SMALL(IF(E72=ІнформаціяДляСтроки7__2[ИнформацияДляСтрочки.15],ROW(ІнформаціяДляСтроки7__2[ИнформацияДляСтрочки.15])-1,""),ROW()-5)),"")</f>
        <v/>
      </c>
    </row>
    <row r="78" spans="1:5" ht="15.75">
      <c r="A78" s="149">
        <v>514177</v>
      </c>
      <c r="B78" s="149" t="s">
        <v>116</v>
      </c>
      <c r="E78" s="642" t="str">
        <f t="array" ref="E78">IFERROR(INDEX(ІнформаціяДляСтроки7__2[ИнформацияДляСтрочки.1],SMALL(IF(E73=ІнформаціяДляСтроки7__2[ИнформацияДляСтрочки.15],ROW(ІнформаціяДляСтроки7__2[ИнформацияДляСтрочки.15])-1,""),ROW()-5)),"")</f>
        <v/>
      </c>
    </row>
    <row r="79" spans="1:5" ht="15.75">
      <c r="A79" s="149">
        <v>514176</v>
      </c>
      <c r="B79" s="149" t="s">
        <v>113</v>
      </c>
      <c r="E79" s="642" t="str">
        <f t="array" ref="E79">IFERROR(INDEX(ІнформаціяДляСтроки7__2[ИнформацияДляСтрочки.1],SMALL(IF(E74=ІнформаціяДляСтроки7__2[ИнформацияДляСтрочки.15],ROW(ІнформаціяДляСтроки7__2[ИнформацияДляСтрочки.15])-1,""),ROW()-5)),"")</f>
        <v/>
      </c>
    </row>
    <row r="80" spans="1:5" ht="15.75">
      <c r="A80" s="149">
        <v>514175</v>
      </c>
      <c r="B80" s="149" t="s">
        <v>113</v>
      </c>
      <c r="E80" s="642" t="str">
        <f t="array" ref="E80">IFERROR(INDEX(ІнформаціяДляСтроки7__2[ИнформацияДляСтрочки.1],SMALL(IF(E75=ІнформаціяДляСтроки7__2[ИнформацияДляСтрочки.15],ROW(ІнформаціяДляСтроки7__2[ИнформацияДляСтрочки.15])-1,""),ROW()-5)),"")</f>
        <v/>
      </c>
    </row>
    <row r="81" spans="1:5" ht="15.75">
      <c r="A81" s="149">
        <v>514174</v>
      </c>
      <c r="B81" s="149" t="s">
        <v>113</v>
      </c>
      <c r="E81" s="642" t="str">
        <f t="array" ref="E81">IFERROR(INDEX(ІнформаціяДляСтроки7__2[ИнформацияДляСтрочки.1],SMALL(IF(E76=ІнформаціяДляСтроки7__2[ИнформацияДляСтрочки.15],ROW(ІнформаціяДляСтроки7__2[ИнформацияДляСтрочки.15])-1,""),ROW()-5)),"")</f>
        <v/>
      </c>
    </row>
    <row r="82" spans="1:5" ht="15.75">
      <c r="A82" s="149">
        <v>514173</v>
      </c>
      <c r="B82" s="149" t="s">
        <v>113</v>
      </c>
      <c r="E82" s="642" t="str">
        <f t="array" ref="E82">IFERROR(INDEX(ІнформаціяДляСтроки7__2[ИнформацияДляСтрочки.1],SMALL(IF(E77=ІнформаціяДляСтроки7__2[ИнформацияДляСтрочки.15],ROW(ІнформаціяДляСтроки7__2[ИнформацияДляСтрочки.15])-1,""),ROW()-5)),"")</f>
        <v/>
      </c>
    </row>
    <row r="83" spans="1:5" ht="15.75">
      <c r="A83" s="149">
        <v>514172</v>
      </c>
      <c r="B83" s="149" t="s">
        <v>115</v>
      </c>
      <c r="E83" s="642" t="str">
        <f t="array" ref="E83">IFERROR(INDEX(ІнформаціяДляСтроки7__2[ИнформацияДляСтрочки.1],SMALL(IF(E78=ІнформаціяДляСтроки7__2[ИнформацияДляСтрочки.15],ROW(ІнформаціяДляСтроки7__2[ИнформацияДляСтрочки.15])-1,""),ROW()-5)),"")</f>
        <v/>
      </c>
    </row>
    <row r="84" spans="1:5" ht="15.75">
      <c r="A84" s="149">
        <v>514171</v>
      </c>
      <c r="B84" s="149" t="s">
        <v>115</v>
      </c>
      <c r="E84" s="642" t="str">
        <f t="array" ref="E84">IFERROR(INDEX(ІнформаціяДляСтроки7__2[ИнформацияДляСтрочки.1],SMALL(IF(E79=ІнформаціяДляСтроки7__2[ИнформацияДляСтрочки.15],ROW(ІнформаціяДляСтроки7__2[ИнформацияДляСтрочки.15])-1,""),ROW()-5)),"")</f>
        <v/>
      </c>
    </row>
    <row r="85" spans="1:5" ht="15.75">
      <c r="A85" s="149">
        <v>514170</v>
      </c>
      <c r="B85" s="149" t="s">
        <v>115</v>
      </c>
      <c r="E85" s="642" t="str">
        <f t="array" ref="E85">IFERROR(INDEX(ІнформаціяДляСтроки7__2[ИнформацияДляСтрочки.1],SMALL(IF(E80=ІнформаціяДляСтроки7__2[ИнформацияДляСтрочки.15],ROW(ІнформаціяДляСтроки7__2[ИнформацияДляСтрочки.15])-1,""),ROW()-5)),"")</f>
        <v/>
      </c>
    </row>
    <row r="86" spans="1:5" ht="15.75">
      <c r="A86" s="149">
        <v>514169</v>
      </c>
      <c r="B86" s="149" t="s">
        <v>111</v>
      </c>
      <c r="E86" s="642" t="str">
        <f t="array" ref="E86">IFERROR(INDEX(ІнформаціяДляСтроки7__2[ИнформацияДляСтрочки.1],SMALL(IF(E81=ІнформаціяДляСтроки7__2[ИнформацияДляСтрочки.15],ROW(ІнформаціяДляСтроки7__2[ИнформацияДляСтрочки.15])-1,""),ROW()-5)),"")</f>
        <v/>
      </c>
    </row>
    <row r="87" spans="1:5" ht="15.75">
      <c r="A87" s="149">
        <v>514168</v>
      </c>
      <c r="B87" s="149" t="s">
        <v>111</v>
      </c>
      <c r="E87" s="642" t="str">
        <f t="array" ref="E87">IFERROR(INDEX(ІнформаціяДляСтроки7__2[ИнформацияДляСтрочки.1],SMALL(IF(E82=ІнформаціяДляСтроки7__2[ИнформацияДляСтрочки.15],ROW(ІнформаціяДляСтроки7__2[ИнформацияДляСтрочки.15])-1,""),ROW()-5)),"")</f>
        <v/>
      </c>
    </row>
    <row r="88" spans="1:5" ht="15.75">
      <c r="A88" s="149">
        <v>514167</v>
      </c>
      <c r="B88" s="149" t="s">
        <v>111</v>
      </c>
      <c r="E88" s="642" t="str">
        <f t="array" ref="E88">IFERROR(INDEX(ІнформаціяДляСтроки7__2[ИнформацияДляСтрочки.1],SMALL(IF(E83=ІнформаціяДляСтроки7__2[ИнформацияДляСтрочки.15],ROW(ІнформаціяДляСтроки7__2[ИнформацияДляСтрочки.15])-1,""),ROW()-5)),"")</f>
        <v/>
      </c>
    </row>
    <row r="89" spans="1:5" ht="15.75">
      <c r="A89" s="149">
        <v>514166</v>
      </c>
      <c r="B89" s="149" t="s">
        <v>116</v>
      </c>
      <c r="E89" s="642" t="str">
        <f t="array" ref="E89">IFERROR(INDEX(ІнформаціяДляСтроки7__2[ИнформацияДляСтрочки.1],SMALL(IF(E84=ІнформаціяДляСтроки7__2[ИнформацияДляСтрочки.15],ROW(ІнформаціяДляСтроки7__2[ИнформацияДляСтрочки.15])-1,""),ROW()-5)),"")</f>
        <v/>
      </c>
    </row>
    <row r="90" spans="1:5" ht="15.75">
      <c r="A90" s="149">
        <v>514165</v>
      </c>
      <c r="B90" s="149" t="s">
        <v>116</v>
      </c>
      <c r="E90" s="642" t="str">
        <f t="array" ref="E90">IFERROR(INDEX(ІнформаціяДляСтроки7__2[ИнформацияДляСтрочки.1],SMALL(IF(E85=ІнформаціяДляСтроки7__2[ИнформацияДляСтрочки.15],ROW(ІнформаціяДляСтроки7__2[ИнформацияДляСтрочки.15])-1,""),ROW()-5)),"")</f>
        <v/>
      </c>
    </row>
    <row r="91" spans="1:5" ht="15.75">
      <c r="A91" s="149">
        <v>514164</v>
      </c>
      <c r="B91" s="149" t="s">
        <v>116</v>
      </c>
      <c r="E91" s="642" t="str">
        <f t="array" ref="E91">IFERROR(INDEX(ІнформаціяДляСтроки7__2[ИнформацияДляСтрочки.1],SMALL(IF(E86=ІнформаціяДляСтроки7__2[ИнформацияДляСтрочки.15],ROW(ІнформаціяДляСтроки7__2[ИнформацияДляСтрочки.15])-1,""),ROW()-5)),"")</f>
        <v/>
      </c>
    </row>
    <row r="92" spans="1:5" ht="15.75">
      <c r="A92" s="149">
        <v>514163</v>
      </c>
      <c r="B92" s="149" t="s">
        <v>112</v>
      </c>
      <c r="E92" s="642" t="str">
        <f t="array" ref="E92">IFERROR(INDEX(ІнформаціяДляСтроки7__2[ИнформацияДляСтрочки.1],SMALL(IF(E87=ІнформаціяДляСтроки7__2[ИнформацияДляСтрочки.15],ROW(ІнформаціяДляСтроки7__2[ИнформацияДляСтрочки.15])-1,""),ROW()-5)),"")</f>
        <v/>
      </c>
    </row>
    <row r="93" spans="1:5" ht="15.75">
      <c r="A93" s="149">
        <v>514162</v>
      </c>
      <c r="B93" s="149" t="s">
        <v>112</v>
      </c>
      <c r="E93" s="642" t="str">
        <f t="array" ref="E93">IFERROR(INDEX(ІнформаціяДляСтроки7__2[ИнформацияДляСтрочки.1],SMALL(IF(E88=ІнформаціяДляСтроки7__2[ИнформацияДляСтрочки.15],ROW(ІнформаціяДляСтроки7__2[ИнформацияДляСтрочки.15])-1,""),ROW()-5)),"")</f>
        <v/>
      </c>
    </row>
    <row r="94" spans="1:5" ht="15.75">
      <c r="A94" s="149">
        <v>514161</v>
      </c>
      <c r="B94" s="149" t="s">
        <v>112</v>
      </c>
      <c r="E94" s="642" t="str">
        <f t="array" ref="E94">IFERROR(INDEX(ІнформаціяДляСтроки7__2[ИнформацияДляСтрочки.1],SMALL(IF(E89=ІнформаціяДляСтроки7__2[ИнформацияДляСтрочки.15],ROW(ІнформаціяДляСтроки7__2[ИнформацияДляСтрочки.15])-1,""),ROW()-5)),"")</f>
        <v/>
      </c>
    </row>
    <row r="95" spans="1:5">
      <c r="A95" s="149">
        <v>514160</v>
      </c>
      <c r="B95" s="149" t="s">
        <v>114</v>
      </c>
    </row>
    <row r="96" spans="1:5">
      <c r="A96" s="149">
        <v>514159</v>
      </c>
      <c r="B96" s="149" t="s">
        <v>114</v>
      </c>
    </row>
    <row r="97" spans="1:8">
      <c r="A97" s="149">
        <v>514157</v>
      </c>
      <c r="B97" s="149" t="s">
        <v>114</v>
      </c>
    </row>
    <row r="98" spans="1:8">
      <c r="A98" s="149">
        <v>514156</v>
      </c>
      <c r="B98" s="149" t="s">
        <v>115</v>
      </c>
    </row>
    <row r="99" spans="1:8">
      <c r="A99" s="149">
        <v>514155</v>
      </c>
      <c r="B99" s="149" t="s">
        <v>111</v>
      </c>
    </row>
    <row r="100" spans="1:8">
      <c r="A100" s="149">
        <v>514154</v>
      </c>
      <c r="B100" s="149" t="s">
        <v>113</v>
      </c>
    </row>
    <row r="101" spans="1:8">
      <c r="A101" s="149">
        <v>514153</v>
      </c>
      <c r="B101" s="149" t="s">
        <v>114</v>
      </c>
    </row>
    <row r="102" spans="1:8">
      <c r="A102" s="149">
        <v>514152</v>
      </c>
      <c r="B102" s="149" t="s">
        <v>116</v>
      </c>
      <c r="H102" t="s">
        <v>3788</v>
      </c>
    </row>
    <row r="103" spans="1:8">
      <c r="A103" s="149">
        <v>514151</v>
      </c>
      <c r="B103" s="149" t="s">
        <v>112</v>
      </c>
    </row>
    <row r="104" spans="1:8">
      <c r="A104" s="149"/>
      <c r="B104" s="149"/>
    </row>
    <row r="105" spans="1:8">
      <c r="A105" s="149"/>
      <c r="B105" s="149"/>
    </row>
    <row r="106" spans="1:8">
      <c r="A106" s="149"/>
      <c r="B106" s="149"/>
    </row>
  </sheetData>
  <dataValidations count="1">
    <dataValidation type="list" allowBlank="1" showInputMessage="1" showErrorMessage="1" sqref="I5">
      <formula1>ЛК</formula1>
    </dataValidation>
  </dataValidations>
  <pageMargins left="0.7" right="0.7" top="0.75" bottom="0.75" header="0.3" footer="0.3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1"/>
  <dimension ref="A1:C13"/>
  <sheetViews>
    <sheetView workbookViewId="0">
      <selection activeCell="A22" sqref="A22"/>
    </sheetView>
  </sheetViews>
  <sheetFormatPr defaultRowHeight="15"/>
  <cols>
    <col min="1" max="1" width="78.140625" customWidth="1"/>
  </cols>
  <sheetData>
    <row r="1" spans="1:3" ht="15.75" thickBot="1"/>
    <row r="2" spans="1:3">
      <c r="A2" s="55" t="s">
        <v>3211</v>
      </c>
      <c r="B2" s="663"/>
      <c r="C2" s="282" t="s">
        <v>3542</v>
      </c>
    </row>
    <row r="3" spans="1:3">
      <c r="A3" s="39" t="s">
        <v>71</v>
      </c>
      <c r="B3" s="664">
        <v>0</v>
      </c>
      <c r="C3" s="282" t="s">
        <v>3543</v>
      </c>
    </row>
    <row r="4" spans="1:3" ht="15.75" thickBot="1">
      <c r="A4" s="41" t="s">
        <v>72</v>
      </c>
      <c r="B4" s="664">
        <v>35</v>
      </c>
      <c r="C4" s="282" t="s">
        <v>3544</v>
      </c>
    </row>
    <row r="5" spans="1:3">
      <c r="A5" s="55" t="s">
        <v>82</v>
      </c>
      <c r="B5" s="664"/>
      <c r="C5" s="282" t="s">
        <v>3545</v>
      </c>
    </row>
    <row r="6" spans="1:3">
      <c r="A6" s="39" t="s">
        <v>71</v>
      </c>
      <c r="B6" s="664"/>
      <c r="C6" s="282" t="s">
        <v>3546</v>
      </c>
    </row>
    <row r="7" spans="1:3" ht="15.75" thickBot="1">
      <c r="A7" s="41" t="s">
        <v>72</v>
      </c>
      <c r="B7" s="664"/>
      <c r="C7" s="282" t="s">
        <v>3547</v>
      </c>
    </row>
    <row r="8" spans="1:3">
      <c r="A8" s="55" t="s">
        <v>3212</v>
      </c>
      <c r="B8" s="664"/>
      <c r="C8" s="282" t="s">
        <v>3548</v>
      </c>
    </row>
    <row r="9" spans="1:3">
      <c r="A9" s="39" t="s">
        <v>71</v>
      </c>
      <c r="B9" s="664">
        <v>2</v>
      </c>
      <c r="C9" s="282" t="s">
        <v>3549</v>
      </c>
    </row>
    <row r="10" spans="1:3" ht="15.75" thickBot="1">
      <c r="A10" s="41" t="s">
        <v>72</v>
      </c>
      <c r="B10" s="664">
        <v>70</v>
      </c>
      <c r="C10" s="282" t="s">
        <v>3550</v>
      </c>
    </row>
    <row r="11" spans="1:3">
      <c r="A11" s="55" t="s">
        <v>83</v>
      </c>
      <c r="B11" s="664"/>
      <c r="C11" s="282" t="s">
        <v>3551</v>
      </c>
    </row>
    <row r="12" spans="1:3">
      <c r="A12" s="39" t="s">
        <v>71</v>
      </c>
      <c r="B12" s="664">
        <v>0</v>
      </c>
      <c r="C12" s="282" t="s">
        <v>3552</v>
      </c>
    </row>
    <row r="13" spans="1:3" ht="15.75" thickBot="1">
      <c r="A13" s="41" t="s">
        <v>72</v>
      </c>
      <c r="B13" s="665">
        <v>0</v>
      </c>
      <c r="C13" s="282" t="s">
        <v>3553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/>
  <dimension ref="A2:B70"/>
  <sheetViews>
    <sheetView topLeftCell="A55" workbookViewId="0">
      <selection activeCell="A58" sqref="A58:A70"/>
    </sheetView>
  </sheetViews>
  <sheetFormatPr defaultRowHeight="15"/>
  <cols>
    <col min="1" max="1" width="39.7109375" customWidth="1"/>
    <col min="2" max="2" width="25.42578125" customWidth="1"/>
  </cols>
  <sheetData>
    <row r="2" spans="1:2">
      <c r="A2" s="282" t="s">
        <v>2170</v>
      </c>
      <c r="B2" s="698" t="s">
        <v>2170</v>
      </c>
    </row>
    <row r="3" spans="1:2">
      <c r="A3" s="282" t="s">
        <v>54</v>
      </c>
      <c r="B3" s="698" t="s">
        <v>54</v>
      </c>
    </row>
    <row r="4" spans="1:2">
      <c r="A4" s="282" t="s">
        <v>58</v>
      </c>
      <c r="B4" s="698" t="s">
        <v>58</v>
      </c>
    </row>
    <row r="5" spans="1:2">
      <c r="A5" s="282" t="s">
        <v>4</v>
      </c>
      <c r="B5" s="698" t="s">
        <v>4</v>
      </c>
    </row>
    <row r="6" spans="1:2">
      <c r="A6" s="282" t="s">
        <v>3539</v>
      </c>
      <c r="B6" s="698" t="s">
        <v>3539</v>
      </c>
    </row>
    <row r="7" spans="1:2">
      <c r="A7" s="282" t="s">
        <v>3</v>
      </c>
      <c r="B7" s="698" t="s">
        <v>3</v>
      </c>
    </row>
    <row r="8" spans="1:2">
      <c r="A8" s="282" t="s">
        <v>6</v>
      </c>
      <c r="B8" s="698" t="s">
        <v>6</v>
      </c>
    </row>
    <row r="9" spans="1:2">
      <c r="A9" s="282" t="s">
        <v>3540</v>
      </c>
      <c r="B9" s="699" t="s">
        <v>3540</v>
      </c>
    </row>
    <row r="10" spans="1:2">
      <c r="A10" s="282" t="s">
        <v>3490</v>
      </c>
      <c r="B10" s="700" t="s">
        <v>3490</v>
      </c>
    </row>
    <row r="11" spans="1:2">
      <c r="A11" s="282" t="s">
        <v>3491</v>
      </c>
      <c r="B11" s="699" t="s">
        <v>3491</v>
      </c>
    </row>
    <row r="12" spans="1:2">
      <c r="A12" s="282" t="s">
        <v>3541</v>
      </c>
      <c r="B12" s="699" t="s">
        <v>3541</v>
      </c>
    </row>
    <row r="13" spans="1:2">
      <c r="A13" s="282" t="s">
        <v>3542</v>
      </c>
      <c r="B13" s="701" t="s">
        <v>3542</v>
      </c>
    </row>
    <row r="14" spans="1:2">
      <c r="A14" s="282" t="s">
        <v>3543</v>
      </c>
      <c r="B14" s="701" t="s">
        <v>3543</v>
      </c>
    </row>
    <row r="15" spans="1:2">
      <c r="A15" s="282" t="s">
        <v>3544</v>
      </c>
      <c r="B15" s="701" t="s">
        <v>3544</v>
      </c>
    </row>
    <row r="16" spans="1:2">
      <c r="A16" s="282" t="s">
        <v>3545</v>
      </c>
      <c r="B16" s="701" t="s">
        <v>3545</v>
      </c>
    </row>
    <row r="17" spans="1:2">
      <c r="A17" s="282" t="s">
        <v>3546</v>
      </c>
      <c r="B17" s="701" t="s">
        <v>3546</v>
      </c>
    </row>
    <row r="18" spans="1:2">
      <c r="A18" s="282" t="s">
        <v>3547</v>
      </c>
      <c r="B18" s="701" t="s">
        <v>3547</v>
      </c>
    </row>
    <row r="19" spans="1:2">
      <c r="A19" s="282" t="s">
        <v>3548</v>
      </c>
      <c r="B19" s="701" t="s">
        <v>3548</v>
      </c>
    </row>
    <row r="20" spans="1:2">
      <c r="A20" s="282" t="s">
        <v>3549</v>
      </c>
      <c r="B20" s="701" t="s">
        <v>3549</v>
      </c>
    </row>
    <row r="21" spans="1:2">
      <c r="A21" s="282" t="s">
        <v>3550</v>
      </c>
      <c r="B21" s="701" t="s">
        <v>3550</v>
      </c>
    </row>
    <row r="22" spans="1:2">
      <c r="A22" s="282" t="s">
        <v>3551</v>
      </c>
      <c r="B22" s="701" t="s">
        <v>3551</v>
      </c>
    </row>
    <row r="23" spans="1:2">
      <c r="A23" s="282" t="s">
        <v>3552</v>
      </c>
      <c r="B23" s="701" t="s">
        <v>3552</v>
      </c>
    </row>
    <row r="24" spans="1:2">
      <c r="A24" s="282" t="s">
        <v>3553</v>
      </c>
      <c r="B24" s="701" t="s">
        <v>3553</v>
      </c>
    </row>
    <row r="25" spans="1:2">
      <c r="A25" s="282" t="s">
        <v>3554</v>
      </c>
      <c r="B25" s="701" t="s">
        <v>3554</v>
      </c>
    </row>
    <row r="26" spans="1:2">
      <c r="A26" s="282" t="s">
        <v>3485</v>
      </c>
      <c r="B26" s="701" t="s">
        <v>3485</v>
      </c>
    </row>
    <row r="27" spans="1:2">
      <c r="A27" s="282" t="s">
        <v>3555</v>
      </c>
      <c r="B27" s="701" t="s">
        <v>3555</v>
      </c>
    </row>
    <row r="28" spans="1:2">
      <c r="A28" s="282" t="s">
        <v>3556</v>
      </c>
      <c r="B28" s="701" t="s">
        <v>3556</v>
      </c>
    </row>
    <row r="29" spans="1:2">
      <c r="A29" s="282" t="s">
        <v>3557</v>
      </c>
      <c r="B29" s="701" t="s">
        <v>3557</v>
      </c>
    </row>
    <row r="30" spans="1:2">
      <c r="A30" s="282" t="s">
        <v>3536</v>
      </c>
      <c r="B30" s="701" t="s">
        <v>3536</v>
      </c>
    </row>
    <row r="31" spans="1:2">
      <c r="A31" s="282" t="s">
        <v>3558</v>
      </c>
      <c r="B31" s="701" t="s">
        <v>3558</v>
      </c>
    </row>
    <row r="32" spans="1:2">
      <c r="A32" s="282" t="s">
        <v>3559</v>
      </c>
      <c r="B32" s="701" t="s">
        <v>3559</v>
      </c>
    </row>
    <row r="33" spans="1:2">
      <c r="A33" s="282" t="s">
        <v>3560</v>
      </c>
      <c r="B33" s="701" t="s">
        <v>3560</v>
      </c>
    </row>
    <row r="34" spans="1:2">
      <c r="A34" s="282" t="s">
        <v>67</v>
      </c>
      <c r="B34" s="702" t="s">
        <v>67</v>
      </c>
    </row>
    <row r="35" spans="1:2" ht="39">
      <c r="A35" s="282" t="s">
        <v>3561</v>
      </c>
      <c r="B35" s="701" t="s">
        <v>3561</v>
      </c>
    </row>
    <row r="36" spans="1:2">
      <c r="A36" s="282" t="s">
        <v>3364</v>
      </c>
      <c r="B36" s="701" t="s">
        <v>3364</v>
      </c>
    </row>
    <row r="37" spans="1:2" ht="26.25">
      <c r="A37" s="282" t="s">
        <v>3562</v>
      </c>
      <c r="B37" s="701" t="s">
        <v>3562</v>
      </c>
    </row>
    <row r="38" spans="1:2" ht="26.25">
      <c r="A38" s="282" t="s">
        <v>3563</v>
      </c>
      <c r="B38" s="701" t="s">
        <v>3563</v>
      </c>
    </row>
    <row r="39" spans="1:2">
      <c r="A39" s="282" t="s">
        <v>3564</v>
      </c>
      <c r="B39" s="701" t="s">
        <v>3564</v>
      </c>
    </row>
    <row r="40" spans="1:2">
      <c r="A40" s="282" t="s">
        <v>3565</v>
      </c>
      <c r="B40" s="703" t="s">
        <v>3565</v>
      </c>
    </row>
    <row r="41" spans="1:2">
      <c r="A41" s="282" t="s">
        <v>3566</v>
      </c>
      <c r="B41" s="703" t="s">
        <v>3566</v>
      </c>
    </row>
    <row r="42" spans="1:2">
      <c r="A42" s="282" t="s">
        <v>3567</v>
      </c>
      <c r="B42" s="703" t="s">
        <v>3567</v>
      </c>
    </row>
    <row r="43" spans="1:2">
      <c r="A43" s="282" t="s">
        <v>3568</v>
      </c>
      <c r="B43" s="701" t="s">
        <v>3568</v>
      </c>
    </row>
    <row r="44" spans="1:2">
      <c r="A44" s="697" t="s">
        <v>3569</v>
      </c>
      <c r="B44" s="704" t="s">
        <v>3569</v>
      </c>
    </row>
    <row r="45" spans="1:2">
      <c r="A45" s="282" t="s">
        <v>3570</v>
      </c>
      <c r="B45" s="701" t="s">
        <v>3570</v>
      </c>
    </row>
    <row r="46" spans="1:2" ht="26.25">
      <c r="A46" s="282" t="s">
        <v>3571</v>
      </c>
      <c r="B46" s="701" t="s">
        <v>3571</v>
      </c>
    </row>
    <row r="47" spans="1:2">
      <c r="A47" s="282" t="s">
        <v>3572</v>
      </c>
      <c r="B47" s="701" t="s">
        <v>3572</v>
      </c>
    </row>
    <row r="48" spans="1:2">
      <c r="A48" s="282" t="s">
        <v>3573</v>
      </c>
      <c r="B48" s="701" t="s">
        <v>3573</v>
      </c>
    </row>
    <row r="49" spans="1:2">
      <c r="A49" s="282" t="s">
        <v>3574</v>
      </c>
      <c r="B49" s="701" t="s">
        <v>3574</v>
      </c>
    </row>
    <row r="50" spans="1:2">
      <c r="A50" s="282" t="s">
        <v>3575</v>
      </c>
      <c r="B50" s="701" t="s">
        <v>3575</v>
      </c>
    </row>
    <row r="51" spans="1:2">
      <c r="A51" s="282" t="s">
        <v>2173</v>
      </c>
      <c r="B51" s="701" t="s">
        <v>2173</v>
      </c>
    </row>
    <row r="52" spans="1:2">
      <c r="A52" s="282" t="s">
        <v>68</v>
      </c>
      <c r="B52" s="701" t="s">
        <v>68</v>
      </c>
    </row>
    <row r="53" spans="1:2">
      <c r="A53" s="282" t="s">
        <v>3576</v>
      </c>
      <c r="B53" s="701" t="s">
        <v>3576</v>
      </c>
    </row>
    <row r="54" spans="1:2">
      <c r="A54" s="282" t="s">
        <v>3577</v>
      </c>
      <c r="B54" s="701" t="s">
        <v>3577</v>
      </c>
    </row>
    <row r="55" spans="1:2">
      <c r="A55" s="282" t="s">
        <v>3578</v>
      </c>
      <c r="B55" s="703" t="s">
        <v>3578</v>
      </c>
    </row>
    <row r="56" spans="1:2">
      <c r="A56" s="282" t="s">
        <v>3579</v>
      </c>
      <c r="B56" s="701" t="s">
        <v>3579</v>
      </c>
    </row>
    <row r="57" spans="1:2">
      <c r="A57" s="282" t="s">
        <v>3580</v>
      </c>
      <c r="B57" s="705" t="s">
        <v>3580</v>
      </c>
    </row>
    <row r="58" spans="1:2">
      <c r="A58" s="603" t="s">
        <v>73</v>
      </c>
      <c r="B58" s="701" t="s">
        <v>2280</v>
      </c>
    </row>
    <row r="59" spans="1:2">
      <c r="A59" s="206" t="s">
        <v>76</v>
      </c>
      <c r="B59" s="701" t="s">
        <v>2281</v>
      </c>
    </row>
    <row r="60" spans="1:2">
      <c r="A60" s="604" t="s">
        <v>77</v>
      </c>
      <c r="B60" s="701" t="s">
        <v>2282</v>
      </c>
    </row>
    <row r="61" spans="1:2">
      <c r="A61" s="282" t="s">
        <v>66</v>
      </c>
      <c r="B61" s="701" t="s">
        <v>2283</v>
      </c>
    </row>
    <row r="62" spans="1:2">
      <c r="A62" s="282" t="s">
        <v>3408</v>
      </c>
      <c r="B62" s="701" t="s">
        <v>2284</v>
      </c>
    </row>
    <row r="63" spans="1:2">
      <c r="A63" s="282" t="s">
        <v>2136</v>
      </c>
      <c r="B63" s="701" t="s">
        <v>2285</v>
      </c>
    </row>
    <row r="64" spans="1:2">
      <c r="A64" s="282" t="s">
        <v>3627</v>
      </c>
      <c r="B64" s="701" t="s">
        <v>2286</v>
      </c>
    </row>
    <row r="65" spans="1:2">
      <c r="A65" s="286" t="s">
        <v>868</v>
      </c>
      <c r="B65" s="701" t="s">
        <v>2287</v>
      </c>
    </row>
    <row r="66" spans="1:2">
      <c r="A66" s="286" t="s">
        <v>2134</v>
      </c>
      <c r="B66" s="701" t="s">
        <v>2288</v>
      </c>
    </row>
    <row r="67" spans="1:2">
      <c r="A67" s="286" t="s">
        <v>3778</v>
      </c>
      <c r="B67" s="701" t="s">
        <v>2289</v>
      </c>
    </row>
    <row r="68" spans="1:2">
      <c r="A68" s="286" t="s">
        <v>3774</v>
      </c>
      <c r="B68" s="701" t="s">
        <v>2290</v>
      </c>
    </row>
    <row r="69" spans="1:2">
      <c r="A69" s="286" t="s">
        <v>3775</v>
      </c>
      <c r="B69" s="701" t="s">
        <v>2291</v>
      </c>
    </row>
    <row r="70" spans="1:2">
      <c r="A70" s="282" t="s">
        <v>3800</v>
      </c>
      <c r="B70" s="701" t="s">
        <v>3904</v>
      </c>
    </row>
  </sheetData>
  <conditionalFormatting sqref="B32">
    <cfRule type="duplicateValues" dxfId="0" priority="1" stopIfTrue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44CE38A-B7D2-4729-9EB4-33856C29801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49</vt:i4>
      </vt:variant>
      <vt:variant>
        <vt:lpstr>Именованные диапазоны</vt:lpstr>
      </vt:variant>
      <vt:variant>
        <vt:i4>231</vt:i4>
      </vt:variant>
    </vt:vector>
  </HeadingPairs>
  <TitlesOfParts>
    <vt:vector size="280" baseType="lpstr">
      <vt:lpstr>ЗД</vt:lpstr>
      <vt:lpstr>ЗГ</vt:lpstr>
      <vt:lpstr>ЗС</vt:lpstr>
      <vt:lpstr>РХ_1</vt:lpstr>
      <vt:lpstr>РХ_3</vt:lpstr>
      <vt:lpstr>ЗР</vt:lpstr>
      <vt:lpstr>породи</vt:lpstr>
      <vt:lpstr>Коєфициент</vt:lpstr>
      <vt:lpstr>Путь</vt:lpstr>
      <vt:lpstr>Мастера</vt:lpstr>
      <vt:lpstr>NameControlsForm</vt:lpstr>
      <vt:lpstr>РеестрЛКЕОД</vt:lpstr>
      <vt:lpstr>Расчет</vt:lpstr>
      <vt:lpstr>Молодняки</vt:lpstr>
      <vt:lpstr>Молодняки_кошторис</vt:lpstr>
      <vt:lpstr>Форма</vt:lpstr>
      <vt:lpstr>Шаблоны</vt:lpstr>
      <vt:lpstr>КоэфРГК</vt:lpstr>
      <vt:lpstr>РГК</vt:lpstr>
      <vt:lpstr>РГК_кошторис</vt:lpstr>
      <vt:lpstr>РД</vt:lpstr>
      <vt:lpstr>Тарифи</vt:lpstr>
      <vt:lpstr>Реестр договорів</vt:lpstr>
      <vt:lpstr>Виконавец</vt:lpstr>
      <vt:lpstr>РД_кошторис</vt:lpstr>
      <vt:lpstr>Техкарта</vt:lpstr>
      <vt:lpstr>Именованые диапазоны</vt:lpstr>
      <vt:lpstr>Лист15</vt:lpstr>
      <vt:lpstr>Настройки</vt:lpstr>
      <vt:lpstr>Лист6</vt:lpstr>
      <vt:lpstr>Лист10</vt:lpstr>
      <vt:lpstr>Лист7</vt:lpstr>
      <vt:lpstr>Лист11</vt:lpstr>
      <vt:lpstr>Лісництва</vt:lpstr>
      <vt:lpstr>Тендер</vt:lpstr>
      <vt:lpstr>Лист12</vt:lpstr>
      <vt:lpstr>Лист13</vt:lpstr>
      <vt:lpstr>Лист14</vt:lpstr>
      <vt:lpstr>Лист3</vt:lpstr>
      <vt:lpstr>Лист9</vt:lpstr>
      <vt:lpstr>Лист4</vt:lpstr>
      <vt:lpstr>ДілянкаПоЛК</vt:lpstr>
      <vt:lpstr>РеестрЛКЕОДConect</vt:lpstr>
      <vt:lpstr>ДоговораПодрядаЕОД</vt:lpstr>
      <vt:lpstr>SheetNAme</vt:lpstr>
      <vt:lpstr>Лист2</vt:lpstr>
      <vt:lpstr>ЛК</vt:lpstr>
      <vt:lpstr>Лист16</vt:lpstr>
      <vt:lpstr>Лист5</vt:lpstr>
      <vt:lpstr>РеестрЛКЕОД!_ФильтрБазыДанных</vt:lpstr>
      <vt:lpstr>cLicVa</vt:lpstr>
      <vt:lpstr>dCKR</vt:lpstr>
      <vt:lpstr>dCrHl</vt:lpstr>
      <vt:lpstr>dCZ</vt:lpstr>
      <vt:lpstr>dDataDog</vt:lpstr>
      <vt:lpstr>dDataS</vt:lpstr>
      <vt:lpstr>dDil</vt:lpstr>
      <vt:lpstr>dFooter</vt:lpstr>
      <vt:lpstr>dGp</vt:lpstr>
      <vt:lpstr>dHeader</vt:lpstr>
      <vt:lpstr>dKd</vt:lpstr>
      <vt:lpstr>dKS</vt:lpstr>
      <vt:lpstr>dKV</vt:lpstr>
      <vt:lpstr>dKZ</vt:lpstr>
      <vt:lpstr>dLisVo</vt:lpstr>
      <vt:lpstr>dMain</vt:lpstr>
      <vt:lpstr>dMas</vt:lpstr>
      <vt:lpstr>dMas1Ga</vt:lpstr>
      <vt:lpstr>dMD</vt:lpstr>
      <vt:lpstr>dMLK</vt:lpstr>
      <vt:lpstr>dNel</vt:lpstr>
      <vt:lpstr>dNLK</vt:lpstr>
      <vt:lpstr>dNr</vt:lpstr>
      <vt:lpstr>dNTK</vt:lpstr>
      <vt:lpstr>dPl</vt:lpstr>
      <vt:lpstr>dPND</vt:lpstr>
      <vt:lpstr>DROV</vt:lpstr>
      <vt:lpstr>DROV_HL</vt:lpstr>
      <vt:lpstr>dRV</vt:lpstr>
      <vt:lpstr>DRV_VM</vt:lpstr>
      <vt:lpstr>dShablon</vt:lpstr>
      <vt:lpstr>dSumDog</vt:lpstr>
      <vt:lpstr>dT_11</vt:lpstr>
      <vt:lpstr>dT_12</vt:lpstr>
      <vt:lpstr>dT_13</vt:lpstr>
      <vt:lpstr>dT_21</vt:lpstr>
      <vt:lpstr>dT_22</vt:lpstr>
      <vt:lpstr>dT_23</vt:lpstr>
      <vt:lpstr>dT_31</vt:lpstr>
      <vt:lpstr>dT_32</vt:lpstr>
      <vt:lpstr>dT_33</vt:lpstr>
      <vt:lpstr>dT_41</vt:lpstr>
      <vt:lpstr>dT_42</vt:lpstr>
      <vt:lpstr>dT_43</vt:lpstr>
      <vt:lpstr>dTender</vt:lpstr>
      <vt:lpstr>dUmRab</vt:lpstr>
      <vt:lpstr>dV</vt:lpstr>
      <vt:lpstr>dVidpMayster</vt:lpstr>
      <vt:lpstr>dVukon</vt:lpstr>
      <vt:lpstr>dZzap</vt:lpstr>
      <vt:lpstr>dРД_кошторис</vt:lpstr>
      <vt:lpstr>dРДПРОТОКОЛ</vt:lpstr>
      <vt:lpstr>dРДТЕХНІЧНЕ_ЗАВДАННЯ</vt:lpstr>
      <vt:lpstr>dумДатаТарифы</vt:lpstr>
      <vt:lpstr>SheetNAme!ExternalData_1</vt:lpstr>
      <vt:lpstr>ДілянкаПоЛК!ExternalData_1</vt:lpstr>
      <vt:lpstr>ДоговораПодрядаЕОД!ExternalData_1</vt:lpstr>
      <vt:lpstr>Лист10!ExternalData_1</vt:lpstr>
      <vt:lpstr>Лист11!ExternalData_1</vt:lpstr>
      <vt:lpstr>Лист12!ExternalData_1</vt:lpstr>
      <vt:lpstr>Лист13!ExternalData_1</vt:lpstr>
      <vt:lpstr>Лист14!ExternalData_1</vt:lpstr>
      <vt:lpstr>Лист2!ExternalData_1</vt:lpstr>
      <vt:lpstr>ЛК!ExternalData_1</vt:lpstr>
      <vt:lpstr>РеестрЛКЕОД!ExternalData_1</vt:lpstr>
      <vt:lpstr>РеестрЛКЕОДConect!ExternalData_1</vt:lpstr>
      <vt:lpstr>FAN</vt:lpstr>
      <vt:lpstr>FAN_HL</vt:lpstr>
      <vt:lpstr>gbPribiranny</vt:lpstr>
      <vt:lpstr>gbSpaluvanny</vt:lpstr>
      <vt:lpstr>gbSpiluvanny</vt:lpstr>
      <vt:lpstr>gbZrizuvanny</vt:lpstr>
      <vt:lpstr>gCKR</vt:lpstr>
      <vt:lpstr>gCrHl</vt:lpstr>
      <vt:lpstr>gCZ</vt:lpstr>
      <vt:lpstr>gDataDog</vt:lpstr>
      <vt:lpstr>gDataS</vt:lpstr>
      <vt:lpstr>gDil</vt:lpstr>
      <vt:lpstr>gDovginaVerh</vt:lpstr>
      <vt:lpstr>gFooter</vt:lpstr>
      <vt:lpstr>gGp</vt:lpstr>
      <vt:lpstr>gGPGP</vt:lpstr>
      <vt:lpstr>gHeader</vt:lpstr>
      <vt:lpstr>gK_Skladanny</vt:lpstr>
      <vt:lpstr>gKd</vt:lpstr>
      <vt:lpstr>gKS</vt:lpstr>
      <vt:lpstr>gKV</vt:lpstr>
      <vt:lpstr>gKZ</vt:lpstr>
      <vt:lpstr>gLisVo</vt:lpstr>
      <vt:lpstr>gMain</vt:lpstr>
      <vt:lpstr>gMas</vt:lpstr>
      <vt:lpstr>gMas1Ga</vt:lpstr>
      <vt:lpstr>gMD</vt:lpstr>
      <vt:lpstr>gMLK</vt:lpstr>
      <vt:lpstr>gNel</vt:lpstr>
      <vt:lpstr>gNLK</vt:lpstr>
      <vt:lpstr>gNr</vt:lpstr>
      <vt:lpstr>gNTK</vt:lpstr>
      <vt:lpstr>gPidrist</vt:lpstr>
      <vt:lpstr>gPl</vt:lpstr>
      <vt:lpstr>gPND</vt:lpstr>
      <vt:lpstr>gRV</vt:lpstr>
      <vt:lpstr>gShablon</vt:lpstr>
      <vt:lpstr>gSOP</vt:lpstr>
      <vt:lpstr>gSumDog</vt:lpstr>
      <vt:lpstr>gSvedeno</vt:lpstr>
      <vt:lpstr>gT_11</vt:lpstr>
      <vt:lpstr>gT_12</vt:lpstr>
      <vt:lpstr>gT_13</vt:lpstr>
      <vt:lpstr>gT_21</vt:lpstr>
      <vt:lpstr>gT_22</vt:lpstr>
      <vt:lpstr>gT_23</vt:lpstr>
      <vt:lpstr>gT_31</vt:lpstr>
      <vt:lpstr>gT_32</vt:lpstr>
      <vt:lpstr>gT_33</vt:lpstr>
      <vt:lpstr>gT_41</vt:lpstr>
      <vt:lpstr>gT_42</vt:lpstr>
      <vt:lpstr>gT_43</vt:lpstr>
      <vt:lpstr>gT_51</vt:lpstr>
      <vt:lpstr>gT_52</vt:lpstr>
      <vt:lpstr>gT_53</vt:lpstr>
      <vt:lpstr>gTender</vt:lpstr>
      <vt:lpstr>gUmRab</vt:lpstr>
      <vt:lpstr>gV</vt:lpstr>
      <vt:lpstr>gVidpMayster</vt:lpstr>
      <vt:lpstr>gVitratuSort</vt:lpstr>
      <vt:lpstr>gVitratuXlist</vt:lpstr>
      <vt:lpstr>gVMP</vt:lpstr>
      <vt:lpstr>gVukon</vt:lpstr>
      <vt:lpstr>gZah</vt:lpstr>
      <vt:lpstr>gZzap</vt:lpstr>
      <vt:lpstr>gРГК_кошторис</vt:lpstr>
      <vt:lpstr>gумДатаТарифы</vt:lpstr>
      <vt:lpstr>KOL</vt:lpstr>
      <vt:lpstr>KOL_N_TV</vt:lpstr>
      <vt:lpstr>KOL_N_XM</vt:lpstr>
      <vt:lpstr>KOL_V_TV</vt:lpstr>
      <vt:lpstr>KOL_V_XM</vt:lpstr>
      <vt:lpstr>mCKR</vt:lpstr>
      <vt:lpstr>mCZ</vt:lpstr>
      <vt:lpstr>mDataDog</vt:lpstr>
      <vt:lpstr>mDataS</vt:lpstr>
      <vt:lpstr>mDil</vt:lpstr>
      <vt:lpstr>mDovginaVerh</vt:lpstr>
      <vt:lpstr>mFooter</vt:lpstr>
      <vt:lpstr>mGp</vt:lpstr>
      <vt:lpstr>mHeader</vt:lpstr>
      <vt:lpstr>mK_Skladanny</vt:lpstr>
      <vt:lpstr>mKP</vt:lpstr>
      <vt:lpstr>mKV</vt:lpstr>
      <vt:lpstr>mKZ</vt:lpstr>
      <vt:lpstr>mLisVo</vt:lpstr>
      <vt:lpstr>mMain</vt:lpstr>
      <vt:lpstr>mMas1Ga</vt:lpstr>
      <vt:lpstr>mMD</vt:lpstr>
      <vt:lpstr>mMLK</vt:lpstr>
      <vt:lpstr>mNLK</vt:lpstr>
      <vt:lpstr>mNr</vt:lpstr>
      <vt:lpstr>mNTK</vt:lpstr>
      <vt:lpstr>mPl</vt:lpstr>
      <vt:lpstr>mPND</vt:lpstr>
      <vt:lpstr>mT_11</vt:lpstr>
      <vt:lpstr>mT_12</vt:lpstr>
      <vt:lpstr>mT_13</vt:lpstr>
      <vt:lpstr>mT_21</vt:lpstr>
      <vt:lpstr>mT_22</vt:lpstr>
      <vt:lpstr>mT_23</vt:lpstr>
      <vt:lpstr>mT_31</vt:lpstr>
      <vt:lpstr>mT_32</vt:lpstr>
      <vt:lpstr>mT_33</vt:lpstr>
      <vt:lpstr>mT_41</vt:lpstr>
      <vt:lpstr>mT_42</vt:lpstr>
      <vt:lpstr>mT_43</vt:lpstr>
      <vt:lpstr>mTender</vt:lpstr>
      <vt:lpstr>mUmRab</vt:lpstr>
      <vt:lpstr>mV</vt:lpstr>
      <vt:lpstr>mVidpMayster</vt:lpstr>
      <vt:lpstr>mVukon</vt:lpstr>
      <vt:lpstr>mZzap</vt:lpstr>
      <vt:lpstr>mМолодняки_кошторис</vt:lpstr>
      <vt:lpstr>mМолодняки_протокол</vt:lpstr>
      <vt:lpstr>mМолодняки_тех</vt:lpstr>
      <vt:lpstr>mумДатаТарифы</vt:lpstr>
      <vt:lpstr>OBR</vt:lpstr>
      <vt:lpstr>OBR_HL</vt:lpstr>
      <vt:lpstr>OBRU</vt:lpstr>
      <vt:lpstr>OBRU_HL</vt:lpstr>
      <vt:lpstr>OMRM</vt:lpstr>
      <vt:lpstr>OMRM_NS</vt:lpstr>
      <vt:lpstr>Param</vt:lpstr>
      <vt:lpstr>PIL</vt:lpstr>
      <vt:lpstr>PIL_HL</vt:lpstr>
      <vt:lpstr>PND</vt:lpstr>
      <vt:lpstr>PND_HL</vt:lpstr>
      <vt:lpstr>RDNAME</vt:lpstr>
      <vt:lpstr>rKV</vt:lpstr>
      <vt:lpstr>rLisVo</vt:lpstr>
      <vt:lpstr>rPl</vt:lpstr>
      <vt:lpstr>rV</vt:lpstr>
      <vt:lpstr>SPILP</vt:lpstr>
      <vt:lpstr>SPILP_HL</vt:lpstr>
      <vt:lpstr>SPLG</vt:lpstr>
      <vt:lpstr>SPLG_HL</vt:lpstr>
      <vt:lpstr>testRange</vt:lpstr>
      <vt:lpstr>testRange1</vt:lpstr>
      <vt:lpstr>TEX</vt:lpstr>
      <vt:lpstr>TEX_HL</vt:lpstr>
      <vt:lpstr>ZACH</vt:lpstr>
      <vt:lpstr>ZACH_HL</vt:lpstr>
      <vt:lpstr>ZKK</vt:lpstr>
      <vt:lpstr>ZKK_NS</vt:lpstr>
      <vt:lpstr>ZVZP</vt:lpstr>
      <vt:lpstr>КоэфРГК!ZVZP_HL</vt:lpstr>
      <vt:lpstr>ZVZP_HL</vt:lpstr>
      <vt:lpstr>ZVZP_VM</vt:lpstr>
      <vt:lpstr>Вирубування</vt:lpstr>
      <vt:lpstr>Зона</vt:lpstr>
      <vt:lpstr>РеестрЛКЕОД!Критерии</vt:lpstr>
      <vt:lpstr>Молодняки!Область_печати</vt:lpstr>
      <vt:lpstr>Расчет!Область_печати</vt:lpstr>
      <vt:lpstr>РГК!Область_печати</vt:lpstr>
      <vt:lpstr>РД!Область_печати</vt:lpstr>
      <vt:lpstr>Підріст</vt:lpstr>
      <vt:lpstr>Розряд_высот</vt:lpstr>
      <vt:lpstr>сокрЛісВа</vt:lpstr>
      <vt:lpstr>табКоефРоз</vt:lpstr>
      <vt:lpstr>табКоефЧерн</vt:lpstr>
      <vt:lpstr>табНормаВироб</vt:lpstr>
      <vt:lpstr>табРозВисот</vt:lpstr>
      <vt:lpstr>ТЕХНІЧНЕ_ЗАВДАННЯ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FOREST</dc:creator>
  <cp:lastModifiedBy>volond</cp:lastModifiedBy>
  <cp:lastPrinted>2018-12-22T14:02:44Z</cp:lastPrinted>
  <dcterms:created xsi:type="dcterms:W3CDTF">2015-06-05T18:19:34Z</dcterms:created>
  <dcterms:modified xsi:type="dcterms:W3CDTF">2018-12-25T20:42:44Z</dcterms:modified>
</cp:coreProperties>
</file>